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nding Page" sheetId="1" r:id="rId5"/>
    <sheet state="visible" name="Hashetty" sheetId="2" r:id="rId6"/>
    <sheet state="visible" name="Cycler" sheetId="3" r:id="rId7"/>
    <sheet state="visible" name="Jackrabbit" sheetId="4" r:id="rId8"/>
    <sheet state="visible" name="Swarm L." sheetId="5" r:id="rId9"/>
    <sheet state="visible" name="DMLR" sheetId="6" r:id="rId10"/>
    <sheet state="visible" name="Lead F." sheetId="7" r:id="rId11"/>
    <sheet state="visible" name="Plate L." sheetId="8" r:id="rId12"/>
    <sheet state="visible" name="Gunship C." sheetId="9" r:id="rId13"/>
    <sheet state="visible" name="Trident" sheetId="10" r:id="rId14"/>
    <sheet state="visible" name="Globbler" sheetId="11" r:id="rId15"/>
    <sheet state="visible" name="Carver" sheetId="12" r:id="rId16"/>
    <sheet state="visible" name="Shocklance" sheetId="13" r:id="rId17"/>
    <sheet state="visible" name="Accelerator" sheetId="14" r:id="rId18"/>
    <sheet state="visible" name="Incendiary G." sheetId="15" r:id="rId19"/>
    <sheet state="visible" name="Shock G." sheetId="16" r:id="rId20"/>
    <sheet state="visible" name="Acid G." sheetId="17" r:id="rId21"/>
    <sheet state="visible" name="Generic" sheetId="18" r:id="rId22"/>
    <sheet state="visible" name="Wrangler" sheetId="19" r:id="rId23"/>
    <sheet state="visible" name="Bruiser" sheetId="20" r:id="rId24"/>
    <sheet state="visible" name="Scrapper" sheetId="21" r:id="rId25"/>
    <sheet state="visible" name="Glider" sheetId="22" r:id="rId26"/>
    <sheet state="hidden" name="Builds (old)" sheetId="23" r:id="rId27"/>
    <sheet state="hidden" name="Builds (old Simple)" sheetId="24" r:id="rId28"/>
    <sheet state="hidden" name="Up Names" sheetId="25" r:id="rId29"/>
    <sheet state="hidden" name="Up Ref" sheetId="26" r:id="rId30"/>
    <sheet state="hidden" name="Up Icon" sheetId="27" r:id="rId31"/>
    <sheet state="hidden" name="Up Wiki" sheetId="28" r:id="rId32"/>
    <sheet state="hidden" name="Up Desc" sheetId="29" r:id="rId33"/>
    <sheet state="hidden" name="Up Turbo" sheetId="30" r:id="rId34"/>
    <sheet state="hidden" name="Up Rarity" sheetId="31" r:id="rId35"/>
    <sheet state="hidden" name="Up Cells" sheetId="32" r:id="rId36"/>
    <sheet state="hidden" name="Up Stats" sheetId="33" r:id="rId37"/>
    <sheet state="hidden" name="Up Min" sheetId="34" r:id="rId38"/>
    <sheet state="hidden" name="Up Max" sheetId="35" r:id="rId39"/>
  </sheets>
  <definedNames>
    <definedName hidden="1" localSheetId="2" name="_xlnm._FilterDatabase">Cycler!$A$1:$AP$47</definedName>
    <definedName hidden="1" localSheetId="3" name="_xlnm._FilterDatabase">Jackrabbit!$A$1:$AP$47</definedName>
    <definedName hidden="1" localSheetId="4" name="_xlnm._FilterDatabase">'Swarm L.'!$A$1:$AP$47</definedName>
    <definedName hidden="1" localSheetId="5" name="_xlnm._FilterDatabase">DMLR!$A$1:$AP$47</definedName>
    <definedName hidden="1" localSheetId="6" name="_xlnm._FilterDatabase">'Lead F.'!$A$1:$AP$47</definedName>
    <definedName hidden="1" localSheetId="7" name="_xlnm._FilterDatabase">'Plate L.'!$A$1:$AP$47</definedName>
    <definedName hidden="1" localSheetId="8" name="_xlnm._FilterDatabase">'Gunship C.'!$A$1:$AP$47</definedName>
    <definedName hidden="1" localSheetId="9" name="_xlnm._FilterDatabase">Trident!$A$1:$AP$47</definedName>
    <definedName hidden="1" localSheetId="10" name="_xlnm._FilterDatabase">Globbler!$A$1:$AP$47</definedName>
    <definedName hidden="1" localSheetId="11" name="_xlnm._FilterDatabase">Carver!$A$1:$AP$47</definedName>
    <definedName hidden="1" localSheetId="12" name="_xlnm._FilterDatabase">Shocklance!$A$1:$AP$47</definedName>
    <definedName hidden="1" localSheetId="13" name="_xlnm._FilterDatabase">Accelerator!$A$1:$AP$47</definedName>
    <definedName hidden="1" localSheetId="14" name="_xlnm._FilterDatabase">'Incendiary G.'!$A$1:$AP$47</definedName>
    <definedName hidden="1" localSheetId="15" name="_xlnm._FilterDatabase">'Shock G.'!$A$1:$AP$47</definedName>
    <definedName hidden="1" localSheetId="16" name="_xlnm._FilterDatabase">'Acid G.'!$A$1:$AP$47</definedName>
    <definedName hidden="1" localSheetId="17" name="_xlnm._FilterDatabase">Generic!$A$1:$AP$47</definedName>
    <definedName hidden="1" localSheetId="18" name="_xlnm._FilterDatabase">Wrangler!$A$1:$AP$47</definedName>
    <definedName hidden="1" localSheetId="19" name="_xlnm._FilterDatabase">Bruiser!$A$1:$AP$47</definedName>
    <definedName hidden="1" localSheetId="20" name="_xlnm._FilterDatabase">Scrapper!$A$1:$AP$47</definedName>
    <definedName hidden="1" localSheetId="21" name="_xlnm._FilterDatabase">Glider!$A$1:$AP$47</definedName>
    <definedName hidden="1" localSheetId="22" name="_xlnm._FilterDatabase">'Builds (old)'!$C$1:$J$36</definedName>
    <definedName hidden="1" localSheetId="23" name="_xlnm._FilterDatabase">'Builds (old Simple)'!$B$1:$F$36</definedName>
  </definedNames>
  <calcPr/>
</workbook>
</file>

<file path=xl/sharedStrings.xml><?xml version="1.0" encoding="utf-8"?>
<sst xmlns="http://schemas.openxmlformats.org/spreadsheetml/2006/main" count="12112" uniqueCount="2451">
  <si>
    <t>Welcome!
I hope this information is useful to those viewing!</t>
  </si>
  <si>
    <t>Icon</t>
  </si>
  <si>
    <t>Name</t>
  </si>
  <si>
    <t>Description</t>
  </si>
  <si>
    <t>Turbocharge</t>
  </si>
  <si>
    <t>Build Solvers</t>
  </si>
  <si>
    <t>Statistic</t>
  </si>
  <si>
    <t>Value</t>
  </si>
  <si>
    <t>Min</t>
  </si>
  <si>
    <t>Max</t>
  </si>
  <si>
    <t>Builds</t>
  </si>
  <si>
    <t>Amalgam Builds: (by: Sparroh)</t>
  </si>
  <si>
    <t>Size</t>
  </si>
  <si>
    <t>Tier</t>
  </si>
  <si>
    <t>Practical Builds: (by: CarsonSnorlax)</t>
  </si>
  <si>
    <t>Tierlists</t>
  </si>
  <si>
    <t>Weapon Tierlist: (by: CarsonSnorlax)</t>
  </si>
  <si>
    <t>Tierlist Templates:</t>
  </si>
  <si>
    <t>Secret Resources</t>
  </si>
  <si>
    <t>Terry's Pumpkins: (by: Cepha)</t>
  </si>
  <si>
    <t>Roachard's Pumpkins: (by: Echodrache)</t>
  </si>
  <si>
    <t>Globbler Unlock:</t>
  </si>
  <si>
    <t>Carver Unlock:</t>
  </si>
  <si>
    <t>Pulverizer Unlock:</t>
  </si>
  <si>
    <t>Prism Unlock:</t>
  </si>
  <si>
    <t>Gravity Farms Crates:</t>
  </si>
  <si>
    <t>Gravity Farms Skins:</t>
  </si>
  <si>
    <t>H.U.B. Upgrades:</t>
  </si>
  <si>
    <t>Direct all suggestions / errors to @Sparroh in the Mycopunk Discord
Mycopunk v1.2</t>
  </si>
  <si>
    <t>Bullets pierce through targets instead of bouncing.</t>
  </si>
  <si>
    <t>4</t>
  </si>
  <si>
    <t>5</t>
  </si>
  <si>
    <t>6</t>
  </si>
  <si>
    <t>10</t>
  </si>
  <si>
    <t>7</t>
  </si>
  <si>
    <t>2</t>
  </si>
  <si>
    <t>3</t>
  </si>
  <si>
    <t>Rules</t>
  </si>
  <si>
    <t>Kill Times</t>
  </si>
  <si>
    <t>Elemental Cocktail</t>
  </si>
  <si>
    <t>Character</t>
  </si>
  <si>
    <t>Secondary</t>
  </si>
  <si>
    <t>Grenade Type</t>
  </si>
  <si>
    <t>Grids</t>
  </si>
  <si>
    <t>Comments</t>
  </si>
  <si>
    <t>No Setup
No Team
No Bug Abuse
No Macros</t>
  </si>
  <si>
    <t>S</t>
  </si>
  <si>
    <t>Gunship
(Tinderbox)</t>
  </si>
  <si>
    <t>Shock to w/e</t>
  </si>
  <si>
    <t>Glider</t>
  </si>
  <si>
    <t>Swarm</t>
  </si>
  <si>
    <t>Fire</t>
  </si>
  <si>
    <t>No Grenade Toss
No Salvo
No Character Bonus Damage
No Grenade Bonus Damage</t>
  </si>
  <si>
    <t>Gunship
(Lagrange Halo)</t>
  </si>
  <si>
    <t>Time Starts on Damage
Time Ends on Core Death
Threat 6</t>
  </si>
  <si>
    <t>A</t>
  </si>
  <si>
    <t>Trident
(Lone Cannoneer)</t>
  </si>
  <si>
    <t>Shock to Acid</t>
  </si>
  <si>
    <t>Secondary: Globbler
Elemental Cocktail: Acid to Fire</t>
  </si>
  <si>
    <t>Testing Build:
Bot: Glider
2nd: Swarm
Grenade: Fire
Elemental Cocktail</t>
  </si>
  <si>
    <t>Accelerator
(Inertia Accelerant)</t>
  </si>
  <si>
    <t>Grenade: Shock</t>
  </si>
  <si>
    <t>Trident
(Broadside)</t>
  </si>
  <si>
    <t>Globbler
(Pressure Cooker)</t>
  </si>
  <si>
    <t>Acid to w/e</t>
  </si>
  <si>
    <t>Gunship
(Firmly Planted)</t>
  </si>
  <si>
    <t>Gunship
(Missile Bay)</t>
  </si>
  <si>
    <t>B</t>
  </si>
  <si>
    <t>DMLR
(Autocycler)</t>
  </si>
  <si>
    <t>Plate
(Clearing Plasma)</t>
  </si>
  <si>
    <t>Plate
(Fencing Construction)</t>
  </si>
  <si>
    <t>Leave Plates in</t>
  </si>
  <si>
    <t>Accelerator
(Unstable Recursion)</t>
  </si>
  <si>
    <t>Shocklance
(Railshot)</t>
  </si>
  <si>
    <t>Trident
(Shredify)</t>
  </si>
  <si>
    <t>Elemental Cocktail: Shock to Acid</t>
  </si>
  <si>
    <t>Shocklance
(Compressor)</t>
  </si>
  <si>
    <t>Shocklance
(Auger Subroutine)</t>
  </si>
  <si>
    <t>Plate
(Damage Arc)</t>
  </si>
  <si>
    <t>Keep Shooting Plates</t>
  </si>
  <si>
    <t>Jackrabbit
(Slideshot)</t>
  </si>
  <si>
    <t>Shock to Fire</t>
  </si>
  <si>
    <t>Elemental Cocktail: Shock to Fire</t>
  </si>
  <si>
    <t>Flinger
(No Doobie)</t>
  </si>
  <si>
    <t>Cycler
(Corrode Siphon)</t>
  </si>
  <si>
    <t>Flinger
(Double Action)</t>
  </si>
  <si>
    <t>C</t>
  </si>
  <si>
    <t>Cycler
(Shock Recursion)</t>
  </si>
  <si>
    <t>DMLR
(Coronal Ejection)</t>
  </si>
  <si>
    <t>Only Laser
Secondary: Globbler</t>
  </si>
  <si>
    <t>Gunship
(Ballistic Charger)</t>
  </si>
  <si>
    <t>Accelerator
(Ruptured Spleen)</t>
  </si>
  <si>
    <t>Accelerator
(Requeening)</t>
  </si>
  <si>
    <t>Jackrabbit
(Pummeler)</t>
  </si>
  <si>
    <t>Jackrabbit
(All Powdered Up)</t>
  </si>
  <si>
    <t>Cycler
(Decay)</t>
  </si>
  <si>
    <t>Cycler
(Infinity Burn)</t>
  </si>
  <si>
    <t>Swarm
(Mitosis)</t>
  </si>
  <si>
    <t>Plate
(Fencing)</t>
  </si>
  <si>
    <t>Secondary: Plate Launcher (Fencing Construction)</t>
  </si>
  <si>
    <t>D</t>
  </si>
  <si>
    <t>Jackrabbit
(Pesticide)</t>
  </si>
  <si>
    <t>Fire to w/e</t>
  </si>
  <si>
    <t>Elemental Cocktail: Fire to Any</t>
  </si>
  <si>
    <t>Globbler
(Flood)</t>
  </si>
  <si>
    <t>Elemental Cocktail: Acid to Fire</t>
  </si>
  <si>
    <t>Carver
(Overheat System)</t>
  </si>
  <si>
    <t>Blood NEEDS to stack on Damage instead of Kill</t>
  </si>
  <si>
    <t>Swarm
(High Caliber Pellets)</t>
  </si>
  <si>
    <t>Mechanics:
Shoot the spazzing eyes for bonus damage
The shell is divided into chunks, focus fire to drill one chunk
Physics bugs when: leg break or shell break
On core expose: physics become uncontrollable
If physics bugs before first shell break, pray you choose the right chunk
If death before first shell break, pray you choose the right chunk
Amalgam chooses an "anchor" leg, if that breaks it physics bugs
Non "anchor" legs will attack</t>
  </si>
  <si>
    <t>Difference</t>
  </si>
  <si>
    <t>The Cycler</t>
  </si>
  <si>
    <t>Au-Si Jackrabbit</t>
  </si>
  <si>
    <t>Swarm Launcher</t>
  </si>
  <si>
    <t>DMLR</t>
  </si>
  <si>
    <t>Lead Flinger</t>
  </si>
  <si>
    <t>FR.15833 Plate Launcher</t>
  </si>
  <si>
    <t>Gunship Cannon</t>
  </si>
  <si>
    <t>Trident S2</t>
  </si>
  <si>
    <t>Globbler</t>
  </si>
  <si>
    <t>The Carver</t>
  </si>
  <si>
    <t>Shocklance</t>
  </si>
  <si>
    <t>Accelerator</t>
  </si>
  <si>
    <t>Fire Grenade</t>
  </si>
  <si>
    <t>Shock Grenade</t>
  </si>
  <si>
    <t>Acid Grenade</t>
  </si>
  <si>
    <t>General</t>
  </si>
  <si>
    <t>Wrangler</t>
  </si>
  <si>
    <t>Bruiser</t>
  </si>
  <si>
    <t>Scrapper</t>
  </si>
  <si>
    <t>Corrode Siphon</t>
  </si>
  <si>
    <t>All Powdered Up</t>
  </si>
  <si>
    <t>Breeding Season</t>
  </si>
  <si>
    <t>Arc Lightning</t>
  </si>
  <si>
    <t>Big Fat Doobie</t>
  </si>
  <si>
    <t>Return to Receiver</t>
  </si>
  <si>
    <t>Yellow Prism</t>
  </si>
  <si>
    <t>Bailing Water</t>
  </si>
  <si>
    <t>Flood</t>
  </si>
  <si>
    <t>Deflector</t>
  </si>
  <si>
    <t>Auger Subroutine</t>
  </si>
  <si>
    <t>Explosive Bullets</t>
  </si>
  <si>
    <t>Cluster Bomb</t>
  </si>
  <si>
    <t>Flash Storm</t>
  </si>
  <si>
    <t>Connected Systems</t>
  </si>
  <si>
    <t>Magboots</t>
  </si>
  <si>
    <t>Switcheroo</t>
  </si>
  <si>
    <t>Modular Construction</t>
  </si>
  <si>
    <t>Upside Down</t>
  </si>
  <si>
    <t>Attrition Supply</t>
  </si>
  <si>
    <t>Infinity Burn</t>
  </si>
  <si>
    <t>Immolator</t>
  </si>
  <si>
    <t>Explosive Pellets</t>
  </si>
  <si>
    <t>Autocycler</t>
  </si>
  <si>
    <t>Blood-Rush</t>
  </si>
  <si>
    <t>Clearing Plasma</t>
  </si>
  <si>
    <t>Heavy Munitions</t>
  </si>
  <si>
    <t>Heaven's Fury</t>
  </si>
  <si>
    <t>Globulous Siphon</t>
  </si>
  <si>
    <t>Nutrition Sampler</t>
  </si>
  <si>
    <t>Battery Recursion</t>
  </si>
  <si>
    <t>Miniaturized Warp Core</t>
  </si>
  <si>
    <t>Hearth &amp; Home</t>
  </si>
  <si>
    <t>Illegal Pocket Grenade</t>
  </si>
  <si>
    <t>Heavy Support</t>
  </si>
  <si>
    <t>Ammo Processor</t>
  </si>
  <si>
    <t>Blood, Sweat, Tears</t>
  </si>
  <si>
    <t>For Good Measure</t>
  </si>
  <si>
    <t>Beehive!</t>
  </si>
  <si>
    <t>Biofuel</t>
  </si>
  <si>
    <t>Scorching Detonation</t>
  </si>
  <si>
    <t>Pesticide</t>
  </si>
  <si>
    <t>Mitosis</t>
  </si>
  <si>
    <t>Hot Swap</t>
  </si>
  <si>
    <t>Lucky Bastard</t>
  </si>
  <si>
    <t>Compressed Plate Storage</t>
  </si>
  <si>
    <t>Lagrange Halo</t>
  </si>
  <si>
    <t>Shredify</t>
  </si>
  <si>
    <t>Impact Funnel</t>
  </si>
  <si>
    <t>Rage</t>
  </si>
  <si>
    <t>Laying Cable</t>
  </si>
  <si>
    <t>Payback</t>
  </si>
  <si>
    <t>Internal Combustion</t>
  </si>
  <si>
    <t>Live Wire</t>
  </si>
  <si>
    <t>Overclock</t>
  </si>
  <si>
    <t>Blink</t>
  </si>
  <si>
    <t>Double Dash</t>
  </si>
  <si>
    <t>Hard-Light Prison</t>
  </si>
  <si>
    <t>Eye in the Sky</t>
  </si>
  <si>
    <t>Clearing Charge</t>
  </si>
  <si>
    <t>Shock Recursion</t>
  </si>
  <si>
    <t>Pummeler</t>
  </si>
  <si>
    <t>Munition Siphon</t>
  </si>
  <si>
    <t>Voltaic Battery</t>
  </si>
  <si>
    <t>Volatile Munitions</t>
  </si>
  <si>
    <t>Damage Arc</t>
  </si>
  <si>
    <t>Missile Bay</t>
  </si>
  <si>
    <t>Thrill of the Fight</t>
  </si>
  <si>
    <t>Pressure Cooker</t>
  </si>
  <si>
    <t>Super Magnet</t>
  </si>
  <si>
    <t>Micro Detonators</t>
  </si>
  <si>
    <t>Slipspace Bullet Transfer</t>
  </si>
  <si>
    <t>Gambler's Bargain</t>
  </si>
  <si>
    <t>Cloud Skip</t>
  </si>
  <si>
    <t>Defensive Spurt</t>
  </si>
  <si>
    <t>Core Repurposing</t>
  </si>
  <si>
    <t>Eyes Up Here</t>
  </si>
  <si>
    <t>Hold the Line</t>
  </si>
  <si>
    <t>Jungle Jim</t>
  </si>
  <si>
    <t>Eye On You</t>
  </si>
  <si>
    <t>Violent Ignition</t>
  </si>
  <si>
    <t>Delicious Cores</t>
  </si>
  <si>
    <t>Crop Duster</t>
  </si>
  <si>
    <t>Demonstrator's Trick</t>
  </si>
  <si>
    <t>Double Action</t>
  </si>
  <si>
    <t>Fencing Construction</t>
  </si>
  <si>
    <t>Tinderbox</t>
  </si>
  <si>
    <t>Acid Shot</t>
  </si>
  <si>
    <t>Full Spectrum</t>
  </si>
  <si>
    <t>Big Deflector</t>
  </si>
  <si>
    <t>Black Market Battery</t>
  </si>
  <si>
    <t>Inertia Accelerant</t>
  </si>
  <si>
    <t>Give and Take</t>
  </si>
  <si>
    <t>Electromagnet</t>
  </si>
  <si>
    <t>Deteriorate</t>
  </si>
  <si>
    <t>Handspring</t>
  </si>
  <si>
    <t>Lightning Dive</t>
  </si>
  <si>
    <t>On the Go</t>
  </si>
  <si>
    <t>M.I.R.V.</t>
  </si>
  <si>
    <t>Cycling Repairs</t>
  </si>
  <si>
    <t>Fire In My Heart</t>
  </si>
  <si>
    <t>Cross Pollination</t>
  </si>
  <si>
    <t>Engineering Nanites</t>
  </si>
  <si>
    <t>Feeling Lucky</t>
  </si>
  <si>
    <t>Becall</t>
  </si>
  <si>
    <t>Purple Prism</t>
  </si>
  <si>
    <t>Corrosive Reaction</t>
  </si>
  <si>
    <t>Glob Balloons</t>
  </si>
  <si>
    <t>Blood Lightning</t>
  </si>
  <si>
    <t>Crescendo</t>
  </si>
  <si>
    <t>Oxythane's Promise</t>
  </si>
  <si>
    <t>Heat Sink</t>
  </si>
  <si>
    <t>Emergency Evac</t>
  </si>
  <si>
    <t>Exothermic Reaction</t>
  </si>
  <si>
    <t>Elemental Regeneration</t>
  </si>
  <si>
    <t>Through Hell</t>
  </si>
  <si>
    <t>Optical Attraction</t>
  </si>
  <si>
    <t>Stream Jets</t>
  </si>
  <si>
    <t>Course Correction</t>
  </si>
  <si>
    <t>Dump Charge</t>
  </si>
  <si>
    <t>Friction Compensators</t>
  </si>
  <si>
    <t>Migration</t>
  </si>
  <si>
    <t>Hazard Recycling</t>
  </si>
  <si>
    <t>Juiced Up</t>
  </si>
  <si>
    <t>Charge Recycling</t>
  </si>
  <si>
    <t>Ballistic Charger</t>
  </si>
  <si>
    <t>Cross-Deck</t>
  </si>
  <si>
    <t>Pocket Replication</t>
  </si>
  <si>
    <t>Bloody Jumping</t>
  </si>
  <si>
    <t>Extra Capacitors</t>
  </si>
  <si>
    <t>Remote Charging</t>
  </si>
  <si>
    <t>Impact Cascade</t>
  </si>
  <si>
    <t>Excited Plasma</t>
  </si>
  <si>
    <t>Gas Puddle</t>
  </si>
  <si>
    <t>Focus Prism</t>
  </si>
  <si>
    <t>Dash Immunity</t>
  </si>
  <si>
    <t>Comet Splash</t>
  </si>
  <si>
    <t>Dynamite Deployment</t>
  </si>
  <si>
    <t>From Down Town</t>
  </si>
  <si>
    <t>Equipment Siphon</t>
  </si>
  <si>
    <t>Molotov</t>
  </si>
  <si>
    <t>Overload Contingency</t>
  </si>
  <si>
    <t>Overcharge Cycling</t>
  </si>
  <si>
    <t>Modded Auto</t>
  </si>
  <si>
    <t>High Ground</t>
  </si>
  <si>
    <t>Elemental Munitions</t>
  </si>
  <si>
    <t>Fire in the Hold</t>
  </si>
  <si>
    <t>Slipper Shoes</t>
  </si>
  <si>
    <t>Heavy Pockets</t>
  </si>
  <si>
    <t>Fester</t>
  </si>
  <si>
    <t>Requeening</t>
  </si>
  <si>
    <t>Maniac Maneuver</t>
  </si>
  <si>
    <t>Launch Charge</t>
  </si>
  <si>
    <t>Lightspeed Material Transfer</t>
  </si>
  <si>
    <t>Frantic Greed</t>
  </si>
  <si>
    <t>Double Lasso</t>
  </si>
  <si>
    <t>Domed</t>
  </si>
  <si>
    <t>Elemental Overheat</t>
  </si>
  <si>
    <t>Fuel Injection</t>
  </si>
  <si>
    <t>Extralight Frame</t>
  </si>
  <si>
    <t>Opening Charge</t>
  </si>
  <si>
    <t>Portable Solar Array</t>
  </si>
  <si>
    <t>Photon Surge</t>
  </si>
  <si>
    <t>Outlaw</t>
  </si>
  <si>
    <t>Improvised Explosives</t>
  </si>
  <si>
    <t>Firmly Planted</t>
  </si>
  <si>
    <t>Fire Shot</t>
  </si>
  <si>
    <t>Triagon</t>
  </si>
  <si>
    <t>Overheat System</t>
  </si>
  <si>
    <t>Gearshift</t>
  </si>
  <si>
    <t>Ruptured Spleen</t>
  </si>
  <si>
    <t>Two's Company</t>
  </si>
  <si>
    <t>Livelier</t>
  </si>
  <si>
    <t>Sloth's Day Out</t>
  </si>
  <si>
    <t>Grenade Recycling</t>
  </si>
  <si>
    <t>Dynamite on a String</t>
  </si>
  <si>
    <t>Hard-Light Coating</t>
  </si>
  <si>
    <t>Frantic Mechanism</t>
  </si>
  <si>
    <t>Heat Exchange</t>
  </si>
  <si>
    <t>Intense Reaction</t>
  </si>
  <si>
    <t>Power Ricochet</t>
  </si>
  <si>
    <t>Power Redistribution</t>
  </si>
  <si>
    <t>Two Way Charging</t>
  </si>
  <si>
    <t>Ralph's Conundrum</t>
  </si>
  <si>
    <t>Impulse Redirection</t>
  </si>
  <si>
    <t>Frantic Fingers</t>
  </si>
  <si>
    <t>Hornet Hunting</t>
  </si>
  <si>
    <t>Volatile Element</t>
  </si>
  <si>
    <t>Repairing Exhaust</t>
  </si>
  <si>
    <t>Killing Field</t>
  </si>
  <si>
    <t>Sweet Heavens</t>
  </si>
  <si>
    <t>Violent Reaction</t>
  </si>
  <si>
    <t>Shock Funnel</t>
  </si>
  <si>
    <t>Vacuum Tube</t>
  </si>
  <si>
    <t>Inertial Conductors</t>
  </si>
  <si>
    <t>Gust</t>
  </si>
  <si>
    <t>Nose Bounce</t>
  </si>
  <si>
    <t>Fueling Station</t>
  </si>
  <si>
    <t>Kernel Rerouter</t>
  </si>
  <si>
    <t>Mass Acceleration</t>
  </si>
  <si>
    <t>Reactive Coating</t>
  </si>
  <si>
    <t>Remote Control</t>
  </si>
  <si>
    <t>Assist Charge</t>
  </si>
  <si>
    <t>Residue</t>
  </si>
  <si>
    <t>Painter's Attachment</t>
  </si>
  <si>
    <t>Gunship</t>
  </si>
  <si>
    <t>Plunder</t>
  </si>
  <si>
    <t>Auto-Replicator</t>
  </si>
  <si>
    <t>Sharing Lunch</t>
  </si>
  <si>
    <t>Ready and Waiting</t>
  </si>
  <si>
    <t>The Royal Jelly of Hazaran</t>
  </si>
  <si>
    <t>Cheap Material</t>
  </si>
  <si>
    <t>Thunder Pressure</t>
  </si>
  <si>
    <t>Gas Valves</t>
  </si>
  <si>
    <t>Kinetic Effect</t>
  </si>
  <si>
    <t>Hold Onto Your Hats</t>
  </si>
  <si>
    <t>Splash Zone</t>
  </si>
  <si>
    <t>Fulmination Core</t>
  </si>
  <si>
    <t>Knee Slide</t>
  </si>
  <si>
    <t>Momentum Overload</t>
  </si>
  <si>
    <t>Shell Packer</t>
  </si>
  <si>
    <t>Scatterburst</t>
  </si>
  <si>
    <t>Coronal Ejection</t>
  </si>
  <si>
    <t>Ride the High</t>
  </si>
  <si>
    <t>Salad Plates</t>
  </si>
  <si>
    <t>Hull Piercer</t>
  </si>
  <si>
    <t>Rot Advantage</t>
  </si>
  <si>
    <t>Flash Flood</t>
  </si>
  <si>
    <t>Shocking Adrenaline</t>
  </si>
  <si>
    <t>Storm's Eye</t>
  </si>
  <si>
    <t>Three-In-One</t>
  </si>
  <si>
    <t>Home Brew Combustion</t>
  </si>
  <si>
    <t>Higher Voltage</t>
  </si>
  <si>
    <t>Glub Glub</t>
  </si>
  <si>
    <t>Scrap Repurposing</t>
  </si>
  <si>
    <t>Momentum Transfer</t>
  </si>
  <si>
    <t>To Dust</t>
  </si>
  <si>
    <t>Parallel Wiring</t>
  </si>
  <si>
    <t>Nanite Return</t>
  </si>
  <si>
    <t>Overload Siphon</t>
  </si>
  <si>
    <t>Battery Regeneration</t>
  </si>
  <si>
    <t>Smart Charge</t>
  </si>
  <si>
    <t>Superheat Reaction</t>
  </si>
  <si>
    <t>Stand the Heat</t>
  </si>
  <si>
    <t>The Hive Must Grow</t>
  </si>
  <si>
    <t>Corrosive Laser</t>
  </si>
  <si>
    <t>Self Storage</t>
  </si>
  <si>
    <t>Power Siphon</t>
  </si>
  <si>
    <t>Shockwave</t>
  </si>
  <si>
    <t>Point Demolition</t>
  </si>
  <si>
    <t>Tailwind</t>
  </si>
  <si>
    <t>Forceful Expulsion</t>
  </si>
  <si>
    <t>Slippery Blood</t>
  </si>
  <si>
    <t>Subway</t>
  </si>
  <si>
    <t>Unstable Recursion</t>
  </si>
  <si>
    <t>Hot Boxing</t>
  </si>
  <si>
    <t>Overclocked Effect</t>
  </si>
  <si>
    <t>Marathon</t>
  </si>
  <si>
    <t>Greased Mixture</t>
  </si>
  <si>
    <t>Slide Deflector</t>
  </si>
  <si>
    <t>One-Liner</t>
  </si>
  <si>
    <t>Unconditional Protector</t>
  </si>
  <si>
    <t>Saxonite Power Cell</t>
  </si>
  <si>
    <t>Quickfire</t>
  </si>
  <si>
    <t>Toxin Recycling</t>
  </si>
  <si>
    <t>Double Barrel</t>
  </si>
  <si>
    <t>Wait Charging</t>
  </si>
  <si>
    <t>Exhaust Cycling</t>
  </si>
  <si>
    <t>Hard-Light Bypass</t>
  </si>
  <si>
    <t>Adrenaline Rush</t>
  </si>
  <si>
    <t>Storage Surplus</t>
  </si>
  <si>
    <t>Toxin Repurposing</t>
  </si>
  <si>
    <t>Safety "Regulations"</t>
  </si>
  <si>
    <t>Tread the Line</t>
  </si>
  <si>
    <t>Charge Shield</t>
  </si>
  <si>
    <t>Globulous Excitement</t>
  </si>
  <si>
    <t>Shield Charge</t>
  </si>
  <si>
    <t>Blood Coating</t>
  </si>
  <si>
    <t>Centripetal Cornering</t>
  </si>
  <si>
    <t>Wasp Gun</t>
  </si>
  <si>
    <t>Charged Cartridges</t>
  </si>
  <si>
    <t>Electrified Energy</t>
  </si>
  <si>
    <t>Napalm</t>
  </si>
  <si>
    <t>Phase Housing</t>
  </si>
  <si>
    <t>Odd Cocktail</t>
  </si>
  <si>
    <t>Condensed Ejection</t>
  </si>
  <si>
    <t>Plasma Bullets</t>
  </si>
  <si>
    <t>Software Assisted Slide</t>
  </si>
  <si>
    <t>Powder Player</t>
  </si>
  <si>
    <t>Backboost</t>
  </si>
  <si>
    <t>Scrap Funnel</t>
  </si>
  <si>
    <t>Corrosive Plasma</t>
  </si>
  <si>
    <t>Reserve Material</t>
  </si>
  <si>
    <t>Corrosive Energy</t>
  </si>
  <si>
    <t>Double Time</t>
  </si>
  <si>
    <t>Atmospheric Energizers</t>
  </si>
  <si>
    <t>Decay Energy</t>
  </si>
  <si>
    <t>Heavy Hitting</t>
  </si>
  <si>
    <t>Burning Tips</t>
  </si>
  <si>
    <t>Aerodynamic Plates</t>
  </si>
  <si>
    <t>Double Shot</t>
  </si>
  <si>
    <t>Unarmored</t>
  </si>
  <si>
    <t>Bottom Heavy</t>
  </si>
  <si>
    <t>Glorb</t>
  </si>
  <si>
    <t>Blood Rampage</t>
  </si>
  <si>
    <t>Elemental Discharge</t>
  </si>
  <si>
    <t>Compressor</t>
  </si>
  <si>
    <t>Discharge</t>
  </si>
  <si>
    <t>Awaken The Hive</t>
  </si>
  <si>
    <t>Energy Convergence</t>
  </si>
  <si>
    <t>Restoration Protocol</t>
  </si>
  <si>
    <t>Static Charge</t>
  </si>
  <si>
    <t>Polymer Coating</t>
  </si>
  <si>
    <t>Full Range</t>
  </si>
  <si>
    <t>Third Arm</t>
  </si>
  <si>
    <t>Pseudo Science</t>
  </si>
  <si>
    <t>Blast Chamber</t>
  </si>
  <si>
    <t>Heated Battery</t>
  </si>
  <si>
    <t>Upset Stomach</t>
  </si>
  <si>
    <t>Overheated Battery</t>
  </si>
  <si>
    <t>Star Fuel</t>
  </si>
  <si>
    <t>Overclocked Firing Mechanism</t>
  </si>
  <si>
    <t>Focus Spread</t>
  </si>
  <si>
    <t>Autoswarm</t>
  </si>
  <si>
    <t>Incendiary Laser</t>
  </si>
  <si>
    <t>Rocket Burst</t>
  </si>
  <si>
    <t>Chemical Symbiosis</t>
  </si>
  <si>
    <t>Auto-Demolition</t>
  </si>
  <si>
    <t>Blue Prism</t>
  </si>
  <si>
    <t>Smart Slide</t>
  </si>
  <si>
    <t>Broadside</t>
  </si>
  <si>
    <t>Slide Tracking</t>
  </si>
  <si>
    <t>Gunpowder Packing</t>
  </si>
  <si>
    <t>Corrosive Coating</t>
  </si>
  <si>
    <t>Adrenaline Reload</t>
  </si>
  <si>
    <t>Fisticuffs</t>
  </si>
  <si>
    <t>Feedback Loop</t>
  </si>
  <si>
    <t>Volatile Explosives</t>
  </si>
  <si>
    <t>Bigazine</t>
  </si>
  <si>
    <t>Stun</t>
  </si>
  <si>
    <t>Saxonite Coating</t>
  </si>
  <si>
    <t>Acid Affinity</t>
  </si>
  <si>
    <t>Bulging Cartridge</t>
  </si>
  <si>
    <t>Second WInd</t>
  </si>
  <si>
    <t>DoubleCartridge</t>
  </si>
  <si>
    <t>Bruise Protection</t>
  </si>
  <si>
    <t>Wrecking Ball</t>
  </si>
  <si>
    <t>Compact Cartridge</t>
  </si>
  <si>
    <t>Thermal Vent Override</t>
  </si>
  <si>
    <t>AdvanedMagazine</t>
  </si>
  <si>
    <t>Ghosting</t>
  </si>
  <si>
    <t>Doublestack Cartridge</t>
  </si>
  <si>
    <t>Blitz Planting</t>
  </si>
  <si>
    <t>Slim Bullets</t>
  </si>
  <si>
    <t>Kinetic Impossibility</t>
  </si>
  <si>
    <t>Controlled Substance</t>
  </si>
  <si>
    <t>Focused Lenses</t>
  </si>
  <si>
    <t>Bouncy Plates</t>
  </si>
  <si>
    <t>Aerodynamic Bullets</t>
  </si>
  <si>
    <t>Adaptive Stabilizers</t>
  </si>
  <si>
    <t>Compatible Ammunition</t>
  </si>
  <si>
    <t>Heavy Globs</t>
  </si>
  <si>
    <t>Precision Fire</t>
  </si>
  <si>
    <t>Greedy Fuck</t>
  </si>
  <si>
    <t>Flurrying Configuration</t>
  </si>
  <si>
    <t>Full-Auto Trigger</t>
  </si>
  <si>
    <t>Ricochet</t>
  </si>
  <si>
    <t>Welding Heat</t>
  </si>
  <si>
    <t>System Overload</t>
  </si>
  <si>
    <t>Stability Module</t>
  </si>
  <si>
    <t>Universal Solvent</t>
  </si>
  <si>
    <t>Boost Buffer</t>
  </si>
  <si>
    <t>Ammo Continuity</t>
  </si>
  <si>
    <t>Edge Fault</t>
  </si>
  <si>
    <t>Improved Refueling</t>
  </si>
  <si>
    <t>Aft Thrusters</t>
  </si>
  <si>
    <t>Battery Siphon</t>
  </si>
  <si>
    <t>Heavy</t>
  </si>
  <si>
    <t>Electrified Pellets</t>
  </si>
  <si>
    <t>Power Core</t>
  </si>
  <si>
    <t>Delirium</t>
  </si>
  <si>
    <t>Multiversal Thievery</t>
  </si>
  <si>
    <t>Decay Plates</t>
  </si>
  <si>
    <t>Hard Ricochet</t>
  </si>
  <si>
    <t>Energy Condenser</t>
  </si>
  <si>
    <t>Improve Replication</t>
  </si>
  <si>
    <t>Boundary Incursion</t>
  </si>
  <si>
    <t>Ignition Recharge</t>
  </si>
  <si>
    <t>Forward Charge</t>
  </si>
  <si>
    <t>Hair Trigger</t>
  </si>
  <si>
    <t>Fire Gel</t>
  </si>
  <si>
    <t>Engorge</t>
  </si>
  <si>
    <t>Base Coating</t>
  </si>
  <si>
    <t>Brittle Battery</t>
  </si>
  <si>
    <t>Charge Thief</t>
  </si>
  <si>
    <t>Killcode</t>
  </si>
  <si>
    <t>Burst Release</t>
  </si>
  <si>
    <t>Charge Rerouting</t>
  </si>
  <si>
    <t>Hot Potato</t>
  </si>
  <si>
    <t>High Caliber Pellets</t>
  </si>
  <si>
    <t>Rapid Charge</t>
  </si>
  <si>
    <t>Fan Fire</t>
  </si>
  <si>
    <t>Electrified Plates</t>
  </si>
  <si>
    <t>Higher Caliber</t>
  </si>
  <si>
    <t>Gunner's Precision</t>
  </si>
  <si>
    <t>Instant Detonation</t>
  </si>
  <si>
    <t>Rush</t>
  </si>
  <si>
    <t>Fwoosh</t>
  </si>
  <si>
    <t>Honey Sweet</t>
  </si>
  <si>
    <t>Heated Charge</t>
  </si>
  <si>
    <t>Fastball</t>
  </si>
  <si>
    <t>Cooling System</t>
  </si>
  <si>
    <t>Elemental Health</t>
  </si>
  <si>
    <t>Dust Kick</t>
  </si>
  <si>
    <t>Knee-Dive</t>
  </si>
  <si>
    <t>Coil Springs</t>
  </si>
  <si>
    <t>Elemental Tips</t>
  </si>
  <si>
    <t>Hot Reload</t>
  </si>
  <si>
    <t>Over Extended</t>
  </si>
  <si>
    <t>Shocking Laser</t>
  </si>
  <si>
    <t>Fresh Bullet Frenzy</t>
  </si>
  <si>
    <t>Nice Catch</t>
  </si>
  <si>
    <t>Hold-Plating</t>
  </si>
  <si>
    <t>Gunpowder Finale</t>
  </si>
  <si>
    <t>Replicator Resistance</t>
  </si>
  <si>
    <t>Swinging Technique</t>
  </si>
  <si>
    <t>FBoost</t>
  </si>
  <si>
    <t>Half Cocked</t>
  </si>
  <si>
    <t>Momentum Impact</t>
  </si>
  <si>
    <t>Large Ignition</t>
  </si>
  <si>
    <t>Insulated Gloves</t>
  </si>
  <si>
    <t>Overcharge</t>
  </si>
  <si>
    <t>Fire Affinity</t>
  </si>
  <si>
    <t>Flamethrower</t>
  </si>
  <si>
    <t>Extra Rope</t>
  </si>
  <si>
    <t>Launch Reserves</t>
  </si>
  <si>
    <t>Deliberate Mistake</t>
  </si>
  <si>
    <t>BulletCharge</t>
  </si>
  <si>
    <t>Energy Injection</t>
  </si>
  <si>
    <t>Delicious Core</t>
  </si>
  <si>
    <t>Simplest Solution</t>
  </si>
  <si>
    <t>Quick Grouping</t>
  </si>
  <si>
    <t>Shredder</t>
  </si>
  <si>
    <t>Ignite Speed</t>
  </si>
  <si>
    <t>High Caliber</t>
  </si>
  <si>
    <t>Pole Alignment</t>
  </si>
  <si>
    <t>Industrial Feed Mechanism</t>
  </si>
  <si>
    <t>Increased Load</t>
  </si>
  <si>
    <t>The Glob</t>
  </si>
  <si>
    <t>Additional Ram Stick</t>
  </si>
  <si>
    <t>Notched Breakpoint</t>
  </si>
  <si>
    <t>ChargeLob</t>
  </si>
  <si>
    <t>Number 5, To Go</t>
  </si>
  <si>
    <t>In for a Penny</t>
  </si>
  <si>
    <t>ShockDef</t>
  </si>
  <si>
    <t>Polished Chassis</t>
  </si>
  <si>
    <t>Hometown Hero</t>
  </si>
  <si>
    <t>Power Bounce</t>
  </si>
  <si>
    <t>Liquid Cooling</t>
  </si>
  <si>
    <t>Feedback Relay</t>
  </si>
  <si>
    <t>High-Velocity Targeting</t>
  </si>
  <si>
    <t>Core Overheat</t>
  </si>
  <si>
    <t>Slam Fire</t>
  </si>
  <si>
    <t>StackBullets</t>
  </si>
  <si>
    <t>Quick Release</t>
  </si>
  <si>
    <t>Sturdy</t>
  </si>
  <si>
    <t>Home Cooking</t>
  </si>
  <si>
    <t>ImmolatorAmmoRefill</t>
  </si>
  <si>
    <t>Power Recall</t>
  </si>
  <si>
    <t>Overclocked Firing Chamber</t>
  </si>
  <si>
    <t>Twins</t>
  </si>
  <si>
    <t>Lone Cannoneer</t>
  </si>
  <si>
    <t>Volatile Acid</t>
  </si>
  <si>
    <t>Blade Extenders</t>
  </si>
  <si>
    <t>Railshot</t>
  </si>
  <si>
    <t>Tight Spread</t>
  </si>
  <si>
    <t>Queen's Cannons</t>
  </si>
  <si>
    <t>In for a Penny, In for a Pound</t>
  </si>
  <si>
    <t>Punch Punch</t>
  </si>
  <si>
    <t>Hornet Interference</t>
  </si>
  <si>
    <t>One for All</t>
  </si>
  <si>
    <t>Ideal Conditions</t>
  </si>
  <si>
    <t>Hover Precision</t>
  </si>
  <si>
    <t>Slideshot</t>
  </si>
  <si>
    <t>FastIgnitedReload</t>
  </si>
  <si>
    <t>Sprinkler</t>
  </si>
  <si>
    <t>Tainted Exhaust</t>
  </si>
  <si>
    <t>Just Add More Gunpowder</t>
  </si>
  <si>
    <t>ReloadMag</t>
  </si>
  <si>
    <t>Rail Tuning</t>
  </si>
  <si>
    <t>Sawed Off</t>
  </si>
  <si>
    <t>Spyglass</t>
  </si>
  <si>
    <t>Rapid Fire</t>
  </si>
  <si>
    <t>Globblin</t>
  </si>
  <si>
    <t>Blood Bucket</t>
  </si>
  <si>
    <t>Skewer</t>
  </si>
  <si>
    <t>Quick Reset</t>
  </si>
  <si>
    <t>Grenade Belt</t>
  </si>
  <si>
    <t>Wild Fire</t>
  </si>
  <si>
    <t>Reinforced Plating</t>
  </si>
  <si>
    <t>Mag Extender</t>
  </si>
  <si>
    <t>Quick Knot</t>
  </si>
  <si>
    <t>Magazine Extender</t>
  </si>
  <si>
    <t>Springboard</t>
  </si>
  <si>
    <t>Impulse Vault</t>
  </si>
  <si>
    <t>Melting Point</t>
  </si>
  <si>
    <t>Lateral Thrusters</t>
  </si>
  <si>
    <t>Internal Heaters</t>
  </si>
  <si>
    <t>Reinforced Coating</t>
  </si>
  <si>
    <t>Reinforced Shells</t>
  </si>
  <si>
    <t>Static Reload</t>
  </si>
  <si>
    <t>Trifecta</t>
  </si>
  <si>
    <t>Stable Grip</t>
  </si>
  <si>
    <t>Lucky Last</t>
  </si>
  <si>
    <t>Shish Kebab</t>
  </si>
  <si>
    <t>Thumper</t>
  </si>
  <si>
    <t>Steadier Aim</t>
  </si>
  <si>
    <t>Squadron</t>
  </si>
  <si>
    <t>Pack Eater</t>
  </si>
  <si>
    <t>Blood Efficiency</t>
  </si>
  <si>
    <t>Steady Aim</t>
  </si>
  <si>
    <t>Splintered Lance</t>
  </si>
  <si>
    <t>Shake The Nest</t>
  </si>
  <si>
    <t>In for a Pound</t>
  </si>
  <si>
    <t>Repair Siphon</t>
  </si>
  <si>
    <t>Rocket Jump</t>
  </si>
  <si>
    <t>Striking Distance</t>
  </si>
  <si>
    <t>Multithread</t>
  </si>
  <si>
    <t>Panic Systems</t>
  </si>
  <si>
    <t>Tool for the Job</t>
  </si>
  <si>
    <t>Triple</t>
  </si>
  <si>
    <t>Practice Makes Perfect</t>
  </si>
  <si>
    <t>Simple Inertia</t>
  </si>
  <si>
    <t>Green Prism</t>
  </si>
  <si>
    <t>Top Deck Storage</t>
  </si>
  <si>
    <t>Shrunken Container</t>
  </si>
  <si>
    <t>Ram Storage</t>
  </si>
  <si>
    <t>Swing Through</t>
  </si>
  <si>
    <t>Shocker</t>
  </si>
  <si>
    <t>Shock Affinity</t>
  </si>
  <si>
    <t>Slingshot</t>
  </si>
  <si>
    <t>With Me</t>
  </si>
  <si>
    <t>Recycled Fuel</t>
  </si>
  <si>
    <t>Pocket Rocket</t>
  </si>
  <si>
    <t>Large Energy Storage</t>
  </si>
  <si>
    <t>Aux Reserves</t>
  </si>
  <si>
    <t>Shrapnel Loading</t>
  </si>
  <si>
    <t>Slap Job</t>
  </si>
  <si>
    <t>Blowback Redirect</t>
  </si>
  <si>
    <t>Ungovernable</t>
  </si>
  <si>
    <t>Safety Warning</t>
  </si>
  <si>
    <t>Auxiliary Chargers</t>
  </si>
  <si>
    <t>Size Them Up</t>
  </si>
  <si>
    <t>Slide Buffer</t>
  </si>
  <si>
    <t>The Ole One-Two</t>
  </si>
  <si>
    <t>With You</t>
  </si>
  <si>
    <t>Solar Panel</t>
  </si>
  <si>
    <t>Point Detonators</t>
  </si>
  <si>
    <t>Precise Targeting</t>
  </si>
  <si>
    <t>Feedback Amplifier</t>
  </si>
  <si>
    <t>Unnatural Focus</t>
  </si>
  <si>
    <t>Tungsten Cube</t>
  </si>
  <si>
    <t>Cargo Storage</t>
  </si>
  <si>
    <t>Cargo Hold</t>
  </si>
  <si>
    <t>Aim For The Liver</t>
  </si>
  <si>
    <t>Coated Coils</t>
  </si>
  <si>
    <t>Energy Cohesion</t>
  </si>
  <si>
    <t>FriendFire</t>
  </si>
  <si>
    <t>Surge Protector</t>
  </si>
  <si>
    <t>Tuck 'n' Roll</t>
  </si>
  <si>
    <t>Grenade Siphon</t>
  </si>
  <si>
    <t>Dive Interrupt</t>
  </si>
  <si>
    <t>Spare Cable</t>
  </si>
  <si>
    <t>Proprietary Packing Algorithm</t>
  </si>
  <si>
    <t>AirSpawn</t>
  </si>
  <si>
    <t>Rapid Pollination</t>
  </si>
  <si>
    <t>Repair Module</t>
  </si>
  <si>
    <t>Long Scope</t>
  </si>
  <si>
    <t>Bandolier</t>
  </si>
  <si>
    <t>Weight Rebalanced</t>
  </si>
  <si>
    <t>SwarmRun</t>
  </si>
  <si>
    <t>Drag Caps</t>
  </si>
  <si>
    <t>Compressed Ammunition</t>
  </si>
  <si>
    <t>MeleeSiphon</t>
  </si>
  <si>
    <t>Coil Extension</t>
  </si>
  <si>
    <t>Flash Charge</t>
  </si>
  <si>
    <t>HealPull</t>
  </si>
  <si>
    <t>Acid Resistance</t>
  </si>
  <si>
    <t>SpeedyReload</t>
  </si>
  <si>
    <t>Unchained</t>
  </si>
  <si>
    <t>Force Projection</t>
  </si>
  <si>
    <t>Stolen Nanites</t>
  </si>
  <si>
    <t>Weight Reduction</t>
  </si>
  <si>
    <t>Magazine Prism</t>
  </si>
  <si>
    <t>Swarm Reserves</t>
  </si>
  <si>
    <t>Quickswap Cartridge</t>
  </si>
  <si>
    <t>HoverDamage</t>
  </si>
  <si>
    <t>Breathe Deep</t>
  </si>
  <si>
    <t>Double A</t>
  </si>
  <si>
    <t>Magnetic Loader</t>
  </si>
  <si>
    <t>AutoLoader</t>
  </si>
  <si>
    <t>Discount Marksman</t>
  </si>
  <si>
    <t>Gladiator's Pockets</t>
  </si>
  <si>
    <t>AutoSwarm</t>
  </si>
  <si>
    <t>Kinetic Optimization</t>
  </si>
  <si>
    <t>Fire Resistance</t>
  </si>
  <si>
    <t>FireMSpeed</t>
  </si>
  <si>
    <t>Deadeye</t>
  </si>
  <si>
    <t>Force Redistribution</t>
  </si>
  <si>
    <t>Cooling Vents</t>
  </si>
  <si>
    <t>Electric Pellets</t>
  </si>
  <si>
    <t>Efficient Storage</t>
  </si>
  <si>
    <t>Tight Planting</t>
  </si>
  <si>
    <t>Reorganized Reserves</t>
  </si>
  <si>
    <t>Hallucinated Space</t>
  </si>
  <si>
    <t>SwarmRange</t>
  </si>
  <si>
    <t>Sharper Edges</t>
  </si>
  <si>
    <t>Stabilizers</t>
  </si>
  <si>
    <t>Line'er Up</t>
  </si>
  <si>
    <t>Group</t>
  </si>
  <si>
    <t>Squire Supplier</t>
  </si>
  <si>
    <t>Payload Amplifier</t>
  </si>
  <si>
    <t>SpeedRelease</t>
  </si>
  <si>
    <t>Shock Resistance</t>
  </si>
  <si>
    <t>Landing Roll</t>
  </si>
  <si>
    <t>Frog Legs</t>
  </si>
  <si>
    <t>Sprange</t>
  </si>
  <si>
    <t>Fuel Rations</t>
  </si>
  <si>
    <t>Fuel Reserves</t>
  </si>
  <si>
    <t>ShockReload</t>
  </si>
  <si>
    <t>Kinetic Amplifier</t>
  </si>
  <si>
    <t>Lead Poisoning</t>
  </si>
  <si>
    <t>EfficientAmmo</t>
  </si>
  <si>
    <t>Triple A</t>
  </si>
  <si>
    <t>Shaved Projectiles</t>
  </si>
  <si>
    <t>Structural Survey</t>
  </si>
  <si>
    <t>Leap the Gap</t>
  </si>
  <si>
    <t>QuickFire</t>
  </si>
  <si>
    <t>Get Off Me</t>
  </si>
  <si>
    <t>Pressure Increase</t>
  </si>
  <si>
    <t>Energy Reserves</t>
  </si>
  <si>
    <t>Nanite Breeding</t>
  </si>
  <si>
    <t>SwarmSpread</t>
  </si>
  <si>
    <t>Beam Amplifier</t>
  </si>
  <si>
    <t>Cosmic Microwave</t>
  </si>
  <si>
    <t>Loose Rope</t>
  </si>
  <si>
    <t>Sophisticated Task Manager</t>
  </si>
  <si>
    <t>Tether Battery</t>
  </si>
  <si>
    <t>Rearm Mechanism</t>
  </si>
  <si>
    <t>Pulverizer</t>
  </si>
  <si>
    <t>Fake ID (Biologicals Only)</t>
  </si>
  <si>
    <t>Tumbleweed</t>
  </si>
  <si>
    <t>Thermal Paste</t>
  </si>
  <si>
    <t>Wireless Extenders</t>
  </si>
  <si>
    <t>Streamlined</t>
  </si>
  <si>
    <t>Handheld Pocket Universe</t>
  </si>
  <si>
    <t>Yank Em!</t>
  </si>
  <si>
    <t>Cannonball</t>
  </si>
  <si>
    <t>Explosive Personality</t>
  </si>
  <si>
    <t>Saxonite Shackles</t>
  </si>
  <si>
    <t>Interim Manager</t>
  </si>
  <si>
    <t>Dead or Alive</t>
  </si>
  <si>
    <t>One-Two Punch</t>
  </si>
  <si>
    <t>Vending Machine</t>
  </si>
  <si>
    <t>Gravity Well</t>
  </si>
  <si>
    <t>ArcLightning</t>
  </si>
  <si>
    <t>Tosser</t>
  </si>
  <si>
    <t>Synthetic Adrenaline</t>
  </si>
  <si>
    <t>TosserTwo</t>
  </si>
  <si>
    <t>Laser Repair</t>
  </si>
  <si>
    <t>Elemental Recycling</t>
  </si>
  <si>
    <t>LaserSpeed</t>
  </si>
  <si>
    <t>Energy Regeneration</t>
  </si>
  <si>
    <t>Repair Charge</t>
  </si>
  <si>
    <t>FastLaser</t>
  </si>
  <si>
    <t>Shield Piercing</t>
  </si>
  <si>
    <t>PowerDMR</t>
  </si>
  <si>
    <t>LaserHover</t>
  </si>
  <si>
    <t>Hot Exhaust</t>
  </si>
  <si>
    <t>Burst</t>
  </si>
  <si>
    <t>AuxReserves</t>
  </si>
  <si>
    <t>MoreCharge</t>
  </si>
  <si>
    <t>DMLReload</t>
  </si>
  <si>
    <t>DmrDmg</t>
  </si>
  <si>
    <t>LasDmg</t>
  </si>
  <si>
    <t>PlateReturn</t>
  </si>
  <si>
    <t>Blades</t>
  </si>
  <si>
    <t>MorePlates</t>
  </si>
  <si>
    <t>PlateLightning</t>
  </si>
  <si>
    <t>Beecall</t>
  </si>
  <si>
    <t>ChargeRecycle</t>
  </si>
  <si>
    <t>PlateStand</t>
  </si>
  <si>
    <t>CorrodePuddle</t>
  </si>
  <si>
    <t>AerodynamicPlates</t>
  </si>
  <si>
    <t>AutoRecall</t>
  </si>
  <si>
    <t>CatchDmg</t>
  </si>
  <si>
    <t>RecallSpeed</t>
  </si>
  <si>
    <t>FastPlate</t>
  </si>
  <si>
    <t>Kebab</t>
  </si>
  <si>
    <t>InvFalloff</t>
  </si>
  <si>
    <t>PlateSpread</t>
  </si>
  <si>
    <t>FastFall</t>
  </si>
  <si>
    <t>Mini Thrusters</t>
  </si>
  <si>
    <t>PlateCharge</t>
  </si>
  <si>
    <t>PlateDmg</t>
  </si>
  <si>
    <t>BigassShot</t>
  </si>
  <si>
    <t>KillBurst</t>
  </si>
  <si>
    <t>CoreSplosion</t>
  </si>
  <si>
    <t>LeadCharge</t>
  </si>
  <si>
    <t>JuicedUp</t>
  </si>
  <si>
    <t>JunkAuto</t>
  </si>
  <si>
    <t>Element Switch</t>
  </si>
  <si>
    <t>Junkblast</t>
  </si>
  <si>
    <t>KillHover</t>
  </si>
  <si>
    <t>SelfStorage</t>
  </si>
  <si>
    <t>FireMove</t>
  </si>
  <si>
    <t>Fiery Fire</t>
  </si>
  <si>
    <t>Elemental Funnel</t>
  </si>
  <si>
    <t>LeadRecoil</t>
  </si>
  <si>
    <t>KillDamage</t>
  </si>
  <si>
    <t>Fan Shot</t>
  </si>
  <si>
    <t>ReloadDamage</t>
  </si>
  <si>
    <t>Bullseye</t>
  </si>
  <si>
    <t>DmgChance</t>
  </si>
  <si>
    <t>Gunpowder</t>
  </si>
  <si>
    <t>Scrapshot</t>
  </si>
  <si>
    <t>InstaReload</t>
  </si>
  <si>
    <t>Makeshift Barrel</t>
  </si>
  <si>
    <t>Marksman</t>
  </si>
  <si>
    <t>MagBag</t>
  </si>
  <si>
    <t>Breathe</t>
  </si>
  <si>
    <t>ExtraBullet</t>
  </si>
  <si>
    <t>LeadPoisoning</t>
  </si>
  <si>
    <t>PrismEx</t>
  </si>
  <si>
    <t>Orbital</t>
  </si>
  <si>
    <t>Missiles</t>
  </si>
  <si>
    <t>PrismEp</t>
  </si>
  <si>
    <t>Siphon Missile</t>
  </si>
  <si>
    <t>CompReload</t>
  </si>
  <si>
    <t>OneShot</t>
  </si>
  <si>
    <t>Safety Regulations</t>
  </si>
  <si>
    <t>GlassGun</t>
  </si>
  <si>
    <t>PrismR</t>
  </si>
  <si>
    <t>TightenSpread</t>
  </si>
  <si>
    <t>Double Bounce</t>
  </si>
  <si>
    <t>Slowfire Explosions</t>
  </si>
  <si>
    <t>FiringResist</t>
  </si>
  <si>
    <t>Power Fire</t>
  </si>
  <si>
    <t>GunBurst</t>
  </si>
  <si>
    <t>PrismS</t>
  </si>
  <si>
    <t>GunRec</t>
  </si>
  <si>
    <t>GunAmmo</t>
  </si>
  <si>
    <t>DragCaps</t>
  </si>
  <si>
    <t>ReSpeed</t>
  </si>
  <si>
    <t>WetReload</t>
  </si>
  <si>
    <t>Smite</t>
  </si>
  <si>
    <t>SpinShot</t>
  </si>
  <si>
    <t>MaxAbility</t>
  </si>
  <si>
    <t>Corrosive Rounds</t>
  </si>
  <si>
    <t>AcidSatDamage</t>
  </si>
  <si>
    <t>KillSlide</t>
  </si>
  <si>
    <t>HeatFire</t>
  </si>
  <si>
    <t>Incendiary Rounds</t>
  </si>
  <si>
    <t>HornetFast</t>
  </si>
  <si>
    <t>CoreRefund</t>
  </si>
  <si>
    <t>CorrodedDmg</t>
  </si>
  <si>
    <t>Lightspeed</t>
  </si>
  <si>
    <t>DmgRecoil</t>
  </si>
  <si>
    <t>BottomHeavy</t>
  </si>
  <si>
    <t>TallShotgun</t>
  </si>
  <si>
    <t>KillRefund</t>
  </si>
  <si>
    <t>Energy Cycler</t>
  </si>
  <si>
    <t>Precision</t>
  </si>
  <si>
    <t>LastDmg</t>
  </si>
  <si>
    <t>CompressRounds</t>
  </si>
  <si>
    <t>Compact Precision</t>
  </si>
  <si>
    <t>Aimer</t>
  </si>
  <si>
    <t>Quad</t>
  </si>
  <si>
    <t>BigAmmo</t>
  </si>
  <si>
    <t>Uncontrollable</t>
  </si>
  <si>
    <t>Grocery Bags</t>
  </si>
  <si>
    <t>CompRounds</t>
  </si>
  <si>
    <t>Discount Sniper</t>
  </si>
  <si>
    <t>AimDmg</t>
  </si>
  <si>
    <t>Wavenade</t>
  </si>
  <si>
    <t>GlobSiphon</t>
  </si>
  <si>
    <t>DamageSiphon</t>
  </si>
  <si>
    <t>PressureCooker</t>
  </si>
  <si>
    <t>FullSpectrum</t>
  </si>
  <si>
    <t>GlobPuddle</t>
  </si>
  <si>
    <t>GlobLoad</t>
  </si>
  <si>
    <t>GloblSpeed</t>
  </si>
  <si>
    <t>GlobEffect</t>
  </si>
  <si>
    <t>GlobRate</t>
  </si>
  <si>
    <t>WaveLong</t>
  </si>
  <si>
    <t>FastGlob</t>
  </si>
  <si>
    <t>SwitchDmg</t>
  </si>
  <si>
    <t>GlobForce</t>
  </si>
  <si>
    <t>HeavyGlob</t>
  </si>
  <si>
    <t>GlobAmmo</t>
  </si>
  <si>
    <t>SurfExpl</t>
  </si>
  <si>
    <t>SelfResist</t>
  </si>
  <si>
    <t>UnoGlob</t>
  </si>
  <si>
    <t>SizeWeight</t>
  </si>
  <si>
    <t>Ammo Eater</t>
  </si>
  <si>
    <t>SawShield</t>
  </si>
  <si>
    <t>Nutritious</t>
  </si>
  <si>
    <t>PullGrunts</t>
  </si>
  <si>
    <t>SawShield2</t>
  </si>
  <si>
    <t>BloodShock</t>
  </si>
  <si>
    <t>BloodJump</t>
  </si>
  <si>
    <t>KillHeavyAmmo</t>
  </si>
  <si>
    <t>HealBurst</t>
  </si>
  <si>
    <t>Shared Sustenance</t>
  </si>
  <si>
    <t>CarverShock</t>
  </si>
  <si>
    <t>BloodCharge</t>
  </si>
  <si>
    <t>BloodResist</t>
  </si>
  <si>
    <t>BloodDmg</t>
  </si>
  <si>
    <t>CarverAcid</t>
  </si>
  <si>
    <t>AmmoMan</t>
  </si>
  <si>
    <t>CarverIgnite</t>
  </si>
  <si>
    <t>CGlass</t>
  </si>
  <si>
    <t>LargeArea</t>
  </si>
  <si>
    <t>CarveMag</t>
  </si>
  <si>
    <t>CarveRange</t>
  </si>
  <si>
    <t>BloodMax</t>
  </si>
  <si>
    <t>BloodAmount</t>
  </si>
  <si>
    <t>CarveRes</t>
  </si>
  <si>
    <t>FDamage</t>
  </si>
  <si>
    <t>SmallDmg</t>
  </si>
  <si>
    <t>DrillBoost</t>
  </si>
  <si>
    <t>LayCable</t>
  </si>
  <si>
    <t>BlackBattery</t>
  </si>
  <si>
    <t>MagDamage</t>
  </si>
  <si>
    <t>RangeRecoil</t>
  </si>
  <si>
    <t>DecayLance</t>
  </si>
  <si>
    <t>DrillSiphon</t>
  </si>
  <si>
    <t>LingerDmg</t>
  </si>
  <si>
    <t>PassiveCharge</t>
  </si>
  <si>
    <t>LastSpiral</t>
  </si>
  <si>
    <t>LingerSpeed</t>
  </si>
  <si>
    <t>DrillTurn</t>
  </si>
  <si>
    <t>MeleeBoost</t>
  </si>
  <si>
    <t>ChargeMag</t>
  </si>
  <si>
    <t>ChargeSpeed</t>
  </si>
  <si>
    <t>FireLance</t>
  </si>
  <si>
    <t>ShopVac</t>
  </si>
  <si>
    <t>SprayLance2</t>
  </si>
  <si>
    <t>InvPierce</t>
  </si>
  <si>
    <t>SprayLance</t>
  </si>
  <si>
    <t>DmgStore</t>
  </si>
  <si>
    <t>CoilEffect</t>
  </si>
  <si>
    <t>LanceRange</t>
  </si>
  <si>
    <t>LanceCap</t>
  </si>
  <si>
    <t>LanceLoad</t>
  </si>
  <si>
    <t>LanceMag</t>
  </si>
  <si>
    <t>FireArea</t>
  </si>
  <si>
    <t>Combustion</t>
  </si>
  <si>
    <t>FireGamble</t>
  </si>
  <si>
    <t>Heat Repurposing</t>
  </si>
  <si>
    <t>PunchCharge</t>
  </si>
  <si>
    <t>Wildfire Burn</t>
  </si>
  <si>
    <t>DoubleFire</t>
  </si>
  <si>
    <t>CorrodeSize</t>
  </si>
  <si>
    <t>FireCharge</t>
  </si>
  <si>
    <t>SelfDamage</t>
  </si>
  <si>
    <t>FireMelee</t>
  </si>
  <si>
    <t>FireMatch</t>
  </si>
  <si>
    <t>HealOnThrow</t>
  </si>
  <si>
    <t>Healsplode</t>
  </si>
  <si>
    <t>LessFire</t>
  </si>
  <si>
    <t>FastCharge</t>
  </si>
  <si>
    <t>DownStrike</t>
  </si>
  <si>
    <t>PocketGrenade</t>
  </si>
  <si>
    <t>Livewire</t>
  </si>
  <si>
    <t>AirJump</t>
  </si>
  <si>
    <t>Magnetic</t>
  </si>
  <si>
    <t>CritThrow</t>
  </si>
  <si>
    <t>IgniteExplode</t>
  </si>
  <si>
    <t>Grenade Jump</t>
  </si>
  <si>
    <t>LivewireSpeed</t>
  </si>
  <si>
    <t>ShockPush</t>
  </si>
  <si>
    <t>ShockMatch</t>
  </si>
  <si>
    <t>RechargeRun</t>
  </si>
  <si>
    <t>ShockPierce</t>
  </si>
  <si>
    <t>StaticCharge</t>
  </si>
  <si>
    <t>ForceThrow</t>
  </si>
  <si>
    <t>LessShock</t>
  </si>
  <si>
    <t>Fability</t>
  </si>
  <si>
    <t>OverclockCharge</t>
  </si>
  <si>
    <t>DmgExplode</t>
  </si>
  <si>
    <t>ElectroIgnite</t>
  </si>
  <si>
    <t>EnderPearl</t>
  </si>
  <si>
    <t>StillCharge</t>
  </si>
  <si>
    <t>PullIn</t>
  </si>
  <si>
    <t>Doubleglub</t>
  </si>
  <si>
    <t>MoveCharge</t>
  </si>
  <si>
    <t>ExplodeChance</t>
  </si>
  <si>
    <t>AcidShield</t>
  </si>
  <si>
    <t>AcidMatch</t>
  </si>
  <si>
    <t>LessAcid</t>
  </si>
  <si>
    <t>https://mycopunk.miraheze.org/wiki/Corrode_Siphon_Upgrade</t>
  </si>
  <si>
    <t>https://mycopunk.miraheze.org/wiki/Infinity_Burn_Upgrade</t>
  </si>
  <si>
    <t>https://mycopunk.miraheze.org/wiki/Scorching_Detonation_Upgrade</t>
  </si>
  <si>
    <t>https://mycopunk.miraheze.org/wiki/Shock_Recursion_Upgrade</t>
  </si>
  <si>
    <t>https://mycopunk.miraheze.org/wiki/Violent_Ignition_Upgrade</t>
  </si>
  <si>
    <t>https://mycopunk.miraheze.org/wiki/Cycling_Repairs_Upgrade</t>
  </si>
  <si>
    <t>https://mycopunk.miraheze.org/wiki/Dump_Charge_Upgrade</t>
  </si>
  <si>
    <t>https://mycopunk.miraheze.org/wiki/Equipment_Siphon_Upgrade</t>
  </si>
  <si>
    <t>https://mycopunk.miraheze.org/wiki/Extralight_Frame_Upgrade</t>
  </si>
  <si>
    <t>https://mycopunk.miraheze.org/wiki/Intense_Reaction_Upgrade</t>
  </si>
  <si>
    <t>https://mycopunk.miraheze.org/wiki/Mass_Acceleration_Upgrade</t>
  </si>
  <si>
    <t>HealthCharge</t>
  </si>
  <si>
    <t>EyePopper</t>
  </si>
  <si>
    <t>https://mycopunk.miraheze.org/wiki/Momentum_Overload_Upgrade</t>
  </si>
  <si>
    <t>MeleeJump</t>
  </si>
  <si>
    <t>FireDash</t>
  </si>
  <si>
    <t>ImmuneDash</t>
  </si>
  <si>
    <t>ExplosivePayload</t>
  </si>
  <si>
    <t>https://mycopunk.miraheze.org/wiki/Superheat_Reaction_Upgrade</t>
  </si>
  <si>
    <t>DashSlide</t>
  </si>
  <si>
    <t>MomentConvers</t>
  </si>
  <si>
    <t>OneLiner</t>
  </si>
  <si>
    <t>ExplosiveLaunch</t>
  </si>
  <si>
    <t>LassoSaturate</t>
  </si>
  <si>
    <t>https://mycopunk.miraheze.org/wiki/Toxin_Recycling_Upgrade</t>
  </si>
  <si>
    <t>Second Wind</t>
  </si>
  <si>
    <t>LaunchAmmo</t>
  </si>
  <si>
    <t>ChargeThief</t>
  </si>
  <si>
    <t>SlideJumpUp</t>
  </si>
  <si>
    <t>TouchingRange</t>
  </si>
  <si>
    <t>HeldHealth</t>
  </si>
  <si>
    <t>https://mycopunk.miraheze.org/wiki/Charge_Shield_Upgrade</t>
  </si>
  <si>
    <t>LassoSlide</t>
  </si>
  <si>
    <t>FollowUp</t>
  </si>
  <si>
    <t>SlideJumpForward</t>
  </si>
  <si>
    <t>DashLookDir</t>
  </si>
  <si>
    <t>AimWhileSliding</t>
  </si>
  <si>
    <t>LandingRoll</t>
  </si>
  <si>
    <t>https://mycopunk.miraheze.org/wiki/Charged_Cartridges_Upgrade</t>
  </si>
  <si>
    <t>DashTime</t>
  </si>
  <si>
    <t>SlideReload</t>
  </si>
  <si>
    <t>LassoForce</t>
  </si>
  <si>
    <t>https://mycopunk.miraheze.org/wiki/Condensed_Ejection_Upgrade</t>
  </si>
  <si>
    <t>https://mycopunk.miraheze.org/wiki/Corrosive_Plasma_Upgrade</t>
  </si>
  <si>
    <t>ShieldBlocks</t>
  </si>
  <si>
    <t>DoubleDive</t>
  </si>
  <si>
    <t>ShieldPrison</t>
  </si>
  <si>
    <t>LightningDive</t>
  </si>
  <si>
    <t>BAggro</t>
  </si>
  <si>
    <t>https://mycopunk.miraheze.org/wiki/Decay_Energy_Upgrade</t>
  </si>
  <si>
    <t>BubbleShield</t>
  </si>
  <si>
    <t>ShieldElement</t>
  </si>
  <si>
    <t>NoseBounce</t>
  </si>
  <si>
    <t>NoseDecay</t>
  </si>
  <si>
    <t>ShieldShield</t>
  </si>
  <si>
    <t>https://mycopunk.miraheze.org/wiki/Double_Shot_Upgrade</t>
  </si>
  <si>
    <t>Improved Charging</t>
  </si>
  <si>
    <t>PointSlam</t>
  </si>
  <si>
    <t>LeapRefund</t>
  </si>
  <si>
    <t>Improved Cooling</t>
  </si>
  <si>
    <t>DeathTeamHeal</t>
  </si>
  <si>
    <t>LeapH</t>
  </si>
  <si>
    <t>https://mycopunk.miraheze.org/wiki/Elemental_Discharge_Upgrade</t>
  </si>
  <si>
    <t>DiveCancel</t>
  </si>
  <si>
    <t>ShieldForce</t>
  </si>
  <si>
    <t>LeapForce</t>
  </si>
  <si>
    <t>NoseCooldown</t>
  </si>
  <si>
    <t>https://mycopunk.miraheze.org/wiki/Energy_Convergence_Upgrade</t>
  </si>
  <si>
    <t>Shield Cooldown</t>
  </si>
  <si>
    <t>https://mycopunk.miraheze.org/wiki/Full_Range_Upgrade</t>
  </si>
  <si>
    <t>https://mycopunk.miraheze.org/wiki/Heated_Battery_Upgrade</t>
  </si>
  <si>
    <t>UpsideDown</t>
  </si>
  <si>
    <t>Beenade</t>
  </si>
  <si>
    <t>EyeBall</t>
  </si>
  <si>
    <t>DoublePole</t>
  </si>
  <si>
    <t>On The Go</t>
  </si>
  <si>
    <t>FireJets</t>
  </si>
  <si>
    <t>https://mycopunk.miraheze.org/wiki/Overclocked_Firing_Mechanism_Upgrade</t>
  </si>
  <si>
    <t>PoleExplode</t>
  </si>
  <si>
    <t>ScrapSpeed</t>
  </si>
  <si>
    <t>JetpackRecharge</t>
  </si>
  <si>
    <t>ElementRefund</t>
  </si>
  <si>
    <t>GrappleTimeTouch</t>
  </si>
  <si>
    <t>GravPole</t>
  </si>
  <si>
    <t>BoltBarf</t>
  </si>
  <si>
    <t>WreckingBall</t>
  </si>
  <si>
    <t>JetForward</t>
  </si>
  <si>
    <t>https://mycopunk.miraheze.org/wiki/Rocket_Burst_Upgrade</t>
  </si>
  <si>
    <t>CoilSprings</t>
  </si>
  <si>
    <t>ShockGrapple</t>
  </si>
  <si>
    <t>SafeDuration</t>
  </si>
  <si>
    <t>PoleJumpBoost</t>
  </si>
  <si>
    <t>BeanFuel</t>
  </si>
  <si>
    <t>https://mycopunk.miraheze.org/wiki/Smart_Slide_Upgrade</t>
  </si>
  <si>
    <t>GrappleBattery2</t>
  </si>
  <si>
    <t>GrappleHeal</t>
  </si>
  <si>
    <t>JetCooldown</t>
  </si>
  <si>
    <t>JetForce</t>
  </si>
  <si>
    <t>GrappleBattery</t>
  </si>
  <si>
    <t>WirelessExtenders</t>
  </si>
  <si>
    <t>https://mycopunk.miraheze.org/wiki/Adrenaline_Reload_Upgrade</t>
  </si>
  <si>
    <t>https://mycopunk.miraheze.org/wiki/Bigazine_Upgrade</t>
  </si>
  <si>
    <t>https://mycopunk.miraheze.org/wiki/Bulging_Cartridge_Upgrade</t>
  </si>
  <si>
    <t>DmgFly</t>
  </si>
  <si>
    <t>https://mycopunk.miraheze.org/wiki/Compact_Cartridge_Upgrade</t>
  </si>
  <si>
    <t>DecayBomb</t>
  </si>
  <si>
    <t>RocketBounce</t>
  </si>
  <si>
    <t>MIRV</t>
  </si>
  <si>
    <t>https://mycopunk.miraheze.org/wiki/Doublestack_Cartridge_Upgrade</t>
  </si>
  <si>
    <t>FlyDodge</t>
  </si>
  <si>
    <t>FlyMelee</t>
  </si>
  <si>
    <t>DeadPartFuel</t>
  </si>
  <si>
    <t>https://mycopunk.miraheze.org/wiki/Focused_Lenses_Upgrade</t>
  </si>
  <si>
    <t>HealthSalvo</t>
  </si>
  <si>
    <t>https://mycopunk.miraheze.org/wiki/Precision_Fire_Upgrade</t>
  </si>
  <si>
    <t>GlideSlide</t>
  </si>
  <si>
    <t>HealCharge</t>
  </si>
  <si>
    <t>AmmoSiphon</t>
  </si>
  <si>
    <t>https://mycopunk.miraheze.org/wiki/Ricochet_Upgrade</t>
  </si>
  <si>
    <t>BigFuel</t>
  </si>
  <si>
    <t>IgnitionCharge</t>
  </si>
  <si>
    <t>https://mycopunk.miraheze.org/wiki/Stability_Module_Upgrade</t>
  </si>
  <si>
    <t>ChargeReroute</t>
  </si>
  <si>
    <t>ElementalTips</t>
  </si>
  <si>
    <t>DeadPartHealth</t>
  </si>
  <si>
    <t>AirborneDamage</t>
  </si>
  <si>
    <t>SalvoFall</t>
  </si>
  <si>
    <t>FrontJets</t>
  </si>
  <si>
    <t>ExtraHealSalvo</t>
  </si>
  <si>
    <t>ProprietaryPacking</t>
  </si>
  <si>
    <t>FasterFly</t>
  </si>
  <si>
    <t>SalvoHeal</t>
  </si>
  <si>
    <t>https://mycopunk.miraheze.org/wiki/All_Powdered_Up_Upgrade</t>
  </si>
  <si>
    <t>FastSalvo</t>
  </si>
  <si>
    <t>FastFly</t>
  </si>
  <si>
    <t>https://mycopunk.miraheze.org/wiki/Immolator_Upgrade</t>
  </si>
  <si>
    <t>https://mycopunk.miraheze.org/wiki/Pesticide_Upgrade</t>
  </si>
  <si>
    <t>https://mycopunk.miraheze.org/wiki/Pummeler_Upgrade</t>
  </si>
  <si>
    <t>https://mycopunk.miraheze.org/wiki/Delicious_Cores_Upgrade</t>
  </si>
  <si>
    <t>https://mycopunk.miraheze.org/wiki/Fire_In_My_Heart_Upgrade</t>
  </si>
  <si>
    <t>https://mycopunk.miraheze.org/wiki/Friction_Compensators_Upgrade</t>
  </si>
  <si>
    <t>https://mycopunk.miraheze.org/wiki/Molotov_Upgrade</t>
  </si>
  <si>
    <t>https://mycopunk.miraheze.org/wiki/Opening_Charge_Upgrade</t>
  </si>
  <si>
    <t>https://mycopunk.miraheze.org/wiki/Power_Ricochet_Upgrade</t>
  </si>
  <si>
    <t>https://mycopunk.miraheze.org/wiki/Reactive_Coating_Upgrade</t>
  </si>
  <si>
    <t>https://mycopunk.miraheze.org/wiki/Shell_Packer_Upgrade</t>
  </si>
  <si>
    <t>https://mycopunk.miraheze.org/wiki/Stand_the_Heat_Upgrade</t>
  </si>
  <si>
    <t>https://mycopunk.miraheze.org/wiki/Double_Barrel_Upgrade</t>
  </si>
  <si>
    <r>
      <rPr>
        <rFont val="Arial"/>
        <color theme="1"/>
        <sz val="10.0"/>
      </rPr>
      <t xml:space="preserve">Enemies you </t>
    </r>
    <r>
      <rPr>
        <rFont val="Arial"/>
        <color theme="7"/>
        <sz val="10.0"/>
      </rPr>
      <t>corrode</t>
    </r>
    <r>
      <rPr>
        <rFont val="Arial"/>
        <color theme="1"/>
        <sz val="10.0"/>
      </rPr>
      <t xml:space="preserve"> with any weapon have a chance to return ammo to the magazine over time.</t>
    </r>
  </si>
  <si>
    <t>Gain infinite ammo. Sustained fire damages you according to this gun's element.</t>
  </si>
  <si>
    <t>https://mycopunk.miraheze.org/wiki/Double_Time_Upgrade</t>
  </si>
  <si>
    <r>
      <rPr>
        <rFont val="Arial"/>
        <color theme="1"/>
        <sz val="10.0"/>
      </rPr>
      <t xml:space="preserve">Killing an </t>
    </r>
    <r>
      <rPr>
        <rFont val="Arial"/>
        <color theme="5"/>
        <sz val="10.0"/>
      </rPr>
      <t>ignited</t>
    </r>
    <r>
      <rPr>
        <rFont val="Arial"/>
        <color theme="1"/>
        <sz val="10.0"/>
      </rPr>
      <t xml:space="preserve"> target causes it to explode.</t>
    </r>
  </si>
  <si>
    <r>
      <rPr>
        <rFont val="Arial"/>
        <color theme="4"/>
        <sz val="10.0"/>
      </rPr>
      <t>Electrocuting</t>
    </r>
    <r>
      <rPr>
        <rFont val="Arial"/>
        <color theme="1"/>
        <sz val="10.0"/>
      </rPr>
      <t xml:space="preserve"> a target returns ammo to the magazine.</t>
    </r>
  </si>
  <si>
    <t>https://mycopunk.miraheze.org/wiki/Focus_Spread_Upgrade</t>
  </si>
  <si>
    <r>
      <rPr>
        <rFont val="Arial"/>
        <color theme="5"/>
        <sz val="10.0"/>
      </rPr>
      <t>Igniting</t>
    </r>
    <r>
      <rPr>
        <rFont val="Arial"/>
        <color theme="1"/>
        <sz val="10.0"/>
      </rPr>
      <t xml:space="preserve"> a target applies a +5 </t>
    </r>
    <r>
      <rPr>
        <rFont val="Arial"/>
        <color theme="5"/>
        <sz val="10.0"/>
      </rPr>
      <t>fire</t>
    </r>
    <r>
      <rPr>
        <rFont val="Arial"/>
        <color theme="1"/>
        <sz val="10.0"/>
      </rPr>
      <t xml:space="preserve"> to nearby targets.</t>
    </r>
  </si>
  <si>
    <t>While constantly shooting, every 15th bullet fired will heal you.</t>
  </si>
  <si>
    <t>Hold the trigger to build charge. Upon release, all prepared ammo is fired very quickly.</t>
  </si>
  <si>
    <t>https://mycopunk.miraheze.org/wiki/Ghosting_Upgrade</t>
  </si>
  <si>
    <t>Dealing damage with other gear returns ammo to the magazine. Reload speed is slightly decreased.</t>
  </si>
  <si>
    <t>Fire while sprinting.</t>
  </si>
  <si>
    <t>Increases potency of the applied element. Horizontal spread is greatly increased.</t>
  </si>
  <si>
    <t>Fire rate is increased for each bullet that's loaded into the magazine. Base fire rate is decreased.</t>
  </si>
  <si>
    <r>
      <rPr>
        <rFont val="Arial"/>
        <color theme="4"/>
        <sz val="10.0"/>
      </rPr>
      <t>Electrocuting</t>
    </r>
    <r>
      <rPr>
        <rFont val="Arial"/>
        <color theme="1"/>
        <sz val="10.0"/>
      </rPr>
      <t xml:space="preserve"> a target increases move speed for a short time.</t>
    </r>
  </si>
  <si>
    <t>https://mycopunk.miraheze.org/wiki/Heavy_Upgrade</t>
  </si>
  <si>
    <r>
      <rPr>
        <rFont val="Arial"/>
        <color theme="1"/>
        <sz val="10.0"/>
      </rPr>
      <t xml:space="preserve">Rapidly </t>
    </r>
    <r>
      <rPr>
        <rFont val="Arial"/>
        <color theme="5"/>
        <sz val="10.0"/>
      </rPr>
      <t>igniting</t>
    </r>
    <r>
      <rPr>
        <rFont val="Arial"/>
        <color theme="1"/>
        <sz val="10.0"/>
      </rPr>
      <t xml:space="preserve"> multiple targets increases the amount of </t>
    </r>
    <r>
      <rPr>
        <rFont val="Arial"/>
        <color theme="5"/>
        <sz val="10.0"/>
      </rPr>
      <t>fire</t>
    </r>
    <r>
      <rPr>
        <rFont val="Arial"/>
        <color theme="1"/>
        <sz val="10.0"/>
      </rPr>
      <t xml:space="preserve"> per shot.</t>
    </r>
  </si>
  <si>
    <r>
      <rPr>
        <rFont val="Arial"/>
        <color theme="1"/>
        <sz val="10.0"/>
      </rPr>
      <t xml:space="preserve">Sustained damage increases amount of applied </t>
    </r>
    <r>
      <rPr>
        <rFont val="Arial"/>
        <color theme="7"/>
        <sz val="10.0"/>
      </rPr>
      <t>acid</t>
    </r>
    <r>
      <rPr>
        <rFont val="Arial"/>
        <color theme="1"/>
        <sz val="10.0"/>
      </rPr>
      <t xml:space="preserve"> and damage as well as recoil.</t>
    </r>
  </si>
  <si>
    <t>Take reduced damage while charging. Charge time is increased.</t>
  </si>
  <si>
    <r>
      <rPr>
        <rFont val="Arial"/>
        <color theme="1"/>
        <sz val="10.0"/>
      </rPr>
      <t xml:space="preserve">Bullets apply </t>
    </r>
    <r>
      <rPr>
        <rFont val="Arial"/>
        <color theme="4"/>
        <sz val="10.0"/>
      </rPr>
      <t>shock</t>
    </r>
    <r>
      <rPr>
        <rFont val="Arial"/>
        <color theme="1"/>
        <sz val="10.0"/>
      </rPr>
      <t>.</t>
    </r>
  </si>
  <si>
    <t>Fires slow-moving plasma that deals increased damage.</t>
  </si>
  <si>
    <t>https://mycopunk.miraheze.org/wiki/Hot_Potato_Upgrade</t>
  </si>
  <si>
    <r>
      <rPr>
        <rFont val="Arial"/>
        <color theme="1"/>
        <sz val="10.0"/>
      </rPr>
      <t xml:space="preserve">Bullets apply </t>
    </r>
    <r>
      <rPr>
        <rFont val="Arial"/>
        <color theme="7"/>
        <sz val="10.0"/>
      </rPr>
      <t>acid</t>
    </r>
    <r>
      <rPr>
        <rFont val="Arial"/>
        <color theme="1"/>
        <sz val="10.0"/>
      </rPr>
      <t>.</t>
    </r>
  </si>
  <si>
    <r>
      <rPr>
        <rFont val="Arial"/>
        <color theme="1"/>
        <sz val="10.0"/>
      </rPr>
      <t xml:space="preserve">Bullets apply </t>
    </r>
    <r>
      <rPr>
        <rFont val="Arial"/>
        <color rgb="FF9900FF"/>
        <sz val="10.0"/>
      </rPr>
      <t>decay</t>
    </r>
    <r>
      <rPr>
        <rFont val="Arial"/>
        <color theme="1"/>
        <sz val="10.0"/>
      </rPr>
      <t>.</t>
    </r>
  </si>
  <si>
    <t>Fires two bullets at once. Magazine size and fire rate are decreased.</t>
  </si>
  <si>
    <t>Charges up to release an elemental discharge that damages any nearby targets.</t>
  </si>
  <si>
    <r>
      <rPr>
        <rFont val="Arial"/>
        <color theme="1"/>
        <sz val="10.0"/>
      </rPr>
      <t xml:space="preserve">Targets taking damage over time from your </t>
    </r>
    <r>
      <rPr>
        <rFont val="Arial"/>
        <color theme="5"/>
        <sz val="10.0"/>
      </rPr>
      <t>ignition</t>
    </r>
    <r>
      <rPr>
        <rFont val="Arial"/>
        <color theme="1"/>
        <sz val="10.0"/>
      </rPr>
      <t xml:space="preserve">, </t>
    </r>
    <r>
      <rPr>
        <rFont val="Arial"/>
        <color theme="4"/>
        <sz val="10.0"/>
      </rPr>
      <t>electrocution</t>
    </r>
    <r>
      <rPr>
        <rFont val="Arial"/>
        <color theme="1"/>
        <sz val="10.0"/>
      </rPr>
      <t xml:space="preserve">, or </t>
    </r>
    <r>
      <rPr>
        <rFont val="Arial"/>
        <color theme="7"/>
        <sz val="10.0"/>
      </rPr>
      <t>corrosion</t>
    </r>
    <r>
      <rPr>
        <rFont val="Arial"/>
        <color theme="1"/>
        <sz val="10.0"/>
      </rPr>
      <t xml:space="preserve"> give you stacks of Power. Hold RELOAD to convert all Power stacks into overflow ammo.</t>
    </r>
  </si>
  <si>
    <t>https://mycopunk.miraheze.org/wiki/Hot_Reload_Upgrade</t>
  </si>
  <si>
    <t>Increases range for each upgrade of a different rarity that's touching this one.</t>
  </si>
  <si>
    <r>
      <rPr>
        <rFont val="Arial"/>
        <color theme="1"/>
        <sz val="10.0"/>
      </rPr>
      <t xml:space="preserve">Bullets apply </t>
    </r>
    <r>
      <rPr>
        <rFont val="Arial"/>
        <color theme="5"/>
        <sz val="10.0"/>
      </rPr>
      <t>fire</t>
    </r>
    <r>
      <rPr>
        <rFont val="Arial"/>
        <color theme="1"/>
        <sz val="10.0"/>
      </rPr>
      <t>.</t>
    </r>
  </si>
  <si>
    <t>Fire faster in a larger spread.</t>
  </si>
  <si>
    <t>Fire a four-round burst. The last bullet in each burst is replaced with a tracking missile.</t>
  </si>
  <si>
    <t>Bullets auto-track to targets while sliding.</t>
  </si>
  <si>
    <t>Reload speed is briefly increased after killing a target.</t>
  </si>
  <si>
    <t>Magazine size is greatly increased.</t>
  </si>
  <si>
    <t>https://mycopunk.miraheze.org/wiki/Simplest_Solution_Upgrade</t>
  </si>
  <si>
    <t>Magazine size is increased.</t>
  </si>
  <si>
    <t>Reload speed is increased but magazine size is decreased.</t>
  </si>
  <si>
    <t>Magazine size is increased, but damage is slightly decreased.</t>
  </si>
  <si>
    <t>Range is increased.</t>
  </si>
  <si>
    <t>Fire slower with more accuracy.</t>
  </si>
  <si>
    <t>Bullets ricochet.</t>
  </si>
  <si>
    <t>Recoil is reduced while aiming.</t>
  </si>
  <si>
    <t>Increases the size of your upgrade grid.</t>
  </si>
  <si>
    <t>https://mycopunk.miraheze.org/wiki/Slam_Fire_Upgrade</t>
  </si>
  <si>
    <t>Commandeers 1 column from each of your other upgrade grids.</t>
  </si>
  <si>
    <t>https://mycopunk.miraheze.org/wiki/Slideshot_Upgrade</t>
  </si>
  <si>
    <t>https://mycopunk.miraheze.org/wiki/Wild_Fire_Upgrade</t>
  </si>
  <si>
    <t>While airborne, firing a shot pushes you backwards. Force increases as mag size decreases.</t>
  </si>
  <si>
    <r>
      <rPr>
        <rFont val="Arial"/>
        <color theme="1"/>
        <sz val="10.0"/>
      </rPr>
      <t xml:space="preserve">Applying </t>
    </r>
    <r>
      <rPr>
        <rFont val="Arial"/>
        <color theme="5"/>
        <sz val="10.0"/>
      </rPr>
      <t>fire</t>
    </r>
    <r>
      <rPr>
        <rFont val="Arial"/>
        <color theme="1"/>
        <sz val="10.0"/>
      </rPr>
      <t xml:space="preserve"> to a target also applies it to you. When you </t>
    </r>
    <r>
      <rPr>
        <rFont val="Arial"/>
        <color theme="5"/>
        <sz val="10.0"/>
      </rPr>
      <t>ignite</t>
    </r>
    <r>
      <rPr>
        <rFont val="Arial"/>
        <color theme="1"/>
        <sz val="10.0"/>
      </rPr>
      <t xml:space="preserve"> yourself, you gain </t>
    </r>
    <r>
      <rPr>
        <rFont val="Arial"/>
        <color theme="5"/>
        <sz val="10.0"/>
      </rPr>
      <t>immolation</t>
    </r>
    <r>
      <rPr>
        <rFont val="Arial"/>
        <color theme="1"/>
        <sz val="10.0"/>
      </rPr>
      <t xml:space="preserve"> for 6.5 seconds.</t>
    </r>
  </si>
  <si>
    <t>Hold AIM to fire a flamethrower.</t>
  </si>
  <si>
    <t>Hold RELOAD to charge up bullets. Release to fire all charged bullets in a rapid burst.</t>
  </si>
  <si>
    <t>Killing a core returns ammo to the magazine.</t>
  </si>
  <si>
    <t>https://mycopunk.miraheze.org/wiki/Mag_Extender_Upgrade</t>
  </si>
  <si>
    <r>
      <rPr>
        <rFont val="Arial"/>
        <color theme="1"/>
        <sz val="10.0"/>
      </rPr>
      <t xml:space="preserve">Move faster while </t>
    </r>
    <r>
      <rPr>
        <rFont val="Arial"/>
        <color theme="5"/>
        <sz val="10.0"/>
      </rPr>
      <t>ignited</t>
    </r>
    <r>
      <rPr>
        <rFont val="Arial"/>
        <color theme="1"/>
        <sz val="10.0"/>
      </rPr>
      <t xml:space="preserve"> and holding this weapon.</t>
    </r>
  </si>
  <si>
    <t>Damage falloff is reset when a bullet bounces.</t>
  </si>
  <si>
    <r>
      <rPr>
        <rFont val="Arial"/>
        <color theme="1"/>
        <sz val="10.0"/>
      </rPr>
      <t xml:space="preserve">Hold RELOAD to charge up an </t>
    </r>
    <r>
      <rPr>
        <rFont val="Arial"/>
        <color theme="5"/>
        <sz val="10.0"/>
      </rPr>
      <t>igniting</t>
    </r>
    <r>
      <rPr>
        <rFont val="Arial"/>
        <color theme="1"/>
        <sz val="10.0"/>
      </rPr>
      <t xml:space="preserve"> grenade shot.</t>
    </r>
  </si>
  <si>
    <r>
      <rPr>
        <rFont val="Arial"/>
        <color theme="1"/>
        <sz val="10.0"/>
      </rPr>
      <t xml:space="preserve">Bullets apply </t>
    </r>
    <r>
      <rPr>
        <rFont val="Arial"/>
        <color theme="4"/>
        <sz val="10.0"/>
      </rPr>
      <t>shock</t>
    </r>
    <r>
      <rPr>
        <rFont val="Arial"/>
        <color theme="1"/>
        <sz val="10.0"/>
      </rPr>
      <t xml:space="preserve"> before bouncing.</t>
    </r>
  </si>
  <si>
    <t>Bullets gain an extra bounce. Damage increases with each bounce.</t>
  </si>
  <si>
    <r>
      <rPr>
        <rFont val="Arial"/>
        <color theme="1"/>
        <sz val="10.0"/>
      </rPr>
      <t xml:space="preserve">Bullets always apply </t>
    </r>
    <r>
      <rPr>
        <rFont val="Arial"/>
        <color theme="5"/>
        <sz val="10.0"/>
      </rPr>
      <t>fire</t>
    </r>
    <r>
      <rPr>
        <rFont val="Arial"/>
        <color theme="1"/>
        <sz val="10.0"/>
      </rPr>
      <t xml:space="preserve"> to enemy cores.</t>
    </r>
  </si>
  <si>
    <t>https://mycopunk.miraheze.org/wiki/Melting_Point_Upgrade</t>
  </si>
  <si>
    <t>Adds an extra pellet to each shot. This upgrade can stack.</t>
  </si>
  <si>
    <t>Extra ammo is added to the magazine when you gain immolation.</t>
  </si>
  <si>
    <t>Fires 2 shots before reloading. Damage and reload speed are increased. Spread is decreased.</t>
  </si>
  <si>
    <t>Fire a 2-shot burst.</t>
  </si>
  <si>
    <t>Bullets fire in a tighter spread but deal less damage.</t>
  </si>
  <si>
    <t>Bullets phase through targets if they haven't bounced yet.</t>
  </si>
  <si>
    <r>
      <rPr>
        <rFont val="Arial"/>
        <color theme="1"/>
        <sz val="10.0"/>
      </rPr>
      <t xml:space="preserve">Fire slower, deal more damage, and apply more </t>
    </r>
    <r>
      <rPr>
        <rFont val="Arial"/>
        <color theme="5"/>
        <sz val="10.0"/>
      </rPr>
      <t>fire</t>
    </r>
    <r>
      <rPr>
        <rFont val="Arial"/>
        <color theme="1"/>
        <sz val="10.0"/>
      </rPr>
      <t>.</t>
    </r>
  </si>
  <si>
    <t>https://mycopunk.miraheze.org/wiki/Reinforced_Coating_Upgrade</t>
  </si>
  <si>
    <r>
      <rPr>
        <rFont val="Arial"/>
        <color theme="1"/>
        <sz val="10.0"/>
      </rPr>
      <t xml:space="preserve">Fire faster while you are </t>
    </r>
    <r>
      <rPr>
        <rFont val="Arial"/>
        <color theme="5"/>
        <sz val="10.0"/>
      </rPr>
      <t>ignited</t>
    </r>
    <r>
      <rPr>
        <rFont val="Arial"/>
        <color theme="1"/>
        <sz val="10.0"/>
      </rPr>
      <t>.</t>
    </r>
  </si>
  <si>
    <r>
      <rPr>
        <rFont val="Arial"/>
        <color theme="1"/>
        <sz val="10.0"/>
      </rPr>
      <t xml:space="preserve">Reload faster while </t>
    </r>
    <r>
      <rPr>
        <rFont val="Arial"/>
        <color theme="5"/>
        <sz val="10.0"/>
      </rPr>
      <t>ignited</t>
    </r>
    <r>
      <rPr>
        <rFont val="Arial"/>
        <color theme="1"/>
        <sz val="10.0"/>
      </rPr>
      <t>.</t>
    </r>
  </si>
  <si>
    <t>Reload speed is increased, but magazine size is decreased.</t>
  </si>
  <si>
    <t>Fire faster in a larger spread. Magazine size is greatly increased.</t>
  </si>
  <si>
    <t>After sliding, your next shot deals increased damage.</t>
  </si>
  <si>
    <r>
      <rPr>
        <rFont val="Arial"/>
        <color theme="1"/>
        <sz val="10.0"/>
      </rPr>
      <t xml:space="preserve">Bullets apply more </t>
    </r>
    <r>
      <rPr>
        <rFont val="Arial"/>
        <color theme="5"/>
        <sz val="10.0"/>
      </rPr>
      <t>fire</t>
    </r>
    <r>
      <rPr>
        <rFont val="Arial"/>
        <color theme="1"/>
        <sz val="10.0"/>
      </rPr>
      <t xml:space="preserve"> but shoot in a much wider spread.</t>
    </r>
  </si>
  <si>
    <t>https://mycopunk.miraheze.org/wiki/Stable_Grip_Upgrade</t>
  </si>
  <si>
    <r>
      <rPr>
        <rFont val="Arial"/>
        <color theme="1"/>
        <sz val="10.0"/>
      </rPr>
      <t xml:space="preserve">Bullets apply more </t>
    </r>
    <r>
      <rPr>
        <rFont val="Arial"/>
        <color theme="5"/>
        <sz val="10.0"/>
      </rPr>
      <t>fire</t>
    </r>
    <r>
      <rPr>
        <rFont val="Arial"/>
        <color theme="1"/>
        <sz val="10.0"/>
      </rPr>
      <t>.</t>
    </r>
  </si>
  <si>
    <t>Bullets ricochet an extra time.</t>
  </si>
  <si>
    <t>Recoil is decreased.</t>
  </si>
  <si>
    <t>Spread is decreased while aiming.</t>
  </si>
  <si>
    <t>Range is increased while aiming.</t>
  </si>
  <si>
    <t>https://mycopunk.miraheze.org/wiki/Steadier_Aim_Upgrade</t>
  </si>
  <si>
    <t>https://mycopunk.miraheze.org/wiki/Steady_Aim_Upgrade</t>
  </si>
  <si>
    <t>While firing, extra pellets are created from nearby players who have a Swarm Launcher equipped.</t>
  </si>
  <si>
    <t>Pellets explode but deal less damage.</t>
  </si>
  <si>
    <t>Hovering pellets consume your ammo reserves to release a rain of diving pellets that deal reduced damage.</t>
  </si>
  <si>
    <t>Hold RELOAD to consume reserve ammo and gain charge for your equipped grenade.</t>
  </si>
  <si>
    <t>While airborne, you automatically spawn swarm pellets in front of you. Their fire rate increases the longer you're in the air. This can trigger when the Swarm Launcher is not equipped.</t>
  </si>
  <si>
    <t>Pellets can track to players and heal them.</t>
  </si>
  <si>
    <t>You can fire while sprinting and sliding.</t>
  </si>
  <si>
    <t>Hold RELOAD charge up a high powered melee attack. Each consumed pellet increases the size of the hit.</t>
  </si>
  <si>
    <t>https://mycopunk.miraheze.org/wiki/Breeding_Season_Upgrade</t>
  </si>
  <si>
    <t>Hold RELOAD to consume reserve ammo and regenerate health.</t>
  </si>
  <si>
    <t>Reload speed is decreased, but you move much faster while reloading.</t>
  </si>
  <si>
    <t>Hovering pellets follow your crosshair but travel slower.</t>
  </si>
  <si>
    <t>Fire all pellets at once. Magazine size is decreased.</t>
  </si>
  <si>
    <t>Magazine size is increased for each unique upgrade that touches this one.</t>
  </si>
  <si>
    <t>Pellet damage increases the longer they hover.</t>
  </si>
  <si>
    <t>Ammo is automatically regenerated over time while the swarm is hovering.</t>
  </si>
  <si>
    <t>Pellets are more accurate and automatically dive toward targets.</t>
  </si>
  <si>
    <t>https://mycopunk.miraheze.org/wiki/Explosive_Pellets_Upgrade</t>
  </si>
  <si>
    <t>Firing briefly increases your move speed.</t>
  </si>
  <si>
    <r>
      <rPr>
        <rFont val="Arial"/>
        <color theme="1"/>
        <sz val="10.0"/>
      </rPr>
      <t xml:space="preserve">Pellets apply </t>
    </r>
    <r>
      <rPr>
        <rFont val="Arial"/>
        <color theme="4"/>
        <sz val="10.0"/>
      </rPr>
      <t>shock</t>
    </r>
    <r>
      <rPr>
        <rFont val="Arial"/>
        <color theme="1"/>
        <sz val="10.0"/>
      </rPr>
      <t>.</t>
    </r>
  </si>
  <si>
    <t>Fire slower, high-damage pellets that automatically dive toward targets.</t>
  </si>
  <si>
    <t>Range and accuracy are increased, but magazine size is decreased.</t>
  </si>
  <si>
    <t>Fire a shot of 6 pellets. Magazine size and ammo capacity are increased.</t>
  </si>
  <si>
    <t>Releasing the swarm before your magazine is empty gives you a burst of speed.</t>
  </si>
  <si>
    <t>Range and spread are both increased.</t>
  </si>
  <si>
    <t>https://mycopunk.miraheze.org/wiki/Mitosis_Upgrade</t>
  </si>
  <si>
    <r>
      <rPr>
        <rFont val="Arial"/>
        <color theme="4"/>
        <sz val="10.0"/>
      </rPr>
      <t>Electrocuting</t>
    </r>
    <r>
      <rPr>
        <rFont val="Arial"/>
        <color theme="1"/>
        <sz val="10.0"/>
      </rPr>
      <t xml:space="preserve"> a target with any weapon increases the Swarm Launcher's reload speed.</t>
    </r>
  </si>
  <si>
    <t>Regenerate more Swarm Launcher ammo from dealing damage with your other weapon. Ammo capacity is increased.</t>
  </si>
  <si>
    <t>Fire faster with lower accuracy.</t>
  </si>
  <si>
    <t>Ammo reserves are increased.</t>
  </si>
  <si>
    <t>Spread is reduced.</t>
  </si>
  <si>
    <t>https://mycopunk.miraheze.org/wiki/Munition_Siphon_Upgrade</t>
  </si>
  <si>
    <t>https://mycopunk.miraheze.org/wiki/Crop_Duster_Upgrade</t>
  </si>
  <si>
    <t>https://mycopunk.miraheze.org/wiki/Cross_Pollination_Upgrade</t>
  </si>
  <si>
    <t>https://mycopunk.miraheze.org/wiki/Migration_Upgrade</t>
  </si>
  <si>
    <r>
      <rPr>
        <rFont val="Arial"/>
        <color theme="1"/>
        <sz val="10.0"/>
      </rPr>
      <t xml:space="preserve">Damaging a target with the laser has a chance to arc a </t>
    </r>
    <r>
      <rPr>
        <rFont val="Arial"/>
        <color theme="4"/>
        <sz val="10.0"/>
      </rPr>
      <t>shocking</t>
    </r>
    <r>
      <rPr>
        <rFont val="Arial"/>
        <color theme="1"/>
        <sz val="10.0"/>
      </rPr>
      <t xml:space="preserve"> bolt of lightning to nearby enemies.</t>
    </r>
  </si>
  <si>
    <t>The DMLR automatically switches between DMR and laser modes at the given interval, and the laser has infinite charge. Dealing damage with the DMR increases laser damage and dealing damage with the laser increases DMR damage.</t>
  </si>
  <si>
    <t>The laser becomes the default mode. Dealing damage with the laser generates ammo for a more powerful DMR mode</t>
  </si>
  <si>
    <r>
      <rPr>
        <rFont val="Arial"/>
        <color theme="1"/>
        <sz val="10.0"/>
      </rPr>
      <t xml:space="preserve">Throw used magazines on reload to deal a </t>
    </r>
    <r>
      <rPr>
        <rFont val="Arial"/>
        <color theme="4"/>
        <sz val="10.0"/>
      </rPr>
      <t>shock</t>
    </r>
    <r>
      <rPr>
        <rFont val="Arial"/>
        <color theme="1"/>
        <sz val="10.0"/>
      </rPr>
      <t xml:space="preserve"> explosion. Shoot the discarded mag to cause a second, larger explosion. Explosion power increases when less ammo is tossed.</t>
    </r>
  </si>
  <si>
    <t>When Voltaic Battery is equipped, you may cancel a reload by switching weapons when your magazine is empty to throw the battery again. Consecutive throws decrease the explosion's size and damage.</t>
  </si>
  <si>
    <t>The laser heals allies.</t>
  </si>
  <si>
    <t>https://mycopunk.miraheze.org/wiki/Overload_Contingency_Upgrade</t>
  </si>
  <si>
    <t>Gain laser charge when the given element is fully applied to you.</t>
  </si>
  <si>
    <t>Killing a target has a chance to refund DMR ammo.</t>
  </si>
  <si>
    <t>Move faster while firing the laser.</t>
  </si>
  <si>
    <t>Dealing damage with the laser regenerates bullets in your magazine.</t>
  </si>
  <si>
    <t>Healing an ally with the laser provides some charge.</t>
  </si>
  <si>
    <t>Laser damage is greatly increased, but it uses charge faster. The laser must be fully charged to fire.</t>
  </si>
  <si>
    <r>
      <rPr>
        <rFont val="Arial"/>
        <color theme="1"/>
        <sz val="10.0"/>
      </rPr>
      <t xml:space="preserve">Laser deals </t>
    </r>
    <r>
      <rPr>
        <rFont val="Arial"/>
        <color theme="7"/>
        <sz val="10.0"/>
      </rPr>
      <t>acid</t>
    </r>
    <r>
      <rPr>
        <rFont val="Arial"/>
        <color theme="1"/>
        <sz val="10.0"/>
      </rPr>
      <t xml:space="preserve"> damage.</t>
    </r>
  </si>
  <si>
    <t>https://mycopunk.miraheze.org/wiki/Portable_Solar_Array_Upgrade</t>
  </si>
  <si>
    <t>The laser pierces shields.</t>
  </si>
  <si>
    <t>DMR mode deals increased damage but fires slower.</t>
  </si>
  <si>
    <r>
      <rPr>
        <rFont val="Arial"/>
        <color theme="1"/>
        <sz val="10.0"/>
      </rPr>
      <t xml:space="preserve">Laser deals </t>
    </r>
    <r>
      <rPr>
        <rFont val="Arial"/>
        <color theme="5"/>
        <sz val="10.0"/>
      </rPr>
      <t>fire</t>
    </r>
    <r>
      <rPr>
        <rFont val="Arial"/>
        <color theme="1"/>
        <sz val="10.0"/>
      </rPr>
      <t xml:space="preserve"> damage.</t>
    </r>
  </si>
  <si>
    <t>You hover while firing the laser.</t>
  </si>
  <si>
    <t>Killing a core with the laser refunds some charge.</t>
  </si>
  <si>
    <t>Dealing damage generates more laser charge, but capacity is reduced.</t>
  </si>
  <si>
    <r>
      <rPr>
        <rFont val="Arial"/>
        <color theme="1"/>
        <sz val="10.0"/>
      </rPr>
      <t xml:space="preserve">Laser deals </t>
    </r>
    <r>
      <rPr>
        <rFont val="Arial"/>
        <color theme="4"/>
        <sz val="10.0"/>
      </rPr>
      <t>shock</t>
    </r>
    <r>
      <rPr>
        <rFont val="Arial"/>
        <color theme="1"/>
        <sz val="10.0"/>
      </rPr>
      <t xml:space="preserve"> damage.</t>
    </r>
  </si>
  <si>
    <t>https://mycopunk.miraheze.org/wiki/Power_Redistribution_Upgrade</t>
  </si>
  <si>
    <t>Deal more damage to limbs but less damage to shells.</t>
  </si>
  <si>
    <t>While firing the laser, you can't move and you gain damage resistance. Laser damage is increased.</t>
  </si>
  <si>
    <t>Depleting the battery releases an elemental burst.</t>
  </si>
  <si>
    <t>Fire a 3-round burst.</t>
  </si>
  <si>
    <t>Every 3rd bullet applies the given element.</t>
  </si>
  <si>
    <t>Ammo capacity is increased.</t>
  </si>
  <si>
    <t>Gain more laser charge for dealing damage.</t>
  </si>
  <si>
    <t>Range and aim zoom are increased.</t>
  </si>
  <si>
    <t>https://mycopunk.miraheze.org/wiki/Remote_Control_Upgrade</t>
  </si>
  <si>
    <t>Laser charge capacity is increased, but DMR ammo capacity is decreased.</t>
  </si>
  <si>
    <t>Damage is increased.</t>
  </si>
  <si>
    <t>Laser damage is increased.</t>
  </si>
  <si>
    <t>Deal more damage to shells but less damage to limbs.</t>
  </si>
  <si>
    <t>https://mycopunk.miraheze.org/wiki/Scatterburst_Upgrade</t>
  </si>
  <si>
    <t>https://mycopunk.miraheze.org/wiki/The_Hive_Must_Grow_Upgrade</t>
  </si>
  <si>
    <t>https://mycopunk.miraheze.org/wiki/Wait_Charging_Upgrade</t>
  </si>
  <si>
    <t>https://mycopunk.miraheze.org/wiki/Atmospheric_Energizers_Upgrade</t>
  </si>
  <si>
    <t>Only one bullet is loaded into the chamber. It is much larger and deals more damage.</t>
  </si>
  <si>
    <t>Killing a core loads a bunch of bullets into the magazine. Press AIM to fire all bullets in a large burst.</t>
  </si>
  <si>
    <t>Firing your last shot has a chance to refund ammo.</t>
  </si>
  <si>
    <t>Killing a core causes an elemental explosion.</t>
  </si>
  <si>
    <t>Needs a longer trigger pull to fire. Damage is greatly increased.</t>
  </si>
  <si>
    <t>Increased magazine size. Bullets randomly deal between 1% and 200% damage.</t>
  </si>
  <si>
    <t>Unloading your entire mag within the given time frame supercharges your next mag, increasing the damage of its bullets.</t>
  </si>
  <si>
    <t>https://mycopunk.miraheze.org/wiki/Autoswarm_Upgrade</t>
  </si>
  <si>
    <t>Fire full-auto at a reduced fire rate.</t>
  </si>
  <si>
    <t>Killing a core refunds ammo to your magazine.</t>
  </si>
  <si>
    <r>
      <rPr>
        <rFont val="Arial"/>
        <color theme="1"/>
        <sz val="10.0"/>
      </rPr>
      <t xml:space="preserve">Reloading toggles the element between </t>
    </r>
    <r>
      <rPr>
        <rFont val="Arial"/>
        <color theme="5"/>
        <sz val="10.0"/>
      </rPr>
      <t>fire</t>
    </r>
    <r>
      <rPr>
        <rFont val="Arial"/>
        <color theme="1"/>
        <sz val="10.0"/>
      </rPr>
      <t xml:space="preserve"> and </t>
    </r>
    <r>
      <rPr>
        <rFont val="Arial"/>
        <color theme="7"/>
        <sz val="10.0"/>
      </rPr>
      <t>acid</t>
    </r>
    <r>
      <rPr>
        <rFont val="Arial"/>
        <color theme="1"/>
        <sz val="10.0"/>
      </rPr>
      <t>.</t>
    </r>
  </si>
  <si>
    <t>Killing a target grants a stack of Junk. Hold RELOAD to consume all your Junk and fire a large explosive bullet with combustion size proportional to the amount of Junk consumed.</t>
  </si>
  <si>
    <t>Killing a target while airborne causes you to hover for a moment.</t>
  </si>
  <si>
    <t>Magazine size is increased for each occupied cell that touches this upgrade and decreased for each empty cell that touches this.</t>
  </si>
  <si>
    <t>https://mycopunk.miraheze.org/wiki/Blitz_Planting_Upgrade</t>
  </si>
  <si>
    <r>
      <rPr>
        <rFont val="Arial"/>
        <color theme="1"/>
        <sz val="10.0"/>
      </rPr>
      <t xml:space="preserve">Bullets apply </t>
    </r>
    <r>
      <rPr>
        <rFont val="Arial"/>
        <color theme="5"/>
        <sz val="10.0"/>
      </rPr>
      <t>fire</t>
    </r>
    <r>
      <rPr>
        <rFont val="Arial"/>
        <color theme="1"/>
        <sz val="10.0"/>
      </rPr>
      <t>.</t>
    </r>
  </si>
  <si>
    <t>While fully affected an element, its damage type is channeled to your bullets.</t>
  </si>
  <si>
    <t>Recoil and damage are reduced.</t>
  </si>
  <si>
    <t>Killing a target briefly increases your damage.</t>
  </si>
  <si>
    <t>Damage is increased when hip-firing.</t>
  </si>
  <si>
    <t>Reloading briefly increases your damage.</t>
  </si>
  <si>
    <t>https://mycopunk.miraheze.org/wiki/Electrified_Pellets_Upgrade</t>
  </si>
  <si>
    <t>Damage is increased, but max fire rate is decreased.</t>
  </si>
  <si>
    <t>Each bullet has a chance to deal extra damage, but also has a chance to damage you.</t>
  </si>
  <si>
    <t>Damage is increased, but so is recoil.</t>
  </si>
  <si>
    <t>The last bullet in the chamber explodes.</t>
  </si>
  <si>
    <t>Press FIRE during a random point in your reload to greatly increase its speed.</t>
  </si>
  <si>
    <t>Each shot fires 3 bullets with reduced damage.</t>
  </si>
  <si>
    <t>Aim zoom is increased. Range is greatly increase while aiming.</t>
  </si>
  <si>
    <t>https://mycopunk.miraheze.org/wiki/High_Caliber_Pellets_Upgrade</t>
  </si>
  <si>
    <t>https://mycopunk.miraheze.org/wiki/Over_Extended_Upgrade</t>
  </si>
  <si>
    <t>https://mycopunk.miraheze.org/wiki/Quick_Grouping_Upgrade</t>
  </si>
  <si>
    <t>https://mycopunk.miraheze.org/wiki/Quick_Release_Upgrade</t>
  </si>
  <si>
    <t>Magnetism goes both ways.</t>
  </si>
  <si>
    <t>https://mycopunk.miraheze.org/wiki/Sprinkler_Upgrade</t>
  </si>
  <si>
    <t>Plates spin, slicing things around them with light blades.</t>
  </si>
  <si>
    <t>Fire up to 4 plates at once.</t>
  </si>
  <si>
    <t>Shoot a plate with an element to create an elemental explosion.</t>
  </si>
  <si>
    <r>
      <rPr>
        <rFont val="Arial"/>
        <color theme="1"/>
        <sz val="10.0"/>
      </rPr>
      <t xml:space="preserve">Fired plates arc lightning to each other, dealing </t>
    </r>
    <r>
      <rPr>
        <rFont val="Arial"/>
        <color theme="4"/>
        <sz val="10.0"/>
      </rPr>
      <t>shock</t>
    </r>
    <r>
      <rPr>
        <rFont val="Arial"/>
        <color theme="1"/>
        <sz val="10.0"/>
      </rPr>
      <t xml:space="preserve"> damage to targets between them. Magazine size is increased.</t>
    </r>
  </si>
  <si>
    <r>
      <rPr>
        <rFont val="Arial"/>
        <color theme="1"/>
        <sz val="10.0"/>
      </rPr>
      <t xml:space="preserve">Plates create a </t>
    </r>
    <r>
      <rPr>
        <rFont val="Arial"/>
        <color theme="6"/>
        <sz val="10.0"/>
      </rPr>
      <t>bee</t>
    </r>
    <r>
      <rPr>
        <rFont val="Arial"/>
        <color theme="1"/>
        <sz val="10.0"/>
      </rPr>
      <t xml:space="preserve"> explosion when recalled.</t>
    </r>
  </si>
  <si>
    <r>
      <rPr>
        <rFont val="Arial"/>
        <color theme="1"/>
        <sz val="10.0"/>
      </rPr>
      <t xml:space="preserve">Your movement ability is partially recharged when you </t>
    </r>
    <r>
      <rPr>
        <rFont val="Arial"/>
        <color theme="4"/>
        <sz val="10.0"/>
      </rPr>
      <t>electrocute</t>
    </r>
    <r>
      <rPr>
        <rFont val="Arial"/>
        <color theme="1"/>
        <sz val="10.0"/>
      </rPr>
      <t xml:space="preserve"> a target with the Plate Launcher.</t>
    </r>
  </si>
  <si>
    <t>While standing on one of your plates, gain damage resistance and all of your outgoing damage is increased.</t>
  </si>
  <si>
    <t>https://mycopunk.miraheze.org/wiki/Static_Reload_Upgrade</t>
  </si>
  <si>
    <t>Plates consume a grenade charge to detonate on impact.</t>
  </si>
  <si>
    <t>Catching a plate while mid-air boosts you upward.</t>
  </si>
  <si>
    <r>
      <rPr>
        <rFont val="Arial"/>
        <color theme="1"/>
        <sz val="10.0"/>
      </rPr>
      <t xml:space="preserve">Firing a plate while you are </t>
    </r>
    <r>
      <rPr>
        <rFont val="Arial"/>
        <color theme="7"/>
        <sz val="10.0"/>
      </rPr>
      <t>corroded</t>
    </r>
    <r>
      <rPr>
        <rFont val="Arial"/>
        <color theme="1"/>
        <sz val="10.0"/>
      </rPr>
      <t xml:space="preserve"> causes it to create an </t>
    </r>
    <r>
      <rPr>
        <rFont val="Arial"/>
        <color theme="7"/>
        <sz val="10.0"/>
      </rPr>
      <t>acid</t>
    </r>
    <r>
      <rPr>
        <rFont val="Arial"/>
        <color theme="1"/>
        <sz val="10.0"/>
      </rPr>
      <t xml:space="preserve"> puddle on impact.</t>
    </r>
  </si>
  <si>
    <t>Fire more plates at a faster rate. Plate size is reduced.</t>
  </si>
  <si>
    <t>Plates create a shockwave on impact that pushes back enemies.</t>
  </si>
  <si>
    <t>Plate size is increased for each empty cell surrounding this one.</t>
  </si>
  <si>
    <t>Plates travel faster and can be fired more often.</t>
  </si>
  <si>
    <t>https://mycopunk.miraheze.org/wiki/Tool_for_the_Job_Upgrade</t>
  </si>
  <si>
    <t>Plates automatically recall on impact.</t>
  </si>
  <si>
    <t>Plates bounce. Damage increases with each bounce.</t>
  </si>
  <si>
    <r>
      <rPr>
        <rFont val="Arial"/>
        <color theme="1"/>
        <sz val="10.0"/>
      </rPr>
      <t xml:space="preserve">Plates apply </t>
    </r>
    <r>
      <rPr>
        <rFont val="Arial"/>
        <color rgb="FF9900FF"/>
        <sz val="10.0"/>
      </rPr>
      <t>decay</t>
    </r>
    <r>
      <rPr>
        <rFont val="Arial"/>
        <color theme="1"/>
        <sz val="10.0"/>
      </rPr>
      <t>.</t>
    </r>
  </si>
  <si>
    <r>
      <rPr>
        <rFont val="Arial"/>
        <color theme="1"/>
        <sz val="10.0"/>
      </rPr>
      <t xml:space="preserve">Plates apply </t>
    </r>
    <r>
      <rPr>
        <rFont val="Arial"/>
        <color theme="4"/>
        <sz val="10.0"/>
      </rPr>
      <t>shock</t>
    </r>
    <r>
      <rPr>
        <rFont val="Arial"/>
        <color theme="1"/>
        <sz val="10.0"/>
      </rPr>
      <t>.</t>
    </r>
  </si>
  <si>
    <t>Damage is increased and you move faster while holding the Plate Launcher, but you take damage when catching a plate.</t>
  </si>
  <si>
    <t>Plates recall faster.</t>
  </si>
  <si>
    <t>Plate damage is greatly increased while returning to the gun and after bouncing.</t>
  </si>
  <si>
    <t>https://mycopunk.miraheze.org/wiki/Large_Energy_Storage_Upgrade</t>
  </si>
  <si>
    <t>Plates are fired at higher speeds.</t>
  </si>
  <si>
    <t>Plates pierce through targets.</t>
  </si>
  <si>
    <t>Plate damage is increased the further they travel.</t>
  </si>
  <si>
    <t>Damage is increased, but so is spread.</t>
  </si>
  <si>
    <t>Plates travel slower and fall much faster, but their size is greatly increased.</t>
  </si>
  <si>
    <t>Plates travel slower and deal more damage.</t>
  </si>
  <si>
    <t>Plate Launcher battery capacity is increased.</t>
  </si>
  <si>
    <t>https://mycopunk.miraheze.org/wiki/Precise_Targeting_Upgrade</t>
  </si>
  <si>
    <t>https://mycopunk.miraheze.org/wiki/Rapid_Pollination_Upgrade</t>
  </si>
  <si>
    <t>https://mycopunk.miraheze.org/wiki/Swarm_Reserves_Upgrade</t>
  </si>
  <si>
    <t>https://mycopunk.miraheze.org/wiki/Tight_Planting_Upgrade</t>
  </si>
  <si>
    <t>Prism output is increased recursively for each bordering prism.</t>
  </si>
  <si>
    <t>Firing pushes you backward. Magazine size is increased, but so is recoil.</t>
  </si>
  <si>
    <t>Bullets orbit around you. You can fire while sprinting.</t>
  </si>
  <si>
    <t>Fire tracking missiles.</t>
  </si>
  <si>
    <r>
      <rPr>
        <rFont val="Arial"/>
        <color theme="1"/>
        <sz val="10.0"/>
      </rPr>
      <t xml:space="preserve">Mash RELOAD to overheat the gun and infuse shells with </t>
    </r>
    <r>
      <rPr>
        <rFont val="Arial"/>
        <color theme="5"/>
        <sz val="10.0"/>
      </rPr>
      <t>fire</t>
    </r>
    <r>
      <rPr>
        <rFont val="Arial"/>
        <color theme="1"/>
        <sz val="10.0"/>
      </rPr>
      <t xml:space="preserve"> and increase damage. The Gunship Cannon can only reload when its magazine is empty. While overheated you have a chance to spontaneously combust.</t>
    </r>
  </si>
  <si>
    <t>Dealing damage fills a charge meter. Press AIM to fire a tracking missile with an explosive payload proportional to the current charge.</t>
  </si>
  <si>
    <r>
      <rPr>
        <rFont val="Arial"/>
        <color theme="1"/>
        <sz val="10.0"/>
      </rPr>
      <t xml:space="preserve">Bullets have a chance to be infused with </t>
    </r>
    <r>
      <rPr>
        <rFont val="Arial"/>
        <color theme="5"/>
        <sz val="10.0"/>
      </rPr>
      <t>fire</t>
    </r>
    <r>
      <rPr>
        <rFont val="Arial"/>
        <color theme="1"/>
        <sz val="10.0"/>
      </rPr>
      <t xml:space="preserve">, </t>
    </r>
    <r>
      <rPr>
        <rFont val="Arial"/>
        <color theme="4"/>
        <sz val="10.0"/>
      </rPr>
      <t>shock</t>
    </r>
    <r>
      <rPr>
        <rFont val="Arial"/>
        <color theme="1"/>
        <sz val="10.0"/>
      </rPr>
      <t xml:space="preserve">, or </t>
    </r>
    <r>
      <rPr>
        <rFont val="Arial"/>
        <color theme="7"/>
        <sz val="10.0"/>
      </rPr>
      <t>acid</t>
    </r>
    <r>
      <rPr>
        <rFont val="Arial"/>
        <color theme="1"/>
        <sz val="10.0"/>
      </rPr>
      <t>.</t>
    </r>
  </si>
  <si>
    <t>You move much slower while shooting, but barrels spin up to a higher fire rate. Magazine size, bullet size, and explosion size are increased.</t>
  </si>
  <si>
    <t>Reload is disabled. Mash RELOAD to load ammo into the magazine.</t>
  </si>
  <si>
    <t>Bullets deal more damage while airborne, but less damage when touching the ground.</t>
  </si>
  <si>
    <t>Magazine size is reduced to 1. Damage, explosion size, and bullet size are greatly increased. Fire rate and ammo capacity are reduced.</t>
  </si>
  <si>
    <t>Bullets no longer explode, but deal massive damage to the target they hit.</t>
  </si>
  <si>
    <t>Each shot fires multiple bullets. Fire rate and damage are decreased.</t>
  </si>
  <si>
    <t>Damage is increased, but you take more damage while holding the Gunship Cannon.</t>
  </si>
  <si>
    <t>Spread decreases over time while firing.</t>
  </si>
  <si>
    <t>Bullets ricochet twice.</t>
  </si>
  <si>
    <t>Explosion size is increased, but fire rate is decreased.</t>
  </si>
  <si>
    <t>Gain damage resistance while firing.</t>
  </si>
  <si>
    <t>Magazine size is much larger. Max fire rate is increased, but barrels take longer to spin up.</t>
  </si>
  <si>
    <t>Fire rate is greatly increased but damage is decreased.</t>
  </si>
  <si>
    <t>Fire a quick 5-shot burst. Explosion size is decreased and ammo reserves are increased.</t>
  </si>
  <si>
    <t>https://mycopunk.miraheze.org/wiki/Arc_Lightning_Upgrade</t>
  </si>
  <si>
    <t>Damage is increased, but range is decreased.</t>
  </si>
  <si>
    <t>Reload speed is increased.</t>
  </si>
  <si>
    <t>https://mycopunk.miraheze.org/wiki/Autocycler_Upgrade</t>
  </si>
  <si>
    <t>https://mycopunk.miraheze.org/wiki/Hot_Swap_Upgrade</t>
  </si>
  <si>
    <t>https://mycopunk.miraheze.org/wiki/Voltaic_Battery_Upgrade</t>
  </si>
  <si>
    <r>
      <rPr>
        <rFont val="Arial"/>
        <color theme="1"/>
        <sz val="10.0"/>
      </rPr>
      <t xml:space="preserve">Toss a ball of </t>
    </r>
    <r>
      <rPr>
        <rFont val="Arial"/>
        <color theme="4"/>
        <sz val="10.0"/>
      </rPr>
      <t>water</t>
    </r>
    <r>
      <rPr>
        <rFont val="Arial"/>
        <color theme="1"/>
        <sz val="10.0"/>
      </rPr>
      <t xml:space="preserve"> when you reload. Reload speed is increased.</t>
    </r>
  </si>
  <si>
    <r>
      <rPr>
        <rFont val="Arial"/>
        <color theme="1"/>
        <sz val="10.0"/>
      </rPr>
      <t xml:space="preserve">Dealing damage has a chance to smite the area in </t>
    </r>
    <r>
      <rPr>
        <rFont val="Arial"/>
        <color theme="4"/>
        <sz val="10.0"/>
      </rPr>
      <t>shocking</t>
    </r>
    <r>
      <rPr>
        <rFont val="Arial"/>
        <color theme="1"/>
        <sz val="10.0"/>
      </rPr>
      <t xml:space="preserve"> lightning strikes.</t>
    </r>
  </si>
  <si>
    <t>Continuous firing spins up to a much faster fire rate.</t>
  </si>
  <si>
    <t>Killing a core grants additional charge to your ability that's closest to full charge.</t>
  </si>
  <si>
    <r>
      <rPr>
        <rFont val="Arial"/>
        <color theme="1"/>
        <sz val="10.0"/>
      </rPr>
      <t xml:space="preserve">Bullets apply </t>
    </r>
    <r>
      <rPr>
        <rFont val="Arial"/>
        <color theme="7"/>
        <sz val="10.0"/>
      </rPr>
      <t>acid</t>
    </r>
    <r>
      <rPr>
        <rFont val="Arial"/>
        <color theme="1"/>
        <sz val="10.0"/>
      </rPr>
      <t>.</t>
    </r>
  </si>
  <si>
    <r>
      <rPr>
        <rFont val="Arial"/>
        <color theme="1"/>
        <sz val="10.0"/>
      </rPr>
      <t xml:space="preserve">Damage is increased for a short time after you are </t>
    </r>
    <r>
      <rPr>
        <rFont val="Arial"/>
        <color theme="7"/>
        <sz val="10.0"/>
      </rPr>
      <t>corroded</t>
    </r>
    <r>
      <rPr>
        <rFont val="Arial"/>
        <color theme="1"/>
        <sz val="10.0"/>
      </rPr>
      <t>.</t>
    </r>
  </si>
  <si>
    <t>Slide speed is briefly increased after killing a target.</t>
  </si>
  <si>
    <r>
      <rPr>
        <rFont val="Arial"/>
        <color theme="1"/>
        <sz val="10.0"/>
      </rPr>
      <t xml:space="preserve">Fire rate is increased after </t>
    </r>
    <r>
      <rPr>
        <rFont val="Arial"/>
        <color theme="5"/>
        <sz val="10.0"/>
      </rPr>
      <t>igniting</t>
    </r>
    <r>
      <rPr>
        <rFont val="Arial"/>
        <color theme="1"/>
        <sz val="10.0"/>
      </rPr>
      <t xml:space="preserve"> a target.</t>
    </r>
  </si>
  <si>
    <t>https://mycopunk.miraheze.org/wiki/Demonstrator%27s_Trick_Upgrade</t>
  </si>
  <si>
    <r>
      <rPr>
        <rFont val="Arial"/>
        <color theme="1"/>
        <sz val="10.0"/>
      </rPr>
      <t xml:space="preserve">Bullets apply </t>
    </r>
    <r>
      <rPr>
        <rFont val="Arial"/>
        <color theme="5"/>
        <sz val="10.0"/>
      </rPr>
      <t>fire</t>
    </r>
    <r>
      <rPr>
        <rFont val="Arial"/>
        <color theme="1"/>
        <sz val="10.0"/>
      </rPr>
      <t>.</t>
    </r>
  </si>
  <si>
    <t>Move extremely fast after killing a hornet.</t>
  </si>
  <si>
    <t>Killing a core has a chance to refund a larget amount of ammo.</t>
  </si>
  <si>
    <r>
      <rPr>
        <rFont val="Arial"/>
        <color theme="1"/>
        <sz val="10.0"/>
      </rPr>
      <t xml:space="preserve">You deal extra damage to </t>
    </r>
    <r>
      <rPr>
        <rFont val="Arial"/>
        <color theme="7"/>
        <sz val="10.0"/>
      </rPr>
      <t>corroded</t>
    </r>
    <r>
      <rPr>
        <rFont val="Arial"/>
        <color theme="1"/>
        <sz val="10.0"/>
      </rPr>
      <t xml:space="preserve"> targets.</t>
    </r>
  </si>
  <si>
    <r>
      <rPr>
        <rFont val="Arial"/>
        <color theme="4"/>
        <sz val="10.0"/>
      </rPr>
      <t>Electrocuting</t>
    </r>
    <r>
      <rPr>
        <rFont val="Arial"/>
        <color theme="1"/>
        <sz val="10.0"/>
      </rPr>
      <t xml:space="preserve"> a target with another weapon grants you stacks of Tailwind. Consume stacks by firing the Trident to move faster.</t>
    </r>
  </si>
  <si>
    <t>Damage is increased for each rare cell surrounding this upgrade. Recoil is increased for each other cell.</t>
  </si>
  <si>
    <t>Ammo reserves are increased but recoil is more intense.</t>
  </si>
  <si>
    <t>https://mycopunk.miraheze.org/wiki/Engineering_Nanites_Upgrade</t>
  </si>
  <si>
    <t>Fire double bullets in vertical mode. Damage is reduced.</t>
  </si>
  <si>
    <t>Killing a target refunds some ammo.</t>
  </si>
  <si>
    <t>Fire rate is increased, but you must charge up before shooting.</t>
  </si>
  <si>
    <t>Damage increased but fire rate is decreased. Firing is no longer automatic.</t>
  </si>
  <si>
    <t>Your last shot deals more damage.</t>
  </si>
  <si>
    <t>Fire a single high-damage shot while aiming.</t>
  </si>
  <si>
    <t>Aim zoom increased. While aiming, fire rate and spread are reduced and range increased.</t>
  </si>
  <si>
    <t>https://mycopunk.miraheze.org/wiki/Hazard_Recycling_Upgrade</t>
  </si>
  <si>
    <t>Fire a 4-round burst. Magazine size is slightly increased.</t>
  </si>
  <si>
    <t>Magazine size and ammo capacity are increased.</t>
  </si>
  <si>
    <t>Fire rate, recoil and spread are increased.</t>
  </si>
  <si>
    <t>Aim zoom increased.</t>
  </si>
  <si>
    <t>Damage is increased while aiming.</t>
  </si>
  <si>
    <t>https://mycopunk.miraheze.org/wiki/Overcharge_Cycling_Upgrade</t>
  </si>
  <si>
    <t>https://mycopunk.miraheze.org/wiki/Photon_Surge_Upgrade</t>
  </si>
  <si>
    <t>https://mycopunk.miraheze.org/wiki/Two_Way_Charging_Upgrade</t>
  </si>
  <si>
    <r>
      <rPr>
        <rFont val="Arial"/>
        <color theme="1"/>
        <sz val="10.0"/>
      </rPr>
      <t xml:space="preserve">Globs create a running wave of </t>
    </r>
    <r>
      <rPr>
        <rFont val="Arial"/>
        <color theme="7"/>
        <sz val="10.0"/>
      </rPr>
      <t>acid</t>
    </r>
    <r>
      <rPr>
        <rFont val="Arial"/>
        <color theme="1"/>
        <sz val="10.0"/>
      </rPr>
      <t xml:space="preserve"> when they impact a surface.</t>
    </r>
  </si>
  <si>
    <t>https://mycopunk.miraheze.org/wiki/Assist_Charge_Upgrade</t>
  </si>
  <si>
    <r>
      <rPr>
        <rFont val="Arial"/>
        <color theme="1"/>
        <sz val="10.0"/>
      </rPr>
      <t xml:space="preserve">Hold RELOAD to consume grenade charge. Greatly increases the explosion size of your next glob. This size is increased with your </t>
    </r>
    <r>
      <rPr>
        <rFont val="Arial"/>
        <color theme="7"/>
        <sz val="10.0"/>
      </rPr>
      <t>globblometer</t>
    </r>
    <r>
      <rPr>
        <rFont val="Arial"/>
        <color theme="1"/>
        <sz val="10.0"/>
      </rPr>
      <t>.</t>
    </r>
  </si>
  <si>
    <r>
      <rPr>
        <rFont val="Arial"/>
        <color theme="1"/>
        <sz val="10.0"/>
      </rPr>
      <t xml:space="preserve">Taken damage builds up a meter that increases the damage of your globs. Firing a glob consumes less of the meter when your </t>
    </r>
    <r>
      <rPr>
        <rFont val="Arial"/>
        <color theme="7"/>
        <sz val="10.0"/>
      </rPr>
      <t>globblometer</t>
    </r>
    <r>
      <rPr>
        <rFont val="Arial"/>
        <color theme="1"/>
        <sz val="10.0"/>
      </rPr>
      <t xml:space="preserve"> is higher.</t>
    </r>
  </si>
  <si>
    <t>Hold the trigger to charge up your glob, increasing its explosion size. Globbing up all ammo causes it to explode on you.</t>
  </si>
  <si>
    <t>Gain a different stat boost for each upgrade of a different rarity that touches this one.</t>
  </si>
  <si>
    <r>
      <rPr>
        <rFont val="Arial"/>
        <color theme="1"/>
        <sz val="10.0"/>
      </rPr>
      <t xml:space="preserve">Globs are less powerful but leave behind </t>
    </r>
    <r>
      <rPr>
        <rFont val="Arial"/>
        <color theme="7"/>
        <sz val="10.0"/>
      </rPr>
      <t>acid</t>
    </r>
    <r>
      <rPr>
        <rFont val="Arial"/>
        <color theme="1"/>
        <sz val="10.0"/>
      </rPr>
      <t xml:space="preserve"> puddles.</t>
    </r>
  </si>
  <si>
    <r>
      <rPr>
        <rFont val="Arial"/>
        <color theme="1"/>
        <sz val="10.0"/>
      </rPr>
      <t xml:space="preserve">The Globbler reloads over time while unequipped. The </t>
    </r>
    <r>
      <rPr>
        <rFont val="Arial"/>
        <color theme="7"/>
        <sz val="10.0"/>
      </rPr>
      <t>globblometer</t>
    </r>
    <r>
      <rPr>
        <rFont val="Arial"/>
        <color theme="1"/>
        <sz val="10.0"/>
      </rPr>
      <t xml:space="preserve"> increases your pocket reload speed.</t>
    </r>
  </si>
  <si>
    <r>
      <rPr>
        <rFont val="Arial"/>
        <color theme="1"/>
        <sz val="10.0"/>
      </rPr>
      <t xml:space="preserve">While holding the Globbler, the </t>
    </r>
    <r>
      <rPr>
        <rFont val="Arial"/>
        <color theme="7"/>
        <sz val="10.0"/>
      </rPr>
      <t>globblometer</t>
    </r>
    <r>
      <rPr>
        <rFont val="Arial"/>
        <color theme="1"/>
        <sz val="10.0"/>
      </rPr>
      <t xml:space="preserve"> increases your move speed.</t>
    </r>
  </si>
  <si>
    <t>https://mycopunk.miraheze.org/wiki/Coronal_Ejection_Upgrade</t>
  </si>
  <si>
    <t>Fire three globs in a triangle. Fire rate and explosion size are decreased.</t>
  </si>
  <si>
    <t>Globs have a chance to be infused with a different element. Infused globs fully apply their element to targets.</t>
  </si>
  <si>
    <r>
      <rPr>
        <rFont val="Arial"/>
        <color theme="7"/>
        <sz val="10.0"/>
      </rPr>
      <t>Globblometer</t>
    </r>
    <r>
      <rPr>
        <rFont val="Arial"/>
        <color theme="1"/>
        <sz val="10.0"/>
      </rPr>
      <t xml:space="preserve"> is increased, but fire rate is decreased.</t>
    </r>
  </si>
  <si>
    <t>Glob waves created by Flood have an increased length.</t>
  </si>
  <si>
    <t>https://mycopunk.miraheze.org/wiki/Corrosive_Laser_Upgrade</t>
  </si>
  <si>
    <t>Fire globs faster and with more force. Damage and explosion size are decreased.</t>
  </si>
  <si>
    <t>Your first shot after switching to the Globbler deals increased damage.</t>
  </si>
  <si>
    <r>
      <rPr>
        <rFont val="Arial"/>
        <color theme="1"/>
        <sz val="10.0"/>
      </rPr>
      <t xml:space="preserve">Reload speed is decreased. But </t>
    </r>
    <r>
      <rPr>
        <rFont val="Arial"/>
        <color theme="7"/>
        <sz val="10.0"/>
      </rPr>
      <t>Globblometer</t>
    </r>
    <r>
      <rPr>
        <rFont val="Arial"/>
        <color theme="1"/>
        <sz val="10.0"/>
      </rPr>
      <t xml:space="preserve"> is increased.</t>
    </r>
  </si>
  <si>
    <t>https://mycopunk.miraheze.org/wiki/Hard-Light_Bypass_Upgrade</t>
  </si>
  <si>
    <t>Fire globs with more force. Recoil is increased.</t>
  </si>
  <si>
    <t>Globs deal more damage but fall faster.</t>
  </si>
  <si>
    <r>
      <rPr>
        <rFont val="Arial"/>
        <color theme="1"/>
        <sz val="10.0"/>
      </rPr>
      <t xml:space="preserve">Magazine size is increased by your </t>
    </r>
    <r>
      <rPr>
        <rFont val="Arial"/>
        <color theme="7"/>
        <sz val="10.0"/>
      </rPr>
      <t>Globblometer</t>
    </r>
    <r>
      <rPr>
        <rFont val="Arial"/>
        <color theme="1"/>
        <sz val="10.0"/>
      </rPr>
      <t>.</t>
    </r>
  </si>
  <si>
    <t>Globs detonate when hitting a surface.</t>
  </si>
  <si>
    <t>Damaging yourself with a glob provides damage resistance for a short time. The globblometer lengthens this effect.</t>
  </si>
  <si>
    <t>Fire only one glob with an increased explosion radius. Reload speed is decreased.</t>
  </si>
  <si>
    <t>https://mycopunk.miraheze.org/wiki/Heavy_Hitting_Upgrade</t>
  </si>
  <si>
    <r>
      <rPr>
        <rFont val="Arial"/>
        <color theme="1"/>
        <sz val="10.0"/>
      </rPr>
      <t xml:space="preserve">Globs are fired with a random size. Max size is increased with the </t>
    </r>
    <r>
      <rPr>
        <rFont val="Arial"/>
        <color theme="7"/>
        <sz val="10.0"/>
      </rPr>
      <t>Globblometer</t>
    </r>
    <r>
      <rPr>
        <rFont val="Arial"/>
        <color theme="1"/>
        <sz val="10.0"/>
      </rPr>
      <t>.</t>
    </r>
  </si>
  <si>
    <t>Ammo reserves are decreased.</t>
  </si>
  <si>
    <t>Magazine size is reduced.</t>
  </si>
  <si>
    <t>https://mycopunk.miraheze.org/wiki/Incendiary_Laser_Upgrade</t>
  </si>
  <si>
    <t>https://mycopunk.miraheze.org/wiki/Kinetic_Impossibility_Upgrade</t>
  </si>
  <si>
    <t>https://mycopunk.miraheze.org/wiki/Power_Core_Upgrade</t>
  </si>
  <si>
    <t>You deflect incoming projectiles and gain damage resistance while sawing.</t>
  </si>
  <si>
    <t>Killing a target has a chance to drop a chunk of health.</t>
  </si>
  <si>
    <t>Gain stacks of rage by killing targets. Rage increases your move speed and damage as long as you keep sawing.</t>
  </si>
  <si>
    <t>Pull nearby grunts toward you while sawing.</t>
  </si>
  <si>
    <t>Deflector size and damage resistance are increased, but you move slower while sawing.</t>
  </si>
  <si>
    <t>https://mycopunk.miraheze.org/wiki/Rapid_Charge_Upgrade</t>
  </si>
  <si>
    <r>
      <rPr>
        <rFont val="Arial"/>
        <color theme="1"/>
        <sz val="10.0"/>
      </rPr>
      <t xml:space="preserve">When you kill a target, you have an increased chance to fire a </t>
    </r>
    <r>
      <rPr>
        <rFont val="Arial"/>
        <color theme="4"/>
        <sz val="10.0"/>
      </rPr>
      <t>shocking</t>
    </r>
    <r>
      <rPr>
        <rFont val="Arial"/>
        <color theme="1"/>
        <sz val="10.0"/>
      </rPr>
      <t xml:space="preserve"> lightning bolt for each stack of </t>
    </r>
    <r>
      <rPr>
        <rFont val="Arial"/>
        <color theme="5"/>
        <sz val="10.0"/>
      </rPr>
      <t>blood</t>
    </r>
    <r>
      <rPr>
        <rFont val="Arial"/>
        <color theme="1"/>
        <sz val="10.0"/>
      </rPr>
      <t>.</t>
    </r>
  </si>
  <si>
    <r>
      <rPr>
        <rFont val="Arial"/>
        <color theme="1"/>
        <sz val="10.0"/>
      </rPr>
      <t xml:space="preserve">Your jump height is increased for each stack of </t>
    </r>
    <r>
      <rPr>
        <rFont val="Arial"/>
        <color theme="5"/>
        <sz val="10.0"/>
      </rPr>
      <t>blood</t>
    </r>
    <r>
      <rPr>
        <rFont val="Arial"/>
        <color theme="1"/>
        <sz val="10.0"/>
      </rPr>
      <t>.</t>
    </r>
  </si>
  <si>
    <t>Killing a core generates a small amount of reserve ammo for your equipped heavy weapon. This upgrade can stack</t>
  </si>
  <si>
    <r>
      <rPr>
        <rFont val="Arial"/>
        <color theme="1"/>
        <sz val="10.0"/>
      </rPr>
      <t xml:space="preserve">Applies </t>
    </r>
    <r>
      <rPr>
        <rFont val="Arial"/>
        <color theme="5"/>
        <sz val="10.0"/>
      </rPr>
      <t>fire</t>
    </r>
    <r>
      <rPr>
        <rFont val="Arial"/>
        <color theme="1"/>
        <sz val="10.0"/>
      </rPr>
      <t>. Potency increases the longer the saw is active.</t>
    </r>
  </si>
  <si>
    <t>While firing, you periodically emit a burst that heals other nearby players.</t>
  </si>
  <si>
    <t>Nutritious cores also creates health chunk for allies.</t>
  </si>
  <si>
    <t>https://mycopunk.miraheze.org/wiki/Shocking_Laser_Upgrade</t>
  </si>
  <si>
    <r>
      <rPr>
        <rFont val="Arial"/>
        <color theme="1"/>
        <sz val="10.0"/>
      </rPr>
      <t xml:space="preserve">Sawing speed is increased for a short time after you are </t>
    </r>
    <r>
      <rPr>
        <rFont val="Arial"/>
        <color theme="4"/>
        <sz val="10.0"/>
      </rPr>
      <t>electrocuted</t>
    </r>
    <r>
      <rPr>
        <rFont val="Arial"/>
        <color theme="1"/>
        <sz val="10.0"/>
      </rPr>
      <t>.</t>
    </r>
  </si>
  <si>
    <r>
      <rPr>
        <rFont val="Arial"/>
        <color theme="1"/>
        <sz val="10.0"/>
      </rPr>
      <t xml:space="preserve">Upon reaching the given threshold, all stacks of </t>
    </r>
    <r>
      <rPr>
        <rFont val="Arial"/>
        <color rgb="FFEA4335"/>
        <sz val="10.0"/>
      </rPr>
      <t>blood</t>
    </r>
    <r>
      <rPr>
        <rFont val="Arial"/>
        <color theme="1"/>
        <sz val="10.0"/>
      </rPr>
      <t xml:space="preserve"> are consumed and your movement ability is partially recharged.</t>
    </r>
  </si>
  <si>
    <r>
      <rPr>
        <rFont val="Arial"/>
        <color theme="1"/>
        <sz val="10.0"/>
      </rPr>
      <t xml:space="preserve">Damage resistance is increased for each stack of </t>
    </r>
    <r>
      <rPr>
        <rFont val="Arial"/>
        <color theme="5"/>
        <sz val="10.0"/>
      </rPr>
      <t>blood</t>
    </r>
    <r>
      <rPr>
        <rFont val="Arial"/>
        <color theme="1"/>
        <sz val="10.0"/>
      </rPr>
      <t>.</t>
    </r>
  </si>
  <si>
    <r>
      <rPr>
        <rFont val="Arial"/>
        <color theme="1"/>
        <sz val="10.0"/>
      </rPr>
      <t xml:space="preserve">Damage is increased for each stack of </t>
    </r>
    <r>
      <rPr>
        <rFont val="Arial"/>
        <color theme="5"/>
        <sz val="10.0"/>
      </rPr>
      <t>blood</t>
    </r>
    <r>
      <rPr>
        <rFont val="Arial"/>
        <color theme="1"/>
        <sz val="10.0"/>
      </rPr>
      <t>.</t>
    </r>
  </si>
  <si>
    <r>
      <rPr>
        <rFont val="Arial"/>
        <color theme="1"/>
        <sz val="10.0"/>
      </rPr>
      <t xml:space="preserve">Range is increased for a short time after you are </t>
    </r>
    <r>
      <rPr>
        <rFont val="Arial"/>
        <color theme="7"/>
        <sz val="10.0"/>
      </rPr>
      <t>corroded</t>
    </r>
    <r>
      <rPr>
        <rFont val="Arial"/>
        <color theme="1"/>
        <sz val="10.0"/>
      </rPr>
      <t>.</t>
    </r>
  </si>
  <si>
    <t>Magazine size and ammo capacity are increased but you regenerate less ammo from dealing damage with your other weapon.</t>
  </si>
  <si>
    <t>https://mycopunk.miraheze.org/wiki/Shredder_Upgrade</t>
  </si>
  <si>
    <r>
      <rPr>
        <rFont val="Arial"/>
        <color theme="1"/>
        <sz val="10.0"/>
      </rPr>
      <t xml:space="preserve">Ammo is refunded to your magazine when you are </t>
    </r>
    <r>
      <rPr>
        <rFont val="Arial"/>
        <color theme="5"/>
        <sz val="10.0"/>
      </rPr>
      <t>ignited</t>
    </r>
    <r>
      <rPr>
        <rFont val="Arial"/>
        <color theme="1"/>
        <sz val="10.0"/>
      </rPr>
      <t>.</t>
    </r>
  </si>
  <si>
    <t>While firing, you move faster but take more damage.</t>
  </si>
  <si>
    <t>Damage area is increased.</t>
  </si>
  <si>
    <r>
      <rPr>
        <rFont val="Arial"/>
        <color theme="1"/>
        <sz val="10.0"/>
      </rPr>
      <t xml:space="preserve">You can hold more stacks of </t>
    </r>
    <r>
      <rPr>
        <rFont val="Arial"/>
        <color rgb="FFEA4335"/>
        <sz val="10.0"/>
      </rPr>
      <t>blood</t>
    </r>
    <r>
      <rPr>
        <rFont val="Arial"/>
        <color theme="1"/>
        <sz val="10.0"/>
      </rPr>
      <t>.</t>
    </r>
  </si>
  <si>
    <r>
      <rPr>
        <rFont val="Arial"/>
        <color theme="1"/>
        <sz val="10.0"/>
      </rPr>
      <t xml:space="preserve">Killing targets provides more </t>
    </r>
    <r>
      <rPr>
        <rFont val="Arial"/>
        <color theme="5"/>
        <sz val="10.0"/>
      </rPr>
      <t>blood</t>
    </r>
    <r>
      <rPr>
        <rFont val="Arial"/>
        <color theme="1"/>
        <sz val="10.0"/>
      </rPr>
      <t>.</t>
    </r>
  </si>
  <si>
    <t>https://mycopunk.miraheze.org/wiki/Sturdy_Upgrade</t>
  </si>
  <si>
    <t>Damage is increased, but you take more damage while sawing.</t>
  </si>
  <si>
    <t>Saw in a much smaller area. Damage is increased.</t>
  </si>
  <si>
    <t>https://mycopunk.miraheze.org/wiki/Tainted_Exhaust_Upgrade</t>
  </si>
  <si>
    <t>https://mycopunk.miraheze.org/wiki/Trifecta_Upgrade</t>
  </si>
  <si>
    <t>https://mycopunk.miraheze.org/wiki/Triple_Upgrade</t>
  </si>
  <si>
    <t>Hold RELOAD to charge up the Shocklance and release to launch yourself forward. Any targets in your way are drilled for continuous damage. Multiple Auger Subroutines increase damage and launch duration.</t>
  </si>
  <si>
    <t>Consecutive shots are fired full-auto without needing to charge up.</t>
  </si>
  <si>
    <t>Press INTERACT to tether yourself to another employee. While tethered, you gain damage resistance and deal increased damage. The other employee's movement ability recharges faster.</t>
  </si>
  <si>
    <t>Killing a target has a chance to create an elemental explosion. Targets killed by the explosion have a chance to create another explosion.</t>
  </si>
  <si>
    <t>Damage and charge-up time are greatly increased.</t>
  </si>
  <si>
    <t>Damage increases with each shot fired before reloading. Multiple copies of this upgrade can stack, but with diminishing returns.</t>
  </si>
  <si>
    <t>https://mycopunk.miraheze.org/wiki/Aux_Reserves_Upgrade</t>
  </si>
  <si>
    <t>Range is greatly increased, but so is recoil.</t>
  </si>
  <si>
    <t>Applies decay.</t>
  </si>
  <si>
    <t>While Auger Subroutine is active and for a short time after, the Shocklance charges faster and you gain damage resistance.</t>
  </si>
  <si>
    <t>Coils linger and increase your outgoing damage when inside.</t>
  </si>
  <si>
    <t>https://mycopunk.miraheze.org/wiki/Feedback_Amplifier_Upgrade</t>
  </si>
  <si>
    <t>The Shocklance passively charges over time. Passive charges is slowed when unequipped.</t>
  </si>
  <si>
    <t>After firing your last shot, an additional coil is fired upward with increased size and damage.</t>
  </si>
  <si>
    <t>Coils linger and increase the move speed of any player inside.</t>
  </si>
  <si>
    <t>You gain increased turning speed while Auger Subroutine is active.</t>
  </si>
  <si>
    <t>Size is increased but range is decreased.</t>
  </si>
  <si>
    <t>Dealing melee damage briefly increases the Shocklance's damage and refunds some reserve ammo.</t>
  </si>
  <si>
    <t>https://mycopunk.miraheze.org/wiki/Long_Scope_Upgrade</t>
  </si>
  <si>
    <t>Charge speed is increased, but magazine size is decreased.</t>
  </si>
  <si>
    <t>Move faster while charging the Shocklance.</t>
  </si>
  <si>
    <t>Applies fire.</t>
  </si>
  <si>
    <t>Charge duration is increased but you can fire at any time while charging. Damage, size, and range are increased the longer you charge.</t>
  </si>
  <si>
    <t>Greatly reduces vertical recoil when Splintered Lance is equipped.</t>
  </si>
  <si>
    <t>https://mycopunk.miraheze.org/wiki/Quickswap_Cartridge_Upgrade</t>
  </si>
  <si>
    <t>Fire in a tight line. Range and damage are increased.</t>
  </si>
  <si>
    <t>Base damage is decreased but the damage of your shots increases for each target they pierce.</t>
  </si>
  <si>
    <t>Fire multiple shots with little accuracy.</t>
  </si>
  <si>
    <t>Piercing multiple targets builds up extra damage for your next shot.</t>
  </si>
  <si>
    <t>Damage is increased, but so is charge-up time.</t>
  </si>
  <si>
    <t>https://mycopunk.miraheze.org/wiki/Reorganized_Reserves_Upgrade</t>
  </si>
  <si>
    <t>Coils apply more of their element to targets.</t>
  </si>
  <si>
    <t>https://mycopunk.miraheze.org/wiki/Pulverizer_Upgrade</t>
  </si>
  <si>
    <t>https://mycopunk.miraheze.org/wiki/Big_Fat_Doobie_Upgrade</t>
  </si>
  <si>
    <t>Hold R to consume your grenade and convert the rest of your magazine into explosive bullets of that grenade's element.</t>
  </si>
  <si>
    <t>https://mycopunk.miraheze.org/wiki/Blood-Rush_Upgrade</t>
  </si>
  <si>
    <t>On reload, you warp back in time to a previous position, then gain a small speed boost and create an explosion.</t>
  </si>
  <si>
    <t>Upon taking damage, you have a chance to fire out a tracking missile.</t>
  </si>
  <si>
    <t>Each stack of the Accelerator's element you apply to targets to before reloading increases the chance to refund your last burst. Some stacks are consumed upon refund.</t>
  </si>
  <si>
    <t>Damage increases based on how fast you're moving. Base damage is decreased.</t>
  </si>
  <si>
    <t>Fire a tracking missile at the end of each burst. The missile's damage and explosion size increase with burst size.</t>
  </si>
  <si>
    <t>https://mycopunk.miraheze.org/wiki/Lucky_Bastard_Upgrade</t>
  </si>
  <si>
    <t>Your magazine is refilled when you are electrocuted.</t>
  </si>
  <si>
    <t>While you are swarmed by bees, the Accelerator deals increased damage. you move faster, and you fall slower.</t>
  </si>
  <si>
    <t>https://mycopunk.miraheze.org/wiki/Volatile_Munitions_Upgrade</t>
  </si>
  <si>
    <t>Fire one massive burst.</t>
  </si>
  <si>
    <t>Create a healing swarm of bees when you reload. After a short duration, the bees begin to damage you.</t>
  </si>
  <si>
    <t>While holding the Accelerator, you regenerate health more quickly the faster you're moving. Regen speed is further increased when the Accelerator's element is fully applied to you.</t>
  </si>
  <si>
    <t>Fire 3 pellets per shot with less accuracy.</t>
  </si>
  <si>
    <t>Unstable recursion leading to unstable recursion leading to unstable recursion leading to</t>
  </si>
  <si>
    <t>Appleid bees.</t>
  </si>
  <si>
    <t>Create a bee explosion when you reload that damages you and nearby enemies. Explosion size and amount of bees increase for each burst fired before reloading.</t>
  </si>
  <si>
    <t>After firing a burst, gain a burst of speed for each bullet fired.</t>
  </si>
  <si>
    <t>https://mycopunk.miraheze.org/wiki/Double_Action_Upgrade</t>
  </si>
  <si>
    <t>Enables full-auto firing. Burst interval is slightly increased.</t>
  </si>
  <si>
    <t>Killing a target grants a stacking bonus to fire rate and reload speed.</t>
  </si>
  <si>
    <t>Shoot allies with bee bullets to heal them.</t>
  </si>
  <si>
    <t>Direct hits deal increased damage while sprinting.</t>
  </si>
  <si>
    <t>Every burst fires 5 bullets.</t>
  </si>
  <si>
    <t>Bullets have a small chance to explode on impact.</t>
  </si>
  <si>
    <t>Gain a burst of speed when reloading with an empty magazine.</t>
  </si>
  <si>
    <t>Generate ammo over time while sprinting. If bees are applied to your bullets, your ammo regenerates faster while airborne.</t>
  </si>
  <si>
    <t>Killing a target grants a stacking move speed bonus.</t>
  </si>
  <si>
    <t>https://mycopunk.miraheze.org/wiki/Feeling_Lucky_Upgrade</t>
  </si>
  <si>
    <t>n/a</t>
  </si>
  <si>
    <t>Bullet size is increased while sprinting.</t>
  </si>
  <si>
    <t>Deal more damage but apply less shock.</t>
  </si>
  <si>
    <t>https://mycopunk.miraheze.org/wiki/Juiced_Up_Upgrade</t>
  </si>
  <si>
    <t>Bullets apply more of the elemental effect.</t>
  </si>
  <si>
    <t>https://mycopunk.miraheze.org/wiki/Modded_Auto_Upgrade</t>
  </si>
  <si>
    <t>https://mycopunk.miraheze.org/wiki/Outlaw_Upgrade</t>
  </si>
  <si>
    <t>https://mycopunk.miraheze.org/wiki/Ralph%27s_Conundrum_Upgrade</t>
  </si>
  <si>
    <t>https://mycopunk.miraheze.org/wiki/Residue_Upgrade</t>
  </si>
  <si>
    <t>Your grenade explodes into clusters of more grenades.</t>
  </si>
  <si>
    <t>https://mycopunk.miraheze.org/wiki/Ride_the_High_Upgrade</t>
  </si>
  <si>
    <t>Your grenade recharges faster when standing near your last grenade's explosion.</t>
  </si>
  <si>
    <r>
      <rPr>
        <rFont val="Arial"/>
        <color theme="1"/>
        <sz val="10.0"/>
      </rPr>
      <t xml:space="preserve">Taking fire damage grants stacks of combustion. At 100 stacks you create a fiery explosion, </t>
    </r>
    <r>
      <rPr>
        <rFont val="Arial"/>
        <color theme="5"/>
        <sz val="10.0"/>
      </rPr>
      <t>igniting</t>
    </r>
    <r>
      <rPr>
        <rFont val="Arial"/>
        <color theme="1"/>
        <sz val="10.0"/>
      </rPr>
      <t xml:space="preserve"> nearby enemies and healing yourself.</t>
    </r>
  </si>
  <si>
    <t>Throwing your grenade has a chance to instantly recharge it, but also has a chance to instantly kill you. Both chances increase on each successful recharge and reset when the grenade kills you.</t>
  </si>
  <si>
    <t>https://mycopunk.miraheze.org/wiki/Self_Storage_Upgrade</t>
  </si>
  <si>
    <r>
      <rPr>
        <rFont val="Arial"/>
        <color theme="1"/>
        <sz val="10.0"/>
      </rPr>
      <t xml:space="preserve">While </t>
    </r>
    <r>
      <rPr>
        <rFont val="Arial"/>
        <color theme="5"/>
        <sz val="10.0"/>
      </rPr>
      <t>ignited</t>
    </r>
    <r>
      <rPr>
        <rFont val="Arial"/>
        <color theme="1"/>
        <sz val="10.0"/>
      </rPr>
      <t>, you take more damage over time but also deal more damage.</t>
    </r>
  </si>
  <si>
    <r>
      <rPr>
        <rFont val="Arial"/>
        <color theme="1"/>
        <sz val="10.0"/>
      </rPr>
      <t xml:space="preserve">Gain grenade charge when you are </t>
    </r>
    <r>
      <rPr>
        <rFont val="Arial"/>
        <color theme="5"/>
        <sz val="10.0"/>
      </rPr>
      <t>ignited</t>
    </r>
    <r>
      <rPr>
        <rFont val="Arial"/>
        <color theme="1"/>
        <sz val="10.0"/>
      </rPr>
      <t>.</t>
    </r>
  </si>
  <si>
    <t>[Redacted]</t>
  </si>
  <si>
    <r>
      <rPr>
        <rFont val="Arial"/>
        <color theme="1"/>
        <sz val="10.0"/>
      </rPr>
      <t xml:space="preserve">Hitting an </t>
    </r>
    <r>
      <rPr>
        <rFont val="Arial"/>
        <color theme="5"/>
        <sz val="10.0"/>
      </rPr>
      <t>ignited</t>
    </r>
    <r>
      <rPr>
        <rFont val="Arial"/>
        <color theme="1"/>
        <sz val="10.0"/>
      </rPr>
      <t xml:space="preserve"> target with your melee generates grenade charge.</t>
    </r>
  </si>
  <si>
    <t>https://mycopunk.miraheze.org/wiki/Adrenaline_Rush_Upgrade</t>
  </si>
  <si>
    <r>
      <rPr>
        <rFont val="Arial"/>
        <color theme="1"/>
        <sz val="10.0"/>
      </rPr>
      <t xml:space="preserve">Damaging yourself with a grenade grants </t>
    </r>
    <r>
      <rPr>
        <rFont val="Arial"/>
        <color theme="5"/>
        <sz val="10.0"/>
      </rPr>
      <t>wildfire</t>
    </r>
    <r>
      <rPr>
        <rFont val="Arial"/>
        <color theme="1"/>
        <sz val="10.0"/>
      </rPr>
      <t xml:space="preserve">. While </t>
    </r>
    <r>
      <rPr>
        <rFont val="Arial"/>
        <color theme="5"/>
        <sz val="10.0"/>
      </rPr>
      <t>wildfire</t>
    </r>
    <r>
      <rPr>
        <rFont val="Arial"/>
        <color theme="1"/>
        <sz val="10.0"/>
      </rPr>
      <t xml:space="preserve"> is active, any normal damage you deal is converted to </t>
    </r>
    <r>
      <rPr>
        <rFont val="Arial"/>
        <color theme="5"/>
        <sz val="10.0"/>
      </rPr>
      <t>fire</t>
    </r>
    <r>
      <rPr>
        <rFont val="Arial"/>
        <color theme="1"/>
        <sz val="10.0"/>
      </rPr>
      <t xml:space="preserve"> damage.</t>
    </r>
  </si>
  <si>
    <t>Gain a second grenade charge. Cooldown is slightly increased.</t>
  </si>
  <si>
    <r>
      <rPr>
        <rFont val="Arial"/>
        <color theme="1"/>
        <sz val="10.0"/>
      </rPr>
      <t xml:space="preserve">Hitting a </t>
    </r>
    <r>
      <rPr>
        <rFont val="Arial"/>
        <color theme="7"/>
        <sz val="10.0"/>
      </rPr>
      <t>corroded</t>
    </r>
    <r>
      <rPr>
        <rFont val="Arial"/>
        <color theme="1"/>
        <sz val="10.0"/>
      </rPr>
      <t xml:space="preserve"> target with your grenade increases the explosion size of your next grenade.</t>
    </r>
  </si>
  <si>
    <r>
      <rPr>
        <rFont val="Arial"/>
        <color theme="1"/>
        <sz val="10.0"/>
      </rPr>
      <t xml:space="preserve">Grenade cooldown is reduced, but you take more </t>
    </r>
    <r>
      <rPr>
        <rFont val="Arial"/>
        <color theme="5"/>
        <sz val="10.0"/>
      </rPr>
      <t>fire</t>
    </r>
    <r>
      <rPr>
        <rFont val="Arial"/>
        <color theme="1"/>
        <sz val="10.0"/>
      </rPr>
      <t xml:space="preserve"> damage.</t>
    </r>
  </si>
  <si>
    <t>Your grenades deal more impact damage but deal extra damage to you.</t>
  </si>
  <si>
    <t>https://mycopunk.miraheze.org/wiki/Burning_Tips_Upgrade</t>
  </si>
  <si>
    <r>
      <rPr>
        <rFont val="Arial"/>
        <color theme="1"/>
        <sz val="10.0"/>
      </rPr>
      <t xml:space="preserve">Your melee applies </t>
    </r>
    <r>
      <rPr>
        <rFont val="Arial"/>
        <color theme="5"/>
        <sz val="10.0"/>
      </rPr>
      <t>fire</t>
    </r>
    <r>
      <rPr>
        <rFont val="Arial"/>
        <color theme="1"/>
        <sz val="10.0"/>
      </rPr>
      <t>.</t>
    </r>
  </si>
  <si>
    <t>Any outgoing damage matching this grenade's element is increased.</t>
  </si>
  <si>
    <t>Gain health when you throw a grenade.</t>
  </si>
  <si>
    <t>Grenades bounce and explode on each bounce.</t>
  </si>
  <si>
    <t>Your grenade explosions heal players.</t>
  </si>
  <si>
    <t>Your grenade applies less of its element to you.</t>
  </si>
  <si>
    <t>https://mycopunk.miraheze.org/wiki/Chemical_Symbiosis_Upgrade</t>
  </si>
  <si>
    <t>Grenade cooldown is reduced.</t>
  </si>
  <si>
    <t>Explosion size is increased but impact damage is decreased.</t>
  </si>
  <si>
    <t>Taking damage from any source other than your grenade provides some grenade charge.</t>
  </si>
  <si>
    <t>Taking damage from any source other than your grenade has a small chance to toss out a grenade. This chance is proportional to the amount of damage taken.</t>
  </si>
  <si>
    <t>https://mycopunk.miraheze.org/wiki/Controlled_Substance_Upgrade</t>
  </si>
  <si>
    <t>Sliding will periodically throw out your grenade without consuming a charge. Stacking this upgrade throws additional grenades.</t>
  </si>
  <si>
    <t>Grenades cost health to fire and no longer have a cooldown</t>
  </si>
  <si>
    <t>https://mycopunk.miraheze.org/wiki/Delirium_Upgrade</t>
  </si>
  <si>
    <t>https://mycopunk.miraheze.org/wiki/Fan_Fire_Upgrade</t>
  </si>
  <si>
    <t>https://mycopunk.miraheze.org/wiki/Fresh_Bullet_Frenzy_Upgrade</t>
  </si>
  <si>
    <t>https://mycopunk.miraheze.org/wiki/High_Caliber_Upgrade</t>
  </si>
  <si>
    <t>https://mycopunk.miraheze.org/wiki/Home_Cooking_Upgrade</t>
  </si>
  <si>
    <t>Grenades fire lightning strikes downward as they fly.</t>
  </si>
  <si>
    <t>Grenades deal way less damage in a very small radius, but recharge much faster.</t>
  </si>
  <si>
    <t>You become the grenade, exploding multiple times and gaining increased move speed.</t>
  </si>
  <si>
    <t>https://mycopunk.miraheze.org/wiki/Just_Add_More_Gunpowder_Upgrade</t>
  </si>
  <si>
    <t>Gain a small double jump.</t>
  </si>
  <si>
    <t>Grenades magnetize toward enemies.</t>
  </si>
  <si>
    <t>When you're at critical health, throwing your grenade partially recharges your movement ability.</t>
  </si>
  <si>
    <t>If your grenade explosion hits an ignited target, it creates a second damaging explosion.</t>
  </si>
  <si>
    <t>Your grenades launch you straight up when hitting you.</t>
  </si>
  <si>
    <t>https://mycopunk.miraheze.org/wiki/Lucky_Last_Upgrade</t>
  </si>
  <si>
    <t>When Livewire is active, you move even faster and can't stop sprinting.</t>
  </si>
  <si>
    <r>
      <rPr>
        <rFont val="Arial"/>
        <color theme="1"/>
        <sz val="10.0"/>
      </rPr>
      <t xml:space="preserve">Gain grenade energy when you </t>
    </r>
    <r>
      <rPr>
        <rFont val="Arial"/>
        <color theme="4"/>
        <sz val="10.0"/>
      </rPr>
      <t>electrocute</t>
    </r>
    <r>
      <rPr>
        <rFont val="Arial"/>
        <color theme="1"/>
        <sz val="10.0"/>
      </rPr>
      <t xml:space="preserve"> a target with another weapon.</t>
    </r>
  </si>
  <si>
    <t>Grenades launch you away from the explosion.</t>
  </si>
  <si>
    <t>Move faster while your grenade is recharging.</t>
  </si>
  <si>
    <t>https://mycopunk.miraheze.org/wiki/Practice_Makes_Perfect_Upgrade</t>
  </si>
  <si>
    <t>Your grenades phase through shields.</t>
  </si>
  <si>
    <t>Your grenade recharges faster while sliding.</t>
  </si>
  <si>
    <t>Grenades stun enemies.</t>
  </si>
  <si>
    <t>Players hit by the grenade's explosion gain increased move speed for a short time.</t>
  </si>
  <si>
    <t>Explosion size is increased.</t>
  </si>
  <si>
    <t>https://mycopunk.miraheze.org/wiki/Shrapnel_Loading_Upgrade</t>
  </si>
  <si>
    <t>Throw grenades with more force.</t>
  </si>
  <si>
    <t>https://mycopunk.miraheze.org/wiki/Unnatural_Focus_Upgrade</t>
  </si>
  <si>
    <t>https://mycopunk.miraheze.org/wiki/Bandolier_Upgrade</t>
  </si>
  <si>
    <t>https://mycopunk.miraheze.org/wiki/Breathe_Deep_Upgrade</t>
  </si>
  <si>
    <t>https://mycopunk.miraheze.org/wiki/Hallucinated_Space_Upgrade</t>
  </si>
  <si>
    <t>https://mycopunk.miraheze.org/wiki/Lead_Poisoning_Upgrade</t>
  </si>
  <si>
    <t>https://mycopunk.miraheze.org/wiki/Return_to_Receiver_Upgrade</t>
  </si>
  <si>
    <t>Grenades activate your employee's secondary ability on impact.</t>
  </si>
  <si>
    <t>Grenades call in a heavy weapon drop on impact. Cooldown is increased.</t>
  </si>
  <si>
    <t>Your grenade is partially recharged when you get hit by an enemy's overclocked explosion. You gain more charge the closer you are to the explosion's epicenter. Overclocked explosions that would kill you instead reduce your health to 1.</t>
  </si>
  <si>
    <r>
      <rPr>
        <rFont val="Arial"/>
        <color theme="1"/>
        <sz val="10.0"/>
      </rPr>
      <t xml:space="preserve">You have a chance to create an </t>
    </r>
    <r>
      <rPr>
        <rFont val="Arial"/>
        <color theme="7"/>
        <sz val="10.0"/>
      </rPr>
      <t>acid</t>
    </r>
    <r>
      <rPr>
        <rFont val="Arial"/>
        <color theme="1"/>
        <sz val="10.0"/>
      </rPr>
      <t xml:space="preserve"> explosion when you take damage.</t>
    </r>
  </si>
  <si>
    <t>https://mycopunk.miraheze.org/wiki/Clearing_Plasma_Upgrade</t>
  </si>
  <si>
    <r>
      <rPr>
        <rFont val="Arial"/>
        <color theme="1"/>
        <sz val="10.0"/>
      </rPr>
      <t xml:space="preserve">Grenades apply </t>
    </r>
    <r>
      <rPr>
        <rFont val="Arial"/>
        <color theme="7"/>
        <sz val="10.0"/>
      </rPr>
      <t>rot</t>
    </r>
    <r>
      <rPr>
        <rFont val="Arial"/>
        <color theme="1"/>
        <sz val="10.0"/>
      </rPr>
      <t xml:space="preserve"> to metallic targets.</t>
    </r>
  </si>
  <si>
    <r>
      <rPr>
        <rFont val="Arial"/>
        <color theme="1"/>
        <sz val="10.0"/>
      </rPr>
      <t xml:space="preserve">Hitting an </t>
    </r>
    <r>
      <rPr>
        <rFont val="Arial"/>
        <color theme="4"/>
        <sz val="10.0"/>
      </rPr>
      <t>electrocuted</t>
    </r>
    <r>
      <rPr>
        <rFont val="Arial"/>
        <color theme="1"/>
        <sz val="10.0"/>
      </rPr>
      <t xml:space="preserve"> target with your grenade </t>
    </r>
    <r>
      <rPr>
        <rFont val="Arial"/>
        <color theme="5"/>
        <sz val="10.0"/>
      </rPr>
      <t>ignites</t>
    </r>
    <r>
      <rPr>
        <rFont val="Arial"/>
        <color theme="1"/>
        <sz val="10.0"/>
      </rPr>
      <t xml:space="preserve"> it.</t>
    </r>
  </si>
  <si>
    <r>
      <rPr>
        <rFont val="Arial"/>
        <color theme="1"/>
        <sz val="10.0"/>
      </rPr>
      <t xml:space="preserve">Grenades explode into lingering </t>
    </r>
    <r>
      <rPr>
        <rFont val="Arial"/>
        <color theme="7"/>
        <sz val="10.0"/>
      </rPr>
      <t>acid</t>
    </r>
    <r>
      <rPr>
        <rFont val="Arial"/>
        <color theme="1"/>
        <sz val="10.0"/>
      </rPr>
      <t xml:space="preserve"> puddles.</t>
    </r>
  </si>
  <si>
    <t>Teleport to your grenade when it lands.</t>
  </si>
  <si>
    <t>https://mycopunk.miraheze.org/wiki/Compressed_Plate_Storage_Upgrade</t>
  </si>
  <si>
    <t>Your grenade recharges faster while you are standing still.</t>
  </si>
  <si>
    <t>Grenades pull targets in before exploding.</t>
  </si>
  <si>
    <r>
      <rPr>
        <rFont val="Arial"/>
        <color theme="1"/>
        <sz val="10.0"/>
      </rPr>
      <t xml:space="preserve">Your grenade recharges faster while standing in an </t>
    </r>
    <r>
      <rPr>
        <rFont val="Arial"/>
        <color theme="7"/>
        <sz val="10.0"/>
      </rPr>
      <t>acid</t>
    </r>
    <r>
      <rPr>
        <rFont val="Arial"/>
        <color theme="1"/>
        <sz val="10.0"/>
      </rPr>
      <t xml:space="preserve"> puddle.</t>
    </r>
  </si>
  <si>
    <t>https://mycopunk.miraheze.org/wiki/Damage_Arc_Upgrade</t>
  </si>
  <si>
    <t>Throw 2 grenades at once in a larger spread. Explosion size is decreased.</t>
  </si>
  <si>
    <t>Players hit by your grenade's explosion gain movement ability charge. Cooldown is slightly reduced.</t>
  </si>
  <si>
    <t>Grenades have a chance to create a second explosion of a random element.</t>
  </si>
  <si>
    <t>Grenades give nearby players an overshield on impact.</t>
  </si>
  <si>
    <t>Grenades are thrown with more force and aren't affected by gravity.</t>
  </si>
  <si>
    <t>https://mycopunk.miraheze.org/wiki/Fencing_Construction_Upgrade</t>
  </si>
  <si>
    <t>Cooldown is reduced.</t>
  </si>
  <si>
    <t>Explosion size is increased, but so is cooldown.</t>
  </si>
  <si>
    <t>https://mycopunk.miraheze.org/wiki/Becall_Upgrade</t>
  </si>
  <si>
    <t>https://mycopunk.miraheze.org/wiki/Charge_Recycling_Upgrade</t>
  </si>
  <si>
    <t>https://mycopunk.miraheze.org/wiki/High_Ground_Upgrade</t>
  </si>
  <si>
    <t>https://mycopunk.miraheze.org/wiki/Improvised_Explosives_Upgrade</t>
  </si>
  <si>
    <t>https://mycopunk.miraheze.org/wiki/Impulse_Redirection_Upgrade</t>
  </si>
  <si>
    <t>https://mycopunk.miraheze.org/wiki/Painter%27s_Attachment_Upgrade</t>
  </si>
  <si>
    <t>https://mycopunk.miraheze.org/wiki/Salad_Plates_Upgrade</t>
  </si>
  <si>
    <t>Enables wallrun.</t>
  </si>
  <si>
    <t>Health chunks provide less healing, but refund ammo to your equipped weapon.</t>
  </si>
  <si>
    <t>Blink forward when you slide.</t>
  </si>
  <si>
    <t>Killing an enemy with a melee attack partially reloads your equipped weapon.</t>
  </si>
  <si>
    <t>Fully applying the primary element to a target has a chance to apply 10 stacks of the secondary element.</t>
  </si>
  <si>
    <t>Health regeneration starts immediately when the given elemental effect wares off.</t>
  </si>
  <si>
    <t>https://mycopunk.miraheze.org/wiki/Shockwave_Upgrade</t>
  </si>
  <si>
    <t>When affected by an element, any outgoing damage matching that effect is increased.</t>
  </si>
  <si>
    <t>Instantly consume health chunks you shoot off of enemies. Chunks consumed this way provide less healing.</t>
  </si>
  <si>
    <t>Small health chunks recharge your grenade, but no longer heal.</t>
  </si>
  <si>
    <t>Your health regenerates faster while sprinting.</t>
  </si>
  <si>
    <t>Move faster after the given element is fully applied to you.</t>
  </si>
  <si>
    <t>https://mycopunk.miraheze.org/wiki/Storage_Surplus_Upgrade</t>
  </si>
  <si>
    <t>Killing any target with a melee attack partially reloads your equipped weapon.</t>
  </si>
  <si>
    <t>Take less damage while sliding.</t>
  </si>
  <si>
    <t>Slide duration is increased.</t>
  </si>
  <si>
    <t>Your stowed weapons are automatically reloaded after a short time.</t>
  </si>
  <si>
    <t>Reload Speed: [+26.58% - +20.48%]</t>
  </si>
  <si>
    <r>
      <rPr>
        <rFont val="Arial"/>
        <color theme="1"/>
        <sz val="10.0"/>
      </rPr>
      <t xml:space="preserve">Apply more </t>
    </r>
    <r>
      <rPr>
        <rFont val="Arial"/>
        <color theme="7"/>
        <sz val="10.0"/>
      </rPr>
      <t>acid</t>
    </r>
    <r>
      <rPr>
        <rFont val="Arial"/>
        <color theme="1"/>
        <sz val="10.0"/>
      </rPr>
      <t xml:space="preserve"> to all targets.</t>
    </r>
  </si>
  <si>
    <t>Gain a small burst of speed when you pick up a health chunk.</t>
  </si>
  <si>
    <t>https://mycopunk.miraheze.org/wiki/Aerodynamic_Plates_Upgrade</t>
  </si>
  <si>
    <t>You take more damage but also receive more healing from health chunks.</t>
  </si>
  <si>
    <t>Blood Rush bullets deal increased damage.
Bonus Damage: [+13 - +15]</t>
  </si>
  <si>
    <t>Gain health when you stop taking damage from the given elemental effect.</t>
  </si>
  <si>
    <t>Chance: [+3.5% - +5%]</t>
  </si>
  <si>
    <r>
      <rPr>
        <rFont val="Arial"/>
        <color theme="1"/>
        <sz val="10.0"/>
      </rPr>
      <t xml:space="preserve">Apply more </t>
    </r>
    <r>
      <rPr>
        <rFont val="Arial"/>
        <color theme="5"/>
        <sz val="10.0"/>
      </rPr>
      <t>fire</t>
    </r>
    <r>
      <rPr>
        <rFont val="Arial"/>
        <color theme="1"/>
        <sz val="10.0"/>
      </rPr>
      <t xml:space="preserve"> to all targets.</t>
    </r>
  </si>
  <si>
    <t>Slide speed is increased.</t>
  </si>
  <si>
    <t>Explosions have a chance to trigger when killing any target.
Chance: [7% - 9%]</t>
  </si>
  <si>
    <t>Killing an enemy with a melee attack drops additional small health chunks.</t>
  </si>
  <si>
    <t>https://mycopunk.miraheze.org/wiki/Auto-Demolition_Upgrade</t>
  </si>
  <si>
    <t>Health is increased.</t>
  </si>
  <si>
    <t>Gain health when you repair another player.</t>
  </si>
  <si>
    <r>
      <rPr>
        <rFont val="Arial"/>
        <color theme="1"/>
        <sz val="10.0"/>
      </rPr>
      <t xml:space="preserve">Apply more </t>
    </r>
    <r>
      <rPr>
        <rFont val="Arial"/>
        <color theme="4"/>
        <sz val="10.0"/>
      </rPr>
      <t>shock</t>
    </r>
    <r>
      <rPr>
        <rFont val="Arial"/>
        <color theme="1"/>
        <sz val="10.0"/>
      </rPr>
      <t xml:space="preserve"> to all targets.</t>
    </r>
  </si>
  <si>
    <t>Slider duration is increased for each cell that touches another upgrade.</t>
  </si>
  <si>
    <r>
      <rPr>
        <rFont val="Arial"/>
        <color theme="1"/>
        <sz val="10.0"/>
      </rPr>
      <t xml:space="preserve">Move faster while </t>
    </r>
    <r>
      <rPr>
        <rFont val="Arial"/>
        <color theme="4"/>
        <sz val="10.0"/>
      </rPr>
      <t>electrocuted</t>
    </r>
    <r>
      <rPr>
        <rFont val="Arial"/>
        <color theme="1"/>
        <sz val="10.0"/>
      </rPr>
      <t>.</t>
    </r>
  </si>
  <si>
    <t>https://mycopunk.miraheze.org/wiki/Bouncy_Plates_Upgrade</t>
  </si>
  <si>
    <r>
      <rPr>
        <rFont val="Arial"/>
        <color theme="1"/>
        <sz val="10.0"/>
      </rPr>
      <t xml:space="preserve">Take less </t>
    </r>
    <r>
      <rPr>
        <rFont val="Arial"/>
        <color theme="7"/>
        <sz val="10.0"/>
      </rPr>
      <t>acid</t>
    </r>
    <r>
      <rPr>
        <rFont val="Arial"/>
        <color theme="1"/>
        <sz val="10.0"/>
      </rPr>
      <t xml:space="preserve"> damage from being </t>
    </r>
    <r>
      <rPr>
        <rFont val="Arial"/>
        <color theme="7"/>
        <sz val="10.0"/>
      </rPr>
      <t>corroded</t>
    </r>
    <r>
      <rPr>
        <rFont val="Arial"/>
        <color theme="1"/>
        <sz val="10.0"/>
      </rPr>
      <t>.</t>
    </r>
  </si>
  <si>
    <r>
      <rPr>
        <rFont val="Arial"/>
        <color theme="1"/>
        <sz val="10.0"/>
      </rPr>
      <t xml:space="preserve">Take less </t>
    </r>
    <r>
      <rPr>
        <rFont val="Arial"/>
        <color theme="5"/>
        <sz val="10.0"/>
      </rPr>
      <t>fire</t>
    </r>
    <r>
      <rPr>
        <rFont val="Arial"/>
        <color theme="1"/>
        <sz val="10.0"/>
      </rPr>
      <t xml:space="preserve"> damage from being </t>
    </r>
    <r>
      <rPr>
        <rFont val="Arial"/>
        <color theme="5"/>
        <sz val="10.0"/>
      </rPr>
      <t>ignited</t>
    </r>
    <r>
      <rPr>
        <rFont val="Arial"/>
        <color theme="1"/>
        <sz val="10.0"/>
      </rPr>
      <t>.</t>
    </r>
  </si>
  <si>
    <r>
      <rPr>
        <rFont val="Arial"/>
        <color theme="1"/>
        <sz val="10.0"/>
      </rPr>
      <t xml:space="preserve">Take less </t>
    </r>
    <r>
      <rPr>
        <rFont val="Arial"/>
        <color theme="4"/>
        <sz val="10.0"/>
      </rPr>
      <t>shock</t>
    </r>
    <r>
      <rPr>
        <rFont val="Arial"/>
        <color theme="1"/>
        <sz val="10.0"/>
      </rPr>
      <t xml:space="preserve"> damage from being </t>
    </r>
    <r>
      <rPr>
        <rFont val="Arial"/>
        <color theme="4"/>
        <sz val="10.0"/>
      </rPr>
      <t>electrocuted</t>
    </r>
    <r>
      <rPr>
        <rFont val="Arial"/>
        <color theme="1"/>
        <sz val="10.0"/>
      </rPr>
      <t>.</t>
    </r>
  </si>
  <si>
    <t>Highlights low-health enemy parts.</t>
  </si>
  <si>
    <t>Converts all outgoing damage to the given element.</t>
  </si>
  <si>
    <t>Gain 50% extra max health. Collecting this upgrade rerolls all existing upgrades but doesn't change their patterns.</t>
  </si>
  <si>
    <t>https://mycopunk.miraheze.org/wiki/Decay_Plates_Upgrade</t>
  </si>
  <si>
    <r>
      <rPr>
        <rFont val="Arial"/>
        <color theme="7"/>
        <sz val="10.0"/>
      </rPr>
      <t>Standard</t>
    </r>
    <r>
      <rPr>
        <rFont val="Arial"/>
        <color theme="1"/>
        <sz val="10.0"/>
      </rPr>
      <t xml:space="preserve"> upgrades are 1 cell.
</t>
    </r>
    <r>
      <rPr>
        <rFont val="Arial"/>
        <color rgb="FF4A86E8"/>
        <sz val="10.0"/>
      </rPr>
      <t>Rare</t>
    </r>
    <r>
      <rPr>
        <rFont val="Arial"/>
        <color theme="1"/>
        <sz val="10.0"/>
      </rPr>
      <t xml:space="preserve"> upgrades are 2 cells.
</t>
    </r>
    <r>
      <rPr>
        <rFont val="Arial"/>
        <color rgb="FFFF0000"/>
        <sz val="10.0"/>
      </rPr>
      <t>Epic</t>
    </r>
    <r>
      <rPr>
        <rFont val="Arial"/>
        <color theme="1"/>
        <sz val="10.0"/>
      </rPr>
      <t xml:space="preserve"> upgrades are 3 cells.
</t>
    </r>
    <r>
      <rPr>
        <rFont val="Arial"/>
        <color theme="8"/>
        <sz val="10.0"/>
      </rPr>
      <t>Exotic</t>
    </r>
    <r>
      <rPr>
        <rFont val="Arial"/>
        <color theme="1"/>
        <sz val="10.0"/>
      </rPr>
      <t xml:space="preserve"> upgrades are 4 cells.</t>
    </r>
  </si>
  <si>
    <t>Collecting this upgrade randomizes your employee rerolls all existing employee upgrades but doesn't change their patterns.</t>
  </si>
  <si>
    <t>https://mycopunk.miraheze.org/wiki/Electrified_Plates_Upgrade</t>
  </si>
  <si>
    <t>https://mycopunk.miraheze.org/wiki/Nice_Catch_Upgrade</t>
  </si>
  <si>
    <t>https://mycopunk.miraheze.org/wiki/Pole_Alignment_Upgrade</t>
  </si>
  <si>
    <t>https://mycopunk.miraheze.org/wiki/Power_Recall_Upgrade</t>
  </si>
  <si>
    <t>Let's trade.</t>
  </si>
  <si>
    <t>https://mycopunk.miraheze.org/wiki/Rail-Tuning_Upgrade</t>
  </si>
  <si>
    <t>Attempting to use your Rocket Lasso while it's recharging damages you and grants some charge.</t>
  </si>
  <si>
    <t>Gain a second Air Dash charge.</t>
  </si>
  <si>
    <t>Eyes have a chance to sprout from enemies you kill. Destroy an eye to gain health and a stacking bonus to damage and move speed.</t>
  </si>
  <si>
    <t>Melee a surface below you to launch yourself upward.</t>
  </si>
  <si>
    <t>https://mycopunk.miraheze.org/wiki/Shish_Kebab_Upgrade</t>
  </si>
  <si>
    <r>
      <rPr>
        <rFont val="Arial"/>
        <color theme="1"/>
        <sz val="10.0"/>
      </rPr>
      <t xml:space="preserve">Air Dash </t>
    </r>
    <r>
      <rPr>
        <rFont val="Arial"/>
        <color theme="5"/>
        <sz val="10.0"/>
      </rPr>
      <t>ignites</t>
    </r>
    <r>
      <rPr>
        <rFont val="Arial"/>
        <color theme="1"/>
        <sz val="10.0"/>
      </rPr>
      <t xml:space="preserve"> targets in your wake.</t>
    </r>
  </si>
  <si>
    <r>
      <rPr>
        <rFont val="Arial"/>
        <color theme="1"/>
        <sz val="10.0"/>
      </rPr>
      <t xml:space="preserve">Briefly gain </t>
    </r>
    <r>
      <rPr>
        <rFont val="Arial"/>
        <color rgb="FFFF00FF"/>
        <sz val="10.0"/>
      </rPr>
      <t>immunity</t>
    </r>
    <r>
      <rPr>
        <rFont val="Arial"/>
        <color theme="1"/>
        <sz val="10.0"/>
      </rPr>
      <t xml:space="preserve"> after using your air dash.</t>
    </r>
  </si>
  <si>
    <t>Gain a second Rocket Lasso charge.</t>
  </si>
  <si>
    <t>Your lasso explodes.</t>
  </si>
  <si>
    <t>Push nearby targets in the direction of your air dash.</t>
  </si>
  <si>
    <t>Slide speed is briefly increased after using your Air Dash.</t>
  </si>
  <si>
    <t>When landing with enough force. some of your vertical momentum is converted to horizontal speed.</t>
  </si>
  <si>
    <t>https://mycopunk.miraheze.org/wiki/Simple_Inertia_Upgrade</t>
  </si>
  <si>
    <t>Using a quip gives you a burst of speed.</t>
  </si>
  <si>
    <t>Creates an explosion at your current position when you use your Rocket Lasso.</t>
  </si>
  <si>
    <t>Your Rocket Lasso has a chance to partially recharge when you fully apply the given element to a target.</t>
  </si>
  <si>
    <t>Recharges your Air Dash when the given element is fully applied to you.</t>
  </si>
  <si>
    <t>https://mycopunk.miraheze.org/wiki/Slap-Job_Upgrade</t>
  </si>
  <si>
    <t>Your equipped weapon is partially reloaded when you throw your lasso.</t>
  </si>
  <si>
    <t>Lassoing a broken player part refunds some Rocket Lasso charge.</t>
  </si>
  <si>
    <t>Jump out of a slide to gain a burst of upward speed.</t>
  </si>
  <si>
    <t>Rocket Lasso range is increased for each cell that touches this upgrade.</t>
  </si>
  <si>
    <t>Pulling a health chunk with your lasso equips it. Throw the chunk to create a healing explosion.</t>
  </si>
  <si>
    <t>Lasso a Hornet to push it away.</t>
  </si>
  <si>
    <t>https://mycopunk.miraheze.org/wiki/Tungsten_Cube_Upgrade</t>
  </si>
  <si>
    <t>Rocket Lasso cooldown is reduced.</t>
  </si>
  <si>
    <t>Plates can pierce shields.</t>
  </si>
  <si>
    <t>Lasso a surface directly in front of you to launch yourself away from it.</t>
  </si>
  <si>
    <t>Slide speed is briefly increased after using your Rocket Lasso.</t>
  </si>
  <si>
    <t>Your melee damage and size is increased for a short time after using your Rocket Lasso.</t>
  </si>
  <si>
    <t>Magazine Size: [+1]</t>
  </si>
  <si>
    <t>Jump out of a slide to gain a burst of forward speed.</t>
  </si>
  <si>
    <t>Air Dash now sends you in whatever direction you are facing, without restrictions.</t>
  </si>
  <si>
    <t>Damage arc also triggers on normal damage.</t>
  </si>
  <si>
    <t>https://mycopunk.miraheze.org/wiki/Weight_Rebalanced_Upgrade</t>
  </si>
  <si>
    <t>You can aim while sliding.</t>
  </si>
  <si>
    <t>Slide when landing to roll and gain a burst of speed.</t>
  </si>
  <si>
    <t>Interval: [-0.02 - -0.03]</t>
  </si>
  <si>
    <t>Air Dash duration is increased.</t>
  </si>
  <si>
    <t>Rocket Lasso range and force are increased.</t>
  </si>
  <si>
    <t>Dealing damage extends your slide and increases reload speed.</t>
  </si>
  <si>
    <t>Rocket Lasso force is increased.</t>
  </si>
  <si>
    <t>You periodically mark a nearby medium or large enemy for death, gaining increased damage against it. Killing a marked enemy moves the mark to another nearby enemy.</t>
  </si>
  <si>
    <t>https://mycopunk.miraheze.org/wiki/Double_A_Upgrade</t>
  </si>
  <si>
    <t>Gain increased fire rate and reload speed when under full health.</t>
  </si>
  <si>
    <t>https://mycopunk.miraheze.org/wiki/Sharper_Edges_Upgrade</t>
  </si>
  <si>
    <t>Made of harder hard-light.</t>
  </si>
  <si>
    <t>Gain a second Nose Dive charge.</t>
  </si>
  <si>
    <t>Your Shield Projector creates a large cube that traps enemies inside. Players inside the cute heal over time. Shield duration is increased.</t>
  </si>
  <si>
    <t>Your Nose Dive impact creates a temporary bubble shield.</t>
  </si>
  <si>
    <t>Nose Dive releases a bolt of lightning that arcs between up to 12 targets.</t>
  </si>
  <si>
    <t>Hold F to gain damage resistance and draw the attention of all enemies for a short time.</t>
  </si>
  <si>
    <t>Nose Dive's blast radius increases based on how far you dove.</t>
  </si>
  <si>
    <t>Your Shield Projector is now a dome.</t>
  </si>
  <si>
    <t>Your Shield Projector applies the given element to targets within its impact zone. Cooldown is increased.</t>
  </si>
  <si>
    <t>Bounce from Nose Dive into another dive.</t>
  </si>
  <si>
    <t>Nose Dive applies whatever element you're currently affected by.</t>
  </si>
  <si>
    <r>
      <rPr>
        <rFont val="Arial"/>
        <color theme="1"/>
        <sz val="10.0"/>
      </rPr>
      <t xml:space="preserve">Nose Dive applies </t>
    </r>
    <r>
      <rPr>
        <rFont val="Arial"/>
        <color rgb="FF9900FF"/>
        <sz val="10.0"/>
      </rPr>
      <t>decay</t>
    </r>
    <r>
      <rPr>
        <rFont val="Arial"/>
        <color theme="1"/>
        <sz val="10.0"/>
      </rPr>
      <t>.</t>
    </r>
  </si>
  <si>
    <t>Your Shield Projector grants all nearby players an overshield when placed.</t>
  </si>
  <si>
    <t>Activating your Shield Projector launches you backward.</t>
  </si>
  <si>
    <t>Hit allies with your Nose Dive to reload their weapons.</t>
  </si>
  <si>
    <t>Health is increased, but run speed is slightly decreased.</t>
  </si>
  <si>
    <t>https://mycopunk.miraheze.org/wiki/Yellow_Prism_Upgrade</t>
  </si>
  <si>
    <t>Nose Dive cooldown is reduced.</t>
  </si>
  <si>
    <t>Press P 3 times to detonate yourself.</t>
  </si>
  <si>
    <t>Nose Dive deals much more damage in a much smaller radius.</t>
  </si>
  <si>
    <t>More Nose Dive charge is refunded when you leap without diving.</t>
  </si>
  <si>
    <t>Shield Projector cooldown is reduced.</t>
  </si>
  <si>
    <t>All other players are healed when you die.</t>
  </si>
  <si>
    <t>Your leap travels much further.</t>
  </si>
  <si>
    <t>Nose Dive pulls targets toward you.</t>
  </si>
  <si>
    <t>https://mycopunk.miraheze.org/wiki/Heavy_Munitions_Upgrade</t>
  </si>
  <si>
    <r>
      <rPr>
        <rFont val="Arial"/>
        <color theme="1"/>
        <sz val="10.0"/>
      </rPr>
      <t xml:space="preserve">Allies hit by your Nose Dive become briefly </t>
    </r>
    <r>
      <rPr>
        <rFont val="Arial"/>
        <color rgb="FFFF00FF"/>
        <sz val="10.0"/>
      </rPr>
      <t>immune</t>
    </r>
    <r>
      <rPr>
        <rFont val="Arial"/>
        <color theme="1"/>
        <sz val="10.0"/>
      </rPr>
      <t>.</t>
    </r>
  </si>
  <si>
    <r>
      <rPr>
        <rFont val="Arial"/>
        <color theme="1"/>
        <sz val="10.0"/>
      </rPr>
      <t xml:space="preserve">Making an ally </t>
    </r>
    <r>
      <rPr>
        <rFont val="Arial"/>
        <color rgb="FFFF00FF"/>
        <sz val="10.0"/>
      </rPr>
      <t>immune</t>
    </r>
    <r>
      <rPr>
        <rFont val="Arial"/>
        <color theme="1"/>
        <sz val="10.0"/>
      </rPr>
      <t xml:space="preserve"> with With Me makes you briefly </t>
    </r>
    <r>
      <rPr>
        <rFont val="Arial"/>
        <color rgb="FFFF00FF"/>
        <sz val="10.0"/>
      </rPr>
      <t>immune</t>
    </r>
    <r>
      <rPr>
        <rFont val="Arial"/>
        <color theme="1"/>
        <sz val="10.0"/>
      </rPr>
      <t>.</t>
    </r>
  </si>
  <si>
    <t>Jump during a Nose Dive to cancel it and keep your momentum.</t>
  </si>
  <si>
    <t>Your Shield Projector pushes enemies away with more force.</t>
  </si>
  <si>
    <t>Nose Dive blast radius is increased, but damage is decreased.</t>
  </si>
  <si>
    <t>Leap with more force when activating Nose Dive.</t>
  </si>
  <si>
    <t>Nose Dive pushes targets away from you.</t>
  </si>
  <si>
    <t>https://mycopunk.miraheze.org/wiki/Lagrange_Halo_Upgrade</t>
  </si>
  <si>
    <t>Slide in the air to cannonball downwards at great speeds. Hitting the ground with enough force triggers a special Nose Dive impact that deals increased damage but has less potent effects.</t>
  </si>
  <si>
    <t>Landing a Nose Dive briefly empowers your next shield, increasing its damage and reducing its duration. This shield refunds some charge when it runs out.</t>
  </si>
  <si>
    <t>https://mycopunk.miraheze.org/wiki/Missile_Bay_Upgrade</t>
  </si>
  <si>
    <t>https://mycopunk.miraheze.org/wiki/Tinderbox_Upgrade</t>
  </si>
  <si>
    <t>Feeling a little lightheaded?</t>
  </si>
  <si>
    <r>
      <rPr>
        <rFont val="Arial"/>
        <color theme="1"/>
        <sz val="10.0"/>
      </rPr>
      <t xml:space="preserve">The first time you melee while attached to your Grapple Pole, you throw out a beehive that causes a </t>
    </r>
    <r>
      <rPr>
        <rFont val="Arial"/>
        <color theme="6"/>
        <sz val="10.0"/>
      </rPr>
      <t>bee</t>
    </r>
    <r>
      <rPr>
        <rFont val="Arial"/>
        <color theme="1"/>
        <sz val="10.0"/>
      </rPr>
      <t xml:space="preserve"> explosion on impact.</t>
    </r>
  </si>
  <si>
    <t>Converts your Grapple Pole into a hovering eyeball. Press PING to redirect the eyeball to a new position.</t>
  </si>
  <si>
    <t>You can place up to two Grapple Poles at once.</t>
  </si>
  <si>
    <t>https://mycopunk.miraheze.org/wiki/Purple_Prism_Upgrade</t>
  </si>
  <si>
    <t>Attach your Grapple Pole to a player to turn them into a grapple node.</t>
  </si>
  <si>
    <r>
      <rPr>
        <rFont val="Arial"/>
        <color theme="1"/>
        <sz val="10.0"/>
      </rPr>
      <t xml:space="preserve">Your Jetpack creates a large plume of </t>
    </r>
    <r>
      <rPr>
        <rFont val="Arial"/>
        <color theme="5"/>
        <sz val="10.0"/>
      </rPr>
      <t>fire</t>
    </r>
    <r>
      <rPr>
        <rFont val="Arial"/>
        <color theme="1"/>
        <sz val="10.0"/>
      </rPr>
      <t xml:space="preserve"> that </t>
    </r>
    <r>
      <rPr>
        <rFont val="Arial"/>
        <color theme="5"/>
        <sz val="10.0"/>
      </rPr>
      <t>ignites</t>
    </r>
    <r>
      <rPr>
        <rFont val="Arial"/>
        <color theme="1"/>
        <sz val="10.0"/>
      </rPr>
      <t xml:space="preserve"> any targets below you.</t>
    </r>
  </si>
  <si>
    <t>Create an elemental explosion at your position the first time you use your Grapple Pole.</t>
  </si>
  <si>
    <t>Use less grapple pole energy while the chosen element is fully applied to you.</t>
  </si>
  <si>
    <r>
      <rPr>
        <rFont val="Arial"/>
        <color theme="1"/>
        <sz val="10.0"/>
      </rPr>
      <t xml:space="preserve">You move faster for each stack of </t>
    </r>
    <r>
      <rPr>
        <rFont val="Arial"/>
        <color theme="6"/>
        <sz val="10.0"/>
      </rPr>
      <t>scrap</t>
    </r>
    <r>
      <rPr>
        <rFont val="Arial"/>
        <color theme="1"/>
        <sz val="10.0"/>
      </rPr>
      <t xml:space="preserve"> you have. </t>
    </r>
    <r>
      <rPr>
        <rFont val="Arial"/>
        <color theme="6"/>
        <sz val="10.0"/>
      </rPr>
      <t>Scrap</t>
    </r>
    <r>
      <rPr>
        <rFont val="Arial"/>
        <color theme="1"/>
        <sz val="10.0"/>
      </rPr>
      <t xml:space="preserve"> decays faster.</t>
    </r>
  </si>
  <si>
    <t>https://mycopunk.miraheze.org/wiki/Ballistic_Charger_Upgrade</t>
  </si>
  <si>
    <t>While using your Grapple Pole, your Jetpack recharges faster.</t>
  </si>
  <si>
    <t>The first time your Grapple Pole runs out of energy, its energy is partially recharged and the given element is fully applied to you.</t>
  </si>
  <si>
    <t>Grapple duration is increased for each unique upgrade that touches this one.</t>
  </si>
  <si>
    <t>Your Grapple Pole emits an antigravity field.</t>
  </si>
  <si>
    <r>
      <rPr>
        <rFont val="Arial"/>
        <color theme="1"/>
        <sz val="10.0"/>
      </rPr>
      <t xml:space="preserve">Consume </t>
    </r>
    <r>
      <rPr>
        <rFont val="Arial"/>
        <color theme="6"/>
        <sz val="10.0"/>
      </rPr>
      <t>scrap</t>
    </r>
    <r>
      <rPr>
        <rFont val="Arial"/>
        <color theme="1"/>
        <sz val="10.0"/>
      </rPr>
      <t xml:space="preserve"> to continue using your jetpack after its fuel has been depleted.</t>
    </r>
  </si>
  <si>
    <t>https://mycopunk.miraheze.org/wiki/Elemental_Munitions_Upgrade</t>
  </si>
  <si>
    <t>Hold your grenade key to barf up a damaging stream of spare parts.</t>
  </si>
  <si>
    <t>Swing into enemies to damage them.</t>
  </si>
  <si>
    <t>Your Jetpack pushes you forward.</t>
  </si>
  <si>
    <t>Release your fuel much faster in a stronger burst of speed.</t>
  </si>
  <si>
    <t>Jump force is greatly increased when crouching.</t>
  </si>
  <si>
    <t>Melee an explosive part to instantly start its fuse and increase its explosion size.</t>
  </si>
  <si>
    <t>Your Grapple Pole is partially recharged when the given element is fully applied to you.</t>
  </si>
  <si>
    <t>https://mycopunk.miraheze.org/wiki/Firmly_Planted_Upgrade</t>
  </si>
  <si>
    <t>Grapple duration is greatly increased when out of combat. This applies to any player who uses your grapple pole.</t>
  </si>
  <si>
    <t>Players gain a burst of speed when detaching from your Grapple Pole.</t>
  </si>
  <si>
    <t>Use less grapple pole energy while using your grapple pole at the same time as another player.</t>
  </si>
  <si>
    <t>Your Jetpack lasts longer but is less stable.</t>
  </si>
  <si>
    <t>https://mycopunk.miraheze.org/wiki/Frantic_Fingers_Upgrade</t>
  </si>
  <si>
    <t>Grapple Pole cooldown is reduced.</t>
  </si>
  <si>
    <t>Grapple duration is increased.</t>
  </si>
  <si>
    <t>Players heal over time while attached to your Grapple Pole.</t>
  </si>
  <si>
    <t>Your Jetpack recharges faster.</t>
  </si>
  <si>
    <t>Jetpack duration is increased.</t>
  </si>
  <si>
    <t>Jetpack force is increased.</t>
  </si>
  <si>
    <t>https://mycopunk.miraheze.org/wiki/Gunship_Upgrade</t>
  </si>
  <si>
    <t>Grapple range is increased.</t>
  </si>
  <si>
    <t>Create an elemental explosion when you collect a large health chunk. Collecting smaller health chunks provides a stacking damage boost. Enemy cores always drop at least 1 health chunk.</t>
  </si>
  <si>
    <t>Your Grapple Pole creates a health chunk when placed, and creates more small chunks while grappling. Depleting a pole's enemy creates a bunch of health chunks.</t>
  </si>
  <si>
    <t>https://mycopunk.miraheze.org/wiki/Hull_Piercer_Upgrade</t>
  </si>
  <si>
    <t>https://mycopunk.miraheze.org/wiki/Point_Demolition_Upgrade</t>
  </si>
  <si>
    <t>https://mycopunk.miraheze.org/wiki/Safety_%22Regulations%22_Upgrade</t>
  </si>
  <si>
    <t>Your wingsuit no longer recharges over time. Dealing damage provides some charge.</t>
  </si>
  <si>
    <t>Killing a target while mid-air grants some wingsuit charge.</t>
  </si>
  <si>
    <t>While airborne, your Rocket Salvo is replaced with a decay bomb.</t>
  </si>
  <si>
    <t>https://mycopunk.miraheze.org/wiki/Unarmored_Upgrade</t>
  </si>
  <si>
    <t>Rockets ricochet to nearby targets multiple times. Rocket damage decreases with each bounce.</t>
  </si>
  <si>
    <t>Rocket Salvo fires a massive barrage of rockets. Cooldown is increased.</t>
  </si>
  <si>
    <t>Double tap LEFT or RIGHT while flying to dodge in either direction.</t>
  </si>
  <si>
    <t>Melee size and damage are greatly increased for a short time after flying for at least 0.5 seconds.</t>
  </si>
  <si>
    <t>Your wingsuit is partially recharged the first time you pick up a broken player.</t>
  </si>
  <si>
    <t>https://mycopunk.miraheze.org/wiki/Blue_Prism_Upgrade</t>
  </si>
  <si>
    <t>Firing your Rocket Salvo while flying refunds some wingsuit charge.</t>
  </si>
  <si>
    <t>Rocket Salvo recharges much faster, but costs health to fire.</t>
  </si>
  <si>
    <t>Slide out of a glide to gain a large burst of speed.</t>
  </si>
  <si>
    <t>Your Rocket Salvo is partially recharged when you heal a target with it.</t>
  </si>
  <si>
    <t>Rocket Salvo fires only one rocket at a time and recharges faster. Gain an extra salvo charge for each rocket.</t>
  </si>
  <si>
    <t>Use ammo reserves from your equipped weapon to lock onto extra targets with your Rocket Salvo.</t>
  </si>
  <si>
    <t>Wingsuit fly duration is increased.</t>
  </si>
  <si>
    <t>https://mycopunk.miraheze.org/wiki/Adaptive_Stabilizers_Upgrade</t>
  </si>
  <si>
    <r>
      <rPr>
        <rFont val="Arial"/>
        <color theme="1"/>
        <sz val="10.0"/>
      </rPr>
      <t xml:space="preserve">When you run out of fuel, your wingsuit is partially recharged and you are </t>
    </r>
    <r>
      <rPr>
        <rFont val="Arial"/>
        <color theme="5"/>
        <sz val="10.0"/>
      </rPr>
      <t>ignited</t>
    </r>
    <r>
      <rPr>
        <rFont val="Arial"/>
        <color theme="1"/>
        <sz val="10.0"/>
      </rPr>
      <t>. This won't trigger again until your wingsuit has charged a little on its own.</t>
    </r>
  </si>
  <si>
    <t>Move faster while holding a broken player.</t>
  </si>
  <si>
    <t>Heal yourself when you fire a salvo rocket at an ally.</t>
  </si>
  <si>
    <t>Salvo rockets apply the given element.</t>
  </si>
  <si>
    <t>https://mycopunk.miraheze.org/wiki/Hard_Ricochet_Upgrade</t>
  </si>
  <si>
    <t>Gain health when you pick up a broken player.</t>
  </si>
  <si>
    <t>You deal more damage while airborne.</t>
  </si>
  <si>
    <t>You fall slower while aiming your Rocket Salvo.</t>
  </si>
  <si>
    <t>You can change direction while flying.</t>
  </si>
  <si>
    <t>Speed is increased when flying backward.</t>
  </si>
  <si>
    <t>Reload Speed is increased when your magazine is empty.
Reload Speed: [+38% - +42%]</t>
  </si>
  <si>
    <t>Rocket Salvo fires an extra healing rocket that tracks to a nearby player.</t>
  </si>
  <si>
    <t>https://mycopunk.miraheze.org/wiki/Higher_Caliber_Upgrade</t>
  </si>
  <si>
    <t>Strikes have a chance to also Soak targets.
Chance: [8.5% - 10%]</t>
  </si>
  <si>
    <t>Ammo Capacity: {+36 - +44]</t>
  </si>
  <si>
    <t>Salvo rockets deal increased damage but no longer explode.</t>
  </si>
  <si>
    <t>Fire more rockets that deal reduced damage.</t>
  </si>
  <si>
    <t>Also recharges your least charged ability.
Charge: [+0.49 - +0.53]</t>
  </si>
  <si>
    <t>Fly speed is increased, but so is your Rocket Salvo's cooldown.</t>
  </si>
  <si>
    <t>Fire an extra rocket. Rocket Salvo damage is decreased.</t>
  </si>
  <si>
    <t>https://mycopunk.miraheze.org/wiki/Hold-Plating_Upgrade</t>
  </si>
  <si>
    <t>Rocket Salvo healing is increased.</t>
  </si>
  <si>
    <t>Rocket Salvo cooldown is reduced.</t>
  </si>
  <si>
    <t>Fly speed is increased.</t>
  </si>
  <si>
    <t>Hold Q to create a cloud of Saxonite where you're looking that immobilizes enemies and makes grunts float.</t>
  </si>
  <si>
    <t>Small health chunks orbit you and wait to popup until you've taken enough damage.</t>
  </si>
  <si>
    <t>https://mycopunk.miraheze.org/wiki/Industrial_Feed_Mechanism_Upgrade</t>
  </si>
  <si>
    <t>https://mycopunk.miraheze.org/wiki/Overclocked_Firing_Chamber_Upgrade</t>
  </si>
  <si>
    <t>https://mycopunk.miraheze.org/wiki/Sawed_Off_Upgrade</t>
  </si>
  <si>
    <t>https://mycopunk.miraheze.org/wiki/Thumper_Upgrade</t>
  </si>
  <si>
    <t>https://mycopunk.miraheze.org/wiki/Green_Prism_Upgrade</t>
  </si>
  <si>
    <t>https://mycopunk.miraheze.org/wiki/Blowback_Redirect_Upgrade</t>
  </si>
  <si>
    <t>https://mycopunk.miraheze.org/wiki/Cargo_Storage_Upgrade</t>
  </si>
  <si>
    <t>https://mycopunk.miraheze.org/wiki/Drag_Caps_Upgrade</t>
  </si>
  <si>
    <t>Exotic</t>
  </si>
  <si>
    <t>https://mycopunk.miraheze.org/wiki/Magnetic_Loader_Upgrade</t>
  </si>
  <si>
    <t>Epic</t>
  </si>
  <si>
    <t>https://mycopunk.miraheze.org/wiki/Stabilizers_Upgrade</t>
  </si>
  <si>
    <t>Rare</t>
  </si>
  <si>
    <t>https://mycopunk.miraheze.org/wiki/Bailing_Water_Upgrade</t>
  </si>
  <si>
    <t>Standard</t>
  </si>
  <si>
    <t>https://mycopunk.miraheze.org/wiki/Heaven%27s_Fury_Upgrade</t>
  </si>
  <si>
    <t>Contraband</t>
  </si>
  <si>
    <t>https://mycopunk.miraheze.org/wiki/Shredify_Upgrade</t>
  </si>
  <si>
    <t>Oddity</t>
  </si>
  <si>
    <t>https://mycopunk.miraheze.org/wiki/Thrill_of_the_Fight_Upgrade</t>
  </si>
  <si>
    <t>https://mycopunk.miraheze.org/wiki/Acid_Shot_Upgrade</t>
  </si>
  <si>
    <t>https://mycopunk.miraheze.org/wiki/Corrosive_Reaction_Upgrade</t>
  </si>
  <si>
    <t>https://mycopunk.miraheze.org/wiki/Cross-Deck_Upgrade</t>
  </si>
  <si>
    <t>https://mycopunk.miraheze.org/wiki/Fire_in_the_Hold_Upgrade</t>
  </si>
  <si>
    <t>https://mycopunk.miraheze.org/wiki/Fire_Shot_Upgrade</t>
  </si>
  <si>
    <t>https://mycopunk.miraheze.org/wiki/Hornet_Hunting_Upgrade</t>
  </si>
  <si>
    <t>https://mycopunk.miraheze.org/wiki/Plunder_Upgrade</t>
  </si>
  <si>
    <t>https://mycopunk.miraheze.org/wiki/Rot_Advantage_Upgrade</t>
  </si>
  <si>
    <t>https://mycopunk.miraheze.org/wiki/Tailwind_Upgrade</t>
  </si>
  <si>
    <t>https://mycopunk.miraheze.org/wiki/Tread_the_Line_Upgrade</t>
  </si>
  <si>
    <t>https://mycopunk.miraheze.org/wiki/Bottom_Heavy_Upgrade</t>
  </si>
  <si>
    <t>https://mycopunk.miraheze.org/wiki/Broadside_Upgrade</t>
  </si>
  <si>
    <t>https://mycopunk.miraheze.org/wiki/Compatible_Ammunition_Upgrade</t>
  </si>
  <si>
    <t>https://mycopunk.miraheze.org/wiki/Energy_Condenser_Upgrade</t>
  </si>
  <si>
    <t>https://mycopunk.miraheze.org/wiki/Gunner%27s_Precision_Upgrade</t>
  </si>
  <si>
    <t>https://mycopunk.miraheze.org/wiki/Gunpowder_Finale_Upgrade</t>
  </si>
  <si>
    <t>https://mycopunk.miraheze.org/wiki/Increased_Load_Upgrade</t>
  </si>
  <si>
    <t>https://mycopunk.miraheze.org/wiki/Lone_Canoneer_Upgrade</t>
  </si>
  <si>
    <t>https://mycopunk.miraheze.org/wiki/Spyglass_Upgrade</t>
  </si>
  <si>
    <t>https://mycopunk.miraheze.org/wiki/Squadron_Upgrade</t>
  </si>
  <si>
    <t>https://mycopunk.miraheze.org/wiki/Top_Deck_Storage_Upgrade</t>
  </si>
  <si>
    <t>https://mycopunk.miraheze.org/wiki/Ungovernable_Upgrade</t>
  </si>
  <si>
    <t>https://mycopunk.miraheze.org/wiki/Cargo_Hold_Upgrade</t>
  </si>
  <si>
    <t>https://mycopunk.miraheze.org/wiki/Compressed_Ammunition_Upgrade</t>
  </si>
  <si>
    <t>https://mycopunk.miraheze.org/wiki/Discount_Marksman_Upgrade</t>
  </si>
  <si>
    <t>https://mycopunk.miraheze.org/wiki/Line_er%27_Up_Upgrade</t>
  </si>
  <si>
    <t>https://mycopunk.miraheze.org/wiki/Flood_Upgrade</t>
  </si>
  <si>
    <t>https://mycopunk.miraheze.org/wiki/Globulous_Siphon_Upgrade</t>
  </si>
  <si>
    <t>https://mycopunk.miraheze.org/wiki/Impact_Funnel_Upgrade</t>
  </si>
  <si>
    <t>https://mycopunk.miraheze.org/wiki/Pressure_Cooker_Upgrade</t>
  </si>
  <si>
    <t>https://mycopunk.miraheze.org/wiki/Full_Spectrum_Upgrade</t>
  </si>
  <si>
    <t>https://mycopunk.miraheze.org/wiki/Glob_Balloons_Upgrade</t>
  </si>
  <si>
    <t>https://mycopunk.miraheze.org/wiki/Pocket_Replication_Upgrade</t>
  </si>
  <si>
    <t>https://mycopunk.miraheze.org/wiki/Slipper_Shoes_Upgrade</t>
  </si>
  <si>
    <t>https://mycopunk.miraheze.org/wiki/Triagon_Upgrade</t>
  </si>
  <si>
    <t>https://mycopunk.miraheze.org/wiki/Volatile_Element_Upgrade</t>
  </si>
  <si>
    <t>https://mycopunk.miraheze.org/wiki/Auto-Replicator_Upgrade</t>
  </si>
  <si>
    <t>https://mycopunk.miraheze.org/wiki/Flash_Flood_Upgrade</t>
  </si>
  <si>
    <t>https://mycopunk.miraheze.org/wiki/Forceful_Expulsion_Upgrade</t>
  </si>
  <si>
    <t>https://mycopunk.miraheze.org/wiki/Globulous_Excitement_Upgrade</t>
  </si>
  <si>
    <t>https://mycopunk.miraheze.org/wiki/Glorb_Upgrade</t>
  </si>
  <si>
    <t>https://mycopunk.miraheze.org/wiki/Gunpowder_Packing_Upgrade</t>
  </si>
  <si>
    <t>https://mycopunk.miraheze.org/wiki/Heavy_Globs_Upgrade</t>
  </si>
  <si>
    <t>https://mycopunk.miraheze.org/wiki/Improve_Replication_Upgrade</t>
  </si>
  <si>
    <t>https://mycopunk.miraheze.org/wiki/Instant_Detonation_Upgrade</t>
  </si>
  <si>
    <t>https://mycopunk.miraheze.org/wiki/Replicator_Resistance_Upgrade</t>
  </si>
  <si>
    <t>https://mycopunk.miraheze.org/wiki/The_Glob_Upgrade</t>
  </si>
  <si>
    <t>https://mycopunk.miraheze.org/wiki/Volatile_Acid_Upgrade</t>
  </si>
  <si>
    <t>https://mycopunk.miraheze.org/wiki/Globblin_Upgrade</t>
  </si>
  <si>
    <t>https://mycopunk.miraheze.org/wiki/Pack_Eater_Upgrade</t>
  </si>
  <si>
    <t>Speed: [+3.4 - +4.14]</t>
  </si>
  <si>
    <t>https://mycopunk.miraheze.org/wiki/Shrunken_Container_Upgrade</t>
  </si>
  <si>
    <t>https://mycopunk.miraheze.org/wiki/Deflector_Upgrade</t>
  </si>
  <si>
    <t>https://mycopunk.miraheze.org/wiki/Nutritious_Cores_Upgrade</t>
  </si>
  <si>
    <t>The same is true for your air dash.
Charge: [+0.84 - +0.86]</t>
  </si>
  <si>
    <t>https://mycopunk.miraheze.org/wiki/Rage_Upgrade</t>
  </si>
  <si>
    <t>Run Speed: [+4% - +5%]</t>
  </si>
  <si>
    <t>Health: [+0.7 - +0.9]</t>
  </si>
  <si>
    <t>Handspring creates a small explosion.
Explosion Size: [2.8 - 3.02]</t>
  </si>
  <si>
    <t>Changes Element to [Shock - Acid].
Recharge Speed: [-24.81% - -35.48%]</t>
  </si>
  <si>
    <t>https://mycopunk.miraheze.org/wiki/Super_Magnet_Upgrade</t>
  </si>
  <si>
    <t>https://mycopunk.miraheze.org/wiki/Big_Deflector_Upgrade</t>
  </si>
  <si>
    <t>https://mycopunk.miraheze.org/wiki/Blood_Lightning_Upgrade</t>
  </si>
  <si>
    <t>https://mycopunk.miraheze.org/wiki/Bloody_Jumping_Upgrade</t>
  </si>
  <si>
    <t>https://mycopunk.miraheze.org/wiki/Heavy_Pockets_Upgrade</t>
  </si>
  <si>
    <t>https://mycopunk.miraheze.org/wiki/Overheat_System_Upgrade</t>
  </si>
  <si>
    <t>https://mycopunk.miraheze.org/wiki/Repairing_Exhaust_Upgrade</t>
  </si>
  <si>
    <t>Recharge Speed: [+9.89% - +7.53%]</t>
  </si>
  <si>
    <t>Players inside your prison deal increased damage.
Damage: [+23% - +26%]</t>
  </si>
  <si>
    <t>Duration: [+2 - +2.2]
Size: [+3 - +3.3]</t>
  </si>
  <si>
    <t>Damage: [57 - 62]</t>
  </si>
  <si>
    <t>Optical Attraction heals you and nearby employees.
Healing: [+7 - +8]</t>
  </si>
  <si>
    <t>https://mycopunk.miraheze.org/wiki/Sharing_Lunch_Upgrade</t>
  </si>
  <si>
    <t>https://mycopunk.miraheze.org/wiki/Shocking_Adrenaline_Upgrade</t>
  </si>
  <si>
    <t>https://mycopunk.miraheze.org/wiki/Slippery_Blood_Upgrade</t>
  </si>
  <si>
    <t>https://mycopunk.miraheze.org/wiki/Blood_Coating_Upgrade</t>
  </si>
  <si>
    <t>https://mycopunk.miraheze.org/wiki/Blood_Rampage_Upgrade</t>
  </si>
  <si>
    <t>https://mycopunk.miraheze.org/wiki/Corrosive_Coating_Upgrade</t>
  </si>
  <si>
    <t>Additional melee attacks throw out smaller beehives.</t>
  </si>
  <si>
    <t>Grapple Range: [+7 - +8.6]
Grapple Time: [+14% - +23%]
Recharge Speed: [-16.67% - -18.7%]</t>
  </si>
  <si>
    <t>Grappling recharges your other placed poles over time.
Recharge Speed: [+0.4]</t>
  </si>
  <si>
    <t>Player nodes can be grappled from further away.
Grapple Range: [+19 - +24]</t>
  </si>
  <si>
    <t>Igniting a target with your jetpack refunds some fuel.
Fuel Refunded: [+0.1 - +0.12]</t>
  </si>
  <si>
    <t>https://mycopunk.miraheze.org/wiki/Greedy_Fuck_Upgrade</t>
  </si>
  <si>
    <t>https://mycopunk.miraheze.org/wiki/Ignition_Recharge_Upgrade</t>
  </si>
  <si>
    <t>https://mycopunk.miraheze.org/wiki/Rush_Upgrade</t>
  </si>
  <si>
    <t>https://mycopunk.miraheze.org/wiki/Swinging_Technique_Upgrade</t>
  </si>
  <si>
    <t>https://mycopunk.miraheze.org/wiki/Additional_RAM_Stick_Upgrade</t>
  </si>
  <si>
    <t>Run Speed: [+3% - +4.5%]</t>
  </si>
  <si>
    <t>You fall slower for a moment after flying.</t>
  </si>
  <si>
    <t>Fly Speed: [+3 - +4]</t>
  </si>
  <si>
    <t>Bullet Speed: [+9 - +11]</t>
  </si>
  <si>
    <t>Modifies upgrade pattern.</t>
  </si>
  <si>
    <t>https://mycopunk.miraheze.org/wiki/Blade_Extenders_Upgrade</t>
  </si>
  <si>
    <t>https://mycopunk.miraheze.org/wiki/Blood_Bucket_Upgrade</t>
  </si>
  <si>
    <t>https://mycopunk.miraheze.org/wiki/Blood_Efficiency_Upgrade</t>
  </si>
  <si>
    <t>https://mycopunk.miraheze.org/wiki/RAM_Storage_Upgrade</t>
  </si>
  <si>
    <t>https://mycopunk.miraheze.org/wiki/Cluster_Bomb_Upgrade</t>
  </si>
  <si>
    <t>https://mycopunk.miraheze.org/wiki/Hearth_%26_Home_Upgrade</t>
  </si>
  <si>
    <t>https://mycopunk.miraheze.org/wiki/Internal_Combustion_Upgrade</t>
  </si>
  <si>
    <t>https://mycopunk.miraheze.org/wiki/Gambler%27s_Bargain_Upgrade</t>
  </si>
  <si>
    <t>https://mycopunk.miraheze.org/wiki/Give_and_Take_Upgrade</t>
  </si>
  <si>
    <t>https://mycopunk.miraheze.org/wiki/Heat_Sink_Upgrade</t>
  </si>
  <si>
    <t>https://mycopunk.miraheze.org/wiki/Impact_Cascade_Upgrade</t>
  </si>
  <si>
    <t>https://mycopunk.miraheze.org/wiki/Maniac_Maneuver_Upgrade</t>
  </si>
  <si>
    <t>https://mycopunk.miraheze.org/wiki/Two%27s_Company_Upgrade</t>
  </si>
  <si>
    <t>https://mycopunk.miraheze.org/wiki/Violent_Reaction_Upgrade</t>
  </si>
  <si>
    <t>https://mycopunk.miraheze.org/wiki/Cheap_Material_Upgrade</t>
  </si>
  <si>
    <t>https://mycopunk.miraheze.org/wiki/Home_Brew_Combustion_Upgrade</t>
  </si>
  <si>
    <t>https://mycopunk.miraheze.org/wiki/Hot_Boxing_Upgrade</t>
  </si>
  <si>
    <t>https://mycopunk.miraheze.org/wiki/Napalm_Upgrade</t>
  </si>
  <si>
    <t>https://mycopunk.miraheze.org/wiki/Restoration_Protocol_Upgrade</t>
  </si>
  <si>
    <t>https://mycopunk.miraheze.org/wiki/Volatile_Explosives_Upgrade</t>
  </si>
  <si>
    <t>https://mycopunk.miraheze.org/wiki/Welding_Heat_Upgrade</t>
  </si>
  <si>
    <t>https://mycopunk.miraheze.org/wiki/Fire_Gel_Upgrade</t>
  </si>
  <si>
    <t>https://mycopunk.miraheze.org/wiki/Heated_Charge_Upgrade</t>
  </si>
  <si>
    <t>https://mycopunk.miraheze.org/wiki/Large_Ignition_Upgrade</t>
  </si>
  <si>
    <t>https://mycopunk.miraheze.org/wiki/Flash_Storm_Upgrade</t>
  </si>
  <si>
    <t>https://mycopunk.miraheze.org/wiki/Illegal_Pocket_Grenade_Upgrade</t>
  </si>
  <si>
    <t>https://mycopunk.miraheze.org/wiki/Live_Wire_Upgrade</t>
  </si>
  <si>
    <t>https://mycopunk.miraheze.org/wiki/Cloud_Skip_Upgrade</t>
  </si>
  <si>
    <t>https://mycopunk.miraheze.org/wiki/Electromagnet_Upgrade</t>
  </si>
  <si>
    <t>https://mycopunk.miraheze.org/wiki/Emergency_Evac_Upgrade</t>
  </si>
  <si>
    <t>https://mycopunk.miraheze.org/wiki/Excited_Plasma_Upgrade</t>
  </si>
  <si>
    <t>https://mycopunk.miraheze.org/wiki/Launch_Charge_Upgrade</t>
  </si>
  <si>
    <t>https://mycopunk.miraheze.org/wiki/Livelier_Upgrade</t>
  </si>
  <si>
    <t>Chance</t>
  </si>
  <si>
    <t>Ammo Refunded</t>
  </si>
  <si>
    <t>https://mycopunk.miraheze.org/wiki/Shock_Funnel_Upgrade</t>
  </si>
  <si>
    <t>Damage Threshold</t>
  </si>
  <si>
    <t>Damage</t>
  </si>
  <si>
    <t>https://mycopunk.miraheze.org/wiki/Thunder_Pressure_Upgrade</t>
  </si>
  <si>
    <t>Element</t>
  </si>
  <si>
    <t>https://mycopunk.miraheze.org/wiki/Higher_Voltage_Upgrade</t>
  </si>
  <si>
    <t>Fire Radius</t>
  </si>
  <si>
    <t>Fire Amount</t>
  </si>
  <si>
    <t>Health</t>
  </si>
  <si>
    <t>Fire Rate</t>
  </si>
  <si>
    <t>Charge Time</t>
  </si>
  <si>
    <t>Horizontal Recoil</t>
  </si>
  <si>
    <t>Vertical Recoil</t>
  </si>
  <si>
    <t>Ammo Efficiency</t>
  </si>
  <si>
    <t>Reload Speed</t>
  </si>
  <si>
    <t>https://mycopunk.miraheze.org/wiki/Marathon_Upgrade</t>
  </si>
  <si>
    <t>Horizontal Spread</t>
  </si>
  <si>
    <t>Efficiency</t>
  </si>
  <si>
    <t>Speed</t>
  </si>
  <si>
    <t>Duration</t>
  </si>
  <si>
    <t>https://mycopunk.miraheze.org/wiki/Phase_Housing_Upgrade</t>
  </si>
  <si>
    <t>Increased Fire</t>
  </si>
  <si>
    <t>Acid per Second</t>
  </si>
  <si>
    <t>Recoil per Second</t>
  </si>
  <si>
    <t>Max Damage</t>
  </si>
  <si>
    <t>Damage Resistance</t>
  </si>
  <si>
    <t>https://mycopunk.miraheze.org/wiki/Static_Charge_Upgrade</t>
  </si>
  <si>
    <t>Bullet Speed</t>
  </si>
  <si>
    <t>Bullet Size</t>
  </si>
  <si>
    <t>Falloff Start</t>
  </si>
  <si>
    <t>Falloff End</t>
  </si>
  <si>
    <t>Range</t>
  </si>
  <si>
    <t>Vertical Spread</t>
  </si>
  <si>
    <t>https://mycopunk.miraheze.org/wiki/Stun_Upgrade</t>
  </si>
  <si>
    <t>Bullets per Shot</t>
  </si>
  <si>
    <t>Magazine Size</t>
  </si>
  <si>
    <t>Ammo per Stack</t>
  </si>
  <si>
    <t>https://mycopunk.miraheze.org/wiki/System_Overload_Upgrade</t>
  </si>
  <si>
    <t>Range per Rarity</t>
  </si>
  <si>
    <t>Burst Size</t>
  </si>
  <si>
    <t>Burst Interval</t>
  </si>
  <si>
    <t>https://mycopunk.miraheze.org/wiki/Engorge_Upgrade</t>
  </si>
  <si>
    <t>Explosion Size</t>
  </si>
  <si>
    <t>Tracking Radius</t>
  </si>
  <si>
    <t>https://mycopunk.miraheze.org/wiki/Fastball_Upgrade</t>
  </si>
  <si>
    <t>https://mycopunk.miraheze.org/wiki/Insulated_Gloves_Upgrade</t>
  </si>
  <si>
    <t>Bounces</t>
  </si>
  <si>
    <t>Aim Recoil</t>
  </si>
  <si>
    <t>https://mycopunk.miraheze.org/wiki/Connected_Systems_Upgrade</t>
  </si>
  <si>
    <t>https://mycopunk.miraheze.org/wiki/Heavy_Support_Upgrade</t>
  </si>
  <si>
    <t>Force</t>
  </si>
  <si>
    <t>Self Fire</t>
  </si>
  <si>
    <t>https://mycopunk.miraheze.org/wiki/Turbocharge_Upgrade</t>
  </si>
  <si>
    <t>https://mycopunk.miraheze.org/wiki/Defensive_Spurt_Upgrade</t>
  </si>
  <si>
    <t>Radius</t>
  </si>
  <si>
    <t>Charge Speed</t>
  </si>
  <si>
    <t>https://mycopunk.miraheze.org/wiki/Deteriorate_Upgrade</t>
  </si>
  <si>
    <t>https://mycopunk.miraheze.org/wiki/Exothermic_Reaction_Upgrade</t>
  </si>
  <si>
    <t>Damage per Bounce</t>
  </si>
  <si>
    <t>https://mycopunk.miraheze.org/wiki/Gas_Puddle_Upgrade</t>
  </si>
  <si>
    <t>https://mycopunk.miraheze.org/wiki/Lightspeed_Material_Transfer_Upgrade</t>
  </si>
  <si>
    <t>https://mycopunk.miraheze.org/wiki/Sloth%27s_Day_Out_Upgrade</t>
  </si>
  <si>
    <t>Ignited Fire Rate</t>
  </si>
  <si>
    <t>Ignited Reload Speed</t>
  </si>
  <si>
    <t>https://mycopunk.miraheze.org/wiki/Vacuum_Tube_Upgrade</t>
  </si>
  <si>
    <t>Slide Damage</t>
  </si>
  <si>
    <t>https://mycopunk.miraheze.org/wiki/Gas_Valves_Upgrade</t>
  </si>
  <si>
    <t>Spread</t>
  </si>
  <si>
    <t>https://mycopunk.miraheze.org/wiki/Glub_Glub_Upgrade</t>
  </si>
  <si>
    <t>https://mycopunk.miraheze.org/wiki/Greased_Mixture_Upgrade</t>
  </si>
  <si>
    <t>https://mycopunk.miraheze.org/wiki/Odd_Cocktail_Upgrade</t>
  </si>
  <si>
    <t>https://mycopunk.miraheze.org/wiki/Polymer_Coating_Upgrade</t>
  </si>
  <si>
    <t>https://mycopunk.miraheze.org/wiki/Saxonite_Coating_Upgrade</t>
  </si>
  <si>
    <t>https://mycopunk.miraheze.org/wiki/Universal_Solvent_Upgrade</t>
  </si>
  <si>
    <t>https://mycopunk.miraheze.org/wiki/Base_Coating_Upgrade</t>
  </si>
  <si>
    <t>Chance per Pellet</t>
  </si>
  <si>
    <t>Ammo Cost</t>
  </si>
  <si>
    <t>Mitosis Damage</t>
  </si>
  <si>
    <t>Ammo per Second</t>
  </si>
  <si>
    <t>Charge per Second</t>
  </si>
  <si>
    <t>Spin Up Speed</t>
  </si>
  <si>
    <t>Max Fire Rate</t>
  </si>
  <si>
    <t>https://mycopunk.miraheze.org/wiki/Cooling_System_Upgrade</t>
  </si>
  <si>
    <t>Healing</t>
  </si>
  <si>
    <t>Size per Second</t>
  </si>
  <si>
    <t>Max Size</t>
  </si>
  <si>
    <t>https://mycopunk.miraheze.org/wiki/Overcharge_Upgrade</t>
  </si>
  <si>
    <t>Ammo per Upgrade</t>
  </si>
  <si>
    <t>Ammo Capacity</t>
  </si>
  <si>
    <t>https://mycopunk.miraheze.org/wiki/Magboots_Upgrade</t>
  </si>
  <si>
    <t>https://mycopunk.miraheze.org/wiki/Ammo_Processor_Upgrade</t>
  </si>
  <si>
    <t>https://mycopunk.miraheze.org/wiki/Blink_Upgrade</t>
  </si>
  <si>
    <t>https://mycopunk.miraheze.org/wiki/Core_Repurposing_Upgrade</t>
  </si>
  <si>
    <t>https://mycopunk.miraheze.org/wiki/Elemental_Cocktail_Upgrade</t>
  </si>
  <si>
    <t>https://mycopunk.miraheze.org/wiki/Elemental_Regeneration_Upgrade</t>
  </si>
  <si>
    <t>https://mycopunk.miraheze.org/wiki/Focus_Prism_Upgrade</t>
  </si>
  <si>
    <t>https://mycopunk.miraheze.org/wiki/Frantic_Greed_Upgrade</t>
  </si>
  <si>
    <t>Switch Interval</t>
  </si>
  <si>
    <t>Damage per Stack</t>
  </si>
  <si>
    <t>Laser Damage</t>
  </si>
  <si>
    <t>Laser Charge On Hit</t>
  </si>
  <si>
    <t>Laser Charge Consumption</t>
  </si>
  <si>
    <t>Ammo Generated by Laser</t>
  </si>
  <si>
    <t>Secondary Explosion Size</t>
  </si>
  <si>
    <t>https://mycopunk.miraheze.org/wiki/Grenade_Recycling_Upgrade</t>
  </si>
  <si>
    <t>Efficacy per Thorn</t>
  </si>
  <si>
    <t>Charge</t>
  </si>
  <si>
    <t>https://mycopunk.miraheze.org/wiki/Inertial_Conductors_Upgrade</t>
  </si>
  <si>
    <t>Charge on Heal</t>
  </si>
  <si>
    <t>https://mycopunk.miraheze.org/wiki/Kinetic_Effect_Upgrade</t>
  </si>
  <si>
    <t>Min Laser Charge</t>
  </si>
  <si>
    <t>Laser Element</t>
  </si>
  <si>
    <t>https://mycopunk.miraheze.org/wiki/Scrap_Repurposing_Upgrade</t>
  </si>
  <si>
    <t>Laser Charge Capacity</t>
  </si>
  <si>
    <t>Limb Damage</t>
  </si>
  <si>
    <t>Shell Damage</t>
  </si>
  <si>
    <t>https://mycopunk.miraheze.org/wiki/Slide_Deflector_Upgrade</t>
  </si>
  <si>
    <t>Applies</t>
  </si>
  <si>
    <t>Amount</t>
  </si>
  <si>
    <t>https://mycopunk.miraheze.org/wiki/Software_Assisted_Slide_Upgrade</t>
  </si>
  <si>
    <t>https://mycopunk.miraheze.org/wiki/Third_Arm_Upgrade</t>
  </si>
  <si>
    <t>https://mycopunk.miraheze.org/wiki/Acid_Affinity_Upgrade</t>
  </si>
  <si>
    <t>https://mycopunk.miraheze.org/wiki/Boost_Buffer_Upgrade</t>
  </si>
  <si>
    <t>https://mycopunk.miraheze.org/wiki/Brittle_Battery_Upgrade</t>
  </si>
  <si>
    <t>https://mycopunk.miraheze.org/wiki/Elemental_Health_Upgrade</t>
  </si>
  <si>
    <t>https://mycopunk.miraheze.org/wiki/Fire_Affinity_Upgrade</t>
  </si>
  <si>
    <t>https://mycopunk.miraheze.org/wiki/Polished_Chassis_Upgrade</t>
  </si>
  <si>
    <t>https://mycopunk.miraheze.org/wiki/Punch_Punch_Upgrade</t>
  </si>
  <si>
    <t>Min Damage</t>
  </si>
  <si>
    <t>Max Reload Interval</t>
  </si>
  <si>
    <t>https://mycopunk.miraheze.org/wiki/Reinforced_Plating_Upgrade</t>
  </si>
  <si>
    <t>Stacks on Kill</t>
  </si>
  <si>
    <t>https://mycopunk.miraheze.org/wiki/Repair_Siphon_Upgrade</t>
  </si>
  <si>
    <t>Ammo per Cell</t>
  </si>
  <si>
    <t>https://mycopunk.miraheze.org/wiki/Shock_Affinity_Upgrade</t>
  </si>
  <si>
    <t>https://mycopunk.miraheze.org/wiki/Slide_Buffer_Upgrade</t>
  </si>
  <si>
    <t>Hipfire Damage</t>
  </si>
  <si>
    <t>Increase Damage Chance</t>
  </si>
  <si>
    <t>https://mycopunk.miraheze.org/wiki/Surge_Protector_Upgrade</t>
  </si>
  <si>
    <t>Damage Self Chance</t>
  </si>
  <si>
    <t>Damage Taken</t>
  </si>
  <si>
    <t>Aim Range</t>
  </si>
  <si>
    <t>https://mycopunk.miraheze.org/wiki/Acid_Resistance_Upgrade</t>
  </si>
  <si>
    <t>https://mycopunk.miraheze.org/wiki/Fire_Resistance_Upgrade</t>
  </si>
  <si>
    <t>https://mycopunk.miraheze.org/wiki/Shock_Resistance_Upgrade</t>
  </si>
  <si>
    <t>https://mycopunk.miraheze.org/wiki/Blood,_Sweat,_Tears_Upgrade</t>
  </si>
  <si>
    <t>Explosion Damage</t>
  </si>
  <si>
    <t>Cooldown</t>
  </si>
  <si>
    <t>Interval</t>
  </si>
  <si>
    <t>https://mycopunk.miraheze.org/wiki/Double_Dash_Upgrade</t>
  </si>
  <si>
    <t>https://mycopunk.miraheze.org/wiki/Eyes_Up_Here_Upgrade</t>
  </si>
  <si>
    <t>Catch Recoil</t>
  </si>
  <si>
    <t>https://mycopunk.miraheze.org/wiki/Handspring_Upgrade</t>
  </si>
  <si>
    <t>Size per Empty Cell</t>
  </si>
  <si>
    <t>https://mycopunk.miraheze.org/wiki/Through_Hell_Upgrade</t>
  </si>
  <si>
    <t>Damage on Catch</t>
  </si>
  <si>
    <t>https://mycopunk.miraheze.org/wiki/Dash_Immunity_Upgrade</t>
  </si>
  <si>
    <t>Recall Speed</t>
  </si>
  <si>
    <t>https://mycopunk.miraheze.org/wiki/Double_Lasso_Upgrade</t>
  </si>
  <si>
    <t>Max Hits</t>
  </si>
  <si>
    <t>Speed On Hit</t>
  </si>
  <si>
    <t>Bullet Gravity</t>
  </si>
  <si>
    <t>Falloff Damage</t>
  </si>
  <si>
    <t>https://mycopunk.miraheze.org/wiki/Dynamite_on_a_String_Upgrade</t>
  </si>
  <si>
    <t>https://mycopunk.miraheze.org/wiki/Gust_Upgrade</t>
  </si>
  <si>
    <t>Battery Capacity</t>
  </si>
  <si>
    <t>https://mycopunk.miraheze.org/wiki/Hold_Onto_Your_Hats_Upgrade</t>
  </si>
  <si>
    <t>https://mycopunk.miraheze.org/wiki/Momentum_Transfer_Upgrade</t>
  </si>
  <si>
    <t>https://mycopunk.miraheze.org/wiki/One-Liner_Upgrade</t>
  </si>
  <si>
    <t>https://mycopunk.miraheze.org/wiki/Powder_Player_Upgrade</t>
  </si>
  <si>
    <t>https://mycopunk.miraheze.org/wiki/Pseudo_Science_Upgrade</t>
  </si>
  <si>
    <t>https://mycopunk.miraheze.org/wiki/Second_Wind_Upgrade</t>
  </si>
  <si>
    <t>Knockback</t>
  </si>
  <si>
    <t>https://mycopunk.miraheze.org/wiki/Ammo_Continuity_Upgrade</t>
  </si>
  <si>
    <t>Orbit Radius</t>
  </si>
  <si>
    <t>Tracking Force</t>
  </si>
  <si>
    <t>Combust Chance</t>
  </si>
  <si>
    <t>https://mycopunk.miraheze.org/wiki/Charge_Thief_Upgrade</t>
  </si>
  <si>
    <t>Charge Efficiency</t>
  </si>
  <si>
    <t>https://mycopunk.miraheze.org/wiki/Dust_Kick_Upgrade</t>
  </si>
  <si>
    <t>Airborne Damage</t>
  </si>
  <si>
    <t>Grounded Damage</t>
  </si>
  <si>
    <t>https://mycopunk.miraheze.org/wiki/Extra_Rope_Upgrade</t>
  </si>
  <si>
    <t>https://mycopunk.miraheze.org/wiki/Hometown_Hero_Upgrade</t>
  </si>
  <si>
    <t>Min Spread</t>
  </si>
  <si>
    <t>https://mycopunk.miraheze.org/wiki/Hornet_Interference_Upgrade</t>
  </si>
  <si>
    <t>https://mycopunk.miraheze.org/wiki/Quick_Knot_Upgrade</t>
  </si>
  <si>
    <t>https://mycopunk.miraheze.org/wiki/Rocket_Jump_Upgrade</t>
  </si>
  <si>
    <t>https://mycopunk.miraheze.org/wiki/Slingshot_Upgrade</t>
  </si>
  <si>
    <t>https://mycopunk.miraheze.org/wiki/The_Ole_One-Two_Upgrade</t>
  </si>
  <si>
    <t>https://mycopunk.miraheze.org/wiki/Tuck%27n%27Roll_Upgrade</t>
  </si>
  <si>
    <t>https://mycopunk.miraheze.org/wiki/Unchained_Upgrade</t>
  </si>
  <si>
    <t>https://mycopunk.miraheze.org/wiki/Deadeye_Upgrade</t>
  </si>
  <si>
    <t>https://mycopunk.miraheze.org/wiki/Landing_Roll_Upgrade</t>
  </si>
  <si>
    <t>https://mycopunk.miraheze.org/wiki/Leap_the_Gap_Upgrade</t>
  </si>
  <si>
    <t>Smite Radius</t>
  </si>
  <si>
    <t>Smite Count</t>
  </si>
  <si>
    <t>https://mycopunk.miraheze.org/wiki/Loose_Rope_Upgrade</t>
  </si>
  <si>
    <t>Slide Speed</t>
  </si>
  <si>
    <t>https://mycopunk.miraheze.org/wiki/Tumbleweed_Upgrade</t>
  </si>
  <si>
    <t>Damage per Cell</t>
  </si>
  <si>
    <t>Recoil per Cell</t>
  </si>
  <si>
    <t>https://mycopunk.miraheze.org/wiki/Yank_em!_Upgrade</t>
  </si>
  <si>
    <t>https://mycopunk.miraheze.org/wiki/Modular_Construction_Upgrade</t>
  </si>
  <si>
    <t>https://mycopunk.miraheze.org/wiki/For_Good_Measure_Upgrade</t>
  </si>
  <si>
    <t>https://mycopunk.miraheze.org/wiki/Hard-Light_Prison_Upgrade</t>
  </si>
  <si>
    <t>https://mycopunk.miraheze.org/wiki/Hold_the_Line_Upgrade</t>
  </si>
  <si>
    <t>https://mycopunk.miraheze.org/wiki/Lightning_Dive_Upgrade</t>
  </si>
  <si>
    <t>Distance</t>
  </si>
  <si>
    <t>https://mycopunk.miraheze.org/wiki/Optical_Attraction_Upgrade</t>
  </si>
  <si>
    <t>https://mycopunk.miraheze.org/wiki/Comet_Splash_Upgrade</t>
  </si>
  <si>
    <t>Size per Bullet</t>
  </si>
  <si>
    <t>Damage per Bullet</t>
  </si>
  <si>
    <t>https://mycopunk.miraheze.org/wiki/Domed_Upgrade</t>
  </si>
  <si>
    <t>Globblometer</t>
  </si>
  <si>
    <t>https://mycopunk.miraheze.org/wiki/Hard-Light_Coating_Upgrade</t>
  </si>
  <si>
    <t>Spread Shape</t>
  </si>
  <si>
    <t>https://mycopunk.miraheze.org/wiki/Nose_Bounce_Upgrade</t>
  </si>
  <si>
    <t>https://mycopunk.miraheze.org/wiki/Splash_Zone_Upgrade</t>
  </si>
  <si>
    <t>https://mycopunk.miraheze.org/wiki/To_Dust_Upgrade</t>
  </si>
  <si>
    <t>https://mycopunk.miraheze.org/wiki/Unconditional_Protector_Upgrade</t>
  </si>
  <si>
    <t>https://mycopunk.miraheze.org/wiki/Backboost_Upgrade</t>
  </si>
  <si>
    <t>https://mycopunk.miraheze.org/wiki/Blast_Chamber_Upgrade</t>
  </si>
  <si>
    <t>https://mycopunk.miraheze.org/wiki/Bruise_Protection_Upgrade</t>
  </si>
  <si>
    <t>https://mycopunk.miraheze.org/wiki/Improved_Refueling_Upgrade</t>
  </si>
  <si>
    <t>https://mycopunk.miraheze.org/wiki/Killcode_Upgrade</t>
  </si>
  <si>
    <t>https://mycopunk.miraheze.org/wiki/Knee-Dive_Upgrade</t>
  </si>
  <si>
    <t>https://mycopunk.miraheze.org/wiki/Launch_Reserves_Upgrade</t>
  </si>
  <si>
    <t>https://mycopunk.miraheze.org/wiki/Liquid_Cooling_Upgrade</t>
  </si>
  <si>
    <t>https://mycopunk.miraheze.org/wiki/One_For_All_Upgrade</t>
  </si>
  <si>
    <t>https://mycopunk.miraheze.org/wiki/Springboard_Upgrade</t>
  </si>
  <si>
    <t>https://mycopunk.miraheze.org/wiki/Striking_Distance_Upgrade</t>
  </si>
  <si>
    <t>Speed per Stack</t>
  </si>
  <si>
    <t>https://mycopunk.miraheze.org/wiki/With_Me_Upgrade</t>
  </si>
  <si>
    <t>Chance per Stack</t>
  </si>
  <si>
    <t>https://mycopunk.miraheze.org/wiki/With_You_Upgrade</t>
  </si>
  <si>
    <t>https://mycopunk.miraheze.org/wiki/Dive_Interrupt_Upgrade</t>
  </si>
  <si>
    <t>Overheat Speed</t>
  </si>
  <si>
    <t>https://mycopunk.miraheze.org/wiki/Force_Projection_Upgrade</t>
  </si>
  <si>
    <t>Threshold</t>
  </si>
  <si>
    <t>https://mycopunk.miraheze.org/wiki/Force_Redistribution_Upgrade</t>
  </si>
  <si>
    <t>https://mycopunk.miraheze.org/wiki/Frog_Legs_Upgrade</t>
  </si>
  <si>
    <t>https://mycopunk.miraheze.org/wiki/Get_Off_Me_Upgrade</t>
  </si>
  <si>
    <t>Max Blood</t>
  </si>
  <si>
    <t>https://mycopunk.miraheze.org/wiki/Sophisticated_Task_Manager_Upgrade</t>
  </si>
  <si>
    <t>Blood on Kill</t>
  </si>
  <si>
    <t>https://mycopunk.miraheze.org/wiki/Thermal_Paste_Upgrade</t>
  </si>
  <si>
    <t>element</t>
  </si>
  <si>
    <t>https://mycopunk.miraheze.org/wiki/Upside_Down_Upgrade</t>
  </si>
  <si>
    <t>https://mycopunk.miraheze.org/wiki/Beehive!_Upgrade</t>
  </si>
  <si>
    <t>https://mycopunk.miraheze.org/wiki/Eye_in_the_Sky_Upgrade</t>
  </si>
  <si>
    <t>https://mycopunk.miraheze.org/wiki/Jungle_Jim_Upgrade</t>
  </si>
  <si>
    <t>Recharge Speed</t>
  </si>
  <si>
    <t>https://mycopunk.miraheze.org/wiki/On_The_Go_Upgrade</t>
  </si>
  <si>
    <t>https://mycopunk.miraheze.org/wiki/Stream_Jets_Upgrade</t>
  </si>
  <si>
    <t>https://mycopunk.miraheze.org/wiki/Dynamite_Deployment_Upgrade</t>
  </si>
  <si>
    <t>Linger Size</t>
  </si>
  <si>
    <t>https://mycopunk.miraheze.org/wiki/Elemental_Overheat_Upgrade</t>
  </si>
  <si>
    <t>https://mycopunk.miraheze.org/wiki/Frantic_Mechanism_Upgrade</t>
  </si>
  <si>
    <t>https://mycopunk.miraheze.org/wiki/Fueling_Station_Upgrade</t>
  </si>
  <si>
    <t>Max Range</t>
  </si>
  <si>
    <t>https://mycopunk.miraheze.org/wiki/Fulmination_Core_Upgrade</t>
  </si>
  <si>
    <t>Pierce Damage</t>
  </si>
  <si>
    <t>https://mycopunk.miraheze.org/wiki/Parallel_Wiring_Upgrade</t>
  </si>
  <si>
    <t>https://mycopunk.miraheze.org/wiki/Saxonite_Power_Cell_Upgrade</t>
  </si>
  <si>
    <t>https://mycopunk.miraheze.org/wiki/Scrap_Funnel_Upgrade</t>
  </si>
  <si>
    <t>https://mycopunk.miraheze.org/wiki/Upset_Stomach_Upgrade</t>
  </si>
  <si>
    <t>https://mycopunk.miraheze.org/wiki/Wrecking_Ball_Upgrade</t>
  </si>
  <si>
    <t>https://mycopunk.miraheze.org/wiki/Aft_Thrusters_Upgrade</t>
  </si>
  <si>
    <t>https://mycopunk.miraheze.org/wiki/Burst_Release_Upgrade</t>
  </si>
  <si>
    <t>https://mycopunk.miraheze.org/wiki/Coil_Springs_Upgrade</t>
  </si>
  <si>
    <t>Damage Scaling</t>
  </si>
  <si>
    <t>Max Speed</t>
  </si>
  <si>
    <t>https://mycopunk.miraheze.org/wiki/Deliberate_Mistake_Upgrade</t>
  </si>
  <si>
    <t>Gravity</t>
  </si>
  <si>
    <t>https://mycopunk.miraheze.org/wiki/Feedback_Relay_Upgrade</t>
  </si>
  <si>
    <t>Max Health Regen</t>
  </si>
  <si>
    <t>Elemental Increase</t>
  </si>
  <si>
    <t>https://mycopunk.miraheze.org/wiki/Ideal_Conditions_Upgrade</t>
  </si>
  <si>
    <t>Damage per Burst</t>
  </si>
  <si>
    <t>Spread per Burst</t>
  </si>
  <si>
    <t>https://mycopunk.miraheze.org/wiki/Impulse_Vault_Upgrade</t>
  </si>
  <si>
    <t>https://mycopunk.miraheze.org/wiki/Multithread_Upgrade</t>
  </si>
  <si>
    <t>Max Stacks</t>
  </si>
  <si>
    <t>Burst Size Increase</t>
  </si>
  <si>
    <t>https://mycopunk.miraheze.org/wiki/Recycled_Fuel_Upgrade</t>
  </si>
  <si>
    <t>https://mycopunk.miraheze.org/wiki/Solar_Panel_Upgrade</t>
  </si>
  <si>
    <t>https://mycopunk.miraheze.org/wiki/Spare_Cable_Upgrade</t>
  </si>
  <si>
    <t>https://mycopunk.miraheze.org/wiki/Stolen_Nanites_Upgrade</t>
  </si>
  <si>
    <t>https://mycopunk.miraheze.org/wiki/Cooling_Vents_Upgrade</t>
  </si>
  <si>
    <t>https://mycopunk.miraheze.org/wiki/Fuel_Rations_Upgrade</t>
  </si>
  <si>
    <t>https://mycopunk.miraheze.org/wiki/Pressure_Increase_Upgrade</t>
  </si>
  <si>
    <t>https://mycopunk.miraheze.org/wiki/Tether_Battery_Upgrade</t>
  </si>
  <si>
    <t>Cluster Count</t>
  </si>
  <si>
    <t>https://mycopunk.miraheze.org/wiki/Wireless_Extenders_Upgrade</t>
  </si>
  <si>
    <t>Charge Radius</t>
  </si>
  <si>
    <t>Recharge Chance</t>
  </si>
  <si>
    <t>Chance Increase</t>
  </si>
  <si>
    <t>Outgoing Fire Damage</t>
  </si>
  <si>
    <t>Incoming Fire Damage</t>
  </si>
  <si>
    <t>Charges</t>
  </si>
  <si>
    <t>https://mycopunk.miraheze.org/wiki/Attrition_Supply_Upgrade</t>
  </si>
  <si>
    <t>https://mycopunk.miraheze.org/wiki/Biofuel_Upgrade</t>
  </si>
  <si>
    <t>https://mycopunk.miraheze.org/wiki/Clearing_Charge_Upgrade</t>
  </si>
  <si>
    <t>Self Damage</t>
  </si>
  <si>
    <t>https://mycopunk.miraheze.org/wiki/Eye_on_You_Upgrade</t>
  </si>
  <si>
    <t>https://mycopunk.miraheze.org/wiki/M.I.R.V._Upgrade</t>
  </si>
  <si>
    <t>https://mycopunk.miraheze.org/wiki/Course_Correction_Upgrade</t>
  </si>
  <si>
    <t>https://mycopunk.miraheze.org/wiki/From_Down_Town_Upgrade</t>
  </si>
  <si>
    <t>https://mycopunk.miraheze.org/wiki/Fuel_Injection_Upgrade</t>
  </si>
  <si>
    <t>https://mycopunk.miraheze.org/wiki/Heat_Exchange_Upgrade</t>
  </si>
  <si>
    <t>https://mycopunk.miraheze.org/wiki/Kernel_Rerouter_Upgrade</t>
  </si>
  <si>
    <t>https://mycopunk.miraheze.org/wiki/Knee_Slide_Upgrade</t>
  </si>
  <si>
    <t>https://mycopunk.miraheze.org/wiki/Nanite_Return_Upgrade</t>
  </si>
  <si>
    <t>https://mycopunk.miraheze.org/wiki/Quickfire_Upgrade</t>
  </si>
  <si>
    <t>Explosion Interval</t>
  </si>
  <si>
    <t>https://mycopunk.miraheze.org/wiki/Reserve_Material_Upgrade</t>
  </si>
  <si>
    <t>https://mycopunk.miraheze.org/wiki/Star_Fuel_Upgrade</t>
  </si>
  <si>
    <t>Electrocute Charge</t>
  </si>
  <si>
    <t>https://mycopunk.miraheze.org/wiki/Thermal_Vent_Override_Upgrade</t>
  </si>
  <si>
    <t>https://mycopunk.miraheze.org/wiki/Battery_Siphon_Upgrade</t>
  </si>
  <si>
    <t>https://mycopunk.miraheze.org/wiki/Charge_Rerouting_Upgrade</t>
  </si>
  <si>
    <t>https://mycopunk.miraheze.org/wiki/Elemental_Tips_Upgrade</t>
  </si>
  <si>
    <t>https://mycopunk.miraheze.org/wiki/Energy_Injection_Upgrade</t>
  </si>
  <si>
    <t>https://mycopunk.miraheze.org/wiki/High-Velocity_Targeting_Upgrade</t>
  </si>
  <si>
    <t>https://mycopunk.miraheze.org/wiki/Hover_Precision_Upgrade</t>
  </si>
  <si>
    <t>https://mycopunk.miraheze.org/wiki/Lateral_Thrusters_Upgrade</t>
  </si>
  <si>
    <t>https://mycopunk.miraheze.org/wiki/Panic_Systems_Upgrade</t>
  </si>
  <si>
    <t>https://mycopunk.miraheze.org/wiki/Pocket_Rocket_Upgrade</t>
  </si>
  <si>
    <t>https://mycopunk.miraheze.org/wiki/Point_Detonators_Upgrade</t>
  </si>
  <si>
    <t>https://mycopunk.miraheze.org/wiki/Proprietary_Packing_Algorithm_Upgrade</t>
  </si>
  <si>
    <t>Death Protection Cooldown</t>
  </si>
  <si>
    <t>https://mycopunk.miraheze.org/wiki/Weight_Reduction_Upgrade</t>
  </si>
  <si>
    <t>https://mycopunk.miraheze.org/wiki/Efficient_Storage_Upgrade</t>
  </si>
  <si>
    <t>Fuse</t>
  </si>
  <si>
    <t>Puddle Recharge Speed</t>
  </si>
  <si>
    <t>https://mycopunk.miraheze.org/wiki/Fuel_Reserves_Upgrade</t>
  </si>
  <si>
    <t>Overshield Radius</t>
  </si>
  <si>
    <t>https://mycopunk.miraheze.org/wiki/Nanite_Breeding_Upgrade</t>
  </si>
  <si>
    <t>https://mycopunk.miraheze.org/wiki/Rearm_Mechanism_Upgrade</t>
  </si>
  <si>
    <t>https://mycopunk.miraheze.org/wiki/Streamlined_Upgrade</t>
  </si>
  <si>
    <t>Primary Element</t>
  </si>
  <si>
    <t>Secondary Element</t>
  </si>
  <si>
    <t>Bonus Damage</t>
  </si>
  <si>
    <t>Healing Efficiency</t>
  </si>
  <si>
    <t>shape</t>
  </si>
  <si>
    <t>Health Regeneration</t>
  </si>
  <si>
    <t>Collected Health</t>
  </si>
  <si>
    <t>Chunks</t>
  </si>
  <si>
    <t>Duration per Cell</t>
  </si>
  <si>
    <t>Upward Speed</t>
  </si>
  <si>
    <t>Range per Cell</t>
  </si>
  <si>
    <t>Forward Speed</t>
  </si>
  <si>
    <t>Rocket Force</t>
  </si>
  <si>
    <t>Horizontal Size</t>
  </si>
  <si>
    <t>Size per Meter</t>
  </si>
  <si>
    <t>Dive Bounces</t>
  </si>
  <si>
    <t>Run Speed</t>
  </si>
  <si>
    <t>Charge Refunded</t>
  </si>
  <si>
    <t>Upward Leap</t>
  </si>
  <si>
    <t>Up Force</t>
  </si>
  <si>
    <t>Outward Force</t>
  </si>
  <si>
    <t>Shield Push Force</t>
  </si>
  <si>
    <t>Blast Force</t>
  </si>
  <si>
    <t>Leap Force</t>
  </si>
  <si>
    <t>Initial Force</t>
  </si>
  <si>
    <t>Jetpack Duration</t>
  </si>
  <si>
    <t>Grapple Time</t>
  </si>
  <si>
    <t>Max Poles</t>
  </si>
  <si>
    <t>Energy Used</t>
  </si>
  <si>
    <t>Decay Interval</t>
  </si>
  <si>
    <t>Added Duration</t>
  </si>
  <si>
    <t>Duration per Upgrade</t>
  </si>
  <si>
    <t>Scrap per Second</t>
  </si>
  <si>
    <t>Barf Duration</t>
  </si>
  <si>
    <t>Burp Force</t>
  </si>
  <si>
    <t>Healing per Second</t>
  </si>
  <si>
    <t>Grapple Range</t>
  </si>
  <si>
    <t>Bounce Radius</t>
  </si>
  <si>
    <t>Salvo Target Locks</t>
  </si>
  <si>
    <t>Lock-On Speed</t>
  </si>
  <si>
    <t>Recoil</t>
  </si>
  <si>
    <t>Fuel Refunded</t>
  </si>
  <si>
    <t>Fly Duration</t>
  </si>
  <si>
    <t>Fly Speed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</si>
</sst>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42">
    <font>
      <sz val="10.0"/>
      <color rgb="FF000000"/>
      <name val="Arial"/>
      <scheme val="minor"/>
    </font>
    <font>
      <b/>
      <sz val="14.0"/>
      <color theme="1"/>
      <name val="Arial"/>
      <scheme val="minor"/>
    </font>
    <font/>
    <font>
      <b/>
      <sz val="8.0"/>
      <color theme="1"/>
      <name val="Arial"/>
    </font>
    <font>
      <b/>
      <color theme="1"/>
      <name val="Arial"/>
    </font>
    <font>
      <color theme="1"/>
      <name val="Arial"/>
      <scheme val="minor"/>
    </font>
    <font>
      <b/>
      <color theme="1"/>
      <name val="Arial"/>
      <scheme val="minor"/>
    </font>
    <font>
      <b/>
      <u/>
      <color rgb="FF0000FF"/>
      <name val="Arial"/>
    </font>
    <font>
      <u/>
      <color rgb="FF0000FF"/>
    </font>
    <font>
      <b/>
      <i/>
      <color theme="1"/>
      <name val="Arial"/>
      <scheme val="minor"/>
    </font>
    <font>
      <sz val="10.0"/>
      <color theme="1"/>
      <name val="Arial"/>
      <scheme val="minor"/>
    </font>
    <font>
      <u/>
      <sz val="10.0"/>
      <color rgb="FF0000FF"/>
    </font>
    <font>
      <color theme="1"/>
      <name val="Arial"/>
    </font>
    <font>
      <u/>
      <color rgb="FF0000FF"/>
    </font>
    <font>
      <b/>
      <i/>
      <color theme="1"/>
      <name val="Arial"/>
    </font>
    <font>
      <u/>
      <color rgb="FF1155CC"/>
      <name val="Arial"/>
    </font>
    <font>
      <u/>
      <color rgb="FF0000FF"/>
      <name val="Arial"/>
    </font>
    <font>
      <u/>
      <color rgb="FF0000FF"/>
      <name val="Arial"/>
    </font>
    <font>
      <u/>
      <color theme="1"/>
      <name val="Arial"/>
      <scheme val="minor"/>
    </font>
    <font>
      <u/>
      <color rgb="FF0000FF"/>
      <name val="Arial"/>
    </font>
    <font>
      <u/>
      <color rgb="FF0000FF"/>
      <name val="Arial"/>
    </font>
    <font>
      <color rgb="FFFF9900"/>
      <name val="Arial"/>
    </font>
    <font>
      <u/>
      <color rgb="FF0000FF"/>
      <name val="Arial"/>
    </font>
    <font>
      <u/>
      <color rgb="FF0000FF"/>
      <name val="Arial"/>
    </font>
    <font>
      <color rgb="FF000000"/>
      <name val="Arial"/>
      <scheme val="minor"/>
    </font>
    <font>
      <color rgb="FF3C78D8"/>
      <name val="Arial"/>
      <scheme val="minor"/>
    </font>
    <font>
      <color rgb="FF000000"/>
      <name val="Arial"/>
    </font>
    <font>
      <color rgb="FF6AA84F"/>
      <name val="Arial"/>
    </font>
    <font>
      <color rgb="FFF1C232"/>
      <name val="Arial"/>
    </font>
    <font>
      <color rgb="FFE69138"/>
      <name val="Arial"/>
      <scheme val="minor"/>
    </font>
    <font>
      <color rgb="FFCC0000"/>
      <name val="Arial"/>
      <scheme val="minor"/>
    </font>
    <font>
      <u/>
      <color rgb="FF1155CC"/>
      <name val="Arial"/>
    </font>
    <font>
      <u/>
      <color rgb="FF1155CC"/>
      <name val="Arial"/>
    </font>
    <font>
      <sz val="10.0"/>
      <color theme="1"/>
      <name val="Arial"/>
    </font>
    <font>
      <u/>
      <color rgb="FF0000FF"/>
      <name val="Arial"/>
    </font>
    <font>
      <u/>
      <color rgb="FF1155CC"/>
      <name val="Arial"/>
    </font>
    <font>
      <color rgb="FF9900FF"/>
      <name val="Arial"/>
    </font>
    <font>
      <color rgb="FF4A86E8"/>
      <name val="Arial"/>
    </font>
    <font>
      <color rgb="FF34A853"/>
      <name val="Arial"/>
    </font>
    <font>
      <color rgb="FF4285F4"/>
      <name val="Arial"/>
    </font>
    <font>
      <color rgb="FFFF0000"/>
      <name val="Arial"/>
    </font>
    <font>
      <u/>
      <color rgb="FF1155CC"/>
      <name val="Arial"/>
    </font>
  </fonts>
  <fills count="22">
    <fill>
      <patternFill patternType="none"/>
    </fill>
    <fill>
      <patternFill patternType="lightGray"/>
    </fill>
    <fill>
      <patternFill patternType="solid">
        <fgColor rgb="FFBDBDBD"/>
        <bgColor rgb="FFBDBDBD"/>
      </patternFill>
    </fill>
    <fill>
      <patternFill patternType="solid">
        <fgColor rgb="FFD9D9D9"/>
        <bgColor rgb="FFD9D9D9"/>
      </patternFill>
    </fill>
    <fill>
      <patternFill patternType="solid">
        <fgColor rgb="FFFFFFFF"/>
        <bgColor rgb="FFFFFFFF"/>
      </patternFill>
    </fill>
    <fill>
      <patternFill patternType="solid">
        <fgColor rgb="FFF3F3F3"/>
        <bgColor rgb="FFF3F3F3"/>
      </patternFill>
    </fill>
    <fill>
      <patternFill patternType="solid">
        <fgColor rgb="FF9900FF"/>
        <bgColor rgb="FF9900FF"/>
      </patternFill>
    </fill>
    <fill>
      <patternFill patternType="solid">
        <fgColor rgb="FFFF0000"/>
        <bgColor rgb="FFFF0000"/>
      </patternFill>
    </fill>
    <fill>
      <patternFill patternType="solid">
        <fgColor theme="8"/>
        <bgColor theme="8"/>
      </patternFill>
    </fill>
    <fill>
      <patternFill patternType="solid">
        <fgColor rgb="FFFF00FF"/>
        <bgColor rgb="FFFF00FF"/>
      </patternFill>
    </fill>
    <fill>
      <patternFill patternType="solid">
        <fgColor theme="4"/>
        <bgColor theme="4"/>
      </patternFill>
    </fill>
    <fill>
      <patternFill patternType="solid">
        <fgColor theme="7"/>
        <bgColor theme="7"/>
      </patternFill>
    </fill>
    <fill>
      <patternFill patternType="solid">
        <fgColor rgb="FF4A86E8"/>
        <bgColor rgb="FF4A86E8"/>
      </patternFill>
    </fill>
    <fill>
      <patternFill patternType="solid">
        <fgColor rgb="FFC9DAF8"/>
        <bgColor rgb="FFC9DAF8"/>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B7B7B7"/>
        <bgColor rgb="FFB7B7B7"/>
      </patternFill>
    </fill>
    <fill>
      <patternFill patternType="solid">
        <fgColor rgb="FFD9D2E9"/>
        <bgColor rgb="FFD9D2E9"/>
      </patternFill>
    </fill>
    <fill>
      <patternFill patternType="solid">
        <fgColor rgb="FF000000"/>
        <bgColor rgb="FF000000"/>
      </patternFill>
    </fill>
    <fill>
      <patternFill patternType="solid">
        <fgColor theme="5"/>
        <bgColor theme="5"/>
      </patternFill>
    </fill>
  </fills>
  <borders count="19">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rder>
    <border>
      <right style="double">
        <color rgb="FF000000"/>
      </right>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thick">
        <color rgb="FF000000"/>
      </left>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right style="thick">
        <color rgb="FF000000"/>
      </right>
      <top style="thick">
        <color rgb="FF000000"/>
      </top>
      <bottom style="thick">
        <color rgb="FF000000"/>
      </bottom>
    </border>
    <border>
      <left style="thick">
        <color rgb="FF000000"/>
      </left>
      <right style="thick">
        <color rgb="FF000000"/>
      </right>
    </border>
    <border>
      <left style="thick">
        <color rgb="FF000000"/>
      </left>
      <bottom style="thick">
        <color rgb="FF000000"/>
      </bottom>
    </border>
    <border>
      <right style="thick">
        <color rgb="FF000000"/>
      </right>
      <bottom style="thick">
        <color rgb="FF000000"/>
      </bottom>
    </border>
    <border>
      <left style="thick">
        <color rgb="FF000000"/>
      </left>
      <right style="thick">
        <color rgb="FF000000"/>
      </right>
      <top style="thick">
        <color rgb="FF000000"/>
      </top>
    </border>
    <border>
      <left style="thick">
        <color rgb="FF000000"/>
      </left>
      <right style="thick">
        <color rgb="FF000000"/>
      </right>
      <bottom style="thick">
        <color rgb="FF000000"/>
      </bottom>
    </border>
  </borders>
  <cellStyleXfs count="1">
    <xf borderId="0" fillId="0" fontId="0" numFmtId="0" applyAlignment="1" applyFont="1"/>
  </cellStyleXfs>
  <cellXfs count="282">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0" fillId="2" fontId="3" numFmtId="0" xfId="0" applyAlignment="1" applyFill="1" applyFont="1">
      <alignment horizontal="center" shrinkToFit="0" vertical="center" wrapText="1"/>
    </xf>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0" fillId="2" fontId="4" numFmtId="0" xfId="0" applyAlignment="1" applyFill="1" applyFont="1">
      <alignment horizontal="center" shrinkToFit="0" vertical="center" wrapText="1"/>
    </xf>
    <xf borderId="8" fillId="0" fontId="2" numFmtId="0" xfId="0" applyBorder="1" applyFont="1"/>
    <xf borderId="0" fillId="2" fontId="4" numFmtId="0" xfId="0" applyAlignment="1" applyFill="1" applyFont="1">
      <alignment horizontal="center" readingOrder="0" shrinkToFit="0" vertical="center" wrapText="1"/>
    </xf>
    <xf borderId="1" fillId="3" fontId="5" numFmtId="0" xfId="0" applyAlignment="1" applyBorder="1" applyFill="1" applyFont="1">
      <alignment readingOrder="0"/>
    </xf>
    <xf borderId="1" fillId="4" fontId="5" numFmtId="0" xfId="0" applyAlignment="1" applyBorder="1" applyFill="1" applyFont="1">
      <alignment horizontal="center" readingOrder="0" shrinkToFit="0" vertical="center" wrapText="1"/>
    </xf>
    <xf borderId="1" fillId="0" fontId="6" numFmtId="0" xfId="0" applyAlignment="1" applyBorder="1" applyFont="1">
      <alignment horizontal="center" readingOrder="0" shrinkToFit="0" wrapText="1"/>
    </xf>
    <xf borderId="2" fillId="4" fontId="2" numFmtId="0" xfId="0" applyBorder="1" applyFill="1" applyFont="1"/>
    <xf borderId="0" fillId="2" fontId="4" numFmtId="0" xfId="0" applyAlignment="1" applyFill="1" applyFont="1">
      <alignment horizontal="right" shrinkToFit="0" vertical="center" wrapText="1"/>
    </xf>
    <xf borderId="4" fillId="5" fontId="2" numFmtId="0" xfId="0" applyBorder="1" applyFill="1" applyFont="1"/>
    <xf borderId="4" fillId="4" fontId="2" numFmtId="0" xfId="0" applyBorder="1" applyFill="1" applyFont="1"/>
    <xf borderId="0" fillId="2" fontId="4" numFmtId="49" xfId="0" applyAlignment="1" applyFill="1" applyFont="1" applyNumberFormat="1">
      <alignment horizontal="left" shrinkToFit="0" vertical="center" wrapText="1"/>
    </xf>
    <xf borderId="0" fillId="2" fontId="4" numFmtId="49" xfId="0" applyAlignment="1" applyFill="1" applyFont="1" applyNumberFormat="1">
      <alignment horizontal="center" shrinkToFit="0" vertical="center" wrapText="1"/>
    </xf>
    <xf borderId="0" fillId="2" fontId="4" numFmtId="0" xfId="0" applyAlignment="1" applyFill="1" applyFont="1">
      <alignment horizontal="left" shrinkToFit="0" vertical="center" wrapText="1"/>
    </xf>
    <xf borderId="0" fillId="2" fontId="4" numFmtId="0" xfId="0" applyAlignment="1" applyFill="1" applyFont="1">
      <alignment horizontal="center" shrinkToFit="0" vertical="center" wrapText="1"/>
    </xf>
    <xf borderId="4" fillId="0" fontId="7" numFmtId="0" xfId="0" applyAlignment="1" applyBorder="1" applyFont="1">
      <alignment horizontal="center" readingOrder="0" vertical="bottom"/>
    </xf>
    <xf borderId="6" fillId="0" fontId="8" numFmtId="0" xfId="0" applyAlignment="1" applyBorder="1" applyFont="1">
      <alignment horizontal="center" readingOrder="0"/>
    </xf>
    <xf borderId="0" fillId="2" fontId="4" numFmtId="0" xfId="0" applyAlignment="1" applyFill="1" applyFont="1">
      <alignment horizontal="left" shrinkToFit="0" vertical="center" wrapText="1"/>
    </xf>
    <xf borderId="1" fillId="0" fontId="9" numFmtId="0" xfId="0" applyAlignment="1" applyBorder="1" applyFont="1">
      <alignment horizontal="center" readingOrder="0"/>
    </xf>
    <xf borderId="4" fillId="0" fontId="10" numFmtId="0" xfId="0" applyAlignment="1" applyBorder="1" applyFont="1">
      <alignment horizontal="center" readingOrder="0"/>
    </xf>
    <xf borderId="0" fillId="2" fontId="3" numFmtId="0" xfId="0" applyAlignment="1" applyFill="1" applyFont="1">
      <alignment horizontal="center" shrinkToFit="0" vertical="center" wrapText="1"/>
    </xf>
    <xf borderId="0" fillId="2" fontId="4" numFmtId="0" xfId="0" applyAlignment="1" applyFill="1" applyFont="1">
      <alignment horizontal="right" shrinkToFit="0" vertical="center" wrapText="1"/>
    </xf>
    <xf borderId="4" fillId="0" fontId="11" numFmtId="0" xfId="0" applyAlignment="1" applyBorder="1" applyFont="1">
      <alignment horizontal="center" readingOrder="0"/>
    </xf>
    <xf borderId="0" fillId="6" fontId="12" numFmtId="0" xfId="0" applyAlignment="1" applyFill="1" applyFont="1">
      <alignment horizontal="center" vertical="center"/>
    </xf>
    <xf borderId="4" fillId="0" fontId="5" numFmtId="0" xfId="0" applyAlignment="1" applyBorder="1" applyFont="1">
      <alignment horizontal="center" readingOrder="0"/>
    </xf>
    <xf borderId="4" fillId="0" fontId="13" numFmtId="0" xfId="0" applyAlignment="1" applyBorder="1" applyFont="1">
      <alignment horizontal="center" readingOrder="0"/>
    </xf>
    <xf borderId="0" fillId="4" fontId="12" numFmtId="0" xfId="0" applyAlignment="1" applyFill="1" applyFont="1">
      <alignment horizontal="center" shrinkToFit="0" vertical="center" wrapText="1"/>
    </xf>
    <xf borderId="1" fillId="0" fontId="14" numFmtId="0" xfId="0" applyAlignment="1" applyBorder="1" applyFont="1">
      <alignment horizontal="center" readingOrder="0" vertical="bottom"/>
    </xf>
    <xf borderId="4" fillId="0" fontId="12" numFmtId="0" xfId="0" applyAlignment="1" applyBorder="1" applyFont="1">
      <alignment horizontal="center" readingOrder="0" vertical="bottom"/>
    </xf>
    <xf borderId="0" fillId="4" fontId="12" numFmtId="0" xfId="0" applyAlignment="1" applyFill="1" applyFont="1">
      <alignment shrinkToFit="0" vertical="center" wrapText="1"/>
    </xf>
    <xf borderId="4" fillId="0" fontId="15" numFmtId="0" xfId="0" applyAlignment="1" applyBorder="1" applyFont="1">
      <alignment horizontal="center" vertical="bottom"/>
    </xf>
    <xf borderId="0" fillId="4" fontId="12" numFmtId="0" xfId="0" applyAlignment="1" applyFill="1" applyFont="1">
      <alignment horizontal="right" shrinkToFit="0" vertical="center" wrapText="1"/>
    </xf>
    <xf borderId="0" fillId="4" fontId="12" numFmtId="49" xfId="0" applyAlignment="1" applyFill="1" applyFont="1" applyNumberFormat="1">
      <alignment horizontal="left" shrinkToFit="0" vertical="center" wrapText="1"/>
    </xf>
    <xf borderId="0" fillId="4" fontId="12" numFmtId="9" xfId="0" applyAlignment="1" applyFill="1" applyFont="1" applyNumberFormat="1">
      <alignment horizontal="left" shrinkToFit="0" vertical="center" wrapText="1"/>
    </xf>
    <xf borderId="0" fillId="4" fontId="12" numFmtId="0" xfId="0" applyAlignment="1" applyFill="1" applyFont="1">
      <alignment horizontal="left" vertical="center"/>
    </xf>
    <xf borderId="4" fillId="0" fontId="16" numFmtId="0" xfId="0" applyAlignment="1" applyBorder="1" applyFont="1">
      <alignment horizontal="center" readingOrder="0" vertical="bottom"/>
    </xf>
    <xf borderId="4" fillId="0" fontId="5" numFmtId="0" xfId="0" applyAlignment="1" applyBorder="1" applyFont="1">
      <alignment horizontal="center" readingOrder="0" shrinkToFit="0" wrapText="1"/>
    </xf>
    <xf borderId="0" fillId="4" fontId="12" numFmtId="0" xfId="0" applyAlignment="1" applyFill="1" applyFont="1">
      <alignment horizontal="left" vertical="center"/>
    </xf>
    <xf borderId="4" fillId="0" fontId="12" numFmtId="0" xfId="0" applyAlignment="1" applyBorder="1" applyFont="1">
      <alignment horizontal="center" readingOrder="0" vertical="bottom"/>
    </xf>
    <xf borderId="4" fillId="0" fontId="17" numFmtId="0" xfId="0" applyAlignment="1" applyBorder="1" applyFont="1">
      <alignment horizontal="center" readingOrder="0" vertical="bottom"/>
    </xf>
    <xf borderId="0" fillId="4" fontId="12" numFmtId="0" xfId="0" applyAlignment="1" applyFill="1" applyFont="1">
      <alignment horizontal="right" shrinkToFit="0" vertical="center" wrapText="1"/>
    </xf>
    <xf borderId="6" fillId="0" fontId="12" numFmtId="0" xfId="0" applyAlignment="1" applyBorder="1" applyFont="1">
      <alignment horizontal="center" readingOrder="0" vertical="bottom"/>
    </xf>
    <xf borderId="6" fillId="3" fontId="18" numFmtId="0" xfId="0" applyAlignment="1" applyBorder="1" applyFill="1" applyFont="1">
      <alignment horizontal="center" readingOrder="0"/>
    </xf>
    <xf borderId="0" fillId="5" fontId="12" numFmtId="0" xfId="0" applyAlignment="1" applyFill="1" applyFont="1">
      <alignment horizontal="center" shrinkToFit="0" vertical="center" wrapText="1"/>
    </xf>
    <xf borderId="0" fillId="5" fontId="12" numFmtId="0" xfId="0" applyAlignment="1" applyFill="1" applyFont="1">
      <alignment shrinkToFit="0" vertical="center" wrapText="1"/>
    </xf>
    <xf borderId="0" fillId="5" fontId="12" numFmtId="0" xfId="0" applyAlignment="1" applyFill="1" applyFont="1">
      <alignment horizontal="right" shrinkToFit="0" vertical="center" wrapText="1"/>
    </xf>
    <xf borderId="0" fillId="5" fontId="12" numFmtId="49" xfId="0" applyAlignment="1" applyFill="1" applyFont="1" applyNumberFormat="1">
      <alignment horizontal="left" shrinkToFit="0" vertical="center" wrapText="1"/>
    </xf>
    <xf borderId="0" fillId="5" fontId="12" numFmtId="0" xfId="0" applyAlignment="1" applyFill="1" applyFont="1">
      <alignment horizontal="left" vertical="center"/>
    </xf>
    <xf borderId="0" fillId="5" fontId="12" numFmtId="0" xfId="0" applyAlignment="1" applyFill="1" applyFont="1">
      <alignment horizontal="left" vertical="center"/>
    </xf>
    <xf borderId="0" fillId="5" fontId="12" numFmtId="0" xfId="0" applyAlignment="1" applyFill="1" applyFont="1">
      <alignment horizontal="right" shrinkToFit="0" vertical="center" wrapText="1"/>
    </xf>
    <xf borderId="0" fillId="4" fontId="12" numFmtId="0" xfId="0" applyAlignment="1" applyFill="1" applyFont="1">
      <alignment horizontal="center" shrinkToFit="0" vertical="center" wrapText="1"/>
    </xf>
    <xf borderId="0" fillId="5" fontId="12" numFmtId="9" xfId="0" applyAlignment="1" applyFill="1" applyFont="1" applyNumberFormat="1">
      <alignment horizontal="left" shrinkToFit="0" vertical="center" wrapText="1"/>
    </xf>
    <xf borderId="0" fillId="7" fontId="12" numFmtId="0" xfId="0" applyAlignment="1" applyFill="1" applyFont="1">
      <alignment horizontal="center" vertical="center"/>
    </xf>
    <xf borderId="0" fillId="5" fontId="12" numFmtId="0" xfId="0" applyAlignment="1" applyFill="1" applyFont="1">
      <alignment horizontal="center" shrinkToFit="0" vertical="center" wrapText="1"/>
    </xf>
    <xf borderId="0" fillId="8" fontId="12" numFmtId="0" xfId="0" applyAlignment="1" applyFill="1" applyFont="1">
      <alignment horizontal="center" vertical="center"/>
    </xf>
    <xf borderId="0" fillId="5" fontId="19" numFmtId="0" xfId="0" applyAlignment="1" applyFill="1" applyFont="1">
      <alignment horizontal="center" shrinkToFit="0" vertical="center" wrapText="1"/>
    </xf>
    <xf borderId="0" fillId="5" fontId="12" numFmtId="0" xfId="0" applyAlignment="1" applyFill="1" applyFont="1">
      <alignment horizontal="left" shrinkToFit="0" vertical="center" wrapText="1"/>
    </xf>
    <xf borderId="0" fillId="5" fontId="12" numFmtId="0" xfId="0" applyAlignment="1" applyFill="1" applyFont="1">
      <alignment horizontal="left" shrinkToFit="0" vertical="center" wrapText="1"/>
    </xf>
    <xf borderId="0" fillId="4" fontId="20" numFmtId="0" xfId="0" applyAlignment="1" applyFill="1" applyFont="1">
      <alignment horizontal="center" shrinkToFit="0" vertical="center" wrapText="1"/>
    </xf>
    <xf borderId="0" fillId="4" fontId="12" numFmtId="0" xfId="0" applyAlignment="1" applyFill="1" applyFont="1">
      <alignment shrinkToFit="0" vertical="center" wrapText="1"/>
    </xf>
    <xf borderId="0" fillId="4" fontId="12" numFmtId="0" xfId="0" applyAlignment="1" applyFill="1" applyFont="1">
      <alignment horizontal="left" shrinkToFit="0" vertical="center" wrapText="1"/>
    </xf>
    <xf borderId="0" fillId="4" fontId="12" numFmtId="0" xfId="0" applyAlignment="1" applyFill="1" applyFont="1">
      <alignment horizontal="left" shrinkToFit="0" vertical="center" wrapText="1"/>
    </xf>
    <xf borderId="0" fillId="5" fontId="12" numFmtId="0" xfId="0" applyAlignment="1" applyFill="1" applyFont="1">
      <alignment shrinkToFit="0" vertical="center" wrapText="1"/>
    </xf>
    <xf borderId="0" fillId="5" fontId="12" numFmtId="10" xfId="0" applyAlignment="1" applyFill="1" applyFont="1" applyNumberFormat="1">
      <alignment horizontal="left" shrinkToFit="0" vertical="center" wrapText="1"/>
    </xf>
    <xf borderId="0" fillId="5" fontId="12" numFmtId="9" xfId="0" applyAlignment="1" applyFill="1" applyFont="1" applyNumberFormat="1">
      <alignment horizontal="left" vertical="center"/>
    </xf>
    <xf borderId="0" fillId="5" fontId="12" numFmtId="10" xfId="0" applyAlignment="1" applyFill="1" applyFont="1" applyNumberFormat="1">
      <alignment horizontal="left" vertical="center"/>
    </xf>
    <xf borderId="0" fillId="4" fontId="12" numFmtId="9" xfId="0" applyAlignment="1" applyFill="1" applyFont="1" applyNumberFormat="1">
      <alignment horizontal="left" vertical="center"/>
    </xf>
    <xf borderId="0" fillId="9" fontId="12" numFmtId="0" xfId="0" applyAlignment="1" applyFill="1" applyFont="1">
      <alignment horizontal="center" vertical="center"/>
    </xf>
    <xf borderId="0" fillId="5" fontId="21" numFmtId="0" xfId="0" applyAlignment="1" applyFill="1" applyFont="1">
      <alignment horizontal="center" shrinkToFit="0" vertical="center" wrapText="1"/>
    </xf>
    <xf borderId="0" fillId="4" fontId="21" numFmtId="0" xfId="0" applyAlignment="1" applyFill="1" applyFont="1">
      <alignment horizontal="center" shrinkToFit="0" vertical="center" wrapText="1"/>
    </xf>
    <xf borderId="0" fillId="4" fontId="12" numFmtId="10" xfId="0" applyAlignment="1" applyFill="1" applyFont="1" applyNumberFormat="1">
      <alignment horizontal="left" shrinkToFit="0" vertical="center" wrapText="1"/>
    </xf>
    <xf borderId="0" fillId="4" fontId="12" numFmtId="9" xfId="0" applyAlignment="1" applyFill="1" applyFont="1" applyNumberFormat="1">
      <alignment horizontal="right" shrinkToFit="0" vertical="center" wrapText="1"/>
    </xf>
    <xf borderId="0" fillId="5" fontId="12" numFmtId="9" xfId="0" applyAlignment="1" applyFill="1" applyFont="1" applyNumberFormat="1">
      <alignment horizontal="right" shrinkToFit="0" vertical="center" wrapText="1"/>
    </xf>
    <xf borderId="0" fillId="5" fontId="12" numFmtId="49" xfId="0" applyAlignment="1" applyFill="1" applyFont="1" applyNumberFormat="1">
      <alignment horizontal="left" vertical="center"/>
    </xf>
    <xf borderId="0" fillId="4" fontId="12" numFmtId="0" xfId="0" applyAlignment="1" applyFill="1" applyFont="1">
      <alignment readingOrder="0" shrinkToFit="0" vertical="center" wrapText="1"/>
    </xf>
    <xf borderId="0" fillId="10" fontId="12" numFmtId="0" xfId="0" applyAlignment="1" applyFill="1" applyFont="1">
      <alignment horizontal="center" vertical="center"/>
    </xf>
    <xf borderId="0" fillId="11" fontId="12" numFmtId="0" xfId="0" applyAlignment="1" applyFill="1" applyFont="1">
      <alignment horizontal="center" vertical="center"/>
    </xf>
    <xf borderId="0" fillId="4" fontId="12" numFmtId="10" xfId="0" applyAlignment="1" applyFill="1" applyFont="1" applyNumberFormat="1">
      <alignment horizontal="left" vertical="center"/>
    </xf>
    <xf borderId="0" fillId="5" fontId="12" numFmtId="0" xfId="0" applyAlignment="1" applyFill="1" applyFont="1">
      <alignment horizontal="center" vertical="center"/>
    </xf>
    <xf borderId="0" fillId="4" fontId="12" numFmtId="0" xfId="0" applyAlignment="1" applyFill="1" applyFont="1">
      <alignment horizontal="center" vertical="center"/>
    </xf>
    <xf borderId="0" fillId="5" fontId="22" numFmtId="0" xfId="0" applyAlignment="1" applyFill="1" applyFont="1">
      <alignment horizontal="center" shrinkToFit="0" vertical="center" wrapText="1"/>
    </xf>
    <xf borderId="0" fillId="4" fontId="23" numFmtId="0" xfId="0" applyAlignment="1" applyFill="1" applyFont="1">
      <alignment horizontal="center" shrinkToFit="0" vertical="center" wrapText="1"/>
    </xf>
    <xf borderId="0" fillId="5" fontId="12" numFmtId="2" xfId="0" applyAlignment="1" applyFill="1" applyFont="1" applyNumberFormat="1">
      <alignment horizontal="left" vertical="center"/>
    </xf>
    <xf borderId="0" fillId="4" fontId="12" numFmtId="164" xfId="0" applyAlignment="1" applyFill="1" applyFont="1" applyNumberFormat="1">
      <alignment horizontal="left" shrinkToFit="0" vertical="center" wrapText="1"/>
    </xf>
    <xf borderId="0" fillId="4" fontId="12" numFmtId="2" xfId="0" applyAlignment="1" applyFill="1" applyFont="1" applyNumberFormat="1">
      <alignment horizontal="left" vertical="center"/>
    </xf>
    <xf borderId="0" fillId="4" fontId="12" numFmtId="2" xfId="0" applyAlignment="1" applyFill="1" applyFont="1" applyNumberFormat="1">
      <alignment horizontal="left" shrinkToFit="0" vertical="center" wrapText="1"/>
    </xf>
    <xf borderId="0" fillId="4" fontId="12" numFmtId="164" xfId="0" applyAlignment="1" applyFill="1" applyFont="1" applyNumberFormat="1">
      <alignment horizontal="left" vertical="center"/>
    </xf>
    <xf borderId="0" fillId="5" fontId="12" numFmtId="164" xfId="0" applyAlignment="1" applyFill="1" applyFont="1" applyNumberFormat="1">
      <alignment horizontal="left" shrinkToFit="0" vertical="center" wrapText="1"/>
    </xf>
    <xf borderId="0" fillId="5" fontId="12" numFmtId="2" xfId="0" applyAlignment="1" applyFill="1" applyFont="1" applyNumberFormat="1">
      <alignment horizontal="left" shrinkToFit="0" vertical="center" wrapText="1"/>
    </xf>
    <xf borderId="0" fillId="4" fontId="12" numFmtId="165" xfId="0" applyAlignment="1" applyFill="1" applyFont="1" applyNumberFormat="1">
      <alignment horizontal="left" shrinkToFit="0" vertical="center" wrapText="1"/>
    </xf>
    <xf borderId="0" fillId="12" fontId="12" numFmtId="0" xfId="0" applyAlignment="1" applyFill="1" applyFont="1">
      <alignment horizontal="center" vertical="center"/>
    </xf>
    <xf borderId="0" fillId="2" fontId="6" numFmtId="0" xfId="0" applyAlignment="1" applyFill="1" applyFont="1">
      <alignment horizontal="center" readingOrder="0" shrinkToFit="0" vertical="center" wrapText="1"/>
    </xf>
    <xf borderId="0" fillId="2" fontId="5" numFmtId="0" xfId="0" applyAlignment="1" applyFill="1" applyFont="1">
      <alignment horizontal="center" readingOrder="0" shrinkToFit="0" vertical="center" wrapText="1"/>
    </xf>
    <xf borderId="0" fillId="2" fontId="5" numFmtId="0" xfId="0" applyAlignment="1" applyFill="1" applyFont="1">
      <alignment horizontal="center" readingOrder="0" vertical="center"/>
    </xf>
    <xf borderId="0" fillId="2" fontId="24" numFmtId="0" xfId="0" applyAlignment="1" applyFill="1" applyFont="1">
      <alignment horizontal="center" readingOrder="0" shrinkToFit="0" vertical="center" wrapText="1"/>
    </xf>
    <xf borderId="0" fillId="13" fontId="25" numFmtId="0" xfId="0" applyAlignment="1" applyFill="1" applyFont="1">
      <alignment horizontal="center" readingOrder="0" shrinkToFit="0" vertical="center" wrapText="1"/>
    </xf>
    <xf borderId="0" fillId="4" fontId="5" numFmtId="0" xfId="0" applyAlignment="1" applyFill="1" applyFont="1">
      <alignment horizontal="right" readingOrder="0" shrinkToFit="0" vertical="center" wrapText="1"/>
    </xf>
    <xf borderId="0" fillId="4" fontId="5" numFmtId="20" xfId="0" applyAlignment="1" applyFill="1" applyFont="1" applyNumberFormat="1">
      <alignment horizontal="center" readingOrder="0" shrinkToFit="0" vertical="center" wrapText="1"/>
    </xf>
    <xf borderId="0" fillId="4" fontId="5" numFmtId="0" xfId="0" applyAlignment="1" applyFill="1" applyFont="1">
      <alignment horizontal="center" readingOrder="0" shrinkToFit="0" vertical="center" wrapText="1"/>
    </xf>
    <xf borderId="0" fillId="4" fontId="5" numFmtId="0" xfId="0" applyAlignment="1" applyFill="1" applyFont="1">
      <alignment readingOrder="0" shrinkToFit="0" vertical="center" wrapText="0"/>
    </xf>
    <xf borderId="0" fillId="2" fontId="26" numFmtId="0" xfId="0" applyAlignment="1" applyFill="1" applyFont="1">
      <alignment horizontal="center" readingOrder="0" shrinkToFit="0" vertical="center" wrapText="1"/>
    </xf>
    <xf borderId="0" fillId="5" fontId="5" numFmtId="0" xfId="0" applyAlignment="1" applyFill="1" applyFont="1">
      <alignment horizontal="right" readingOrder="0" shrinkToFit="0" vertical="center" wrapText="1"/>
    </xf>
    <xf borderId="0" fillId="5" fontId="5" numFmtId="20" xfId="0" applyAlignment="1" applyFill="1" applyFont="1" applyNumberFormat="1">
      <alignment horizontal="center" readingOrder="0" shrinkToFit="0" vertical="center" wrapText="1"/>
    </xf>
    <xf borderId="0" fillId="5" fontId="5" numFmtId="0" xfId="0" applyAlignment="1" applyFill="1" applyFont="1">
      <alignment horizontal="center" readingOrder="0" shrinkToFit="0" vertical="center" wrapText="1"/>
    </xf>
    <xf borderId="0" fillId="5" fontId="5" numFmtId="0" xfId="0" applyAlignment="1" applyFill="1" applyFont="1">
      <alignment readingOrder="0" shrinkToFit="0" vertical="center" wrapText="0"/>
    </xf>
    <xf borderId="0" fillId="14" fontId="27" numFmtId="0" xfId="0" applyAlignment="1" applyFill="1" applyFont="1">
      <alignment horizontal="center" readingOrder="0" shrinkToFit="0" vertical="center" wrapText="1"/>
    </xf>
    <xf borderId="0" fillId="5" fontId="5" numFmtId="0" xfId="0" applyAlignment="1" applyFill="1" applyFont="1">
      <alignment horizontal="right" readingOrder="0" shrinkToFit="0" vertical="center" wrapText="1"/>
    </xf>
    <xf borderId="0" fillId="5" fontId="5" numFmtId="0" xfId="0" applyAlignment="1" applyFill="1" applyFont="1">
      <alignment readingOrder="0" shrinkToFit="0" vertical="center" wrapText="1"/>
    </xf>
    <xf borderId="0" fillId="4" fontId="12" numFmtId="0" xfId="0" applyAlignment="1" applyFill="1" applyFont="1">
      <alignment horizontal="right" readingOrder="0" shrinkToFit="0" vertical="center" wrapText="1"/>
    </xf>
    <xf borderId="0" fillId="4" fontId="12" numFmtId="20" xfId="0" applyAlignment="1" applyFill="1" applyFont="1" applyNumberFormat="1">
      <alignment horizontal="center" readingOrder="0" shrinkToFit="0" vertical="center" wrapText="1"/>
    </xf>
    <xf borderId="0" fillId="4" fontId="12" numFmtId="0" xfId="0" applyAlignment="1" applyFill="1" applyFont="1">
      <alignment horizontal="center" readingOrder="0" shrinkToFit="0" vertical="center" wrapText="1"/>
    </xf>
    <xf borderId="0" fillId="4" fontId="12" numFmtId="0" xfId="0" applyAlignment="1" applyFill="1" applyFont="1">
      <alignment readingOrder="0" shrinkToFit="0" vertical="center" wrapText="0"/>
    </xf>
    <xf borderId="0" fillId="15" fontId="28" numFmtId="0" xfId="0" applyAlignment="1" applyFill="1" applyFont="1">
      <alignment horizontal="center" readingOrder="0" shrinkToFit="0" vertical="center" wrapText="1"/>
    </xf>
    <xf borderId="0" fillId="4" fontId="5" numFmtId="0" xfId="0" applyAlignment="1" applyFill="1" applyFont="1">
      <alignment horizontal="right" readingOrder="0" shrinkToFit="0" vertical="center" wrapText="1"/>
    </xf>
    <xf borderId="0" fillId="4" fontId="5" numFmtId="0" xfId="0" applyAlignment="1" applyFill="1" applyFont="1">
      <alignment readingOrder="0" shrinkToFit="0" vertical="center" wrapText="1"/>
    </xf>
    <xf borderId="0" fillId="2" fontId="12" numFmtId="0" xfId="0" applyAlignment="1" applyFill="1" applyFont="1">
      <alignment horizontal="center" readingOrder="0" shrinkToFit="0" vertical="center" wrapText="1"/>
    </xf>
    <xf borderId="0" fillId="5" fontId="12" numFmtId="0" xfId="0" applyAlignment="1" applyFill="1" applyFont="1">
      <alignment horizontal="right" readingOrder="0" shrinkToFit="0" vertical="center" wrapText="1"/>
    </xf>
    <xf borderId="0" fillId="5" fontId="12" numFmtId="20" xfId="0" applyAlignment="1" applyFill="1" applyFont="1" applyNumberFormat="1">
      <alignment horizontal="center" readingOrder="0" shrinkToFit="0" vertical="center" wrapText="1"/>
    </xf>
    <xf borderId="0" fillId="5" fontId="12" numFmtId="0" xfId="0" applyAlignment="1" applyFill="1" applyFont="1">
      <alignment horizontal="center" readingOrder="0" shrinkToFit="0" vertical="center" wrapText="1"/>
    </xf>
    <xf borderId="0" fillId="5" fontId="12" numFmtId="0" xfId="0" applyAlignment="1" applyFill="1" applyFont="1">
      <alignment readingOrder="0" shrinkToFit="0" vertical="center" wrapText="0"/>
    </xf>
    <xf borderId="0" fillId="16" fontId="29" numFmtId="0" xfId="0" applyAlignment="1" applyFill="1" applyFont="1">
      <alignment horizontal="center" readingOrder="0" shrinkToFit="0" vertical="center" wrapText="1"/>
    </xf>
    <xf borderId="0" fillId="17" fontId="30" numFmtId="0" xfId="0" applyAlignment="1" applyFill="1" applyFont="1">
      <alignment horizontal="center" readingOrder="0" shrinkToFit="0" vertical="center" wrapText="1"/>
    </xf>
    <xf borderId="0" fillId="2" fontId="5" numFmtId="0" xfId="0" applyAlignment="1" applyFill="1" applyFont="1">
      <alignment horizontal="center" vertical="center"/>
    </xf>
    <xf borderId="9" fillId="2" fontId="5" numFmtId="0" xfId="0" applyAlignment="1" applyBorder="1" applyFill="1" applyFont="1">
      <alignment horizontal="center" vertical="center"/>
    </xf>
    <xf borderId="10" fillId="2" fontId="5" numFmtId="0" xfId="0" applyAlignment="1" applyBorder="1" applyFill="1" applyFont="1">
      <alignment horizontal="center" vertical="center"/>
    </xf>
    <xf borderId="11" fillId="4" fontId="5" numFmtId="0" xfId="0" applyAlignment="1" applyBorder="1" applyFill="1" applyFont="1">
      <alignment horizontal="center" vertical="center"/>
    </xf>
    <xf borderId="12" fillId="4" fontId="5" numFmtId="20" xfId="0" applyAlignment="1" applyBorder="1" applyFill="1" applyFont="1" applyNumberFormat="1">
      <alignment horizontal="center" vertical="center"/>
    </xf>
    <xf borderId="12" fillId="4" fontId="5" numFmtId="0" xfId="0" applyAlignment="1" applyBorder="1" applyFill="1" applyFont="1">
      <alignment horizontal="center" vertical="center"/>
    </xf>
    <xf borderId="0" fillId="4" fontId="5" numFmtId="0" xfId="0" applyAlignment="1" applyFill="1" applyFont="1">
      <alignment horizontal="center" vertical="center"/>
    </xf>
    <xf borderId="11" fillId="5" fontId="5" numFmtId="0" xfId="0" applyAlignment="1" applyBorder="1" applyFill="1" applyFont="1">
      <alignment horizontal="center" vertical="center"/>
    </xf>
    <xf borderId="12" fillId="5" fontId="5" numFmtId="20" xfId="0" applyAlignment="1" applyBorder="1" applyFill="1" applyFont="1" applyNumberFormat="1">
      <alignment horizontal="center" vertical="center"/>
    </xf>
    <xf borderId="12" fillId="5" fontId="5" numFmtId="0" xfId="0" applyAlignment="1" applyBorder="1" applyFill="1" applyFont="1">
      <alignment horizontal="center" vertical="center"/>
    </xf>
    <xf borderId="0" fillId="5" fontId="5" numFmtId="0" xfId="0" applyAlignment="1" applyFill="1" applyFont="1">
      <alignment horizontal="center" vertical="center"/>
    </xf>
    <xf borderId="13" fillId="2" fontId="12" numFmtId="0" xfId="0" applyAlignment="1" applyBorder="1" applyFill="1" applyFont="1">
      <alignment horizontal="center" shrinkToFit="0" vertical="center" wrapText="1"/>
    </xf>
    <xf borderId="13" fillId="2" fontId="12" numFmtId="0" xfId="0" applyAlignment="1" applyBorder="1" applyFill="1" applyFont="1">
      <alignment horizontal="center" readingOrder="0" shrinkToFit="0" vertical="center" wrapText="1"/>
    </xf>
    <xf borderId="14" fillId="4" fontId="12" numFmtId="0" xfId="0" applyAlignment="1" applyBorder="1" applyFill="1" applyFont="1">
      <alignment horizontal="center" shrinkToFit="0" vertical="center" wrapText="1"/>
    </xf>
    <xf borderId="14" fillId="4" fontId="12" numFmtId="0" xfId="0" applyAlignment="1" applyBorder="1" applyFill="1" applyFont="1">
      <alignment horizontal="center" readingOrder="0" shrinkToFit="0" vertical="center" wrapText="1"/>
    </xf>
    <xf borderId="14" fillId="5" fontId="12" numFmtId="0" xfId="0" applyAlignment="1" applyBorder="1" applyFill="1" applyFont="1">
      <alignment horizontal="center" shrinkToFit="0" vertical="center" wrapText="1"/>
    </xf>
    <xf borderId="14" fillId="5" fontId="12" numFmtId="0" xfId="0" applyAlignment="1" applyBorder="1" applyFill="1" applyFont="1">
      <alignment horizontal="center" readingOrder="0" shrinkToFit="0" vertical="center" wrapText="1"/>
    </xf>
    <xf borderId="15" fillId="4" fontId="5" numFmtId="0" xfId="0" applyAlignment="1" applyBorder="1" applyFill="1" applyFont="1">
      <alignment horizontal="center" vertical="center"/>
    </xf>
    <xf borderId="16" fillId="4" fontId="5" numFmtId="20" xfId="0" applyAlignment="1" applyBorder="1" applyFill="1" applyFont="1" applyNumberFormat="1">
      <alignment horizontal="center" vertical="center"/>
    </xf>
    <xf borderId="16" fillId="4" fontId="5" numFmtId="0" xfId="0" applyAlignment="1" applyBorder="1" applyFill="1" applyFont="1">
      <alignment horizontal="center" vertical="center"/>
    </xf>
    <xf borderId="17" fillId="4" fontId="12" numFmtId="0" xfId="0" applyAlignment="1" applyBorder="1" applyFill="1" applyFont="1">
      <alignment vertical="bottom"/>
    </xf>
    <xf borderId="0" fillId="4" fontId="12" numFmtId="0" xfId="0" applyAlignment="1" applyFill="1" applyFont="1">
      <alignment horizontal="center" shrinkToFit="0" vertical="bottom" wrapText="1"/>
    </xf>
    <xf borderId="0" fillId="18" fontId="12" numFmtId="0" xfId="0" applyAlignment="1" applyFill="1" applyFont="1">
      <alignment vertical="bottom"/>
    </xf>
    <xf borderId="14" fillId="5" fontId="12" numFmtId="0" xfId="0" applyAlignment="1" applyBorder="1" applyFill="1" applyFont="1">
      <alignment vertical="bottom"/>
    </xf>
    <xf borderId="0" fillId="5" fontId="12" numFmtId="0" xfId="0" applyAlignment="1" applyFill="1" applyFont="1">
      <alignment horizontal="center" shrinkToFit="0" vertical="bottom" wrapText="1"/>
    </xf>
    <xf borderId="14" fillId="4" fontId="12" numFmtId="0" xfId="0" applyAlignment="1" applyBorder="1" applyFill="1" applyFont="1">
      <alignment vertical="bottom"/>
    </xf>
    <xf borderId="0" fillId="4" fontId="12" numFmtId="0" xfId="0" applyAlignment="1" applyFill="1" applyFont="1">
      <alignment horizontal="center" vertical="bottom"/>
    </xf>
    <xf borderId="0" fillId="19" fontId="12" numFmtId="0" xfId="0" applyAlignment="1" applyFill="1" applyFont="1">
      <alignment horizontal="center" vertical="bottom"/>
    </xf>
    <xf borderId="0" fillId="17" fontId="12" numFmtId="0" xfId="0" applyAlignment="1" applyFill="1" applyFont="1">
      <alignment horizontal="center" vertical="bottom"/>
    </xf>
    <xf borderId="0" fillId="13" fontId="12" numFmtId="0" xfId="0" applyAlignment="1" applyFill="1" applyFont="1">
      <alignment horizontal="center" vertical="bottom"/>
    </xf>
    <xf borderId="0" fillId="4" fontId="12" numFmtId="0" xfId="0" applyAlignment="1" applyFill="1" applyFont="1">
      <alignment vertical="bottom"/>
    </xf>
    <xf borderId="0" fillId="5" fontId="12" numFmtId="0" xfId="0" applyAlignment="1" applyFill="1" applyFont="1">
      <alignment vertical="bottom"/>
    </xf>
    <xf borderId="18" fillId="5" fontId="12" numFmtId="0" xfId="0" applyAlignment="1" applyBorder="1" applyFill="1" applyFont="1">
      <alignment vertical="bottom"/>
    </xf>
    <xf borderId="14" fillId="5" fontId="12" numFmtId="0" xfId="0" applyAlignment="1" applyBorder="1" applyFill="1" applyFont="1">
      <alignment horizontal="center" shrinkToFit="0" vertical="center" wrapText="1"/>
    </xf>
    <xf borderId="12" fillId="5" fontId="12" numFmtId="0" xfId="0" applyAlignment="1" applyBorder="1" applyFill="1" applyFont="1">
      <alignment horizontal="center" shrinkToFit="0" vertical="center" wrapText="1"/>
    </xf>
    <xf borderId="12" fillId="4" fontId="12" numFmtId="0" xfId="0" applyAlignment="1" applyBorder="1" applyFill="1" applyFont="1">
      <alignment horizontal="center" shrinkToFit="0" vertical="center" wrapText="1"/>
    </xf>
    <xf borderId="12" fillId="5" fontId="12" numFmtId="0" xfId="0" applyAlignment="1" applyBorder="1" applyFill="1" applyFont="1">
      <alignment horizontal="center" readingOrder="0" shrinkToFit="0" vertical="center" wrapText="1"/>
    </xf>
    <xf borderId="12" fillId="4" fontId="12" numFmtId="0" xfId="0" applyAlignment="1" applyBorder="1" applyFill="1" applyFont="1">
      <alignment horizontal="center" readingOrder="0" shrinkToFit="0" vertical="center" wrapText="1"/>
    </xf>
    <xf borderId="0" fillId="5" fontId="12" numFmtId="0" xfId="0" applyAlignment="1" applyFill="1" applyFont="1">
      <alignment horizontal="center" vertical="bottom"/>
    </xf>
    <xf borderId="18" fillId="5" fontId="12" numFmtId="0" xfId="0" applyAlignment="1" applyBorder="1" applyFill="1" applyFont="1">
      <alignment horizontal="center" readingOrder="0" shrinkToFit="0" vertical="center" wrapText="1"/>
    </xf>
    <xf borderId="0" fillId="20" fontId="12" numFmtId="0" xfId="0" applyAlignment="1" applyFill="1" applyFont="1">
      <alignment horizontal="center" shrinkToFit="0" vertical="center" wrapText="1"/>
    </xf>
    <xf borderId="17" fillId="4" fontId="12" numFmtId="0" xfId="0" applyAlignment="1" applyBorder="1" applyFill="1" applyFont="1">
      <alignment horizontal="center" shrinkToFit="0" vertical="center" wrapText="1"/>
    </xf>
    <xf borderId="17" fillId="14" fontId="12" numFmtId="0" xfId="0" applyAlignment="1" applyBorder="1" applyFill="1" applyFont="1">
      <alignment vertical="bottom"/>
    </xf>
    <xf borderId="0" fillId="13" fontId="12" numFmtId="0" xfId="0" applyAlignment="1" applyFill="1" applyFont="1">
      <alignment horizontal="center" shrinkToFit="0" vertical="bottom" wrapText="1"/>
    </xf>
    <xf borderId="14" fillId="14" fontId="12" numFmtId="0" xfId="0" applyAlignment="1" applyBorder="1" applyFill="1" applyFont="1">
      <alignment vertical="bottom"/>
    </xf>
    <xf borderId="0" fillId="16" fontId="12" numFmtId="0" xfId="0" applyAlignment="1" applyFill="1" applyFont="1">
      <alignment horizontal="center" shrinkToFit="0" vertical="bottom" wrapText="1"/>
    </xf>
    <xf borderId="18" fillId="4" fontId="12" numFmtId="0" xfId="0" applyAlignment="1" applyBorder="1" applyFill="1" applyFont="1">
      <alignment horizontal="center" shrinkToFit="0" vertical="center" wrapText="1"/>
    </xf>
    <xf borderId="0" fillId="8" fontId="12" numFmtId="0" xfId="0" applyAlignment="1" applyFill="1" applyFont="1">
      <alignment horizontal="center" shrinkToFit="0" vertical="center" wrapText="1"/>
    </xf>
    <xf borderId="0" fillId="9" fontId="12" numFmtId="0" xfId="0" applyAlignment="1" applyFill="1" applyFont="1">
      <alignment horizontal="center" shrinkToFit="0" vertical="center" wrapText="1"/>
    </xf>
    <xf borderId="0" fillId="10" fontId="12" numFmtId="0" xfId="0" applyAlignment="1" applyFill="1" applyFont="1">
      <alignment horizontal="center" shrinkToFit="0" vertical="center" wrapText="1"/>
    </xf>
    <xf borderId="0" fillId="11" fontId="12" numFmtId="0" xfId="0" applyAlignment="1" applyFill="1" applyFont="1">
      <alignment horizontal="center" shrinkToFit="0" vertical="center" wrapText="1"/>
    </xf>
    <xf borderId="0" fillId="6" fontId="5" numFmtId="0" xfId="0" applyAlignment="1" applyFill="1" applyFont="1">
      <alignment horizontal="center"/>
    </xf>
    <xf borderId="0" fillId="7" fontId="5" numFmtId="0" xfId="0" applyAlignment="1" applyFill="1" applyFont="1">
      <alignment horizontal="center"/>
    </xf>
    <xf borderId="0" fillId="0" fontId="5" numFmtId="0" xfId="0" applyAlignment="1" applyFont="1">
      <alignment horizontal="center"/>
    </xf>
    <xf borderId="18" fillId="5" fontId="12" numFmtId="0" xfId="0" applyAlignment="1" applyBorder="1" applyFill="1" applyFont="1">
      <alignment horizontal="center" shrinkToFit="0" vertical="center" wrapText="1"/>
    </xf>
    <xf borderId="0" fillId="4" fontId="31" numFmtId="0" xfId="0" applyFill="1" applyFont="1"/>
    <xf borderId="0" fillId="11" fontId="5" numFmtId="0" xfId="0" applyAlignment="1" applyFill="1" applyFont="1">
      <alignment horizontal="center" vertical="center"/>
    </xf>
    <xf borderId="0" fillId="5" fontId="32" numFmtId="0" xfId="0" applyFill="1" applyFont="1"/>
    <xf borderId="0" fillId="21" fontId="12" numFmtId="0" xfId="0" applyAlignment="1" applyFill="1" applyFont="1">
      <alignment horizontal="center" shrinkToFit="0" vertical="center" wrapText="1"/>
    </xf>
    <xf borderId="0" fillId="0" fontId="5" numFmtId="0" xfId="0" applyFont="1"/>
    <xf borderId="0" fillId="4" fontId="33" numFmtId="0" xfId="0" applyAlignment="1" applyFill="1" applyFont="1">
      <alignment readingOrder="0" shrinkToFit="0" vertical="center" wrapText="1"/>
    </xf>
    <xf borderId="0" fillId="5" fontId="33" numFmtId="0" xfId="0" applyAlignment="1" applyFill="1" applyFont="1">
      <alignment shrinkToFit="0" vertical="center" wrapText="1"/>
    </xf>
    <xf borderId="0" fillId="5" fontId="33" numFmtId="0" xfId="0" applyAlignment="1" applyFill="1" applyFont="1">
      <alignment readingOrder="0" shrinkToFit="0" vertical="center" wrapText="1"/>
    </xf>
    <xf borderId="0" fillId="4" fontId="33" numFmtId="0" xfId="0" applyAlignment="1" applyFill="1" applyFont="1">
      <alignment shrinkToFit="0" vertical="center" wrapText="1"/>
    </xf>
    <xf borderId="0" fillId="8" fontId="5" numFmtId="0" xfId="0" applyAlignment="1" applyFill="1" applyFont="1">
      <alignment horizontal="center"/>
    </xf>
    <xf borderId="0" fillId="9" fontId="5" numFmtId="0" xfId="0" applyAlignment="1" applyFill="1" applyFont="1">
      <alignment horizontal="center"/>
    </xf>
    <xf borderId="0" fillId="10" fontId="5" numFmtId="0" xfId="0" applyAlignment="1" applyFill="1" applyFont="1">
      <alignment horizontal="center"/>
    </xf>
    <xf borderId="0" fillId="11" fontId="5" numFmtId="0" xfId="0" applyAlignment="1" applyFill="1" applyFont="1">
      <alignment horizontal="center"/>
    </xf>
    <xf borderId="17" fillId="4" fontId="12" numFmtId="0" xfId="0" applyAlignment="1" applyBorder="1" applyFill="1" applyFont="1">
      <alignment horizontal="center" readingOrder="0" shrinkToFit="0" vertical="center" wrapText="1"/>
    </xf>
    <xf borderId="0" fillId="12" fontId="5" numFmtId="0" xfId="0" applyAlignment="1" applyFill="1" applyFont="1">
      <alignment horizontal="center"/>
    </xf>
    <xf borderId="14" fillId="0" fontId="5" numFmtId="0" xfId="0" applyAlignment="1" applyBorder="1" applyFont="1">
      <alignment horizontal="center" shrinkToFit="0" vertical="center" wrapText="1"/>
    </xf>
    <xf borderId="0" fillId="7" fontId="5" numFmtId="0" xfId="0" applyAlignment="1" applyFill="1" applyFont="1">
      <alignment horizontal="center" vertical="center"/>
    </xf>
    <xf borderId="0" fillId="4" fontId="34" numFmtId="0" xfId="0" applyAlignment="1" applyFill="1" applyFont="1">
      <alignment readingOrder="0" vertical="bottom"/>
    </xf>
    <xf borderId="0" fillId="0" fontId="12" numFmtId="0" xfId="0" applyAlignment="1" applyFont="1">
      <alignment horizontal="center" shrinkToFit="0" vertical="center" wrapText="1"/>
    </xf>
    <xf borderId="0" fillId="4" fontId="12" numFmtId="0" xfId="0" applyAlignment="1" applyFill="1" applyFont="1">
      <alignment horizontal="center" shrinkToFit="0" vertical="center" wrapText="1"/>
    </xf>
    <xf borderId="0" fillId="5" fontId="12" numFmtId="0" xfId="0" applyAlignment="1" applyFill="1" applyFont="1">
      <alignment horizontal="center" shrinkToFit="0" vertical="center" wrapText="1"/>
    </xf>
    <xf borderId="0" fillId="5" fontId="12" numFmtId="0" xfId="0" applyAlignment="1" applyFill="1" applyFont="1">
      <alignment horizontal="center" readingOrder="0" shrinkToFit="0" vertical="center" wrapText="1"/>
    </xf>
    <xf borderId="12" fillId="0" fontId="5" numFmtId="0" xfId="0" applyAlignment="1" applyBorder="1" applyFont="1">
      <alignment horizontal="center" shrinkToFit="0" vertical="center" wrapText="1"/>
    </xf>
    <xf borderId="0" fillId="4" fontId="12" numFmtId="0" xfId="0" applyAlignment="1" applyFill="1" applyFont="1">
      <alignment horizontal="center" readingOrder="0" shrinkToFit="0" vertical="center" wrapText="1"/>
    </xf>
    <xf borderId="0" fillId="5" fontId="35" numFmtId="0" xfId="0" applyAlignment="1" applyFill="1" applyFont="1">
      <alignment vertical="bottom"/>
    </xf>
    <xf borderId="0" fillId="5" fontId="33" numFmtId="0" xfId="0" applyAlignment="1" applyFill="1" applyFont="1">
      <alignment shrinkToFit="0" vertical="center" wrapText="1"/>
    </xf>
    <xf borderId="0" fillId="4" fontId="33" numFmtId="0" xfId="0" applyAlignment="1" applyFill="1" applyFont="1">
      <alignment shrinkToFit="0" vertical="center" wrapText="1"/>
    </xf>
    <xf borderId="0" fillId="0" fontId="33" numFmtId="0" xfId="0" applyAlignment="1" applyFont="1">
      <alignment readingOrder="0" shrinkToFit="0" vertical="center" wrapText="1"/>
    </xf>
    <xf borderId="0" fillId="4" fontId="12" numFmtId="0" xfId="0" applyAlignment="1" applyFill="1" applyFont="1">
      <alignment horizontal="left" readingOrder="0" shrinkToFit="0" vertical="center" wrapText="1"/>
    </xf>
    <xf borderId="0" fillId="5" fontId="12" numFmtId="0" xfId="0" applyAlignment="1" applyFill="1" applyFont="1">
      <alignment horizontal="left" readingOrder="0" shrinkToFit="0" vertical="center" wrapText="1"/>
    </xf>
    <xf borderId="0" fillId="0" fontId="5" numFmtId="0" xfId="0" applyAlignment="1" applyFont="1">
      <alignment readingOrder="0"/>
    </xf>
    <xf borderId="0" fillId="5" fontId="12" numFmtId="0" xfId="0" applyAlignment="1" applyFill="1" applyFont="1">
      <alignment readingOrder="0" shrinkToFit="0" vertical="center" wrapText="1"/>
    </xf>
    <xf borderId="0" fillId="4" fontId="12" numFmtId="0" xfId="0" applyAlignment="1" applyFill="1" applyFont="1">
      <alignment readingOrder="0" shrinkToFit="0" vertical="center" wrapText="1"/>
    </xf>
    <xf borderId="0" fillId="4" fontId="21" numFmtId="0" xfId="0" applyAlignment="1" applyFill="1" applyFont="1">
      <alignment horizontal="center" shrinkToFit="0" vertical="center" wrapText="1"/>
    </xf>
    <xf borderId="0" fillId="5" fontId="21" numFmtId="0" xfId="0" applyAlignment="1" applyFill="1" applyFont="1">
      <alignment horizontal="center" shrinkToFit="0" vertical="center" wrapText="1"/>
    </xf>
    <xf borderId="0" fillId="5" fontId="36" numFmtId="0" xfId="0" applyAlignment="1" applyFill="1" applyFont="1">
      <alignment horizontal="center" shrinkToFit="0" vertical="center" wrapText="1"/>
    </xf>
    <xf borderId="0" fillId="4" fontId="36" numFmtId="0" xfId="0" applyAlignment="1" applyFill="1" applyFont="1">
      <alignment horizontal="center" shrinkToFit="0" vertical="center" wrapText="1"/>
    </xf>
    <xf borderId="0" fillId="4" fontId="37" numFmtId="0" xfId="0" applyAlignment="1" applyFill="1" applyFont="1">
      <alignment horizontal="center" shrinkToFit="0" vertical="center" wrapText="1"/>
    </xf>
    <xf borderId="0" fillId="5" fontId="37" numFmtId="0" xfId="0" applyAlignment="1" applyFill="1" applyFont="1">
      <alignment horizontal="center" shrinkToFit="0" vertical="center" wrapText="1"/>
    </xf>
    <xf borderId="0" fillId="5" fontId="38" numFmtId="0" xfId="0" applyAlignment="1" applyFill="1" applyFont="1">
      <alignment horizontal="center" shrinkToFit="0" vertical="center" wrapText="1"/>
    </xf>
    <xf borderId="0" fillId="4" fontId="38" numFmtId="0" xfId="0" applyAlignment="1" applyFill="1" applyFont="1">
      <alignment horizontal="center" shrinkToFit="0" vertical="center" wrapText="1"/>
    </xf>
    <xf borderId="0" fillId="4" fontId="12" numFmtId="0" xfId="0" applyAlignment="1" applyFill="1" applyFont="1">
      <alignment horizontal="center" readingOrder="0" vertical="center"/>
    </xf>
    <xf borderId="0" fillId="5" fontId="12" numFmtId="0" xfId="0" applyAlignment="1" applyFill="1" applyFont="1">
      <alignment horizontal="center" vertical="center"/>
    </xf>
    <xf borderId="0" fillId="4" fontId="12" numFmtId="0" xfId="0" applyAlignment="1" applyFill="1" applyFont="1">
      <alignment horizontal="center" vertical="center"/>
    </xf>
    <xf borderId="0" fillId="4" fontId="39" numFmtId="0" xfId="0" applyAlignment="1" applyFill="1" applyFont="1">
      <alignment horizontal="center" readingOrder="0" shrinkToFit="0" vertical="center" wrapText="1"/>
    </xf>
    <xf borderId="0" fillId="4" fontId="12" numFmtId="0" xfId="0" applyAlignment="1" applyFill="1" applyFont="1">
      <alignment horizontal="center" readingOrder="0" shrinkToFit="0" vertical="center" wrapText="1"/>
    </xf>
    <xf borderId="0" fillId="5" fontId="12" numFmtId="0" xfId="0" applyAlignment="1" applyFill="1" applyFont="1">
      <alignment horizontal="center" readingOrder="0" shrinkToFit="0" vertical="center" wrapText="1"/>
    </xf>
    <xf borderId="12" fillId="0" fontId="5" numFmtId="0" xfId="0" applyBorder="1" applyFont="1"/>
    <xf borderId="0" fillId="4" fontId="40" numFmtId="0" xfId="0" applyAlignment="1" applyFill="1" applyFont="1">
      <alignment horizontal="center" shrinkToFit="0" vertical="center" wrapText="1"/>
    </xf>
    <xf borderId="0" fillId="5" fontId="12" numFmtId="0" xfId="0" applyAlignment="1" applyFill="1" applyFont="1">
      <alignment horizontal="center" readingOrder="0" vertical="center"/>
    </xf>
    <xf borderId="0" fillId="5" fontId="39" numFmtId="0" xfId="0" applyAlignment="1" applyFill="1" applyFont="1">
      <alignment horizontal="center" readingOrder="0" vertical="center"/>
    </xf>
    <xf borderId="0" fillId="5" fontId="38" numFmtId="0" xfId="0" applyAlignment="1" applyFill="1" applyFont="1">
      <alignment horizontal="center" shrinkToFit="0" vertical="center" wrapText="1"/>
    </xf>
    <xf borderId="0" fillId="5" fontId="12" numFmtId="0" xfId="0" applyAlignment="1" applyFill="1" applyFont="1">
      <alignment horizontal="center" vertical="center"/>
    </xf>
    <xf borderId="0" fillId="4" fontId="12" numFmtId="0" xfId="0" applyAlignment="1" applyFill="1" applyFont="1">
      <alignment horizontal="center" vertical="center"/>
    </xf>
    <xf borderId="0" fillId="4" fontId="21" numFmtId="0" xfId="0" applyAlignment="1" applyFill="1" applyFont="1">
      <alignment horizontal="center" shrinkToFit="0" vertical="center" wrapText="1"/>
    </xf>
    <xf borderId="0" fillId="5" fontId="21" numFmtId="0" xfId="0" applyAlignment="1" applyFill="1" applyFont="1">
      <alignment horizontal="center" shrinkToFit="0" vertical="center" wrapText="1"/>
    </xf>
    <xf borderId="0" fillId="5" fontId="36" numFmtId="0" xfId="0" applyAlignment="1" applyFill="1" applyFont="1">
      <alignment horizontal="center" shrinkToFit="0" vertical="center" wrapText="1"/>
    </xf>
    <xf borderId="0" fillId="4" fontId="36" numFmtId="0" xfId="0" applyAlignment="1" applyFill="1" applyFont="1">
      <alignment horizontal="center" shrinkToFit="0" vertical="center" wrapText="1"/>
    </xf>
    <xf borderId="0" fillId="5" fontId="37" numFmtId="0" xfId="0" applyAlignment="1" applyFill="1" applyFont="1">
      <alignment horizontal="center" shrinkToFit="0" vertical="center" wrapText="1"/>
    </xf>
    <xf borderId="0" fillId="4" fontId="37" numFmtId="0" xfId="0" applyAlignment="1" applyFill="1" applyFont="1">
      <alignment horizontal="center" shrinkToFit="0" vertical="center" wrapText="1"/>
    </xf>
    <xf borderId="0" fillId="4" fontId="38" numFmtId="0" xfId="0" applyAlignment="1" applyFill="1" applyFont="1">
      <alignment horizontal="center" shrinkToFit="0" vertical="center" wrapText="1"/>
    </xf>
    <xf borderId="0" fillId="0" fontId="5" numFmtId="0" xfId="0" applyAlignment="1" applyFont="1">
      <alignment horizontal="center" readingOrder="0" vertical="center"/>
    </xf>
    <xf borderId="0" fillId="4" fontId="12" numFmtId="0" xfId="0" applyAlignment="1" applyFill="1" applyFont="1">
      <alignment horizontal="center" readingOrder="0" vertical="bottom"/>
    </xf>
    <xf borderId="0" fillId="5" fontId="12" numFmtId="0" xfId="0" applyAlignment="1" applyFill="1" applyFont="1">
      <alignment horizontal="center" readingOrder="0" vertical="bottom"/>
    </xf>
    <xf borderId="0" fillId="4" fontId="40" numFmtId="0" xfId="0" applyAlignment="1" applyFill="1" applyFont="1">
      <alignment horizontal="center" shrinkToFit="0" vertical="center" wrapText="1"/>
    </xf>
    <xf borderId="0" fillId="4" fontId="41" numFmtId="0" xfId="0" applyAlignment="1" applyFill="1" applyFont="1">
      <alignment vertical="bottom"/>
    </xf>
    <xf borderId="0" fillId="4" fontId="12" numFmtId="0" xfId="0" applyAlignment="1" applyFill="1" applyFont="1">
      <alignment horizontal="right" shrinkToFit="0" vertical="center" wrapText="1"/>
    </xf>
    <xf borderId="0" fillId="20" fontId="12" numFmtId="0" xfId="0" applyAlignment="1" applyFill="1" applyFont="1">
      <alignment horizontal="right" shrinkToFit="0" vertical="center" wrapText="1"/>
    </xf>
    <xf borderId="0" fillId="5" fontId="12" numFmtId="0" xfId="0" applyAlignment="1" applyFill="1" applyFont="1">
      <alignment horizontal="right" shrinkToFit="0" vertical="center" wrapText="1"/>
    </xf>
    <xf borderId="0" fillId="20" fontId="12" numFmtId="0" xfId="0" applyAlignment="1" applyFill="1" applyFont="1">
      <alignment horizontal="right" readingOrder="0" shrinkToFit="0" vertical="center" wrapText="1"/>
    </xf>
    <xf borderId="0" fillId="0" fontId="5" numFmtId="0" xfId="0" applyAlignment="1" applyFont="1">
      <alignment horizontal="center" readingOrder="0"/>
    </xf>
    <xf borderId="0" fillId="4" fontId="12" numFmtId="0" xfId="0" applyAlignment="1" applyFill="1" applyFont="1">
      <alignment horizontal="center" readingOrder="0" shrinkToFit="0" vertical="bottom" wrapText="1"/>
    </xf>
    <xf borderId="0" fillId="5" fontId="12" numFmtId="0" xfId="0" applyAlignment="1" applyFill="1" applyFont="1">
      <alignment horizontal="center" readingOrder="0" shrinkToFit="0" vertical="bottom" wrapText="1"/>
    </xf>
    <xf borderId="14" fillId="5" fontId="12" numFmtId="0" xfId="0" applyAlignment="1" applyBorder="1" applyFill="1" applyFont="1">
      <alignment vertical="bottom"/>
    </xf>
    <xf borderId="0" fillId="4" fontId="12" numFmtId="0" xfId="0" applyAlignment="1" applyFill="1" applyFont="1">
      <alignment horizontal="right" shrinkToFit="0" vertical="center" wrapText="1"/>
    </xf>
    <xf borderId="0" fillId="4" fontId="12" numFmtId="9" xfId="0" applyAlignment="1" applyFill="1" applyFont="1" applyNumberFormat="1">
      <alignment horizontal="center" readingOrder="0" shrinkToFit="0" vertical="center" wrapText="1"/>
    </xf>
    <xf borderId="0" fillId="20" fontId="12" numFmtId="0" xfId="0" applyAlignment="1" applyFill="1" applyFont="1">
      <alignment horizontal="center" shrinkToFit="0" vertical="center" wrapText="1"/>
    </xf>
    <xf borderId="0" fillId="4" fontId="12" numFmtId="9" xfId="0" applyAlignment="1" applyFill="1" applyFont="1" applyNumberFormat="1">
      <alignment horizontal="center" shrinkToFit="0" vertical="center" wrapText="1"/>
    </xf>
    <xf borderId="0" fillId="5" fontId="12" numFmtId="10" xfId="0" applyAlignment="1" applyFill="1" applyFont="1" applyNumberFormat="1">
      <alignment horizontal="center" readingOrder="0" shrinkToFit="0" vertical="center" wrapText="1"/>
    </xf>
    <xf borderId="0" fillId="5" fontId="12" numFmtId="9" xfId="0" applyAlignment="1" applyFill="1" applyFont="1" applyNumberFormat="1">
      <alignment horizontal="center" shrinkToFit="0" vertical="center" wrapText="1"/>
    </xf>
    <xf borderId="0" fillId="4" fontId="12" numFmtId="10" xfId="0" applyAlignment="1" applyFill="1" applyFont="1" applyNumberFormat="1">
      <alignment horizontal="center" readingOrder="0" shrinkToFit="0" vertical="center" wrapText="1"/>
    </xf>
    <xf borderId="0" fillId="20" fontId="12" numFmtId="9" xfId="0" applyAlignment="1" applyFill="1" applyFont="1" applyNumberFormat="1">
      <alignment horizontal="center" readingOrder="0" shrinkToFit="0" vertical="center" wrapText="1"/>
    </xf>
    <xf borderId="0" fillId="5" fontId="12" numFmtId="10" xfId="0" applyAlignment="1" applyFill="1" applyFont="1" applyNumberFormat="1">
      <alignment horizontal="center" shrinkToFit="0" vertical="center" wrapText="1"/>
    </xf>
    <xf borderId="0" fillId="20" fontId="12" numFmtId="10" xfId="0" applyAlignment="1" applyFill="1" applyFont="1" applyNumberFormat="1">
      <alignment horizontal="center" shrinkToFit="0" vertical="center" wrapText="1"/>
    </xf>
    <xf borderId="0" fillId="20" fontId="12" numFmtId="9" xfId="0" applyAlignment="1" applyFill="1" applyFont="1" applyNumberFormat="1">
      <alignment horizontal="center" shrinkToFit="0" vertical="center" wrapText="1"/>
    </xf>
    <xf borderId="0" fillId="20" fontId="12" numFmtId="0" xfId="0" applyAlignment="1" applyFill="1" applyFont="1">
      <alignment horizontal="center" readingOrder="0" shrinkToFit="0" vertical="center" wrapText="1"/>
    </xf>
    <xf borderId="0" fillId="5" fontId="12" numFmtId="9" xfId="0" applyAlignment="1" applyFill="1" applyFont="1" applyNumberFormat="1">
      <alignment horizontal="center" readingOrder="0" shrinkToFit="0" vertical="center" wrapText="1"/>
    </xf>
    <xf borderId="0" fillId="4" fontId="12" numFmtId="10" xfId="0" applyAlignment="1" applyFill="1" applyFont="1" applyNumberFormat="1">
      <alignment horizontal="center" shrinkToFit="0" vertical="center" wrapText="1"/>
    </xf>
    <xf borderId="0" fillId="5" fontId="12" numFmtId="0" xfId="0" applyAlignment="1" applyFill="1" applyFont="1">
      <alignment horizontal="right" shrinkToFit="0" vertical="center" wrapText="1"/>
    </xf>
    <xf borderId="0" fillId="20" fontId="12" numFmtId="0" xfId="0" applyAlignment="1" applyFill="1" applyFont="1">
      <alignment horizontal="right" shrinkToFit="0" vertical="center" wrapText="1"/>
    </xf>
    <xf borderId="0" fillId="20" fontId="12" numFmtId="10" xfId="0" applyAlignment="1" applyFill="1" applyFont="1" applyNumberFormat="1">
      <alignment horizontal="center" readingOrder="0" shrinkToFit="0" vertical="center" wrapText="1"/>
    </xf>
    <xf borderId="0" fillId="5" fontId="12" numFmtId="0" xfId="0" applyAlignment="1" applyFill="1" applyFont="1">
      <alignment horizontal="center" shrinkToFit="0" vertical="center" wrapText="1"/>
    </xf>
    <xf borderId="0" fillId="20" fontId="12" numFmtId="2" xfId="0" applyAlignment="1" applyFill="1" applyFont="1" applyNumberFormat="1">
      <alignment horizontal="center" readingOrder="0" shrinkToFit="0" vertical="center" wrapText="1"/>
    </xf>
    <xf borderId="0" fillId="20" fontId="12" numFmtId="164" xfId="0" applyAlignment="1" applyFill="1" applyFont="1" applyNumberFormat="1">
      <alignment horizontal="center" readingOrder="0" shrinkToFit="0" vertical="center" wrapText="1"/>
    </xf>
    <xf borderId="0" fillId="20" fontId="12" numFmtId="165" xfId="0" applyAlignment="1" applyFill="1" applyFont="1" applyNumberFormat="1">
      <alignment horizontal="center" readingOrder="0" shrinkToFit="0" vertical="center" wrapText="1"/>
    </xf>
    <xf borderId="0" fillId="20" fontId="12" numFmtId="0" xfId="0" applyAlignment="1" applyFill="1" applyFont="1">
      <alignment horizontal="center" shrinkToFit="0" vertical="center" wrapText="1"/>
    </xf>
    <xf borderId="0" fillId="4" fontId="12" numFmtId="0" xfId="0" applyAlignment="1" applyFill="1" applyFont="1">
      <alignment horizontal="center" shrinkToFit="0" vertical="center" wrapText="1"/>
    </xf>
  </cellXfs>
  <cellStyles count="1">
    <cellStyle xfId="0" name="Normal" builtinId="0"/>
  </cellStyles>
  <dxfs count="25">
    <dxf>
      <font/>
      <fill>
        <patternFill patternType="none"/>
      </fill>
      <border/>
    </dxf>
    <dxf>
      <font/>
      <fill>
        <patternFill patternType="none"/>
      </fill>
      <border/>
    </dxf>
    <dxf>
      <font>
        <color rgb="FF9900FF"/>
      </font>
      <fill>
        <patternFill patternType="none"/>
      </fill>
      <border/>
    </dxf>
    <dxf>
      <font>
        <color rgb="FFEA4335"/>
      </font>
      <fill>
        <patternFill patternType="none"/>
      </fill>
      <border/>
    </dxf>
    <dxf>
      <font>
        <color rgb="FFFF6D01"/>
      </font>
      <fill>
        <patternFill patternType="none"/>
      </fill>
      <border/>
    </dxf>
    <dxf>
      <font>
        <color rgb="FFFF00FF"/>
      </font>
      <fill>
        <patternFill patternType="none"/>
      </fill>
      <border/>
    </dxf>
    <dxf>
      <font>
        <color rgb="FF4285F4"/>
      </font>
      <fill>
        <patternFill patternType="none"/>
      </fill>
      <border/>
    </dxf>
    <dxf>
      <font>
        <color rgb="FF34A853"/>
      </font>
      <fill>
        <patternFill patternType="none"/>
      </fill>
      <border/>
    </dxf>
    <dxf>
      <font>
        <color rgb="FF9900FF"/>
      </font>
      <fill>
        <patternFill patternType="none"/>
      </fill>
      <border/>
    </dxf>
    <dxf>
      <font>
        <color rgb="FFFF9900"/>
      </font>
      <fill>
        <patternFill patternType="none"/>
      </fill>
      <border/>
    </dxf>
    <dxf>
      <font>
        <color rgb="FF4A86E8"/>
      </font>
      <fill>
        <patternFill patternType="none"/>
      </fill>
      <border/>
    </dxf>
    <dxf>
      <font>
        <color theme="7"/>
      </font>
      <fill>
        <patternFill patternType="none"/>
      </fill>
      <border/>
    </dxf>
    <dxf>
      <font>
        <color rgb="FFFF0000"/>
      </font>
      <fill>
        <patternFill patternType="none"/>
      </fill>
      <border/>
    </dxf>
    <dxf>
      <font>
        <color rgb="FFEA4335"/>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000000"/>
          <bgColor rgb="FF000000"/>
        </patternFill>
      </fill>
      <border/>
    </dxf>
    <dxf>
      <font/>
      <fill>
        <patternFill patternType="solid">
          <fgColor rgb="FFC9DAF8"/>
          <bgColor rgb="FFC9DAF8"/>
        </patternFill>
      </fill>
      <border/>
    </dxf>
    <dxf>
      <font/>
      <fill>
        <patternFill patternType="solid">
          <fgColor rgb="FFD9D2E9"/>
          <bgColor rgb="FFD9D2E9"/>
        </patternFill>
      </fill>
      <border/>
    </dxf>
    <dxf>
      <font/>
      <fill>
        <patternFill patternType="solid">
          <fgColor rgb="FFF4CCCC"/>
          <bgColor rgb="FFF4CCCC"/>
        </patternFill>
      </fill>
      <border/>
    </dxf>
    <dxf>
      <font>
        <color theme="5"/>
      </font>
      <fill>
        <patternFill patternType="none"/>
      </fill>
      <border/>
    </dxf>
    <dxf>
      <font>
        <color theme="8"/>
      </font>
      <fill>
        <patternFill patternType="none"/>
      </fill>
      <border/>
    </dxf>
    <dxf>
      <font>
        <color theme="4"/>
      </font>
      <fill>
        <patternFill patternType="none"/>
      </fill>
      <border/>
    </dxf>
    <dxf>
      <font>
        <color rgb="FFFF6D01"/>
      </font>
      <fill>
        <patternFill patternType="none"/>
      </fill>
      <border/>
    </dxf>
  </dxfs>
  <tableStyles count="11">
    <tableStyle count="3" pivot="0" name="Up Names-style">
      <tableStyleElement dxfId="14" type="headerRow"/>
      <tableStyleElement dxfId="15" type="firstRowStripe"/>
      <tableStyleElement dxfId="16" type="secondRowStripe"/>
    </tableStyle>
    <tableStyle count="2" pivot="0" name="Up Ref-style">
      <tableStyleElement dxfId="15" type="firstRowStripe"/>
      <tableStyleElement dxfId="16" type="secondRowStripe"/>
    </tableStyle>
    <tableStyle count="2" pivot="0" name="Up Icon-style">
      <tableStyleElement dxfId="15" type="firstRowStripe"/>
      <tableStyleElement dxfId="16" type="secondRowStripe"/>
    </tableStyle>
    <tableStyle count="2" pivot="0" name="Up Wiki-style">
      <tableStyleElement dxfId="15" type="firstRowStripe"/>
      <tableStyleElement dxfId="16" type="secondRowStripe"/>
    </tableStyle>
    <tableStyle count="2" pivot="0" name="Up Desc-style">
      <tableStyleElement dxfId="15" type="firstRowStripe"/>
      <tableStyleElement dxfId="16" type="secondRowStripe"/>
    </tableStyle>
    <tableStyle count="2" pivot="0" name="Up Turbo-style">
      <tableStyleElement dxfId="15" type="firstRowStripe"/>
      <tableStyleElement dxfId="16" type="secondRowStripe"/>
    </tableStyle>
    <tableStyle count="2" pivot="0" name="Up Rarity-style">
      <tableStyleElement dxfId="15" type="firstRowStripe"/>
      <tableStyleElement dxfId="16" type="secondRowStripe"/>
    </tableStyle>
    <tableStyle count="2" pivot="0" name="Up Cells-style">
      <tableStyleElement dxfId="15" type="firstRowStripe"/>
      <tableStyleElement dxfId="16" type="secondRowStripe"/>
    </tableStyle>
    <tableStyle count="2" pivot="0" name="Up Stats-style">
      <tableStyleElement dxfId="15" type="firstRowStripe"/>
      <tableStyleElement dxfId="16" type="secondRowStripe"/>
    </tableStyle>
    <tableStyle count="2" pivot="0" name="Up Min-style">
      <tableStyleElement dxfId="15" type="firstRowStripe"/>
      <tableStyleElement dxfId="16" type="secondRowStripe"/>
    </tableStyle>
    <tableStyle count="2" pivot="0" name="Up Max-style">
      <tableStyleElement dxfId="15" type="firstRowStripe"/>
      <tableStyleElement dxfId="16"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90" Type="http://schemas.openxmlformats.org/officeDocument/2006/relationships/image" Target="../media/image216.png"/><Relationship Id="rId194" Type="http://schemas.openxmlformats.org/officeDocument/2006/relationships/image" Target="../media/image221.png"/><Relationship Id="rId193" Type="http://schemas.openxmlformats.org/officeDocument/2006/relationships/image" Target="../media/image266.png"/><Relationship Id="rId192" Type="http://schemas.openxmlformats.org/officeDocument/2006/relationships/image" Target="../media/image262.png"/><Relationship Id="rId191" Type="http://schemas.openxmlformats.org/officeDocument/2006/relationships/image" Target="../media/image256.png"/><Relationship Id="rId187" Type="http://schemas.openxmlformats.org/officeDocument/2006/relationships/image" Target="../media/image245.png"/><Relationship Id="rId186" Type="http://schemas.openxmlformats.org/officeDocument/2006/relationships/image" Target="../media/image253.png"/><Relationship Id="rId185" Type="http://schemas.openxmlformats.org/officeDocument/2006/relationships/image" Target="../media/image349.png"/><Relationship Id="rId184" Type="http://schemas.openxmlformats.org/officeDocument/2006/relationships/image" Target="../media/image248.png"/><Relationship Id="rId189" Type="http://schemas.openxmlformats.org/officeDocument/2006/relationships/image" Target="../media/image228.png"/><Relationship Id="rId188" Type="http://schemas.openxmlformats.org/officeDocument/2006/relationships/image" Target="../media/image205.png"/><Relationship Id="rId183" Type="http://schemas.openxmlformats.org/officeDocument/2006/relationships/image" Target="../media/image203.png"/><Relationship Id="rId182" Type="http://schemas.openxmlformats.org/officeDocument/2006/relationships/image" Target="../media/image202.png"/><Relationship Id="rId181" Type="http://schemas.openxmlformats.org/officeDocument/2006/relationships/image" Target="../media/image217.png"/><Relationship Id="rId180" Type="http://schemas.openxmlformats.org/officeDocument/2006/relationships/image" Target="../media/image261.png"/><Relationship Id="rId176" Type="http://schemas.openxmlformats.org/officeDocument/2006/relationships/image" Target="../media/image292.png"/><Relationship Id="rId297" Type="http://schemas.openxmlformats.org/officeDocument/2006/relationships/image" Target="../media/image354.png"/><Relationship Id="rId175" Type="http://schemas.openxmlformats.org/officeDocument/2006/relationships/image" Target="../media/image237.png"/><Relationship Id="rId296" Type="http://schemas.openxmlformats.org/officeDocument/2006/relationships/image" Target="../media/image380.png"/><Relationship Id="rId174" Type="http://schemas.openxmlformats.org/officeDocument/2006/relationships/image" Target="../media/image207.png"/><Relationship Id="rId295" Type="http://schemas.openxmlformats.org/officeDocument/2006/relationships/image" Target="../media/image388.png"/><Relationship Id="rId173" Type="http://schemas.openxmlformats.org/officeDocument/2006/relationships/image" Target="../media/image227.png"/><Relationship Id="rId294" Type="http://schemas.openxmlformats.org/officeDocument/2006/relationships/image" Target="../media/image376.png"/><Relationship Id="rId179" Type="http://schemas.openxmlformats.org/officeDocument/2006/relationships/image" Target="../media/image246.png"/><Relationship Id="rId178" Type="http://schemas.openxmlformats.org/officeDocument/2006/relationships/image" Target="../media/image197.png"/><Relationship Id="rId299" Type="http://schemas.openxmlformats.org/officeDocument/2006/relationships/image" Target="../media/image347.png"/><Relationship Id="rId177" Type="http://schemas.openxmlformats.org/officeDocument/2006/relationships/image" Target="../media/image198.png"/><Relationship Id="rId298" Type="http://schemas.openxmlformats.org/officeDocument/2006/relationships/image" Target="../media/image393.png"/><Relationship Id="rId198" Type="http://schemas.openxmlformats.org/officeDocument/2006/relationships/image" Target="../media/image346.png"/><Relationship Id="rId197" Type="http://schemas.openxmlformats.org/officeDocument/2006/relationships/image" Target="../media/image236.png"/><Relationship Id="rId196" Type="http://schemas.openxmlformats.org/officeDocument/2006/relationships/image" Target="../media/image340.png"/><Relationship Id="rId195" Type="http://schemas.openxmlformats.org/officeDocument/2006/relationships/image" Target="../media/image267.png"/><Relationship Id="rId199" Type="http://schemas.openxmlformats.org/officeDocument/2006/relationships/image" Target="../media/image289.png"/><Relationship Id="rId150" Type="http://schemas.openxmlformats.org/officeDocument/2006/relationships/image" Target="../media/image174.png"/><Relationship Id="rId271" Type="http://schemas.openxmlformats.org/officeDocument/2006/relationships/image" Target="../media/image361.png"/><Relationship Id="rId392" Type="http://schemas.openxmlformats.org/officeDocument/2006/relationships/image" Target="../media/image571.png"/><Relationship Id="rId270" Type="http://schemas.openxmlformats.org/officeDocument/2006/relationships/image" Target="../media/image342.png"/><Relationship Id="rId391" Type="http://schemas.openxmlformats.org/officeDocument/2006/relationships/image" Target="../media/image534.png"/><Relationship Id="rId390" Type="http://schemas.openxmlformats.org/officeDocument/2006/relationships/image" Target="../media/image468.png"/><Relationship Id="rId1" Type="http://schemas.openxmlformats.org/officeDocument/2006/relationships/image" Target="../media/image53.png"/><Relationship Id="rId2" Type="http://schemas.openxmlformats.org/officeDocument/2006/relationships/image" Target="../media/image34.png"/><Relationship Id="rId3" Type="http://schemas.openxmlformats.org/officeDocument/2006/relationships/image" Target="../media/image27.png"/><Relationship Id="rId149" Type="http://schemas.openxmlformats.org/officeDocument/2006/relationships/image" Target="../media/image177.png"/><Relationship Id="rId4" Type="http://schemas.openxmlformats.org/officeDocument/2006/relationships/image" Target="../media/image10.png"/><Relationship Id="rId148" Type="http://schemas.openxmlformats.org/officeDocument/2006/relationships/image" Target="../media/image209.png"/><Relationship Id="rId269" Type="http://schemas.openxmlformats.org/officeDocument/2006/relationships/image" Target="../media/image350.png"/><Relationship Id="rId9" Type="http://schemas.openxmlformats.org/officeDocument/2006/relationships/image" Target="../media/image49.png"/><Relationship Id="rId143" Type="http://schemas.openxmlformats.org/officeDocument/2006/relationships/image" Target="../media/image150.png"/><Relationship Id="rId264" Type="http://schemas.openxmlformats.org/officeDocument/2006/relationships/image" Target="../media/image308.png"/><Relationship Id="rId385" Type="http://schemas.openxmlformats.org/officeDocument/2006/relationships/image" Target="../media/image482.png"/><Relationship Id="rId142" Type="http://schemas.openxmlformats.org/officeDocument/2006/relationships/image" Target="../media/image157.png"/><Relationship Id="rId263" Type="http://schemas.openxmlformats.org/officeDocument/2006/relationships/image" Target="../media/image337.png"/><Relationship Id="rId384" Type="http://schemas.openxmlformats.org/officeDocument/2006/relationships/image" Target="../media/image555.png"/><Relationship Id="rId141" Type="http://schemas.openxmlformats.org/officeDocument/2006/relationships/image" Target="../media/image215.png"/><Relationship Id="rId262" Type="http://schemas.openxmlformats.org/officeDocument/2006/relationships/image" Target="../media/image309.png"/><Relationship Id="rId383" Type="http://schemas.openxmlformats.org/officeDocument/2006/relationships/image" Target="../media/image594.png"/><Relationship Id="rId140" Type="http://schemas.openxmlformats.org/officeDocument/2006/relationships/image" Target="../media/image211.png"/><Relationship Id="rId261" Type="http://schemas.openxmlformats.org/officeDocument/2006/relationships/image" Target="../media/image307.png"/><Relationship Id="rId382" Type="http://schemas.openxmlformats.org/officeDocument/2006/relationships/image" Target="../media/image454.png"/><Relationship Id="rId5" Type="http://schemas.openxmlformats.org/officeDocument/2006/relationships/image" Target="../media/image44.png"/><Relationship Id="rId147" Type="http://schemas.openxmlformats.org/officeDocument/2006/relationships/image" Target="../media/image249.png"/><Relationship Id="rId268" Type="http://schemas.openxmlformats.org/officeDocument/2006/relationships/image" Target="../media/image400.png"/><Relationship Id="rId389" Type="http://schemas.openxmlformats.org/officeDocument/2006/relationships/image" Target="../media/image464.png"/><Relationship Id="rId6" Type="http://schemas.openxmlformats.org/officeDocument/2006/relationships/image" Target="../media/image22.png"/><Relationship Id="rId146" Type="http://schemas.openxmlformats.org/officeDocument/2006/relationships/image" Target="../media/image165.png"/><Relationship Id="rId267" Type="http://schemas.openxmlformats.org/officeDocument/2006/relationships/image" Target="../media/image384.png"/><Relationship Id="rId388" Type="http://schemas.openxmlformats.org/officeDocument/2006/relationships/image" Target="../media/image595.png"/><Relationship Id="rId7" Type="http://schemas.openxmlformats.org/officeDocument/2006/relationships/image" Target="../media/image21.png"/><Relationship Id="rId145" Type="http://schemas.openxmlformats.org/officeDocument/2006/relationships/image" Target="../media/image160.png"/><Relationship Id="rId266" Type="http://schemas.openxmlformats.org/officeDocument/2006/relationships/image" Target="../media/image352.png"/><Relationship Id="rId387" Type="http://schemas.openxmlformats.org/officeDocument/2006/relationships/image" Target="../media/image543.png"/><Relationship Id="rId8" Type="http://schemas.openxmlformats.org/officeDocument/2006/relationships/image" Target="../media/image26.png"/><Relationship Id="rId144" Type="http://schemas.openxmlformats.org/officeDocument/2006/relationships/image" Target="../media/image229.png"/><Relationship Id="rId265" Type="http://schemas.openxmlformats.org/officeDocument/2006/relationships/image" Target="../media/image302.png"/><Relationship Id="rId386" Type="http://schemas.openxmlformats.org/officeDocument/2006/relationships/image" Target="../media/image566.png"/><Relationship Id="rId260" Type="http://schemas.openxmlformats.org/officeDocument/2006/relationships/image" Target="../media/image334.png"/><Relationship Id="rId381" Type="http://schemas.openxmlformats.org/officeDocument/2006/relationships/image" Target="../media/image531.png"/><Relationship Id="rId380" Type="http://schemas.openxmlformats.org/officeDocument/2006/relationships/image" Target="../media/image473.png"/><Relationship Id="rId139" Type="http://schemas.openxmlformats.org/officeDocument/2006/relationships/image" Target="../media/image137.png"/><Relationship Id="rId138" Type="http://schemas.openxmlformats.org/officeDocument/2006/relationships/image" Target="../media/image151.png"/><Relationship Id="rId259" Type="http://schemas.openxmlformats.org/officeDocument/2006/relationships/image" Target="../media/image297.png"/><Relationship Id="rId137" Type="http://schemas.openxmlformats.org/officeDocument/2006/relationships/image" Target="../media/image129.png"/><Relationship Id="rId258" Type="http://schemas.openxmlformats.org/officeDocument/2006/relationships/image" Target="../media/image305.png"/><Relationship Id="rId379" Type="http://schemas.openxmlformats.org/officeDocument/2006/relationships/image" Target="../media/image502.png"/><Relationship Id="rId132" Type="http://schemas.openxmlformats.org/officeDocument/2006/relationships/image" Target="../media/image127.png"/><Relationship Id="rId253" Type="http://schemas.openxmlformats.org/officeDocument/2006/relationships/image" Target="../media/image303.png"/><Relationship Id="rId374" Type="http://schemas.openxmlformats.org/officeDocument/2006/relationships/image" Target="../media/image494.png"/><Relationship Id="rId131" Type="http://schemas.openxmlformats.org/officeDocument/2006/relationships/image" Target="../media/image171.png"/><Relationship Id="rId252" Type="http://schemas.openxmlformats.org/officeDocument/2006/relationships/image" Target="../media/image329.png"/><Relationship Id="rId373" Type="http://schemas.openxmlformats.org/officeDocument/2006/relationships/image" Target="../media/image498.png"/><Relationship Id="rId130" Type="http://schemas.openxmlformats.org/officeDocument/2006/relationships/image" Target="../media/image128.png"/><Relationship Id="rId251" Type="http://schemas.openxmlformats.org/officeDocument/2006/relationships/image" Target="../media/image322.png"/><Relationship Id="rId372" Type="http://schemas.openxmlformats.org/officeDocument/2006/relationships/image" Target="../media/image480.png"/><Relationship Id="rId250" Type="http://schemas.openxmlformats.org/officeDocument/2006/relationships/image" Target="../media/image382.png"/><Relationship Id="rId371" Type="http://schemas.openxmlformats.org/officeDocument/2006/relationships/image" Target="../media/image462.png"/><Relationship Id="rId136" Type="http://schemas.openxmlformats.org/officeDocument/2006/relationships/image" Target="../media/image148.png"/><Relationship Id="rId257" Type="http://schemas.openxmlformats.org/officeDocument/2006/relationships/image" Target="../media/image295.png"/><Relationship Id="rId378" Type="http://schemas.openxmlformats.org/officeDocument/2006/relationships/image" Target="../media/image456.png"/><Relationship Id="rId135" Type="http://schemas.openxmlformats.org/officeDocument/2006/relationships/image" Target="../media/image204.png"/><Relationship Id="rId256" Type="http://schemas.openxmlformats.org/officeDocument/2006/relationships/image" Target="../media/image306.png"/><Relationship Id="rId377" Type="http://schemas.openxmlformats.org/officeDocument/2006/relationships/image" Target="../media/image510.png"/><Relationship Id="rId134" Type="http://schemas.openxmlformats.org/officeDocument/2006/relationships/image" Target="../media/image192.png"/><Relationship Id="rId255" Type="http://schemas.openxmlformats.org/officeDocument/2006/relationships/image" Target="../media/image336.png"/><Relationship Id="rId376" Type="http://schemas.openxmlformats.org/officeDocument/2006/relationships/image" Target="../media/image490.png"/><Relationship Id="rId133" Type="http://schemas.openxmlformats.org/officeDocument/2006/relationships/image" Target="../media/image131.png"/><Relationship Id="rId254" Type="http://schemas.openxmlformats.org/officeDocument/2006/relationships/image" Target="../media/image318.png"/><Relationship Id="rId375" Type="http://schemas.openxmlformats.org/officeDocument/2006/relationships/image" Target="../media/image491.png"/><Relationship Id="rId172" Type="http://schemas.openxmlformats.org/officeDocument/2006/relationships/image" Target="../media/image222.png"/><Relationship Id="rId293" Type="http://schemas.openxmlformats.org/officeDocument/2006/relationships/image" Target="../media/image374.png"/><Relationship Id="rId171" Type="http://schemas.openxmlformats.org/officeDocument/2006/relationships/image" Target="../media/image219.png"/><Relationship Id="rId292" Type="http://schemas.openxmlformats.org/officeDocument/2006/relationships/image" Target="../media/image399.png"/><Relationship Id="rId170" Type="http://schemas.openxmlformats.org/officeDocument/2006/relationships/image" Target="../media/image218.png"/><Relationship Id="rId291" Type="http://schemas.openxmlformats.org/officeDocument/2006/relationships/image" Target="../media/image405.png"/><Relationship Id="rId290" Type="http://schemas.openxmlformats.org/officeDocument/2006/relationships/image" Target="../media/image387.png"/><Relationship Id="rId165" Type="http://schemas.openxmlformats.org/officeDocument/2006/relationships/image" Target="../media/image232.png"/><Relationship Id="rId286" Type="http://schemas.openxmlformats.org/officeDocument/2006/relationships/image" Target="../media/image467.png"/><Relationship Id="rId164" Type="http://schemas.openxmlformats.org/officeDocument/2006/relationships/image" Target="../media/image230.png"/><Relationship Id="rId285" Type="http://schemas.openxmlformats.org/officeDocument/2006/relationships/image" Target="../media/image372.png"/><Relationship Id="rId163" Type="http://schemas.openxmlformats.org/officeDocument/2006/relationships/image" Target="../media/image257.png"/><Relationship Id="rId284" Type="http://schemas.openxmlformats.org/officeDocument/2006/relationships/image" Target="../media/image359.png"/><Relationship Id="rId162" Type="http://schemas.openxmlformats.org/officeDocument/2006/relationships/image" Target="../media/image199.png"/><Relationship Id="rId283" Type="http://schemas.openxmlformats.org/officeDocument/2006/relationships/image" Target="../media/image367.png"/><Relationship Id="rId169" Type="http://schemas.openxmlformats.org/officeDocument/2006/relationships/image" Target="../media/image214.png"/><Relationship Id="rId168" Type="http://schemas.openxmlformats.org/officeDocument/2006/relationships/image" Target="../media/image243.png"/><Relationship Id="rId289" Type="http://schemas.openxmlformats.org/officeDocument/2006/relationships/image" Target="../media/image331.png"/><Relationship Id="rId167" Type="http://schemas.openxmlformats.org/officeDocument/2006/relationships/image" Target="../media/image187.png"/><Relationship Id="rId288" Type="http://schemas.openxmlformats.org/officeDocument/2006/relationships/image" Target="../media/image368.png"/><Relationship Id="rId166" Type="http://schemas.openxmlformats.org/officeDocument/2006/relationships/image" Target="../media/image265.png"/><Relationship Id="rId287" Type="http://schemas.openxmlformats.org/officeDocument/2006/relationships/image" Target="../media/image366.png"/><Relationship Id="rId161" Type="http://schemas.openxmlformats.org/officeDocument/2006/relationships/image" Target="../media/image208.png"/><Relationship Id="rId282" Type="http://schemas.openxmlformats.org/officeDocument/2006/relationships/image" Target="../media/image325.png"/><Relationship Id="rId160" Type="http://schemas.openxmlformats.org/officeDocument/2006/relationships/image" Target="../media/image172.png"/><Relationship Id="rId281" Type="http://schemas.openxmlformats.org/officeDocument/2006/relationships/image" Target="../media/image402.png"/><Relationship Id="rId280" Type="http://schemas.openxmlformats.org/officeDocument/2006/relationships/image" Target="../media/image358.png"/><Relationship Id="rId159" Type="http://schemas.openxmlformats.org/officeDocument/2006/relationships/image" Target="../media/image167.png"/><Relationship Id="rId154" Type="http://schemas.openxmlformats.org/officeDocument/2006/relationships/image" Target="../media/image283.png"/><Relationship Id="rId275" Type="http://schemas.openxmlformats.org/officeDocument/2006/relationships/image" Target="../media/image407.png"/><Relationship Id="rId396" Type="http://schemas.openxmlformats.org/officeDocument/2006/relationships/image" Target="../media/image522.png"/><Relationship Id="rId153" Type="http://schemas.openxmlformats.org/officeDocument/2006/relationships/image" Target="../media/image181.png"/><Relationship Id="rId274" Type="http://schemas.openxmlformats.org/officeDocument/2006/relationships/image" Target="../media/image351.png"/><Relationship Id="rId395" Type="http://schemas.openxmlformats.org/officeDocument/2006/relationships/image" Target="../media/image515.png"/><Relationship Id="rId152" Type="http://schemas.openxmlformats.org/officeDocument/2006/relationships/image" Target="../media/image185.png"/><Relationship Id="rId273" Type="http://schemas.openxmlformats.org/officeDocument/2006/relationships/image" Target="../media/image315.png"/><Relationship Id="rId394" Type="http://schemas.openxmlformats.org/officeDocument/2006/relationships/image" Target="../media/image524.png"/><Relationship Id="rId151" Type="http://schemas.openxmlformats.org/officeDocument/2006/relationships/image" Target="../media/image184.png"/><Relationship Id="rId272" Type="http://schemas.openxmlformats.org/officeDocument/2006/relationships/image" Target="../media/image345.png"/><Relationship Id="rId393" Type="http://schemas.openxmlformats.org/officeDocument/2006/relationships/image" Target="../media/image487.png"/><Relationship Id="rId158" Type="http://schemas.openxmlformats.org/officeDocument/2006/relationships/image" Target="../media/image233.png"/><Relationship Id="rId279" Type="http://schemas.openxmlformats.org/officeDocument/2006/relationships/image" Target="../media/image313.png"/><Relationship Id="rId157" Type="http://schemas.openxmlformats.org/officeDocument/2006/relationships/image" Target="../media/image183.png"/><Relationship Id="rId278" Type="http://schemas.openxmlformats.org/officeDocument/2006/relationships/image" Target="../media/image348.png"/><Relationship Id="rId399" Type="http://schemas.openxmlformats.org/officeDocument/2006/relationships/image" Target="../media/image519.png"/><Relationship Id="rId156" Type="http://schemas.openxmlformats.org/officeDocument/2006/relationships/image" Target="../media/image210.png"/><Relationship Id="rId277" Type="http://schemas.openxmlformats.org/officeDocument/2006/relationships/image" Target="../media/image326.png"/><Relationship Id="rId398" Type="http://schemas.openxmlformats.org/officeDocument/2006/relationships/image" Target="../media/image546.png"/><Relationship Id="rId155" Type="http://schemas.openxmlformats.org/officeDocument/2006/relationships/image" Target="../media/image240.png"/><Relationship Id="rId276" Type="http://schemas.openxmlformats.org/officeDocument/2006/relationships/image" Target="../media/image324.png"/><Relationship Id="rId397" Type="http://schemas.openxmlformats.org/officeDocument/2006/relationships/image" Target="../media/image516.png"/><Relationship Id="rId40" Type="http://schemas.openxmlformats.org/officeDocument/2006/relationships/image" Target="../media/image65.png"/><Relationship Id="rId42" Type="http://schemas.openxmlformats.org/officeDocument/2006/relationships/image" Target="../media/image64.png"/><Relationship Id="rId41" Type="http://schemas.openxmlformats.org/officeDocument/2006/relationships/image" Target="../media/image29.png"/><Relationship Id="rId44" Type="http://schemas.openxmlformats.org/officeDocument/2006/relationships/image" Target="../media/image33.png"/><Relationship Id="rId43" Type="http://schemas.openxmlformats.org/officeDocument/2006/relationships/image" Target="../media/image28.png"/><Relationship Id="rId46" Type="http://schemas.openxmlformats.org/officeDocument/2006/relationships/image" Target="../media/image94.png"/><Relationship Id="rId45" Type="http://schemas.openxmlformats.org/officeDocument/2006/relationships/image" Target="../media/image71.png"/><Relationship Id="rId48" Type="http://schemas.openxmlformats.org/officeDocument/2006/relationships/image" Target="../media/image20.png"/><Relationship Id="rId47" Type="http://schemas.openxmlformats.org/officeDocument/2006/relationships/image" Target="../media/image62.png"/><Relationship Id="rId49" Type="http://schemas.openxmlformats.org/officeDocument/2006/relationships/image" Target="../media/image15.png"/><Relationship Id="rId31" Type="http://schemas.openxmlformats.org/officeDocument/2006/relationships/image" Target="../media/image31.png"/><Relationship Id="rId30" Type="http://schemas.openxmlformats.org/officeDocument/2006/relationships/image" Target="../media/image24.png"/><Relationship Id="rId33" Type="http://schemas.openxmlformats.org/officeDocument/2006/relationships/image" Target="../media/image55.png"/><Relationship Id="rId32" Type="http://schemas.openxmlformats.org/officeDocument/2006/relationships/image" Target="../media/image38.png"/><Relationship Id="rId35" Type="http://schemas.openxmlformats.org/officeDocument/2006/relationships/image" Target="../media/image47.png"/><Relationship Id="rId34" Type="http://schemas.openxmlformats.org/officeDocument/2006/relationships/image" Target="../media/image16.png"/><Relationship Id="rId37" Type="http://schemas.openxmlformats.org/officeDocument/2006/relationships/image" Target="../media/image72.png"/><Relationship Id="rId36" Type="http://schemas.openxmlformats.org/officeDocument/2006/relationships/image" Target="../media/image11.png"/><Relationship Id="rId39" Type="http://schemas.openxmlformats.org/officeDocument/2006/relationships/image" Target="../media/image63.png"/><Relationship Id="rId38" Type="http://schemas.openxmlformats.org/officeDocument/2006/relationships/image" Target="../media/image105.png"/><Relationship Id="rId20" Type="http://schemas.openxmlformats.org/officeDocument/2006/relationships/image" Target="../media/image19.png"/><Relationship Id="rId22" Type="http://schemas.openxmlformats.org/officeDocument/2006/relationships/image" Target="../media/image70.png"/><Relationship Id="rId21" Type="http://schemas.openxmlformats.org/officeDocument/2006/relationships/image" Target="../media/image25.png"/><Relationship Id="rId24" Type="http://schemas.openxmlformats.org/officeDocument/2006/relationships/image" Target="../media/image138.png"/><Relationship Id="rId23" Type="http://schemas.openxmlformats.org/officeDocument/2006/relationships/image" Target="../media/image57.png"/><Relationship Id="rId409" Type="http://schemas.openxmlformats.org/officeDocument/2006/relationships/image" Target="../media/image496.png"/><Relationship Id="rId404" Type="http://schemas.openxmlformats.org/officeDocument/2006/relationships/image" Target="../media/image529.png"/><Relationship Id="rId403" Type="http://schemas.openxmlformats.org/officeDocument/2006/relationships/image" Target="../media/image525.png"/><Relationship Id="rId402" Type="http://schemas.openxmlformats.org/officeDocument/2006/relationships/image" Target="../media/image521.png"/><Relationship Id="rId401" Type="http://schemas.openxmlformats.org/officeDocument/2006/relationships/image" Target="../media/image580.png"/><Relationship Id="rId408" Type="http://schemas.openxmlformats.org/officeDocument/2006/relationships/image" Target="../media/image552.png"/><Relationship Id="rId407" Type="http://schemas.openxmlformats.org/officeDocument/2006/relationships/image" Target="../media/image497.png"/><Relationship Id="rId406" Type="http://schemas.openxmlformats.org/officeDocument/2006/relationships/image" Target="../media/image535.png"/><Relationship Id="rId405" Type="http://schemas.openxmlformats.org/officeDocument/2006/relationships/image" Target="../media/image520.png"/><Relationship Id="rId26" Type="http://schemas.openxmlformats.org/officeDocument/2006/relationships/image" Target="../media/image61.png"/><Relationship Id="rId25" Type="http://schemas.openxmlformats.org/officeDocument/2006/relationships/image" Target="../media/image76.png"/><Relationship Id="rId28" Type="http://schemas.openxmlformats.org/officeDocument/2006/relationships/image" Target="../media/image54.png"/><Relationship Id="rId27" Type="http://schemas.openxmlformats.org/officeDocument/2006/relationships/image" Target="../media/image7.png"/><Relationship Id="rId400" Type="http://schemas.openxmlformats.org/officeDocument/2006/relationships/image" Target="../media/image493.png"/><Relationship Id="rId29" Type="http://schemas.openxmlformats.org/officeDocument/2006/relationships/image" Target="../media/image13.png"/><Relationship Id="rId11" Type="http://schemas.openxmlformats.org/officeDocument/2006/relationships/image" Target="../media/image5.png"/><Relationship Id="rId10" Type="http://schemas.openxmlformats.org/officeDocument/2006/relationships/image" Target="../media/image12.png"/><Relationship Id="rId13" Type="http://schemas.openxmlformats.org/officeDocument/2006/relationships/image" Target="../media/image8.png"/><Relationship Id="rId12" Type="http://schemas.openxmlformats.org/officeDocument/2006/relationships/image" Target="../media/image42.png"/><Relationship Id="rId15" Type="http://schemas.openxmlformats.org/officeDocument/2006/relationships/image" Target="../media/image3.png"/><Relationship Id="rId14" Type="http://schemas.openxmlformats.org/officeDocument/2006/relationships/image" Target="../media/image9.png"/><Relationship Id="rId17" Type="http://schemas.openxmlformats.org/officeDocument/2006/relationships/image" Target="../media/image17.png"/><Relationship Id="rId16" Type="http://schemas.openxmlformats.org/officeDocument/2006/relationships/image" Target="../media/image41.png"/><Relationship Id="rId19" Type="http://schemas.openxmlformats.org/officeDocument/2006/relationships/image" Target="../media/image6.png"/><Relationship Id="rId18" Type="http://schemas.openxmlformats.org/officeDocument/2006/relationships/image" Target="../media/image2.png"/><Relationship Id="rId84" Type="http://schemas.openxmlformats.org/officeDocument/2006/relationships/image" Target="../media/image170.png"/><Relationship Id="rId83" Type="http://schemas.openxmlformats.org/officeDocument/2006/relationships/image" Target="../media/image52.png"/><Relationship Id="rId86" Type="http://schemas.openxmlformats.org/officeDocument/2006/relationships/image" Target="../media/image123.png"/><Relationship Id="rId85" Type="http://schemas.openxmlformats.org/officeDocument/2006/relationships/image" Target="../media/image77.png"/><Relationship Id="rId88" Type="http://schemas.openxmlformats.org/officeDocument/2006/relationships/image" Target="../media/image82.png"/><Relationship Id="rId87" Type="http://schemas.openxmlformats.org/officeDocument/2006/relationships/image" Target="../media/image74.png"/><Relationship Id="rId89" Type="http://schemas.openxmlformats.org/officeDocument/2006/relationships/image" Target="../media/image80.png"/><Relationship Id="rId80" Type="http://schemas.openxmlformats.org/officeDocument/2006/relationships/image" Target="../media/image179.png"/><Relationship Id="rId82" Type="http://schemas.openxmlformats.org/officeDocument/2006/relationships/image" Target="../media/image113.png"/><Relationship Id="rId81" Type="http://schemas.openxmlformats.org/officeDocument/2006/relationships/image" Target="../media/image134.png"/><Relationship Id="rId73" Type="http://schemas.openxmlformats.org/officeDocument/2006/relationships/image" Target="../media/image104.png"/><Relationship Id="rId72" Type="http://schemas.openxmlformats.org/officeDocument/2006/relationships/image" Target="../media/image73.png"/><Relationship Id="rId75" Type="http://schemas.openxmlformats.org/officeDocument/2006/relationships/image" Target="../media/image124.png"/><Relationship Id="rId74" Type="http://schemas.openxmlformats.org/officeDocument/2006/relationships/image" Target="../media/image60.png"/><Relationship Id="rId77" Type="http://schemas.openxmlformats.org/officeDocument/2006/relationships/image" Target="../media/image69.png"/><Relationship Id="rId76" Type="http://schemas.openxmlformats.org/officeDocument/2006/relationships/image" Target="../media/image67.png"/><Relationship Id="rId79" Type="http://schemas.openxmlformats.org/officeDocument/2006/relationships/image" Target="../media/image46.png"/><Relationship Id="rId78" Type="http://schemas.openxmlformats.org/officeDocument/2006/relationships/image" Target="../media/image79.png"/><Relationship Id="rId71" Type="http://schemas.openxmlformats.org/officeDocument/2006/relationships/image" Target="../media/image112.png"/><Relationship Id="rId70" Type="http://schemas.openxmlformats.org/officeDocument/2006/relationships/image" Target="../media/image35.png"/><Relationship Id="rId62" Type="http://schemas.openxmlformats.org/officeDocument/2006/relationships/image" Target="../media/image37.png"/><Relationship Id="rId61" Type="http://schemas.openxmlformats.org/officeDocument/2006/relationships/image" Target="../media/image45.png"/><Relationship Id="rId64" Type="http://schemas.openxmlformats.org/officeDocument/2006/relationships/image" Target="../media/image43.png"/><Relationship Id="rId63" Type="http://schemas.openxmlformats.org/officeDocument/2006/relationships/image" Target="../media/image85.png"/><Relationship Id="rId66" Type="http://schemas.openxmlformats.org/officeDocument/2006/relationships/image" Target="../media/image88.png"/><Relationship Id="rId65" Type="http://schemas.openxmlformats.org/officeDocument/2006/relationships/image" Target="../media/image101.png"/><Relationship Id="rId68" Type="http://schemas.openxmlformats.org/officeDocument/2006/relationships/image" Target="../media/image50.png"/><Relationship Id="rId67" Type="http://schemas.openxmlformats.org/officeDocument/2006/relationships/image" Target="../media/image36.png"/><Relationship Id="rId60" Type="http://schemas.openxmlformats.org/officeDocument/2006/relationships/image" Target="../media/image83.png"/><Relationship Id="rId69" Type="http://schemas.openxmlformats.org/officeDocument/2006/relationships/image" Target="../media/image146.png"/><Relationship Id="rId51" Type="http://schemas.openxmlformats.org/officeDocument/2006/relationships/image" Target="../media/image189.png"/><Relationship Id="rId50" Type="http://schemas.openxmlformats.org/officeDocument/2006/relationships/image" Target="../media/image14.png"/><Relationship Id="rId53" Type="http://schemas.openxmlformats.org/officeDocument/2006/relationships/image" Target="../media/image51.png"/><Relationship Id="rId52" Type="http://schemas.openxmlformats.org/officeDocument/2006/relationships/image" Target="../media/image32.png"/><Relationship Id="rId55" Type="http://schemas.openxmlformats.org/officeDocument/2006/relationships/image" Target="../media/image58.png"/><Relationship Id="rId54" Type="http://schemas.openxmlformats.org/officeDocument/2006/relationships/image" Target="../media/image66.png"/><Relationship Id="rId57" Type="http://schemas.openxmlformats.org/officeDocument/2006/relationships/image" Target="../media/image93.png"/><Relationship Id="rId56" Type="http://schemas.openxmlformats.org/officeDocument/2006/relationships/image" Target="../media/image78.png"/><Relationship Id="rId59" Type="http://schemas.openxmlformats.org/officeDocument/2006/relationships/image" Target="../media/image30.png"/><Relationship Id="rId58" Type="http://schemas.openxmlformats.org/officeDocument/2006/relationships/image" Target="../media/image81.png"/><Relationship Id="rId107" Type="http://schemas.openxmlformats.org/officeDocument/2006/relationships/image" Target="../media/image109.png"/><Relationship Id="rId228" Type="http://schemas.openxmlformats.org/officeDocument/2006/relationships/image" Target="../media/image264.png"/><Relationship Id="rId349" Type="http://schemas.openxmlformats.org/officeDocument/2006/relationships/image" Target="../media/image453.png"/><Relationship Id="rId106" Type="http://schemas.openxmlformats.org/officeDocument/2006/relationships/image" Target="../media/image164.png"/><Relationship Id="rId227" Type="http://schemas.openxmlformats.org/officeDocument/2006/relationships/image" Target="../media/image317.png"/><Relationship Id="rId348" Type="http://schemas.openxmlformats.org/officeDocument/2006/relationships/image" Target="../media/image448.png"/><Relationship Id="rId469" Type="http://schemas.openxmlformats.org/officeDocument/2006/relationships/image" Target="../media/image575.png"/><Relationship Id="rId105" Type="http://schemas.openxmlformats.org/officeDocument/2006/relationships/image" Target="../media/image114.png"/><Relationship Id="rId226" Type="http://schemas.openxmlformats.org/officeDocument/2006/relationships/image" Target="../media/image273.png"/><Relationship Id="rId347" Type="http://schemas.openxmlformats.org/officeDocument/2006/relationships/image" Target="../media/image528.png"/><Relationship Id="rId468" Type="http://schemas.openxmlformats.org/officeDocument/2006/relationships/image" Target="../media/image567.png"/><Relationship Id="rId104" Type="http://schemas.openxmlformats.org/officeDocument/2006/relationships/image" Target="../media/image159.png"/><Relationship Id="rId225" Type="http://schemas.openxmlformats.org/officeDocument/2006/relationships/image" Target="../media/image276.png"/><Relationship Id="rId346" Type="http://schemas.openxmlformats.org/officeDocument/2006/relationships/image" Target="../media/image508.png"/><Relationship Id="rId467" Type="http://schemas.openxmlformats.org/officeDocument/2006/relationships/image" Target="../media/image542.png"/><Relationship Id="rId109" Type="http://schemas.openxmlformats.org/officeDocument/2006/relationships/image" Target="../media/image153.png"/><Relationship Id="rId108" Type="http://schemas.openxmlformats.org/officeDocument/2006/relationships/image" Target="../media/image91.png"/><Relationship Id="rId229" Type="http://schemas.openxmlformats.org/officeDocument/2006/relationships/image" Target="../media/image363.png"/><Relationship Id="rId220" Type="http://schemas.openxmlformats.org/officeDocument/2006/relationships/image" Target="../media/image270.png"/><Relationship Id="rId341" Type="http://schemas.openxmlformats.org/officeDocument/2006/relationships/image" Target="../media/image458.png"/><Relationship Id="rId462" Type="http://schemas.openxmlformats.org/officeDocument/2006/relationships/image" Target="../media/image585.png"/><Relationship Id="rId340" Type="http://schemas.openxmlformats.org/officeDocument/2006/relationships/image" Target="../media/image492.png"/><Relationship Id="rId461" Type="http://schemas.openxmlformats.org/officeDocument/2006/relationships/image" Target="../media/image579.png"/><Relationship Id="rId460" Type="http://schemas.openxmlformats.org/officeDocument/2006/relationships/image" Target="../media/image541.png"/><Relationship Id="rId103" Type="http://schemas.openxmlformats.org/officeDocument/2006/relationships/image" Target="../media/image344.png"/><Relationship Id="rId224" Type="http://schemas.openxmlformats.org/officeDocument/2006/relationships/image" Target="../media/image321.png"/><Relationship Id="rId345" Type="http://schemas.openxmlformats.org/officeDocument/2006/relationships/image" Target="../media/image475.png"/><Relationship Id="rId466" Type="http://schemas.openxmlformats.org/officeDocument/2006/relationships/image" Target="../media/image573.png"/><Relationship Id="rId102" Type="http://schemas.openxmlformats.org/officeDocument/2006/relationships/image" Target="../media/image212.png"/><Relationship Id="rId223" Type="http://schemas.openxmlformats.org/officeDocument/2006/relationships/image" Target="../media/image272.png"/><Relationship Id="rId344" Type="http://schemas.openxmlformats.org/officeDocument/2006/relationships/image" Target="../media/image457.png"/><Relationship Id="rId465" Type="http://schemas.openxmlformats.org/officeDocument/2006/relationships/image" Target="../media/image547.png"/><Relationship Id="rId101" Type="http://schemas.openxmlformats.org/officeDocument/2006/relationships/image" Target="../media/image141.png"/><Relationship Id="rId222" Type="http://schemas.openxmlformats.org/officeDocument/2006/relationships/image" Target="../media/image263.png"/><Relationship Id="rId343" Type="http://schemas.openxmlformats.org/officeDocument/2006/relationships/image" Target="../media/image447.png"/><Relationship Id="rId464" Type="http://schemas.openxmlformats.org/officeDocument/2006/relationships/image" Target="../media/image574.png"/><Relationship Id="rId100" Type="http://schemas.openxmlformats.org/officeDocument/2006/relationships/image" Target="../media/image118.png"/><Relationship Id="rId221" Type="http://schemas.openxmlformats.org/officeDocument/2006/relationships/image" Target="../media/image296.png"/><Relationship Id="rId342" Type="http://schemas.openxmlformats.org/officeDocument/2006/relationships/image" Target="../media/image460.png"/><Relationship Id="rId463" Type="http://schemas.openxmlformats.org/officeDocument/2006/relationships/image" Target="../media/image578.png"/><Relationship Id="rId217" Type="http://schemas.openxmlformats.org/officeDocument/2006/relationships/image" Target="../media/image258.png"/><Relationship Id="rId338" Type="http://schemas.openxmlformats.org/officeDocument/2006/relationships/image" Target="../media/image461.png"/><Relationship Id="rId459" Type="http://schemas.openxmlformats.org/officeDocument/2006/relationships/image" Target="../media/image569.png"/><Relationship Id="rId216" Type="http://schemas.openxmlformats.org/officeDocument/2006/relationships/image" Target="../media/image259.png"/><Relationship Id="rId337" Type="http://schemas.openxmlformats.org/officeDocument/2006/relationships/image" Target="../media/image421.png"/><Relationship Id="rId458" Type="http://schemas.openxmlformats.org/officeDocument/2006/relationships/image" Target="../media/image603.png"/><Relationship Id="rId215" Type="http://schemas.openxmlformats.org/officeDocument/2006/relationships/image" Target="../media/image332.png"/><Relationship Id="rId336" Type="http://schemas.openxmlformats.org/officeDocument/2006/relationships/image" Target="../media/image451.png"/><Relationship Id="rId457" Type="http://schemas.openxmlformats.org/officeDocument/2006/relationships/image" Target="../media/image593.png"/><Relationship Id="rId214" Type="http://schemas.openxmlformats.org/officeDocument/2006/relationships/image" Target="../media/image294.png"/><Relationship Id="rId335" Type="http://schemas.openxmlformats.org/officeDocument/2006/relationships/image" Target="../media/image443.png"/><Relationship Id="rId456" Type="http://schemas.openxmlformats.org/officeDocument/2006/relationships/image" Target="../media/image590.png"/><Relationship Id="rId219" Type="http://schemas.openxmlformats.org/officeDocument/2006/relationships/image" Target="../media/image247.png"/><Relationship Id="rId218" Type="http://schemas.openxmlformats.org/officeDocument/2006/relationships/image" Target="../media/image341.png"/><Relationship Id="rId339" Type="http://schemas.openxmlformats.org/officeDocument/2006/relationships/image" Target="../media/image472.png"/><Relationship Id="rId330" Type="http://schemas.openxmlformats.org/officeDocument/2006/relationships/image" Target="../media/image404.png"/><Relationship Id="rId451" Type="http://schemas.openxmlformats.org/officeDocument/2006/relationships/image" Target="../media/image545.png"/><Relationship Id="rId450" Type="http://schemas.openxmlformats.org/officeDocument/2006/relationships/image" Target="../media/image582.png"/><Relationship Id="rId213" Type="http://schemas.openxmlformats.org/officeDocument/2006/relationships/image" Target="../media/image285.png"/><Relationship Id="rId334" Type="http://schemas.openxmlformats.org/officeDocument/2006/relationships/image" Target="../media/image425.png"/><Relationship Id="rId455" Type="http://schemas.openxmlformats.org/officeDocument/2006/relationships/image" Target="../media/image572.png"/><Relationship Id="rId212" Type="http://schemas.openxmlformats.org/officeDocument/2006/relationships/image" Target="../media/image293.png"/><Relationship Id="rId333" Type="http://schemas.openxmlformats.org/officeDocument/2006/relationships/image" Target="../media/image423.png"/><Relationship Id="rId454" Type="http://schemas.openxmlformats.org/officeDocument/2006/relationships/image" Target="../media/image602.png"/><Relationship Id="rId211" Type="http://schemas.openxmlformats.org/officeDocument/2006/relationships/image" Target="../media/image281.png"/><Relationship Id="rId332" Type="http://schemas.openxmlformats.org/officeDocument/2006/relationships/image" Target="../media/image415.png"/><Relationship Id="rId453" Type="http://schemas.openxmlformats.org/officeDocument/2006/relationships/image" Target="../media/image539.png"/><Relationship Id="rId210" Type="http://schemas.openxmlformats.org/officeDocument/2006/relationships/image" Target="../media/image378.png"/><Relationship Id="rId331" Type="http://schemas.openxmlformats.org/officeDocument/2006/relationships/image" Target="../media/image474.png"/><Relationship Id="rId452" Type="http://schemas.openxmlformats.org/officeDocument/2006/relationships/image" Target="../media/image530.png"/><Relationship Id="rId370" Type="http://schemas.openxmlformats.org/officeDocument/2006/relationships/image" Target="../media/image459.png"/><Relationship Id="rId129" Type="http://schemas.openxmlformats.org/officeDocument/2006/relationships/image" Target="../media/image154.png"/><Relationship Id="rId128" Type="http://schemas.openxmlformats.org/officeDocument/2006/relationships/image" Target="../media/image136.png"/><Relationship Id="rId249" Type="http://schemas.openxmlformats.org/officeDocument/2006/relationships/image" Target="../media/image330.png"/><Relationship Id="rId127" Type="http://schemas.openxmlformats.org/officeDocument/2006/relationships/image" Target="../media/image143.png"/><Relationship Id="rId248" Type="http://schemas.openxmlformats.org/officeDocument/2006/relationships/image" Target="../media/image299.png"/><Relationship Id="rId369" Type="http://schemas.openxmlformats.org/officeDocument/2006/relationships/image" Target="../media/image479.png"/><Relationship Id="rId126" Type="http://schemas.openxmlformats.org/officeDocument/2006/relationships/image" Target="../media/image121.png"/><Relationship Id="rId247" Type="http://schemas.openxmlformats.org/officeDocument/2006/relationships/image" Target="../media/image314.png"/><Relationship Id="rId368" Type="http://schemas.openxmlformats.org/officeDocument/2006/relationships/image" Target="../media/image442.png"/><Relationship Id="rId121" Type="http://schemas.openxmlformats.org/officeDocument/2006/relationships/image" Target="../media/image135.png"/><Relationship Id="rId242" Type="http://schemas.openxmlformats.org/officeDocument/2006/relationships/image" Target="../media/image290.png"/><Relationship Id="rId363" Type="http://schemas.openxmlformats.org/officeDocument/2006/relationships/image" Target="../media/image478.png"/><Relationship Id="rId484" Type="http://schemas.openxmlformats.org/officeDocument/2006/relationships/image" Target="../media/image601.png"/><Relationship Id="rId120" Type="http://schemas.openxmlformats.org/officeDocument/2006/relationships/image" Target="../media/image166.png"/><Relationship Id="rId241" Type="http://schemas.openxmlformats.org/officeDocument/2006/relationships/image" Target="../media/image311.png"/><Relationship Id="rId362" Type="http://schemas.openxmlformats.org/officeDocument/2006/relationships/image" Target="../media/image489.png"/><Relationship Id="rId483" Type="http://schemas.openxmlformats.org/officeDocument/2006/relationships/image" Target="../media/image592.png"/><Relationship Id="rId240" Type="http://schemas.openxmlformats.org/officeDocument/2006/relationships/image" Target="../media/image320.png"/><Relationship Id="rId361" Type="http://schemas.openxmlformats.org/officeDocument/2006/relationships/image" Target="../media/image476.png"/><Relationship Id="rId482" Type="http://schemas.openxmlformats.org/officeDocument/2006/relationships/image" Target="../media/image584.png"/><Relationship Id="rId360" Type="http://schemas.openxmlformats.org/officeDocument/2006/relationships/image" Target="../media/image495.png"/><Relationship Id="rId481" Type="http://schemas.openxmlformats.org/officeDocument/2006/relationships/image" Target="../media/image557.png"/><Relationship Id="rId125" Type="http://schemas.openxmlformats.org/officeDocument/2006/relationships/image" Target="../media/image132.png"/><Relationship Id="rId246" Type="http://schemas.openxmlformats.org/officeDocument/2006/relationships/image" Target="../media/image271.png"/><Relationship Id="rId367" Type="http://schemas.openxmlformats.org/officeDocument/2006/relationships/image" Target="../media/image484.png"/><Relationship Id="rId124" Type="http://schemas.openxmlformats.org/officeDocument/2006/relationships/image" Target="../media/image173.png"/><Relationship Id="rId245" Type="http://schemas.openxmlformats.org/officeDocument/2006/relationships/image" Target="../media/image319.png"/><Relationship Id="rId366" Type="http://schemas.openxmlformats.org/officeDocument/2006/relationships/image" Target="../media/image470.png"/><Relationship Id="rId487" Type="http://schemas.openxmlformats.org/officeDocument/2006/relationships/image" Target="../media/image605.png"/><Relationship Id="rId123" Type="http://schemas.openxmlformats.org/officeDocument/2006/relationships/image" Target="../media/image158.png"/><Relationship Id="rId244" Type="http://schemas.openxmlformats.org/officeDocument/2006/relationships/image" Target="../media/image353.png"/><Relationship Id="rId365" Type="http://schemas.openxmlformats.org/officeDocument/2006/relationships/image" Target="../media/image444.png"/><Relationship Id="rId486" Type="http://schemas.openxmlformats.org/officeDocument/2006/relationships/image" Target="../media/image561.png"/><Relationship Id="rId122" Type="http://schemas.openxmlformats.org/officeDocument/2006/relationships/image" Target="../media/image116.png"/><Relationship Id="rId243" Type="http://schemas.openxmlformats.org/officeDocument/2006/relationships/image" Target="../media/image277.png"/><Relationship Id="rId364" Type="http://schemas.openxmlformats.org/officeDocument/2006/relationships/image" Target="../media/image483.png"/><Relationship Id="rId485" Type="http://schemas.openxmlformats.org/officeDocument/2006/relationships/image" Target="../media/image600.png"/><Relationship Id="rId95" Type="http://schemas.openxmlformats.org/officeDocument/2006/relationships/image" Target="../media/image99.png"/><Relationship Id="rId94" Type="http://schemas.openxmlformats.org/officeDocument/2006/relationships/image" Target="../media/image90.png"/><Relationship Id="rId97" Type="http://schemas.openxmlformats.org/officeDocument/2006/relationships/image" Target="../media/image375.png"/><Relationship Id="rId96" Type="http://schemas.openxmlformats.org/officeDocument/2006/relationships/image" Target="../media/image107.png"/><Relationship Id="rId99" Type="http://schemas.openxmlformats.org/officeDocument/2006/relationships/image" Target="../media/image156.png"/><Relationship Id="rId480" Type="http://schemas.openxmlformats.org/officeDocument/2006/relationships/image" Target="../media/image596.png"/><Relationship Id="rId98" Type="http://schemas.openxmlformats.org/officeDocument/2006/relationships/image" Target="../media/image110.png"/><Relationship Id="rId91" Type="http://schemas.openxmlformats.org/officeDocument/2006/relationships/image" Target="../media/image96.png"/><Relationship Id="rId90" Type="http://schemas.openxmlformats.org/officeDocument/2006/relationships/image" Target="../media/image100.png"/><Relationship Id="rId93" Type="http://schemas.openxmlformats.org/officeDocument/2006/relationships/image" Target="../media/image133.png"/><Relationship Id="rId92" Type="http://schemas.openxmlformats.org/officeDocument/2006/relationships/image" Target="../media/image144.png"/><Relationship Id="rId118" Type="http://schemas.openxmlformats.org/officeDocument/2006/relationships/image" Target="../media/image145.png"/><Relationship Id="rId239" Type="http://schemas.openxmlformats.org/officeDocument/2006/relationships/image" Target="../media/image481.png"/><Relationship Id="rId117" Type="http://schemas.openxmlformats.org/officeDocument/2006/relationships/image" Target="../media/image163.png"/><Relationship Id="rId238" Type="http://schemas.openxmlformats.org/officeDocument/2006/relationships/image" Target="../media/image260.png"/><Relationship Id="rId359" Type="http://schemas.openxmlformats.org/officeDocument/2006/relationships/image" Target="../media/image437.png"/><Relationship Id="rId116" Type="http://schemas.openxmlformats.org/officeDocument/2006/relationships/image" Target="../media/image155.png"/><Relationship Id="rId237" Type="http://schemas.openxmlformats.org/officeDocument/2006/relationships/image" Target="../media/image282.png"/><Relationship Id="rId358" Type="http://schemas.openxmlformats.org/officeDocument/2006/relationships/image" Target="../media/image450.png"/><Relationship Id="rId479" Type="http://schemas.openxmlformats.org/officeDocument/2006/relationships/image" Target="../media/image570.png"/><Relationship Id="rId115" Type="http://schemas.openxmlformats.org/officeDocument/2006/relationships/image" Target="../media/image119.png"/><Relationship Id="rId236" Type="http://schemas.openxmlformats.org/officeDocument/2006/relationships/image" Target="../media/image278.png"/><Relationship Id="rId357" Type="http://schemas.openxmlformats.org/officeDocument/2006/relationships/image" Target="../media/image559.png"/><Relationship Id="rId478" Type="http://schemas.openxmlformats.org/officeDocument/2006/relationships/image" Target="../media/image591.png"/><Relationship Id="rId119" Type="http://schemas.openxmlformats.org/officeDocument/2006/relationships/image" Target="../media/image175.png"/><Relationship Id="rId110" Type="http://schemas.openxmlformats.org/officeDocument/2006/relationships/image" Target="../media/image122.png"/><Relationship Id="rId231" Type="http://schemas.openxmlformats.org/officeDocument/2006/relationships/image" Target="../media/image316.png"/><Relationship Id="rId352" Type="http://schemas.openxmlformats.org/officeDocument/2006/relationships/image" Target="../media/image455.png"/><Relationship Id="rId473" Type="http://schemas.openxmlformats.org/officeDocument/2006/relationships/image" Target="../media/image565.png"/><Relationship Id="rId230" Type="http://schemas.openxmlformats.org/officeDocument/2006/relationships/image" Target="../media/image339.png"/><Relationship Id="rId351" Type="http://schemas.openxmlformats.org/officeDocument/2006/relationships/image" Target="../media/image463.png"/><Relationship Id="rId472" Type="http://schemas.openxmlformats.org/officeDocument/2006/relationships/image" Target="../media/image583.png"/><Relationship Id="rId350" Type="http://schemas.openxmlformats.org/officeDocument/2006/relationships/image" Target="../media/image486.png"/><Relationship Id="rId471" Type="http://schemas.openxmlformats.org/officeDocument/2006/relationships/image" Target="../media/image562.png"/><Relationship Id="rId470" Type="http://schemas.openxmlformats.org/officeDocument/2006/relationships/image" Target="../media/image586.png"/><Relationship Id="rId114" Type="http://schemas.openxmlformats.org/officeDocument/2006/relationships/image" Target="../media/image103.png"/><Relationship Id="rId235" Type="http://schemas.openxmlformats.org/officeDocument/2006/relationships/image" Target="../media/image310.png"/><Relationship Id="rId356" Type="http://schemas.openxmlformats.org/officeDocument/2006/relationships/image" Target="../media/image471.png"/><Relationship Id="rId477" Type="http://schemas.openxmlformats.org/officeDocument/2006/relationships/image" Target="../media/image588.png"/><Relationship Id="rId113" Type="http://schemas.openxmlformats.org/officeDocument/2006/relationships/image" Target="../media/image108.png"/><Relationship Id="rId234" Type="http://schemas.openxmlformats.org/officeDocument/2006/relationships/image" Target="../media/image279.png"/><Relationship Id="rId355" Type="http://schemas.openxmlformats.org/officeDocument/2006/relationships/image" Target="../media/image449.png"/><Relationship Id="rId476" Type="http://schemas.openxmlformats.org/officeDocument/2006/relationships/image" Target="../media/image606.png"/><Relationship Id="rId112" Type="http://schemas.openxmlformats.org/officeDocument/2006/relationships/image" Target="../media/image125.png"/><Relationship Id="rId233" Type="http://schemas.openxmlformats.org/officeDocument/2006/relationships/image" Target="../media/image284.png"/><Relationship Id="rId354" Type="http://schemas.openxmlformats.org/officeDocument/2006/relationships/image" Target="../media/image445.png"/><Relationship Id="rId475" Type="http://schemas.openxmlformats.org/officeDocument/2006/relationships/image" Target="../media/image577.png"/><Relationship Id="rId111" Type="http://schemas.openxmlformats.org/officeDocument/2006/relationships/image" Target="../media/image152.png"/><Relationship Id="rId232" Type="http://schemas.openxmlformats.org/officeDocument/2006/relationships/image" Target="../media/image328.png"/><Relationship Id="rId353" Type="http://schemas.openxmlformats.org/officeDocument/2006/relationships/image" Target="../media/image469.png"/><Relationship Id="rId474" Type="http://schemas.openxmlformats.org/officeDocument/2006/relationships/image" Target="../media/image597.png"/><Relationship Id="rId305" Type="http://schemas.openxmlformats.org/officeDocument/2006/relationships/image" Target="../media/image485.png"/><Relationship Id="rId426" Type="http://schemas.openxmlformats.org/officeDocument/2006/relationships/image" Target="../media/image506.png"/><Relationship Id="rId304" Type="http://schemas.openxmlformats.org/officeDocument/2006/relationships/image" Target="../media/image412.png"/><Relationship Id="rId425" Type="http://schemas.openxmlformats.org/officeDocument/2006/relationships/image" Target="../media/image504.png"/><Relationship Id="rId303" Type="http://schemas.openxmlformats.org/officeDocument/2006/relationships/image" Target="../media/image371.png"/><Relationship Id="rId424" Type="http://schemas.openxmlformats.org/officeDocument/2006/relationships/image" Target="../media/image501.png"/><Relationship Id="rId302" Type="http://schemas.openxmlformats.org/officeDocument/2006/relationships/image" Target="../media/image395.png"/><Relationship Id="rId423" Type="http://schemas.openxmlformats.org/officeDocument/2006/relationships/image" Target="../media/image507.png"/><Relationship Id="rId309" Type="http://schemas.openxmlformats.org/officeDocument/2006/relationships/image" Target="../media/image394.png"/><Relationship Id="rId308" Type="http://schemas.openxmlformats.org/officeDocument/2006/relationships/image" Target="../media/image377.png"/><Relationship Id="rId429" Type="http://schemas.openxmlformats.org/officeDocument/2006/relationships/image" Target="../media/image503.png"/><Relationship Id="rId307" Type="http://schemas.openxmlformats.org/officeDocument/2006/relationships/image" Target="../media/image362.png"/><Relationship Id="rId428" Type="http://schemas.openxmlformats.org/officeDocument/2006/relationships/image" Target="../media/image513.png"/><Relationship Id="rId306" Type="http://schemas.openxmlformats.org/officeDocument/2006/relationships/image" Target="../media/image356.png"/><Relationship Id="rId427" Type="http://schemas.openxmlformats.org/officeDocument/2006/relationships/image" Target="../media/image568.png"/><Relationship Id="rId301" Type="http://schemas.openxmlformats.org/officeDocument/2006/relationships/image" Target="../media/image397.png"/><Relationship Id="rId422" Type="http://schemas.openxmlformats.org/officeDocument/2006/relationships/image" Target="../media/image500.png"/><Relationship Id="rId300" Type="http://schemas.openxmlformats.org/officeDocument/2006/relationships/image" Target="../media/image488.png"/><Relationship Id="rId421" Type="http://schemas.openxmlformats.org/officeDocument/2006/relationships/image" Target="../media/image544.png"/><Relationship Id="rId420" Type="http://schemas.openxmlformats.org/officeDocument/2006/relationships/image" Target="../media/image553.png"/><Relationship Id="rId415" Type="http://schemas.openxmlformats.org/officeDocument/2006/relationships/image" Target="../media/image537.png"/><Relationship Id="rId414" Type="http://schemas.openxmlformats.org/officeDocument/2006/relationships/image" Target="../media/image518.png"/><Relationship Id="rId413" Type="http://schemas.openxmlformats.org/officeDocument/2006/relationships/image" Target="../media/image505.png"/><Relationship Id="rId412" Type="http://schemas.openxmlformats.org/officeDocument/2006/relationships/image" Target="../media/image576.png"/><Relationship Id="rId419" Type="http://schemas.openxmlformats.org/officeDocument/2006/relationships/image" Target="../media/image514.png"/><Relationship Id="rId418" Type="http://schemas.openxmlformats.org/officeDocument/2006/relationships/image" Target="../media/image509.png"/><Relationship Id="rId417" Type="http://schemas.openxmlformats.org/officeDocument/2006/relationships/image" Target="../media/image533.png"/><Relationship Id="rId416" Type="http://schemas.openxmlformats.org/officeDocument/2006/relationships/image" Target="../media/image526.png"/><Relationship Id="rId411" Type="http://schemas.openxmlformats.org/officeDocument/2006/relationships/image" Target="../media/image556.png"/><Relationship Id="rId410" Type="http://schemas.openxmlformats.org/officeDocument/2006/relationships/image" Target="../media/image538.png"/><Relationship Id="rId206" Type="http://schemas.openxmlformats.org/officeDocument/2006/relationships/image" Target="../media/image231.png"/><Relationship Id="rId327" Type="http://schemas.openxmlformats.org/officeDocument/2006/relationships/image" Target="../media/image427.png"/><Relationship Id="rId448" Type="http://schemas.openxmlformats.org/officeDocument/2006/relationships/image" Target="../media/image523.png"/><Relationship Id="rId205" Type="http://schemas.openxmlformats.org/officeDocument/2006/relationships/image" Target="../media/image234.png"/><Relationship Id="rId326" Type="http://schemas.openxmlformats.org/officeDocument/2006/relationships/image" Target="../media/image439.png"/><Relationship Id="rId447" Type="http://schemas.openxmlformats.org/officeDocument/2006/relationships/image" Target="../media/image550.png"/><Relationship Id="rId204" Type="http://schemas.openxmlformats.org/officeDocument/2006/relationships/image" Target="../media/image251.png"/><Relationship Id="rId325" Type="http://schemas.openxmlformats.org/officeDocument/2006/relationships/image" Target="../media/image410.png"/><Relationship Id="rId446" Type="http://schemas.openxmlformats.org/officeDocument/2006/relationships/image" Target="../media/image549.png"/><Relationship Id="rId203" Type="http://schemas.openxmlformats.org/officeDocument/2006/relationships/image" Target="../media/image275.png"/><Relationship Id="rId324" Type="http://schemas.openxmlformats.org/officeDocument/2006/relationships/image" Target="../media/image408.png"/><Relationship Id="rId445" Type="http://schemas.openxmlformats.org/officeDocument/2006/relationships/image" Target="../media/image564.png"/><Relationship Id="rId209" Type="http://schemas.openxmlformats.org/officeDocument/2006/relationships/image" Target="../media/image304.png"/><Relationship Id="rId208" Type="http://schemas.openxmlformats.org/officeDocument/2006/relationships/image" Target="../media/image301.png"/><Relationship Id="rId329" Type="http://schemas.openxmlformats.org/officeDocument/2006/relationships/image" Target="../media/image401.png"/><Relationship Id="rId207" Type="http://schemas.openxmlformats.org/officeDocument/2006/relationships/image" Target="../media/image300.png"/><Relationship Id="rId328" Type="http://schemas.openxmlformats.org/officeDocument/2006/relationships/image" Target="../media/image432.png"/><Relationship Id="rId449" Type="http://schemas.openxmlformats.org/officeDocument/2006/relationships/image" Target="../media/image527.png"/><Relationship Id="rId440" Type="http://schemas.openxmlformats.org/officeDocument/2006/relationships/image" Target="../media/image532.png"/><Relationship Id="rId202" Type="http://schemas.openxmlformats.org/officeDocument/2006/relationships/image" Target="../media/image250.png"/><Relationship Id="rId323" Type="http://schemas.openxmlformats.org/officeDocument/2006/relationships/image" Target="../media/image428.png"/><Relationship Id="rId444" Type="http://schemas.openxmlformats.org/officeDocument/2006/relationships/image" Target="../media/image560.png"/><Relationship Id="rId201" Type="http://schemas.openxmlformats.org/officeDocument/2006/relationships/image" Target="../media/image226.png"/><Relationship Id="rId322" Type="http://schemas.openxmlformats.org/officeDocument/2006/relationships/image" Target="../media/image477.png"/><Relationship Id="rId443" Type="http://schemas.openxmlformats.org/officeDocument/2006/relationships/image" Target="../media/image598.png"/><Relationship Id="rId200" Type="http://schemas.openxmlformats.org/officeDocument/2006/relationships/image" Target="../media/image238.png"/><Relationship Id="rId321" Type="http://schemas.openxmlformats.org/officeDocument/2006/relationships/image" Target="../media/image426.png"/><Relationship Id="rId442" Type="http://schemas.openxmlformats.org/officeDocument/2006/relationships/image" Target="../media/image517.png"/><Relationship Id="rId320" Type="http://schemas.openxmlformats.org/officeDocument/2006/relationships/image" Target="../media/image436.png"/><Relationship Id="rId441" Type="http://schemas.openxmlformats.org/officeDocument/2006/relationships/image" Target="../media/image540.png"/><Relationship Id="rId316" Type="http://schemas.openxmlformats.org/officeDocument/2006/relationships/image" Target="../media/image440.png"/><Relationship Id="rId437" Type="http://schemas.openxmlformats.org/officeDocument/2006/relationships/image" Target="../media/image599.png"/><Relationship Id="rId315" Type="http://schemas.openxmlformats.org/officeDocument/2006/relationships/image" Target="../media/image419.png"/><Relationship Id="rId436" Type="http://schemas.openxmlformats.org/officeDocument/2006/relationships/image" Target="../media/image512.png"/><Relationship Id="rId314" Type="http://schemas.openxmlformats.org/officeDocument/2006/relationships/image" Target="../media/image370.png"/><Relationship Id="rId435" Type="http://schemas.openxmlformats.org/officeDocument/2006/relationships/image" Target="../media/image604.png"/><Relationship Id="rId313" Type="http://schemas.openxmlformats.org/officeDocument/2006/relationships/image" Target="../media/image422.png"/><Relationship Id="rId434" Type="http://schemas.openxmlformats.org/officeDocument/2006/relationships/image" Target="../media/image558.png"/><Relationship Id="rId319" Type="http://schemas.openxmlformats.org/officeDocument/2006/relationships/image" Target="../media/image434.png"/><Relationship Id="rId318" Type="http://schemas.openxmlformats.org/officeDocument/2006/relationships/image" Target="../media/image452.png"/><Relationship Id="rId439" Type="http://schemas.openxmlformats.org/officeDocument/2006/relationships/image" Target="../media/image551.png"/><Relationship Id="rId317" Type="http://schemas.openxmlformats.org/officeDocument/2006/relationships/image" Target="../media/image424.png"/><Relationship Id="rId438" Type="http://schemas.openxmlformats.org/officeDocument/2006/relationships/image" Target="../media/image563.png"/><Relationship Id="rId312" Type="http://schemas.openxmlformats.org/officeDocument/2006/relationships/image" Target="../media/image417.png"/><Relationship Id="rId433" Type="http://schemas.openxmlformats.org/officeDocument/2006/relationships/image" Target="../media/image511.png"/><Relationship Id="rId311" Type="http://schemas.openxmlformats.org/officeDocument/2006/relationships/image" Target="../media/image420.png"/><Relationship Id="rId432" Type="http://schemas.openxmlformats.org/officeDocument/2006/relationships/image" Target="../media/image548.png"/><Relationship Id="rId310" Type="http://schemas.openxmlformats.org/officeDocument/2006/relationships/image" Target="../media/image396.png"/><Relationship Id="rId431" Type="http://schemas.openxmlformats.org/officeDocument/2006/relationships/image" Target="../media/image554.png"/><Relationship Id="rId430" Type="http://schemas.openxmlformats.org/officeDocument/2006/relationships/image" Target="../media/image58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287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400050" cy="400050"/>
    <xdr:pic>
      <xdr:nvPicPr>
        <xdr:cNvPr id="0" name="image5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400050" cy="400050"/>
    <xdr:pic>
      <xdr:nvPicPr>
        <xdr:cNvPr id="0" name="image34.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xdr:row>
      <xdr:rowOff>0</xdr:rowOff>
    </xdr:from>
    <xdr:ext cx="390525" cy="400050"/>
    <xdr:pic>
      <xdr:nvPicPr>
        <xdr:cNvPr id="0" name="image27.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xdr:row>
      <xdr:rowOff>0</xdr:rowOff>
    </xdr:from>
    <xdr:ext cx="400050" cy="400050"/>
    <xdr:pic>
      <xdr:nvPicPr>
        <xdr:cNvPr id="0" name="image10.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4</xdr:row>
      <xdr:rowOff>0</xdr:rowOff>
    </xdr:from>
    <xdr:ext cx="400050" cy="400050"/>
    <xdr:pic>
      <xdr:nvPicPr>
        <xdr:cNvPr id="0" name="image44.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5</xdr:row>
      <xdr:rowOff>0</xdr:rowOff>
    </xdr:from>
    <xdr:ext cx="400050" cy="400050"/>
    <xdr:pic>
      <xdr:nvPicPr>
        <xdr:cNvPr id="0" name="image22.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6</xdr:row>
      <xdr:rowOff>0</xdr:rowOff>
    </xdr:from>
    <xdr:ext cx="400050" cy="400050"/>
    <xdr:pic>
      <xdr:nvPicPr>
        <xdr:cNvPr id="0" name="image21.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7</xdr:row>
      <xdr:rowOff>0</xdr:rowOff>
    </xdr:from>
    <xdr:ext cx="390525" cy="400050"/>
    <xdr:pic>
      <xdr:nvPicPr>
        <xdr:cNvPr id="0" name="image26.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8</xdr:row>
      <xdr:rowOff>0</xdr:rowOff>
    </xdr:from>
    <xdr:ext cx="390525" cy="400050"/>
    <xdr:pic>
      <xdr:nvPicPr>
        <xdr:cNvPr id="0" name="image49.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9</xdr:row>
      <xdr:rowOff>0</xdr:rowOff>
    </xdr:from>
    <xdr:ext cx="400050" cy="400050"/>
    <xdr:pic>
      <xdr:nvPicPr>
        <xdr:cNvPr id="0" name="image12.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10</xdr:row>
      <xdr:rowOff>0</xdr:rowOff>
    </xdr:from>
    <xdr:ext cx="390525" cy="400050"/>
    <xdr:pic>
      <xdr:nvPicPr>
        <xdr:cNvPr id="0" name="image5.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11</xdr:row>
      <xdr:rowOff>0</xdr:rowOff>
    </xdr:from>
    <xdr:ext cx="400050" cy="400050"/>
    <xdr:pic>
      <xdr:nvPicPr>
        <xdr:cNvPr id="0" name="image42.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12</xdr:row>
      <xdr:rowOff>0</xdr:rowOff>
    </xdr:from>
    <xdr:ext cx="400050" cy="400050"/>
    <xdr:pic>
      <xdr:nvPicPr>
        <xdr:cNvPr id="0" name="image8.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13</xdr:row>
      <xdr:rowOff>0</xdr:rowOff>
    </xdr:from>
    <xdr:ext cx="400050" cy="400050"/>
    <xdr:pic>
      <xdr:nvPicPr>
        <xdr:cNvPr id="0" name="image9.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14</xdr:row>
      <xdr:rowOff>0</xdr:rowOff>
    </xdr:from>
    <xdr:ext cx="400050" cy="400050"/>
    <xdr:pic>
      <xdr:nvPicPr>
        <xdr:cNvPr id="0" name="image3.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15</xdr:row>
      <xdr:rowOff>0</xdr:rowOff>
    </xdr:from>
    <xdr:ext cx="400050" cy="400050"/>
    <xdr:pic>
      <xdr:nvPicPr>
        <xdr:cNvPr id="0" name="image41.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16</xdr:row>
      <xdr:rowOff>0</xdr:rowOff>
    </xdr:from>
    <xdr:ext cx="400050" cy="400050"/>
    <xdr:pic>
      <xdr:nvPicPr>
        <xdr:cNvPr id="0" name="image17.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17</xdr:row>
      <xdr:rowOff>0</xdr:rowOff>
    </xdr:from>
    <xdr:ext cx="400050" cy="400050"/>
    <xdr:pic>
      <xdr:nvPicPr>
        <xdr:cNvPr id="0" name="image2.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18</xdr:row>
      <xdr:rowOff>0</xdr:rowOff>
    </xdr:from>
    <xdr:ext cx="400050" cy="400050"/>
    <xdr:pic>
      <xdr:nvPicPr>
        <xdr:cNvPr id="0" name="image6.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19</xdr:row>
      <xdr:rowOff>0</xdr:rowOff>
    </xdr:from>
    <xdr:ext cx="390525" cy="400050"/>
    <xdr:pic>
      <xdr:nvPicPr>
        <xdr:cNvPr id="0" name="image19.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20</xdr:row>
      <xdr:rowOff>0</xdr:rowOff>
    </xdr:from>
    <xdr:ext cx="400050" cy="400050"/>
    <xdr:pic>
      <xdr:nvPicPr>
        <xdr:cNvPr id="0" name="image25.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21</xdr:row>
      <xdr:rowOff>0</xdr:rowOff>
    </xdr:from>
    <xdr:ext cx="400050" cy="400050"/>
    <xdr:pic>
      <xdr:nvPicPr>
        <xdr:cNvPr id="0" name="image70.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22</xdr:row>
      <xdr:rowOff>0</xdr:rowOff>
    </xdr:from>
    <xdr:ext cx="400050" cy="400050"/>
    <xdr:pic>
      <xdr:nvPicPr>
        <xdr:cNvPr id="0" name="image57.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23</xdr:row>
      <xdr:rowOff>0</xdr:rowOff>
    </xdr:from>
    <xdr:ext cx="400050" cy="400050"/>
    <xdr:pic>
      <xdr:nvPicPr>
        <xdr:cNvPr id="0" name="image138.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24</xdr:row>
      <xdr:rowOff>0</xdr:rowOff>
    </xdr:from>
    <xdr:ext cx="400050" cy="400050"/>
    <xdr:pic>
      <xdr:nvPicPr>
        <xdr:cNvPr id="0" name="image76.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25</xdr:row>
      <xdr:rowOff>0</xdr:rowOff>
    </xdr:from>
    <xdr:ext cx="390525" cy="400050"/>
    <xdr:pic>
      <xdr:nvPicPr>
        <xdr:cNvPr id="0" name="image61.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26</xdr:row>
      <xdr:rowOff>0</xdr:rowOff>
    </xdr:from>
    <xdr:ext cx="400050" cy="400050"/>
    <xdr:pic>
      <xdr:nvPicPr>
        <xdr:cNvPr id="0" name="image7.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27</xdr:row>
      <xdr:rowOff>0</xdr:rowOff>
    </xdr:from>
    <xdr:ext cx="390525" cy="400050"/>
    <xdr:pic>
      <xdr:nvPicPr>
        <xdr:cNvPr id="0" name="image54.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28</xdr:row>
      <xdr:rowOff>0</xdr:rowOff>
    </xdr:from>
    <xdr:ext cx="400050" cy="400050"/>
    <xdr:pic>
      <xdr:nvPicPr>
        <xdr:cNvPr id="0" name="image13.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29</xdr:row>
      <xdr:rowOff>0</xdr:rowOff>
    </xdr:from>
    <xdr:ext cx="400050" cy="400050"/>
    <xdr:pic>
      <xdr:nvPicPr>
        <xdr:cNvPr id="0" name="image24.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30</xdr:row>
      <xdr:rowOff>0</xdr:rowOff>
    </xdr:from>
    <xdr:ext cx="400050" cy="400050"/>
    <xdr:pic>
      <xdr:nvPicPr>
        <xdr:cNvPr id="0" name="image31.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31</xdr:row>
      <xdr:rowOff>0</xdr:rowOff>
    </xdr:from>
    <xdr:ext cx="400050" cy="400050"/>
    <xdr:pic>
      <xdr:nvPicPr>
        <xdr:cNvPr id="0" name="image23.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32</xdr:row>
      <xdr:rowOff>0</xdr:rowOff>
    </xdr:from>
    <xdr:ext cx="390525" cy="400050"/>
    <xdr:pic>
      <xdr:nvPicPr>
        <xdr:cNvPr id="0" name="image38.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33</xdr:row>
      <xdr:rowOff>0</xdr:rowOff>
    </xdr:from>
    <xdr:ext cx="400050" cy="400050"/>
    <xdr:pic>
      <xdr:nvPicPr>
        <xdr:cNvPr id="0" name="image55.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34</xdr:row>
      <xdr:rowOff>0</xdr:rowOff>
    </xdr:from>
    <xdr:ext cx="400050" cy="400050"/>
    <xdr:pic>
      <xdr:nvPicPr>
        <xdr:cNvPr id="0" name="image16.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35</xdr:row>
      <xdr:rowOff>0</xdr:rowOff>
    </xdr:from>
    <xdr:ext cx="400050" cy="400050"/>
    <xdr:pic>
      <xdr:nvPicPr>
        <xdr:cNvPr id="0" name="image47.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36</xdr:row>
      <xdr:rowOff>0</xdr:rowOff>
    </xdr:from>
    <xdr:ext cx="400050" cy="400050"/>
    <xdr:pic>
      <xdr:nvPicPr>
        <xdr:cNvPr id="0" name="image11.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37</xdr:row>
      <xdr:rowOff>0</xdr:rowOff>
    </xdr:from>
    <xdr:ext cx="400050" cy="400050"/>
    <xdr:pic>
      <xdr:nvPicPr>
        <xdr:cNvPr id="0" name="image72.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38</xdr:row>
      <xdr:rowOff>0</xdr:rowOff>
    </xdr:from>
    <xdr:ext cx="400050" cy="400050"/>
    <xdr:pic>
      <xdr:nvPicPr>
        <xdr:cNvPr id="0" name="image18.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50</xdr:row>
      <xdr:rowOff>0</xdr:rowOff>
    </xdr:from>
    <xdr:ext cx="400050" cy="400050"/>
    <xdr:pic>
      <xdr:nvPicPr>
        <xdr:cNvPr id="0" name="image105.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51</xdr:row>
      <xdr:rowOff>0</xdr:rowOff>
    </xdr:from>
    <xdr:ext cx="400050" cy="400050"/>
    <xdr:pic>
      <xdr:nvPicPr>
        <xdr:cNvPr id="0" name="image63.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52</xdr:row>
      <xdr:rowOff>0</xdr:rowOff>
    </xdr:from>
    <xdr:ext cx="400050" cy="400050"/>
    <xdr:pic>
      <xdr:nvPicPr>
        <xdr:cNvPr id="0" name="image65.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53</xdr:row>
      <xdr:rowOff>0</xdr:rowOff>
    </xdr:from>
    <xdr:ext cx="390525" cy="400050"/>
    <xdr:pic>
      <xdr:nvPicPr>
        <xdr:cNvPr id="0" name="image4.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54</xdr:row>
      <xdr:rowOff>0</xdr:rowOff>
    </xdr:from>
    <xdr:ext cx="400050" cy="400050"/>
    <xdr:pic>
      <xdr:nvPicPr>
        <xdr:cNvPr id="0" name="image29.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55</xdr:row>
      <xdr:rowOff>0</xdr:rowOff>
    </xdr:from>
    <xdr:ext cx="400050" cy="400050"/>
    <xdr:pic>
      <xdr:nvPicPr>
        <xdr:cNvPr id="0" name="image64.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56</xdr:row>
      <xdr:rowOff>0</xdr:rowOff>
    </xdr:from>
    <xdr:ext cx="400050" cy="400050"/>
    <xdr:pic>
      <xdr:nvPicPr>
        <xdr:cNvPr id="0" name="image28.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57</xdr:row>
      <xdr:rowOff>0</xdr:rowOff>
    </xdr:from>
    <xdr:ext cx="400050" cy="400050"/>
    <xdr:pic>
      <xdr:nvPicPr>
        <xdr:cNvPr id="0" name="image33.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58</xdr:row>
      <xdr:rowOff>0</xdr:rowOff>
    </xdr:from>
    <xdr:ext cx="400050" cy="400050"/>
    <xdr:pic>
      <xdr:nvPicPr>
        <xdr:cNvPr id="0" name="image48.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59</xdr:row>
      <xdr:rowOff>0</xdr:rowOff>
    </xdr:from>
    <xdr:ext cx="400050" cy="400050"/>
    <xdr:pic>
      <xdr:nvPicPr>
        <xdr:cNvPr id="0" name="image71.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60</xdr:row>
      <xdr:rowOff>0</xdr:rowOff>
    </xdr:from>
    <xdr:ext cx="400050" cy="400050"/>
    <xdr:pic>
      <xdr:nvPicPr>
        <xdr:cNvPr id="0" name="image94.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61</xdr:row>
      <xdr:rowOff>0</xdr:rowOff>
    </xdr:from>
    <xdr:ext cx="400050" cy="400050"/>
    <xdr:pic>
      <xdr:nvPicPr>
        <xdr:cNvPr id="0" name="image62.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62</xdr:row>
      <xdr:rowOff>0</xdr:rowOff>
    </xdr:from>
    <xdr:ext cx="400050" cy="400050"/>
    <xdr:pic>
      <xdr:nvPicPr>
        <xdr:cNvPr id="0" name="image20.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63</xdr:row>
      <xdr:rowOff>0</xdr:rowOff>
    </xdr:from>
    <xdr:ext cx="400050" cy="400050"/>
    <xdr:pic>
      <xdr:nvPicPr>
        <xdr:cNvPr id="0" name="image15.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64</xdr:row>
      <xdr:rowOff>0</xdr:rowOff>
    </xdr:from>
    <xdr:ext cx="400050" cy="400050"/>
    <xdr:pic>
      <xdr:nvPicPr>
        <xdr:cNvPr id="0" name="image14.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65</xdr:row>
      <xdr:rowOff>0</xdr:rowOff>
    </xdr:from>
    <xdr:ext cx="390525" cy="400050"/>
    <xdr:pic>
      <xdr:nvPicPr>
        <xdr:cNvPr id="0" name="image189.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66</xdr:row>
      <xdr:rowOff>0</xdr:rowOff>
    </xdr:from>
    <xdr:ext cx="400050" cy="400050"/>
    <xdr:pic>
      <xdr:nvPicPr>
        <xdr:cNvPr id="0" name="image32.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67</xdr:row>
      <xdr:rowOff>0</xdr:rowOff>
    </xdr:from>
    <xdr:ext cx="400050" cy="400050"/>
    <xdr:pic>
      <xdr:nvPicPr>
        <xdr:cNvPr id="0" name="image51.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68</xdr:row>
      <xdr:rowOff>0</xdr:rowOff>
    </xdr:from>
    <xdr:ext cx="400050" cy="400050"/>
    <xdr:pic>
      <xdr:nvPicPr>
        <xdr:cNvPr id="0" name="image66.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69</xdr:row>
      <xdr:rowOff>0</xdr:rowOff>
    </xdr:from>
    <xdr:ext cx="400050" cy="400050"/>
    <xdr:pic>
      <xdr:nvPicPr>
        <xdr:cNvPr id="0" name="image58.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70</xdr:row>
      <xdr:rowOff>0</xdr:rowOff>
    </xdr:from>
    <xdr:ext cx="400050" cy="400050"/>
    <xdr:pic>
      <xdr:nvPicPr>
        <xdr:cNvPr id="0" name="image40.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71</xdr:row>
      <xdr:rowOff>0</xdr:rowOff>
    </xdr:from>
    <xdr:ext cx="400050" cy="400050"/>
    <xdr:pic>
      <xdr:nvPicPr>
        <xdr:cNvPr id="0" name="image78.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72</xdr:row>
      <xdr:rowOff>0</xdr:rowOff>
    </xdr:from>
    <xdr:ext cx="390525" cy="400050"/>
    <xdr:pic>
      <xdr:nvPicPr>
        <xdr:cNvPr id="0" name="image93.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73</xdr:row>
      <xdr:rowOff>0</xdr:rowOff>
    </xdr:from>
    <xdr:ext cx="390525" cy="400050"/>
    <xdr:pic>
      <xdr:nvPicPr>
        <xdr:cNvPr id="0" name="image81.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74</xdr:row>
      <xdr:rowOff>0</xdr:rowOff>
    </xdr:from>
    <xdr:ext cx="390525" cy="400050"/>
    <xdr:pic>
      <xdr:nvPicPr>
        <xdr:cNvPr id="0" name="image30.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75</xdr:row>
      <xdr:rowOff>0</xdr:rowOff>
    </xdr:from>
    <xdr:ext cx="400050" cy="400050"/>
    <xdr:pic>
      <xdr:nvPicPr>
        <xdr:cNvPr id="0" name="image83.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76</xdr:row>
      <xdr:rowOff>0</xdr:rowOff>
    </xdr:from>
    <xdr:ext cx="390525" cy="400050"/>
    <xdr:pic>
      <xdr:nvPicPr>
        <xdr:cNvPr id="0" name="image45.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77</xdr:row>
      <xdr:rowOff>0</xdr:rowOff>
    </xdr:from>
    <xdr:ext cx="400050" cy="400050"/>
    <xdr:pic>
      <xdr:nvPicPr>
        <xdr:cNvPr id="0" name="image37.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78</xdr:row>
      <xdr:rowOff>0</xdr:rowOff>
    </xdr:from>
    <xdr:ext cx="400050" cy="400050"/>
    <xdr:pic>
      <xdr:nvPicPr>
        <xdr:cNvPr id="0" name="image85.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79</xdr:row>
      <xdr:rowOff>0</xdr:rowOff>
    </xdr:from>
    <xdr:ext cx="400050" cy="400050"/>
    <xdr:pic>
      <xdr:nvPicPr>
        <xdr:cNvPr id="0" name="image43.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80</xdr:row>
      <xdr:rowOff>0</xdr:rowOff>
    </xdr:from>
    <xdr:ext cx="400050" cy="400050"/>
    <xdr:pic>
      <xdr:nvPicPr>
        <xdr:cNvPr id="0" name="image11.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81</xdr:row>
      <xdr:rowOff>0</xdr:rowOff>
    </xdr:from>
    <xdr:ext cx="400050" cy="400050"/>
    <xdr:pic>
      <xdr:nvPicPr>
        <xdr:cNvPr id="0" name="image72.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82</xdr:row>
      <xdr:rowOff>0</xdr:rowOff>
    </xdr:from>
    <xdr:ext cx="400050" cy="400050"/>
    <xdr:pic>
      <xdr:nvPicPr>
        <xdr:cNvPr id="0" name="image18.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100</xdr:row>
      <xdr:rowOff>0</xdr:rowOff>
    </xdr:from>
    <xdr:ext cx="400050" cy="400050"/>
    <xdr:pic>
      <xdr:nvPicPr>
        <xdr:cNvPr id="0" name="image101.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101</xdr:row>
      <xdr:rowOff>0</xdr:rowOff>
    </xdr:from>
    <xdr:ext cx="400050" cy="400050"/>
    <xdr:pic>
      <xdr:nvPicPr>
        <xdr:cNvPr id="0" name="image88.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102</xdr:row>
      <xdr:rowOff>0</xdr:rowOff>
    </xdr:from>
    <xdr:ext cx="400050" cy="400050"/>
    <xdr:pic>
      <xdr:nvPicPr>
        <xdr:cNvPr id="0" name="image36.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103</xdr:row>
      <xdr:rowOff>0</xdr:rowOff>
    </xdr:from>
    <xdr:ext cx="400050" cy="400050"/>
    <xdr:pic>
      <xdr:nvPicPr>
        <xdr:cNvPr id="0" name="image50.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104</xdr:row>
      <xdr:rowOff>0</xdr:rowOff>
    </xdr:from>
    <xdr:ext cx="400050" cy="400050"/>
    <xdr:pic>
      <xdr:nvPicPr>
        <xdr:cNvPr id="0" name="image146.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105</xdr:row>
      <xdr:rowOff>0</xdr:rowOff>
    </xdr:from>
    <xdr:ext cx="400050" cy="400050"/>
    <xdr:pic>
      <xdr:nvPicPr>
        <xdr:cNvPr id="0" name="image35.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106</xdr:row>
      <xdr:rowOff>0</xdr:rowOff>
    </xdr:from>
    <xdr:ext cx="390525" cy="400050"/>
    <xdr:pic>
      <xdr:nvPicPr>
        <xdr:cNvPr id="0" name="image92.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107</xdr:row>
      <xdr:rowOff>0</xdr:rowOff>
    </xdr:from>
    <xdr:ext cx="400050" cy="400050"/>
    <xdr:pic>
      <xdr:nvPicPr>
        <xdr:cNvPr id="0" name="image112.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108</xdr:row>
      <xdr:rowOff>0</xdr:rowOff>
    </xdr:from>
    <xdr:ext cx="400050" cy="400050"/>
    <xdr:pic>
      <xdr:nvPicPr>
        <xdr:cNvPr id="0" name="image73.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109</xdr:row>
      <xdr:rowOff>0</xdr:rowOff>
    </xdr:from>
    <xdr:ext cx="400050" cy="400050"/>
    <xdr:pic>
      <xdr:nvPicPr>
        <xdr:cNvPr id="0" name="image104.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110</xdr:row>
      <xdr:rowOff>0</xdr:rowOff>
    </xdr:from>
    <xdr:ext cx="400050" cy="400050"/>
    <xdr:pic>
      <xdr:nvPicPr>
        <xdr:cNvPr id="0" name="image60.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111</xdr:row>
      <xdr:rowOff>0</xdr:rowOff>
    </xdr:from>
    <xdr:ext cx="400050" cy="400050"/>
    <xdr:pic>
      <xdr:nvPicPr>
        <xdr:cNvPr id="0" name="image124.png"/>
        <xdr:cNvPicPr preferRelativeResize="0"/>
      </xdr:nvPicPr>
      <xdr:blipFill>
        <a:blip cstate="print" r:embed="rId75"/>
        <a:stretch>
          <a:fillRect/>
        </a:stretch>
      </xdr:blipFill>
      <xdr:spPr>
        <a:prstGeom prst="rect">
          <a:avLst/>
        </a:prstGeom>
        <a:noFill/>
      </xdr:spPr>
    </xdr:pic>
    <xdr:clientData fLocksWithSheet="0"/>
  </xdr:oneCellAnchor>
  <xdr:oneCellAnchor>
    <xdr:from>
      <xdr:col>1</xdr:col>
      <xdr:colOff>0</xdr:colOff>
      <xdr:row>112</xdr:row>
      <xdr:rowOff>0</xdr:rowOff>
    </xdr:from>
    <xdr:ext cx="400050" cy="400050"/>
    <xdr:pic>
      <xdr:nvPicPr>
        <xdr:cNvPr id="0" name="image67.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113</xdr:row>
      <xdr:rowOff>0</xdr:rowOff>
    </xdr:from>
    <xdr:ext cx="400050" cy="400050"/>
    <xdr:pic>
      <xdr:nvPicPr>
        <xdr:cNvPr id="0" name="image69.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114</xdr:row>
      <xdr:rowOff>0</xdr:rowOff>
    </xdr:from>
    <xdr:ext cx="400050" cy="400050"/>
    <xdr:pic>
      <xdr:nvPicPr>
        <xdr:cNvPr id="0" name="image79.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115</xdr:row>
      <xdr:rowOff>0</xdr:rowOff>
    </xdr:from>
    <xdr:ext cx="400050" cy="400050"/>
    <xdr:pic>
      <xdr:nvPicPr>
        <xdr:cNvPr id="0" name="image46.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116</xdr:row>
      <xdr:rowOff>0</xdr:rowOff>
    </xdr:from>
    <xdr:ext cx="400050" cy="400050"/>
    <xdr:pic>
      <xdr:nvPicPr>
        <xdr:cNvPr id="0" name="image179.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117</xdr:row>
      <xdr:rowOff>0</xdr:rowOff>
    </xdr:from>
    <xdr:ext cx="400050" cy="400050"/>
    <xdr:pic>
      <xdr:nvPicPr>
        <xdr:cNvPr id="0" name="image97.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118</xdr:row>
      <xdr:rowOff>0</xdr:rowOff>
    </xdr:from>
    <xdr:ext cx="400050" cy="400050"/>
    <xdr:pic>
      <xdr:nvPicPr>
        <xdr:cNvPr id="0" name="image134.png"/>
        <xdr:cNvPicPr preferRelativeResize="0"/>
      </xdr:nvPicPr>
      <xdr:blipFill>
        <a:blip cstate="print" r:embed="rId81"/>
        <a:stretch>
          <a:fillRect/>
        </a:stretch>
      </xdr:blipFill>
      <xdr:spPr>
        <a:prstGeom prst="rect">
          <a:avLst/>
        </a:prstGeom>
        <a:noFill/>
      </xdr:spPr>
    </xdr:pic>
    <xdr:clientData fLocksWithSheet="0"/>
  </xdr:oneCellAnchor>
  <xdr:oneCellAnchor>
    <xdr:from>
      <xdr:col>1</xdr:col>
      <xdr:colOff>0</xdr:colOff>
      <xdr:row>119</xdr:row>
      <xdr:rowOff>0</xdr:rowOff>
    </xdr:from>
    <xdr:ext cx="390525" cy="400050"/>
    <xdr:pic>
      <xdr:nvPicPr>
        <xdr:cNvPr id="0" name="image39.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120</xdr:row>
      <xdr:rowOff>0</xdr:rowOff>
    </xdr:from>
    <xdr:ext cx="400050" cy="400050"/>
    <xdr:pic>
      <xdr:nvPicPr>
        <xdr:cNvPr id="0" name="image113.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121</xdr:row>
      <xdr:rowOff>0</xdr:rowOff>
    </xdr:from>
    <xdr:ext cx="400050" cy="400050"/>
    <xdr:pic>
      <xdr:nvPicPr>
        <xdr:cNvPr id="0" name="image52.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122</xdr:row>
      <xdr:rowOff>0</xdr:rowOff>
    </xdr:from>
    <xdr:ext cx="400050" cy="400050"/>
    <xdr:pic>
      <xdr:nvPicPr>
        <xdr:cNvPr id="0" name="image170.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123</xdr:row>
      <xdr:rowOff>0</xdr:rowOff>
    </xdr:from>
    <xdr:ext cx="400050" cy="400050"/>
    <xdr:pic>
      <xdr:nvPicPr>
        <xdr:cNvPr id="0" name="image77.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124</xdr:row>
      <xdr:rowOff>0</xdr:rowOff>
    </xdr:from>
    <xdr:ext cx="390525" cy="400050"/>
    <xdr:pic>
      <xdr:nvPicPr>
        <xdr:cNvPr id="0" name="image84.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125</xdr:row>
      <xdr:rowOff>0</xdr:rowOff>
    </xdr:from>
    <xdr:ext cx="390525" cy="400050"/>
    <xdr:pic>
      <xdr:nvPicPr>
        <xdr:cNvPr id="0" name="image59.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126</xdr:row>
      <xdr:rowOff>0</xdr:rowOff>
    </xdr:from>
    <xdr:ext cx="390525" cy="400050"/>
    <xdr:pic>
      <xdr:nvPicPr>
        <xdr:cNvPr id="0" name="image56.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127</xdr:row>
      <xdr:rowOff>0</xdr:rowOff>
    </xdr:from>
    <xdr:ext cx="390525" cy="400050"/>
    <xdr:pic>
      <xdr:nvPicPr>
        <xdr:cNvPr id="0" name="image75.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128</xdr:row>
      <xdr:rowOff>0</xdr:rowOff>
    </xdr:from>
    <xdr:ext cx="400050" cy="400050"/>
    <xdr:pic>
      <xdr:nvPicPr>
        <xdr:cNvPr id="0" name="image123.png"/>
        <xdr:cNvPicPr preferRelativeResize="0"/>
      </xdr:nvPicPr>
      <xdr:blipFill>
        <a:blip cstate="print" r:embed="rId86"/>
        <a:stretch>
          <a:fillRect/>
        </a:stretch>
      </xdr:blipFill>
      <xdr:spPr>
        <a:prstGeom prst="rect">
          <a:avLst/>
        </a:prstGeom>
        <a:noFill/>
      </xdr:spPr>
    </xdr:pic>
    <xdr:clientData fLocksWithSheet="0"/>
  </xdr:oneCellAnchor>
  <xdr:oneCellAnchor>
    <xdr:from>
      <xdr:col>1</xdr:col>
      <xdr:colOff>0</xdr:colOff>
      <xdr:row>129</xdr:row>
      <xdr:rowOff>0</xdr:rowOff>
    </xdr:from>
    <xdr:ext cx="400050" cy="400050"/>
    <xdr:pic>
      <xdr:nvPicPr>
        <xdr:cNvPr id="0" name="image74.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130</xdr:row>
      <xdr:rowOff>0</xdr:rowOff>
    </xdr:from>
    <xdr:ext cx="400050" cy="400050"/>
    <xdr:pic>
      <xdr:nvPicPr>
        <xdr:cNvPr id="0" name="image11.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131</xdr:row>
      <xdr:rowOff>0</xdr:rowOff>
    </xdr:from>
    <xdr:ext cx="400050" cy="400050"/>
    <xdr:pic>
      <xdr:nvPicPr>
        <xdr:cNvPr id="0" name="image72.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132</xdr:row>
      <xdr:rowOff>0</xdr:rowOff>
    </xdr:from>
    <xdr:ext cx="400050" cy="400050"/>
    <xdr:pic>
      <xdr:nvPicPr>
        <xdr:cNvPr id="0" name="image18.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150</xdr:row>
      <xdr:rowOff>0</xdr:rowOff>
    </xdr:from>
    <xdr:ext cx="400050" cy="400050"/>
    <xdr:pic>
      <xdr:nvPicPr>
        <xdr:cNvPr id="0" name="image82.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151</xdr:row>
      <xdr:rowOff>0</xdr:rowOff>
    </xdr:from>
    <xdr:ext cx="400050" cy="400050"/>
    <xdr:pic>
      <xdr:nvPicPr>
        <xdr:cNvPr id="0" name="image80.png"/>
        <xdr:cNvPicPr preferRelativeResize="0"/>
      </xdr:nvPicPr>
      <xdr:blipFill>
        <a:blip cstate="print" r:embed="rId89"/>
        <a:stretch>
          <a:fillRect/>
        </a:stretch>
      </xdr:blipFill>
      <xdr:spPr>
        <a:prstGeom prst="rect">
          <a:avLst/>
        </a:prstGeom>
        <a:noFill/>
      </xdr:spPr>
    </xdr:pic>
    <xdr:clientData fLocksWithSheet="0"/>
  </xdr:oneCellAnchor>
  <xdr:oneCellAnchor>
    <xdr:from>
      <xdr:col>1</xdr:col>
      <xdr:colOff>0</xdr:colOff>
      <xdr:row>152</xdr:row>
      <xdr:rowOff>0</xdr:rowOff>
    </xdr:from>
    <xdr:ext cx="400050" cy="400050"/>
    <xdr:pic>
      <xdr:nvPicPr>
        <xdr:cNvPr id="0" name="image100.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153</xdr:row>
      <xdr:rowOff>0</xdr:rowOff>
    </xdr:from>
    <xdr:ext cx="400050" cy="400050"/>
    <xdr:pic>
      <xdr:nvPicPr>
        <xdr:cNvPr id="0" name="image96.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154</xdr:row>
      <xdr:rowOff>0</xdr:rowOff>
    </xdr:from>
    <xdr:ext cx="400050" cy="400050"/>
    <xdr:pic>
      <xdr:nvPicPr>
        <xdr:cNvPr id="0" name="image144.png"/>
        <xdr:cNvPicPr preferRelativeResize="0"/>
      </xdr:nvPicPr>
      <xdr:blipFill>
        <a:blip cstate="print" r:embed="rId92"/>
        <a:stretch>
          <a:fillRect/>
        </a:stretch>
      </xdr:blipFill>
      <xdr:spPr>
        <a:prstGeom prst="rect">
          <a:avLst/>
        </a:prstGeom>
        <a:noFill/>
      </xdr:spPr>
    </xdr:pic>
    <xdr:clientData fLocksWithSheet="0"/>
  </xdr:oneCellAnchor>
  <xdr:oneCellAnchor>
    <xdr:from>
      <xdr:col>1</xdr:col>
      <xdr:colOff>0</xdr:colOff>
      <xdr:row>155</xdr:row>
      <xdr:rowOff>0</xdr:rowOff>
    </xdr:from>
    <xdr:ext cx="400050" cy="400050"/>
    <xdr:pic>
      <xdr:nvPicPr>
        <xdr:cNvPr id="0" name="image133.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156</xdr:row>
      <xdr:rowOff>0</xdr:rowOff>
    </xdr:from>
    <xdr:ext cx="400050" cy="400050"/>
    <xdr:pic>
      <xdr:nvPicPr>
        <xdr:cNvPr id="0" name="image90.png"/>
        <xdr:cNvPicPr preferRelativeResize="0"/>
      </xdr:nvPicPr>
      <xdr:blipFill>
        <a:blip cstate="print" r:embed="rId94"/>
        <a:stretch>
          <a:fillRect/>
        </a:stretch>
      </xdr:blipFill>
      <xdr:spPr>
        <a:prstGeom prst="rect">
          <a:avLst/>
        </a:prstGeom>
        <a:noFill/>
      </xdr:spPr>
    </xdr:pic>
    <xdr:clientData fLocksWithSheet="0"/>
  </xdr:oneCellAnchor>
  <xdr:oneCellAnchor>
    <xdr:from>
      <xdr:col>1</xdr:col>
      <xdr:colOff>0</xdr:colOff>
      <xdr:row>157</xdr:row>
      <xdr:rowOff>0</xdr:rowOff>
    </xdr:from>
    <xdr:ext cx="400050" cy="400050"/>
    <xdr:pic>
      <xdr:nvPicPr>
        <xdr:cNvPr id="0" name="image68.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158</xdr:row>
      <xdr:rowOff>0</xdr:rowOff>
    </xdr:from>
    <xdr:ext cx="400050" cy="400050"/>
    <xdr:pic>
      <xdr:nvPicPr>
        <xdr:cNvPr id="0" name="image178.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159</xdr:row>
      <xdr:rowOff>0</xdr:rowOff>
    </xdr:from>
    <xdr:ext cx="400050" cy="400050"/>
    <xdr:pic>
      <xdr:nvPicPr>
        <xdr:cNvPr id="0" name="image99.png"/>
        <xdr:cNvPicPr preferRelativeResize="0"/>
      </xdr:nvPicPr>
      <xdr:blipFill>
        <a:blip cstate="print" r:embed="rId95"/>
        <a:stretch>
          <a:fillRect/>
        </a:stretch>
      </xdr:blipFill>
      <xdr:spPr>
        <a:prstGeom prst="rect">
          <a:avLst/>
        </a:prstGeom>
        <a:noFill/>
      </xdr:spPr>
    </xdr:pic>
    <xdr:clientData fLocksWithSheet="0"/>
  </xdr:oneCellAnchor>
  <xdr:oneCellAnchor>
    <xdr:from>
      <xdr:col>1</xdr:col>
      <xdr:colOff>0</xdr:colOff>
      <xdr:row>160</xdr:row>
      <xdr:rowOff>0</xdr:rowOff>
    </xdr:from>
    <xdr:ext cx="400050" cy="400050"/>
    <xdr:pic>
      <xdr:nvPicPr>
        <xdr:cNvPr id="0" name="image107.png"/>
        <xdr:cNvPicPr preferRelativeResize="0"/>
      </xdr:nvPicPr>
      <xdr:blipFill>
        <a:blip cstate="print" r:embed="rId96"/>
        <a:stretch>
          <a:fillRect/>
        </a:stretch>
      </xdr:blipFill>
      <xdr:spPr>
        <a:prstGeom prst="rect">
          <a:avLst/>
        </a:prstGeom>
        <a:noFill/>
      </xdr:spPr>
    </xdr:pic>
    <xdr:clientData fLocksWithSheet="0"/>
  </xdr:oneCellAnchor>
  <xdr:oneCellAnchor>
    <xdr:from>
      <xdr:col>1</xdr:col>
      <xdr:colOff>0</xdr:colOff>
      <xdr:row>161</xdr:row>
      <xdr:rowOff>0</xdr:rowOff>
    </xdr:from>
    <xdr:ext cx="400050" cy="400050"/>
    <xdr:pic>
      <xdr:nvPicPr>
        <xdr:cNvPr id="0" name="image375.png"/>
        <xdr:cNvPicPr preferRelativeResize="0"/>
      </xdr:nvPicPr>
      <xdr:blipFill>
        <a:blip cstate="print" r:embed="rId97"/>
        <a:stretch>
          <a:fillRect/>
        </a:stretch>
      </xdr:blipFill>
      <xdr:spPr>
        <a:prstGeom prst="rect">
          <a:avLst/>
        </a:prstGeom>
        <a:noFill/>
      </xdr:spPr>
    </xdr:pic>
    <xdr:clientData fLocksWithSheet="0"/>
  </xdr:oneCellAnchor>
  <xdr:oneCellAnchor>
    <xdr:from>
      <xdr:col>1</xdr:col>
      <xdr:colOff>0</xdr:colOff>
      <xdr:row>162</xdr:row>
      <xdr:rowOff>0</xdr:rowOff>
    </xdr:from>
    <xdr:ext cx="400050" cy="400050"/>
    <xdr:pic>
      <xdr:nvPicPr>
        <xdr:cNvPr id="0" name="image95.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163</xdr:row>
      <xdr:rowOff>0</xdr:rowOff>
    </xdr:from>
    <xdr:ext cx="400050" cy="400050"/>
    <xdr:pic>
      <xdr:nvPicPr>
        <xdr:cNvPr id="0" name="image110.png"/>
        <xdr:cNvPicPr preferRelativeResize="0"/>
      </xdr:nvPicPr>
      <xdr:blipFill>
        <a:blip cstate="print" r:embed="rId98"/>
        <a:stretch>
          <a:fillRect/>
        </a:stretch>
      </xdr:blipFill>
      <xdr:spPr>
        <a:prstGeom prst="rect">
          <a:avLst/>
        </a:prstGeom>
        <a:noFill/>
      </xdr:spPr>
    </xdr:pic>
    <xdr:clientData fLocksWithSheet="0"/>
  </xdr:oneCellAnchor>
  <xdr:oneCellAnchor>
    <xdr:from>
      <xdr:col>1</xdr:col>
      <xdr:colOff>0</xdr:colOff>
      <xdr:row>164</xdr:row>
      <xdr:rowOff>0</xdr:rowOff>
    </xdr:from>
    <xdr:ext cx="400050" cy="400050"/>
    <xdr:pic>
      <xdr:nvPicPr>
        <xdr:cNvPr id="0" name="image130.png"/>
        <xdr:cNvPicPr preferRelativeResize="0"/>
      </xdr:nvPicPr>
      <xdr:blipFill>
        <a:blip cstate="print" r:embed="rId86"/>
        <a:stretch>
          <a:fillRect/>
        </a:stretch>
      </xdr:blipFill>
      <xdr:spPr>
        <a:prstGeom prst="rect">
          <a:avLst/>
        </a:prstGeom>
        <a:noFill/>
      </xdr:spPr>
    </xdr:pic>
    <xdr:clientData fLocksWithSheet="0"/>
  </xdr:oneCellAnchor>
  <xdr:oneCellAnchor>
    <xdr:from>
      <xdr:col>1</xdr:col>
      <xdr:colOff>0</xdr:colOff>
      <xdr:row>165</xdr:row>
      <xdr:rowOff>0</xdr:rowOff>
    </xdr:from>
    <xdr:ext cx="400050" cy="400050"/>
    <xdr:pic>
      <xdr:nvPicPr>
        <xdr:cNvPr id="0" name="image140.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166</xdr:row>
      <xdr:rowOff>0</xdr:rowOff>
    </xdr:from>
    <xdr:ext cx="400050" cy="400050"/>
    <xdr:pic>
      <xdr:nvPicPr>
        <xdr:cNvPr id="0" name="image156.pn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167</xdr:row>
      <xdr:rowOff>0</xdr:rowOff>
    </xdr:from>
    <xdr:ext cx="400050" cy="400050"/>
    <xdr:pic>
      <xdr:nvPicPr>
        <xdr:cNvPr id="0" name="image118.png"/>
        <xdr:cNvPicPr preferRelativeResize="0"/>
      </xdr:nvPicPr>
      <xdr:blipFill>
        <a:blip cstate="print" r:embed="rId100"/>
        <a:stretch>
          <a:fillRect/>
        </a:stretch>
      </xdr:blipFill>
      <xdr:spPr>
        <a:prstGeom prst="rect">
          <a:avLst/>
        </a:prstGeom>
        <a:noFill/>
      </xdr:spPr>
    </xdr:pic>
    <xdr:clientData fLocksWithSheet="0"/>
  </xdr:oneCellAnchor>
  <xdr:oneCellAnchor>
    <xdr:from>
      <xdr:col>1</xdr:col>
      <xdr:colOff>0</xdr:colOff>
      <xdr:row>168</xdr:row>
      <xdr:rowOff>0</xdr:rowOff>
    </xdr:from>
    <xdr:ext cx="400050" cy="400050"/>
    <xdr:pic>
      <xdr:nvPicPr>
        <xdr:cNvPr id="0" name="image141.pn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169</xdr:row>
      <xdr:rowOff>0</xdr:rowOff>
    </xdr:from>
    <xdr:ext cx="400050" cy="400050"/>
    <xdr:pic>
      <xdr:nvPicPr>
        <xdr:cNvPr id="0" name="image86.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170</xdr:row>
      <xdr:rowOff>0</xdr:rowOff>
    </xdr:from>
    <xdr:ext cx="400050" cy="400050"/>
    <xdr:pic>
      <xdr:nvPicPr>
        <xdr:cNvPr id="0" name="image212.png"/>
        <xdr:cNvPicPr preferRelativeResize="0"/>
      </xdr:nvPicPr>
      <xdr:blipFill>
        <a:blip cstate="print" r:embed="rId102"/>
        <a:stretch>
          <a:fillRect/>
        </a:stretch>
      </xdr:blipFill>
      <xdr:spPr>
        <a:prstGeom prst="rect">
          <a:avLst/>
        </a:prstGeom>
        <a:noFill/>
      </xdr:spPr>
    </xdr:pic>
    <xdr:clientData fLocksWithSheet="0"/>
  </xdr:oneCellAnchor>
  <xdr:oneCellAnchor>
    <xdr:from>
      <xdr:col>1</xdr:col>
      <xdr:colOff>0</xdr:colOff>
      <xdr:row>171</xdr:row>
      <xdr:rowOff>0</xdr:rowOff>
    </xdr:from>
    <xdr:ext cx="400050" cy="400050"/>
    <xdr:pic>
      <xdr:nvPicPr>
        <xdr:cNvPr id="0" name="image344.png"/>
        <xdr:cNvPicPr preferRelativeResize="0"/>
      </xdr:nvPicPr>
      <xdr:blipFill>
        <a:blip cstate="print" r:embed="rId103"/>
        <a:stretch>
          <a:fillRect/>
        </a:stretch>
      </xdr:blipFill>
      <xdr:spPr>
        <a:prstGeom prst="rect">
          <a:avLst/>
        </a:prstGeom>
        <a:noFill/>
      </xdr:spPr>
    </xdr:pic>
    <xdr:clientData fLocksWithSheet="0"/>
  </xdr:oneCellAnchor>
  <xdr:oneCellAnchor>
    <xdr:from>
      <xdr:col>1</xdr:col>
      <xdr:colOff>0</xdr:colOff>
      <xdr:row>172</xdr:row>
      <xdr:rowOff>0</xdr:rowOff>
    </xdr:from>
    <xdr:ext cx="400050" cy="400050"/>
    <xdr:pic>
      <xdr:nvPicPr>
        <xdr:cNvPr id="0" name="image159.png"/>
        <xdr:cNvPicPr preferRelativeResize="0"/>
      </xdr:nvPicPr>
      <xdr:blipFill>
        <a:blip cstate="print" r:embed="rId104"/>
        <a:stretch>
          <a:fillRect/>
        </a:stretch>
      </xdr:blipFill>
      <xdr:spPr>
        <a:prstGeom prst="rect">
          <a:avLst/>
        </a:prstGeom>
        <a:noFill/>
      </xdr:spPr>
    </xdr:pic>
    <xdr:clientData fLocksWithSheet="0"/>
  </xdr:oneCellAnchor>
  <xdr:oneCellAnchor>
    <xdr:from>
      <xdr:col>1</xdr:col>
      <xdr:colOff>0</xdr:colOff>
      <xdr:row>173</xdr:row>
      <xdr:rowOff>0</xdr:rowOff>
    </xdr:from>
    <xdr:ext cx="400050" cy="400050"/>
    <xdr:pic>
      <xdr:nvPicPr>
        <xdr:cNvPr id="0" name="image114.png"/>
        <xdr:cNvPicPr preferRelativeResize="0"/>
      </xdr:nvPicPr>
      <xdr:blipFill>
        <a:blip cstate="print" r:embed="rId105"/>
        <a:stretch>
          <a:fillRect/>
        </a:stretch>
      </xdr:blipFill>
      <xdr:spPr>
        <a:prstGeom prst="rect">
          <a:avLst/>
        </a:prstGeom>
        <a:noFill/>
      </xdr:spPr>
    </xdr:pic>
    <xdr:clientData fLocksWithSheet="0"/>
  </xdr:oneCellAnchor>
  <xdr:oneCellAnchor>
    <xdr:from>
      <xdr:col>1</xdr:col>
      <xdr:colOff>0</xdr:colOff>
      <xdr:row>174</xdr:row>
      <xdr:rowOff>0</xdr:rowOff>
    </xdr:from>
    <xdr:ext cx="400050" cy="400050"/>
    <xdr:pic>
      <xdr:nvPicPr>
        <xdr:cNvPr id="0" name="image164.png"/>
        <xdr:cNvPicPr preferRelativeResize="0"/>
      </xdr:nvPicPr>
      <xdr:blipFill>
        <a:blip cstate="print" r:embed="rId106"/>
        <a:stretch>
          <a:fillRect/>
        </a:stretch>
      </xdr:blipFill>
      <xdr:spPr>
        <a:prstGeom prst="rect">
          <a:avLst/>
        </a:prstGeom>
        <a:noFill/>
      </xdr:spPr>
    </xdr:pic>
    <xdr:clientData fLocksWithSheet="0"/>
  </xdr:oneCellAnchor>
  <xdr:oneCellAnchor>
    <xdr:from>
      <xdr:col>1</xdr:col>
      <xdr:colOff>0</xdr:colOff>
      <xdr:row>175</xdr:row>
      <xdr:rowOff>0</xdr:rowOff>
    </xdr:from>
    <xdr:ext cx="400050" cy="400050"/>
    <xdr:pic>
      <xdr:nvPicPr>
        <xdr:cNvPr id="0" name="image109.png"/>
        <xdr:cNvPicPr preferRelativeResize="0"/>
      </xdr:nvPicPr>
      <xdr:blipFill>
        <a:blip cstate="print" r:embed="rId107"/>
        <a:stretch>
          <a:fillRect/>
        </a:stretch>
      </xdr:blipFill>
      <xdr:spPr>
        <a:prstGeom prst="rect">
          <a:avLst/>
        </a:prstGeom>
        <a:noFill/>
      </xdr:spPr>
    </xdr:pic>
    <xdr:clientData fLocksWithSheet="0"/>
  </xdr:oneCellAnchor>
  <xdr:oneCellAnchor>
    <xdr:from>
      <xdr:col>1</xdr:col>
      <xdr:colOff>0</xdr:colOff>
      <xdr:row>176</xdr:row>
      <xdr:rowOff>0</xdr:rowOff>
    </xdr:from>
    <xdr:ext cx="400050" cy="400050"/>
    <xdr:pic>
      <xdr:nvPicPr>
        <xdr:cNvPr id="0" name="image91.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177</xdr:row>
      <xdr:rowOff>0</xdr:rowOff>
    </xdr:from>
    <xdr:ext cx="390525" cy="400050"/>
    <xdr:pic>
      <xdr:nvPicPr>
        <xdr:cNvPr id="0" name="image87.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178</xdr:row>
      <xdr:rowOff>0</xdr:rowOff>
    </xdr:from>
    <xdr:ext cx="400050" cy="400050"/>
    <xdr:pic>
      <xdr:nvPicPr>
        <xdr:cNvPr id="0" name="image89.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179</xdr:row>
      <xdr:rowOff>0</xdr:rowOff>
    </xdr:from>
    <xdr:ext cx="400050" cy="400050"/>
    <xdr:pic>
      <xdr:nvPicPr>
        <xdr:cNvPr id="0" name="image153.png"/>
        <xdr:cNvPicPr preferRelativeResize="0"/>
      </xdr:nvPicPr>
      <xdr:blipFill>
        <a:blip cstate="print" r:embed="rId109"/>
        <a:stretch>
          <a:fillRect/>
        </a:stretch>
      </xdr:blipFill>
      <xdr:spPr>
        <a:prstGeom prst="rect">
          <a:avLst/>
        </a:prstGeom>
        <a:noFill/>
      </xdr:spPr>
    </xdr:pic>
    <xdr:clientData fLocksWithSheet="0"/>
  </xdr:oneCellAnchor>
  <xdr:oneCellAnchor>
    <xdr:from>
      <xdr:col>1</xdr:col>
      <xdr:colOff>0</xdr:colOff>
      <xdr:row>180</xdr:row>
      <xdr:rowOff>0</xdr:rowOff>
    </xdr:from>
    <xdr:ext cx="400050" cy="400050"/>
    <xdr:pic>
      <xdr:nvPicPr>
        <xdr:cNvPr id="0" name="image122.png"/>
        <xdr:cNvPicPr preferRelativeResize="0"/>
      </xdr:nvPicPr>
      <xdr:blipFill>
        <a:blip cstate="print" r:embed="rId110"/>
        <a:stretch>
          <a:fillRect/>
        </a:stretch>
      </xdr:blipFill>
      <xdr:spPr>
        <a:prstGeom prst="rect">
          <a:avLst/>
        </a:prstGeom>
        <a:noFill/>
      </xdr:spPr>
    </xdr:pic>
    <xdr:clientData fLocksWithSheet="0"/>
  </xdr:oneCellAnchor>
  <xdr:oneCellAnchor>
    <xdr:from>
      <xdr:col>1</xdr:col>
      <xdr:colOff>0</xdr:colOff>
      <xdr:row>181</xdr:row>
      <xdr:rowOff>0</xdr:rowOff>
    </xdr:from>
    <xdr:ext cx="400050" cy="400050"/>
    <xdr:pic>
      <xdr:nvPicPr>
        <xdr:cNvPr id="0" name="image152.png"/>
        <xdr:cNvPicPr preferRelativeResize="0"/>
      </xdr:nvPicPr>
      <xdr:blipFill>
        <a:blip cstate="print" r:embed="rId111"/>
        <a:stretch>
          <a:fillRect/>
        </a:stretch>
      </xdr:blipFill>
      <xdr:spPr>
        <a:prstGeom prst="rect">
          <a:avLst/>
        </a:prstGeom>
        <a:noFill/>
      </xdr:spPr>
    </xdr:pic>
    <xdr:clientData fLocksWithSheet="0"/>
  </xdr:oneCellAnchor>
  <xdr:oneCellAnchor>
    <xdr:from>
      <xdr:col>1</xdr:col>
      <xdr:colOff>0</xdr:colOff>
      <xdr:row>182</xdr:row>
      <xdr:rowOff>0</xdr:rowOff>
    </xdr:from>
    <xdr:ext cx="400050" cy="400050"/>
    <xdr:pic>
      <xdr:nvPicPr>
        <xdr:cNvPr id="0" name="image212.png"/>
        <xdr:cNvPicPr preferRelativeResize="0"/>
      </xdr:nvPicPr>
      <xdr:blipFill>
        <a:blip cstate="print" r:embed="rId102"/>
        <a:stretch>
          <a:fillRect/>
        </a:stretch>
      </xdr:blipFill>
      <xdr:spPr>
        <a:prstGeom prst="rect">
          <a:avLst/>
        </a:prstGeom>
        <a:noFill/>
      </xdr:spPr>
    </xdr:pic>
    <xdr:clientData fLocksWithSheet="0"/>
  </xdr:oneCellAnchor>
  <xdr:oneCellAnchor>
    <xdr:from>
      <xdr:col>1</xdr:col>
      <xdr:colOff>0</xdr:colOff>
      <xdr:row>183</xdr:row>
      <xdr:rowOff>0</xdr:rowOff>
    </xdr:from>
    <xdr:ext cx="400050" cy="400050"/>
    <xdr:pic>
      <xdr:nvPicPr>
        <xdr:cNvPr id="0" name="image11.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184</xdr:row>
      <xdr:rowOff>0</xdr:rowOff>
    </xdr:from>
    <xdr:ext cx="400050" cy="400050"/>
    <xdr:pic>
      <xdr:nvPicPr>
        <xdr:cNvPr id="0" name="image72.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185</xdr:row>
      <xdr:rowOff>0</xdr:rowOff>
    </xdr:from>
    <xdr:ext cx="400050" cy="400050"/>
    <xdr:pic>
      <xdr:nvPicPr>
        <xdr:cNvPr id="0" name="image18.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200</xdr:row>
      <xdr:rowOff>0</xdr:rowOff>
    </xdr:from>
    <xdr:ext cx="400050" cy="400050"/>
    <xdr:pic>
      <xdr:nvPicPr>
        <xdr:cNvPr id="0" name="image125.png"/>
        <xdr:cNvPicPr preferRelativeResize="0"/>
      </xdr:nvPicPr>
      <xdr:blipFill>
        <a:blip cstate="print" r:embed="rId112"/>
        <a:stretch>
          <a:fillRect/>
        </a:stretch>
      </xdr:blipFill>
      <xdr:spPr>
        <a:prstGeom prst="rect">
          <a:avLst/>
        </a:prstGeom>
        <a:noFill/>
      </xdr:spPr>
    </xdr:pic>
    <xdr:clientData fLocksWithSheet="0"/>
  </xdr:oneCellAnchor>
  <xdr:oneCellAnchor>
    <xdr:from>
      <xdr:col>1</xdr:col>
      <xdr:colOff>0</xdr:colOff>
      <xdr:row>201</xdr:row>
      <xdr:rowOff>0</xdr:rowOff>
    </xdr:from>
    <xdr:ext cx="400050" cy="400050"/>
    <xdr:pic>
      <xdr:nvPicPr>
        <xdr:cNvPr id="0" name="image108.png"/>
        <xdr:cNvPicPr preferRelativeResize="0"/>
      </xdr:nvPicPr>
      <xdr:blipFill>
        <a:blip cstate="print" r:embed="rId113"/>
        <a:stretch>
          <a:fillRect/>
        </a:stretch>
      </xdr:blipFill>
      <xdr:spPr>
        <a:prstGeom prst="rect">
          <a:avLst/>
        </a:prstGeom>
        <a:noFill/>
      </xdr:spPr>
    </xdr:pic>
    <xdr:clientData fLocksWithSheet="0"/>
  </xdr:oneCellAnchor>
  <xdr:oneCellAnchor>
    <xdr:from>
      <xdr:col>1</xdr:col>
      <xdr:colOff>0</xdr:colOff>
      <xdr:row>202</xdr:row>
      <xdr:rowOff>0</xdr:rowOff>
    </xdr:from>
    <xdr:ext cx="400050" cy="400050"/>
    <xdr:pic>
      <xdr:nvPicPr>
        <xdr:cNvPr id="0" name="image103.png"/>
        <xdr:cNvPicPr preferRelativeResize="0"/>
      </xdr:nvPicPr>
      <xdr:blipFill>
        <a:blip cstate="print" r:embed="rId114"/>
        <a:stretch>
          <a:fillRect/>
        </a:stretch>
      </xdr:blipFill>
      <xdr:spPr>
        <a:prstGeom prst="rect">
          <a:avLst/>
        </a:prstGeom>
        <a:noFill/>
      </xdr:spPr>
    </xdr:pic>
    <xdr:clientData fLocksWithSheet="0"/>
  </xdr:oneCellAnchor>
  <xdr:oneCellAnchor>
    <xdr:from>
      <xdr:col>1</xdr:col>
      <xdr:colOff>0</xdr:colOff>
      <xdr:row>203</xdr:row>
      <xdr:rowOff>0</xdr:rowOff>
    </xdr:from>
    <xdr:ext cx="400050" cy="400050"/>
    <xdr:pic>
      <xdr:nvPicPr>
        <xdr:cNvPr id="0" name="image119.png"/>
        <xdr:cNvPicPr preferRelativeResize="0"/>
      </xdr:nvPicPr>
      <xdr:blipFill>
        <a:blip cstate="print" r:embed="rId115"/>
        <a:stretch>
          <a:fillRect/>
        </a:stretch>
      </xdr:blipFill>
      <xdr:spPr>
        <a:prstGeom prst="rect">
          <a:avLst/>
        </a:prstGeom>
        <a:noFill/>
      </xdr:spPr>
    </xdr:pic>
    <xdr:clientData fLocksWithSheet="0"/>
  </xdr:oneCellAnchor>
  <xdr:oneCellAnchor>
    <xdr:from>
      <xdr:col>1</xdr:col>
      <xdr:colOff>0</xdr:colOff>
      <xdr:row>204</xdr:row>
      <xdr:rowOff>0</xdr:rowOff>
    </xdr:from>
    <xdr:ext cx="400050" cy="400050"/>
    <xdr:pic>
      <xdr:nvPicPr>
        <xdr:cNvPr id="0" name="image155.png"/>
        <xdr:cNvPicPr preferRelativeResize="0"/>
      </xdr:nvPicPr>
      <xdr:blipFill>
        <a:blip cstate="print" r:embed="rId116"/>
        <a:stretch>
          <a:fillRect/>
        </a:stretch>
      </xdr:blipFill>
      <xdr:spPr>
        <a:prstGeom prst="rect">
          <a:avLst/>
        </a:prstGeom>
        <a:noFill/>
      </xdr:spPr>
    </xdr:pic>
    <xdr:clientData fLocksWithSheet="0"/>
  </xdr:oneCellAnchor>
  <xdr:oneCellAnchor>
    <xdr:from>
      <xdr:col>1</xdr:col>
      <xdr:colOff>0</xdr:colOff>
      <xdr:row>205</xdr:row>
      <xdr:rowOff>0</xdr:rowOff>
    </xdr:from>
    <xdr:ext cx="400050" cy="400050"/>
    <xdr:pic>
      <xdr:nvPicPr>
        <xdr:cNvPr id="0" name="image117.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206</xdr:row>
      <xdr:rowOff>0</xdr:rowOff>
    </xdr:from>
    <xdr:ext cx="400050" cy="400050"/>
    <xdr:pic>
      <xdr:nvPicPr>
        <xdr:cNvPr id="0" name="image163.png"/>
        <xdr:cNvPicPr preferRelativeResize="0"/>
      </xdr:nvPicPr>
      <xdr:blipFill>
        <a:blip cstate="print" r:embed="rId117"/>
        <a:stretch>
          <a:fillRect/>
        </a:stretch>
      </xdr:blipFill>
      <xdr:spPr>
        <a:prstGeom prst="rect">
          <a:avLst/>
        </a:prstGeom>
        <a:noFill/>
      </xdr:spPr>
    </xdr:pic>
    <xdr:clientData fLocksWithSheet="0"/>
  </xdr:oneCellAnchor>
  <xdr:oneCellAnchor>
    <xdr:from>
      <xdr:col>1</xdr:col>
      <xdr:colOff>0</xdr:colOff>
      <xdr:row>207</xdr:row>
      <xdr:rowOff>0</xdr:rowOff>
    </xdr:from>
    <xdr:ext cx="390525" cy="400050"/>
    <xdr:pic>
      <xdr:nvPicPr>
        <xdr:cNvPr id="0" name="image98.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208</xdr:row>
      <xdr:rowOff>0</xdr:rowOff>
    </xdr:from>
    <xdr:ext cx="400050" cy="400050"/>
    <xdr:pic>
      <xdr:nvPicPr>
        <xdr:cNvPr id="0" name="image111.png"/>
        <xdr:cNvPicPr preferRelativeResize="0"/>
      </xdr:nvPicPr>
      <xdr:blipFill>
        <a:blip cstate="print" r:embed="rId113"/>
        <a:stretch>
          <a:fillRect/>
        </a:stretch>
      </xdr:blipFill>
      <xdr:spPr>
        <a:prstGeom prst="rect">
          <a:avLst/>
        </a:prstGeom>
        <a:noFill/>
      </xdr:spPr>
    </xdr:pic>
    <xdr:clientData fLocksWithSheet="0"/>
  </xdr:oneCellAnchor>
  <xdr:oneCellAnchor>
    <xdr:from>
      <xdr:col>1</xdr:col>
      <xdr:colOff>0</xdr:colOff>
      <xdr:row>209</xdr:row>
      <xdr:rowOff>0</xdr:rowOff>
    </xdr:from>
    <xdr:ext cx="400050" cy="400050"/>
    <xdr:pic>
      <xdr:nvPicPr>
        <xdr:cNvPr id="0" name="image145.png"/>
        <xdr:cNvPicPr preferRelativeResize="0"/>
      </xdr:nvPicPr>
      <xdr:blipFill>
        <a:blip cstate="print" r:embed="rId118"/>
        <a:stretch>
          <a:fillRect/>
        </a:stretch>
      </xdr:blipFill>
      <xdr:spPr>
        <a:prstGeom prst="rect">
          <a:avLst/>
        </a:prstGeom>
        <a:noFill/>
      </xdr:spPr>
    </xdr:pic>
    <xdr:clientData fLocksWithSheet="0"/>
  </xdr:oneCellAnchor>
  <xdr:oneCellAnchor>
    <xdr:from>
      <xdr:col>1</xdr:col>
      <xdr:colOff>0</xdr:colOff>
      <xdr:row>210</xdr:row>
      <xdr:rowOff>0</xdr:rowOff>
    </xdr:from>
    <xdr:ext cx="400050" cy="400050"/>
    <xdr:pic>
      <xdr:nvPicPr>
        <xdr:cNvPr id="0" name="image161.png"/>
        <xdr:cNvPicPr preferRelativeResize="0"/>
      </xdr:nvPicPr>
      <xdr:blipFill>
        <a:blip cstate="print" r:embed="rId104"/>
        <a:stretch>
          <a:fillRect/>
        </a:stretch>
      </xdr:blipFill>
      <xdr:spPr>
        <a:prstGeom prst="rect">
          <a:avLst/>
        </a:prstGeom>
        <a:noFill/>
      </xdr:spPr>
    </xdr:pic>
    <xdr:clientData fLocksWithSheet="0"/>
  </xdr:oneCellAnchor>
  <xdr:oneCellAnchor>
    <xdr:from>
      <xdr:col>1</xdr:col>
      <xdr:colOff>0</xdr:colOff>
      <xdr:row>211</xdr:row>
      <xdr:rowOff>0</xdr:rowOff>
    </xdr:from>
    <xdr:ext cx="400050" cy="400050"/>
    <xdr:pic>
      <xdr:nvPicPr>
        <xdr:cNvPr id="0" name="image175.png"/>
        <xdr:cNvPicPr preferRelativeResize="0"/>
      </xdr:nvPicPr>
      <xdr:blipFill>
        <a:blip cstate="print" r:embed="rId119"/>
        <a:stretch>
          <a:fillRect/>
        </a:stretch>
      </xdr:blipFill>
      <xdr:spPr>
        <a:prstGeom prst="rect">
          <a:avLst/>
        </a:prstGeom>
        <a:noFill/>
      </xdr:spPr>
    </xdr:pic>
    <xdr:clientData fLocksWithSheet="0"/>
  </xdr:oneCellAnchor>
  <xdr:oneCellAnchor>
    <xdr:from>
      <xdr:col>1</xdr:col>
      <xdr:colOff>0</xdr:colOff>
      <xdr:row>212</xdr:row>
      <xdr:rowOff>0</xdr:rowOff>
    </xdr:from>
    <xdr:ext cx="400050" cy="400050"/>
    <xdr:pic>
      <xdr:nvPicPr>
        <xdr:cNvPr id="0" name="image102.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213</xdr:row>
      <xdr:rowOff>0</xdr:rowOff>
    </xdr:from>
    <xdr:ext cx="400050" cy="400050"/>
    <xdr:pic>
      <xdr:nvPicPr>
        <xdr:cNvPr id="0" name="image147.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214</xdr:row>
      <xdr:rowOff>0</xdr:rowOff>
    </xdr:from>
    <xdr:ext cx="400050" cy="400050"/>
    <xdr:pic>
      <xdr:nvPicPr>
        <xdr:cNvPr id="0" name="image139.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215</xdr:row>
      <xdr:rowOff>0</xdr:rowOff>
    </xdr:from>
    <xdr:ext cx="400050" cy="400050"/>
    <xdr:pic>
      <xdr:nvPicPr>
        <xdr:cNvPr id="0" name="image106.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216</xdr:row>
      <xdr:rowOff>0</xdr:rowOff>
    </xdr:from>
    <xdr:ext cx="400050" cy="400050"/>
    <xdr:pic>
      <xdr:nvPicPr>
        <xdr:cNvPr id="0" name="image166.png"/>
        <xdr:cNvPicPr preferRelativeResize="0"/>
      </xdr:nvPicPr>
      <xdr:blipFill>
        <a:blip cstate="print" r:embed="rId120"/>
        <a:stretch>
          <a:fillRect/>
        </a:stretch>
      </xdr:blipFill>
      <xdr:spPr>
        <a:prstGeom prst="rect">
          <a:avLst/>
        </a:prstGeom>
        <a:noFill/>
      </xdr:spPr>
    </xdr:pic>
    <xdr:clientData fLocksWithSheet="0"/>
  </xdr:oneCellAnchor>
  <xdr:oneCellAnchor>
    <xdr:from>
      <xdr:col>1</xdr:col>
      <xdr:colOff>0</xdr:colOff>
      <xdr:row>217</xdr:row>
      <xdr:rowOff>0</xdr:rowOff>
    </xdr:from>
    <xdr:ext cx="400050" cy="400050"/>
    <xdr:pic>
      <xdr:nvPicPr>
        <xdr:cNvPr id="0" name="image135.png"/>
        <xdr:cNvPicPr preferRelativeResize="0"/>
      </xdr:nvPicPr>
      <xdr:blipFill>
        <a:blip cstate="print" r:embed="rId121"/>
        <a:stretch>
          <a:fillRect/>
        </a:stretch>
      </xdr:blipFill>
      <xdr:spPr>
        <a:prstGeom prst="rect">
          <a:avLst/>
        </a:prstGeom>
        <a:noFill/>
      </xdr:spPr>
    </xdr:pic>
    <xdr:clientData fLocksWithSheet="0"/>
  </xdr:oneCellAnchor>
  <xdr:oneCellAnchor>
    <xdr:from>
      <xdr:col>1</xdr:col>
      <xdr:colOff>0</xdr:colOff>
      <xdr:row>218</xdr:row>
      <xdr:rowOff>0</xdr:rowOff>
    </xdr:from>
    <xdr:ext cx="400050" cy="400050"/>
    <xdr:pic>
      <xdr:nvPicPr>
        <xdr:cNvPr id="0" name="image116.png"/>
        <xdr:cNvPicPr preferRelativeResize="0"/>
      </xdr:nvPicPr>
      <xdr:blipFill>
        <a:blip cstate="print" r:embed="rId122"/>
        <a:stretch>
          <a:fillRect/>
        </a:stretch>
      </xdr:blipFill>
      <xdr:spPr>
        <a:prstGeom prst="rect">
          <a:avLst/>
        </a:prstGeom>
        <a:noFill/>
      </xdr:spPr>
    </xdr:pic>
    <xdr:clientData fLocksWithSheet="0"/>
  </xdr:oneCellAnchor>
  <xdr:oneCellAnchor>
    <xdr:from>
      <xdr:col>1</xdr:col>
      <xdr:colOff>0</xdr:colOff>
      <xdr:row>219</xdr:row>
      <xdr:rowOff>0</xdr:rowOff>
    </xdr:from>
    <xdr:ext cx="400050" cy="400050"/>
    <xdr:pic>
      <xdr:nvPicPr>
        <xdr:cNvPr id="0" name="image158.png"/>
        <xdr:cNvPicPr preferRelativeResize="0"/>
      </xdr:nvPicPr>
      <xdr:blipFill>
        <a:blip cstate="print" r:embed="rId123"/>
        <a:stretch>
          <a:fillRect/>
        </a:stretch>
      </xdr:blipFill>
      <xdr:spPr>
        <a:prstGeom prst="rect">
          <a:avLst/>
        </a:prstGeom>
        <a:noFill/>
      </xdr:spPr>
    </xdr:pic>
    <xdr:clientData fLocksWithSheet="0"/>
  </xdr:oneCellAnchor>
  <xdr:oneCellAnchor>
    <xdr:from>
      <xdr:col>1</xdr:col>
      <xdr:colOff>0</xdr:colOff>
      <xdr:row>220</xdr:row>
      <xdr:rowOff>0</xdr:rowOff>
    </xdr:from>
    <xdr:ext cx="400050" cy="400050"/>
    <xdr:pic>
      <xdr:nvPicPr>
        <xdr:cNvPr id="0" name="image173.png"/>
        <xdr:cNvPicPr preferRelativeResize="0"/>
      </xdr:nvPicPr>
      <xdr:blipFill>
        <a:blip cstate="print" r:embed="rId124"/>
        <a:stretch>
          <a:fillRect/>
        </a:stretch>
      </xdr:blipFill>
      <xdr:spPr>
        <a:prstGeom prst="rect">
          <a:avLst/>
        </a:prstGeom>
        <a:noFill/>
      </xdr:spPr>
    </xdr:pic>
    <xdr:clientData fLocksWithSheet="0"/>
  </xdr:oneCellAnchor>
  <xdr:oneCellAnchor>
    <xdr:from>
      <xdr:col>1</xdr:col>
      <xdr:colOff>0</xdr:colOff>
      <xdr:row>221</xdr:row>
      <xdr:rowOff>0</xdr:rowOff>
    </xdr:from>
    <xdr:ext cx="400050" cy="400050"/>
    <xdr:pic>
      <xdr:nvPicPr>
        <xdr:cNvPr id="0" name="image132.png"/>
        <xdr:cNvPicPr preferRelativeResize="0"/>
      </xdr:nvPicPr>
      <xdr:blipFill>
        <a:blip cstate="print" r:embed="rId125"/>
        <a:stretch>
          <a:fillRect/>
        </a:stretch>
      </xdr:blipFill>
      <xdr:spPr>
        <a:prstGeom prst="rect">
          <a:avLst/>
        </a:prstGeom>
        <a:noFill/>
      </xdr:spPr>
    </xdr:pic>
    <xdr:clientData fLocksWithSheet="0"/>
  </xdr:oneCellAnchor>
  <xdr:oneCellAnchor>
    <xdr:from>
      <xdr:col>1</xdr:col>
      <xdr:colOff>0</xdr:colOff>
      <xdr:row>222</xdr:row>
      <xdr:rowOff>0</xdr:rowOff>
    </xdr:from>
    <xdr:ext cx="400050" cy="400050"/>
    <xdr:pic>
      <xdr:nvPicPr>
        <xdr:cNvPr id="0" name="image121.png"/>
        <xdr:cNvPicPr preferRelativeResize="0"/>
      </xdr:nvPicPr>
      <xdr:blipFill>
        <a:blip cstate="print" r:embed="rId126"/>
        <a:stretch>
          <a:fillRect/>
        </a:stretch>
      </xdr:blipFill>
      <xdr:spPr>
        <a:prstGeom prst="rect">
          <a:avLst/>
        </a:prstGeom>
        <a:noFill/>
      </xdr:spPr>
    </xdr:pic>
    <xdr:clientData fLocksWithSheet="0"/>
  </xdr:oneCellAnchor>
  <xdr:oneCellAnchor>
    <xdr:from>
      <xdr:col>1</xdr:col>
      <xdr:colOff>0</xdr:colOff>
      <xdr:row>223</xdr:row>
      <xdr:rowOff>0</xdr:rowOff>
    </xdr:from>
    <xdr:ext cx="400050" cy="400050"/>
    <xdr:pic>
      <xdr:nvPicPr>
        <xdr:cNvPr id="0" name="image143.png"/>
        <xdr:cNvPicPr preferRelativeResize="0"/>
      </xdr:nvPicPr>
      <xdr:blipFill>
        <a:blip cstate="print" r:embed="rId127"/>
        <a:stretch>
          <a:fillRect/>
        </a:stretch>
      </xdr:blipFill>
      <xdr:spPr>
        <a:prstGeom prst="rect">
          <a:avLst/>
        </a:prstGeom>
        <a:noFill/>
      </xdr:spPr>
    </xdr:pic>
    <xdr:clientData fLocksWithSheet="0"/>
  </xdr:oneCellAnchor>
  <xdr:oneCellAnchor>
    <xdr:from>
      <xdr:col>1</xdr:col>
      <xdr:colOff>0</xdr:colOff>
      <xdr:row>224</xdr:row>
      <xdr:rowOff>0</xdr:rowOff>
    </xdr:from>
    <xdr:ext cx="400050" cy="400050"/>
    <xdr:pic>
      <xdr:nvPicPr>
        <xdr:cNvPr id="0" name="image169.png"/>
        <xdr:cNvPicPr preferRelativeResize="0"/>
      </xdr:nvPicPr>
      <xdr:blipFill>
        <a:blip cstate="print" r:embed="rId123"/>
        <a:stretch>
          <a:fillRect/>
        </a:stretch>
      </xdr:blipFill>
      <xdr:spPr>
        <a:prstGeom prst="rect">
          <a:avLst/>
        </a:prstGeom>
        <a:noFill/>
      </xdr:spPr>
    </xdr:pic>
    <xdr:clientData fLocksWithSheet="0"/>
  </xdr:oneCellAnchor>
  <xdr:oneCellAnchor>
    <xdr:from>
      <xdr:col>1</xdr:col>
      <xdr:colOff>0</xdr:colOff>
      <xdr:row>225</xdr:row>
      <xdr:rowOff>0</xdr:rowOff>
    </xdr:from>
    <xdr:ext cx="400050" cy="400050"/>
    <xdr:pic>
      <xdr:nvPicPr>
        <xdr:cNvPr id="0" name="image136.png"/>
        <xdr:cNvPicPr preferRelativeResize="0"/>
      </xdr:nvPicPr>
      <xdr:blipFill>
        <a:blip cstate="print" r:embed="rId128"/>
        <a:stretch>
          <a:fillRect/>
        </a:stretch>
      </xdr:blipFill>
      <xdr:spPr>
        <a:prstGeom prst="rect">
          <a:avLst/>
        </a:prstGeom>
        <a:noFill/>
      </xdr:spPr>
    </xdr:pic>
    <xdr:clientData fLocksWithSheet="0"/>
  </xdr:oneCellAnchor>
  <xdr:oneCellAnchor>
    <xdr:from>
      <xdr:col>1</xdr:col>
      <xdr:colOff>0</xdr:colOff>
      <xdr:row>226</xdr:row>
      <xdr:rowOff>0</xdr:rowOff>
    </xdr:from>
    <xdr:ext cx="400050" cy="400050"/>
    <xdr:pic>
      <xdr:nvPicPr>
        <xdr:cNvPr id="0" name="image115.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227</xdr:row>
      <xdr:rowOff>0</xdr:rowOff>
    </xdr:from>
    <xdr:ext cx="400050" cy="400050"/>
    <xdr:pic>
      <xdr:nvPicPr>
        <xdr:cNvPr id="0" name="image254.png"/>
        <xdr:cNvPicPr preferRelativeResize="0"/>
      </xdr:nvPicPr>
      <xdr:blipFill>
        <a:blip cstate="print" r:embed="rId86"/>
        <a:stretch>
          <a:fillRect/>
        </a:stretch>
      </xdr:blipFill>
      <xdr:spPr>
        <a:prstGeom prst="rect">
          <a:avLst/>
        </a:prstGeom>
        <a:noFill/>
      </xdr:spPr>
    </xdr:pic>
    <xdr:clientData fLocksWithSheet="0"/>
  </xdr:oneCellAnchor>
  <xdr:oneCellAnchor>
    <xdr:from>
      <xdr:col>1</xdr:col>
      <xdr:colOff>0</xdr:colOff>
      <xdr:row>228</xdr:row>
      <xdr:rowOff>0</xdr:rowOff>
    </xdr:from>
    <xdr:ext cx="400050" cy="400050"/>
    <xdr:pic>
      <xdr:nvPicPr>
        <xdr:cNvPr id="0" name="image120.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229</xdr:row>
      <xdr:rowOff>0</xdr:rowOff>
    </xdr:from>
    <xdr:ext cx="400050" cy="400050"/>
    <xdr:pic>
      <xdr:nvPicPr>
        <xdr:cNvPr id="0" name="image154.png"/>
        <xdr:cNvPicPr preferRelativeResize="0"/>
      </xdr:nvPicPr>
      <xdr:blipFill>
        <a:blip cstate="print" r:embed="rId129"/>
        <a:stretch>
          <a:fillRect/>
        </a:stretch>
      </xdr:blipFill>
      <xdr:spPr>
        <a:prstGeom prst="rect">
          <a:avLst/>
        </a:prstGeom>
        <a:noFill/>
      </xdr:spPr>
    </xdr:pic>
    <xdr:clientData fLocksWithSheet="0"/>
  </xdr:oneCellAnchor>
  <xdr:oneCellAnchor>
    <xdr:from>
      <xdr:col>1</xdr:col>
      <xdr:colOff>0</xdr:colOff>
      <xdr:row>230</xdr:row>
      <xdr:rowOff>0</xdr:rowOff>
    </xdr:from>
    <xdr:ext cx="400050" cy="400050"/>
    <xdr:pic>
      <xdr:nvPicPr>
        <xdr:cNvPr id="0" name="image190.png"/>
        <xdr:cNvPicPr preferRelativeResize="0"/>
      </xdr:nvPicPr>
      <xdr:blipFill>
        <a:blip cstate="print" r:embed="rId110"/>
        <a:stretch>
          <a:fillRect/>
        </a:stretch>
      </xdr:blipFill>
      <xdr:spPr>
        <a:prstGeom prst="rect">
          <a:avLst/>
        </a:prstGeom>
        <a:noFill/>
      </xdr:spPr>
    </xdr:pic>
    <xdr:clientData fLocksWithSheet="0"/>
  </xdr:oneCellAnchor>
  <xdr:oneCellAnchor>
    <xdr:from>
      <xdr:col>1</xdr:col>
      <xdr:colOff>0</xdr:colOff>
      <xdr:row>231</xdr:row>
      <xdr:rowOff>0</xdr:rowOff>
    </xdr:from>
    <xdr:ext cx="400050" cy="400050"/>
    <xdr:pic>
      <xdr:nvPicPr>
        <xdr:cNvPr id="0" name="image11.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232</xdr:row>
      <xdr:rowOff>0</xdr:rowOff>
    </xdr:from>
    <xdr:ext cx="400050" cy="400050"/>
    <xdr:pic>
      <xdr:nvPicPr>
        <xdr:cNvPr id="0" name="image72.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233</xdr:row>
      <xdr:rowOff>0</xdr:rowOff>
    </xdr:from>
    <xdr:ext cx="400050" cy="400050"/>
    <xdr:pic>
      <xdr:nvPicPr>
        <xdr:cNvPr id="0" name="image18.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250</xdr:row>
      <xdr:rowOff>0</xdr:rowOff>
    </xdr:from>
    <xdr:ext cx="400050" cy="400050"/>
    <xdr:pic>
      <xdr:nvPicPr>
        <xdr:cNvPr id="0" name="image128.png"/>
        <xdr:cNvPicPr preferRelativeResize="0"/>
      </xdr:nvPicPr>
      <xdr:blipFill>
        <a:blip cstate="print" r:embed="rId130"/>
        <a:stretch>
          <a:fillRect/>
        </a:stretch>
      </xdr:blipFill>
      <xdr:spPr>
        <a:prstGeom prst="rect">
          <a:avLst/>
        </a:prstGeom>
        <a:noFill/>
      </xdr:spPr>
    </xdr:pic>
    <xdr:clientData fLocksWithSheet="0"/>
  </xdr:oneCellAnchor>
  <xdr:oneCellAnchor>
    <xdr:from>
      <xdr:col>1</xdr:col>
      <xdr:colOff>0</xdr:colOff>
      <xdr:row>251</xdr:row>
      <xdr:rowOff>0</xdr:rowOff>
    </xdr:from>
    <xdr:ext cx="400050" cy="400050"/>
    <xdr:pic>
      <xdr:nvPicPr>
        <xdr:cNvPr id="0" name="image171.png"/>
        <xdr:cNvPicPr preferRelativeResize="0"/>
      </xdr:nvPicPr>
      <xdr:blipFill>
        <a:blip cstate="print" r:embed="rId131"/>
        <a:stretch>
          <a:fillRect/>
        </a:stretch>
      </xdr:blipFill>
      <xdr:spPr>
        <a:prstGeom prst="rect">
          <a:avLst/>
        </a:prstGeom>
        <a:noFill/>
      </xdr:spPr>
    </xdr:pic>
    <xdr:clientData fLocksWithSheet="0"/>
  </xdr:oneCellAnchor>
  <xdr:oneCellAnchor>
    <xdr:from>
      <xdr:col>1</xdr:col>
      <xdr:colOff>0</xdr:colOff>
      <xdr:row>252</xdr:row>
      <xdr:rowOff>0</xdr:rowOff>
    </xdr:from>
    <xdr:ext cx="400050" cy="400050"/>
    <xdr:pic>
      <xdr:nvPicPr>
        <xdr:cNvPr id="0" name="image127.png"/>
        <xdr:cNvPicPr preferRelativeResize="0"/>
      </xdr:nvPicPr>
      <xdr:blipFill>
        <a:blip cstate="print" r:embed="rId132"/>
        <a:stretch>
          <a:fillRect/>
        </a:stretch>
      </xdr:blipFill>
      <xdr:spPr>
        <a:prstGeom prst="rect">
          <a:avLst/>
        </a:prstGeom>
        <a:noFill/>
      </xdr:spPr>
    </xdr:pic>
    <xdr:clientData fLocksWithSheet="0"/>
  </xdr:oneCellAnchor>
  <xdr:oneCellAnchor>
    <xdr:from>
      <xdr:col>1</xdr:col>
      <xdr:colOff>0</xdr:colOff>
      <xdr:row>253</xdr:row>
      <xdr:rowOff>0</xdr:rowOff>
    </xdr:from>
    <xdr:ext cx="400050" cy="400050"/>
    <xdr:pic>
      <xdr:nvPicPr>
        <xdr:cNvPr id="0" name="image131.png"/>
        <xdr:cNvPicPr preferRelativeResize="0"/>
      </xdr:nvPicPr>
      <xdr:blipFill>
        <a:blip cstate="print" r:embed="rId133"/>
        <a:stretch>
          <a:fillRect/>
        </a:stretch>
      </xdr:blipFill>
      <xdr:spPr>
        <a:prstGeom prst="rect">
          <a:avLst/>
        </a:prstGeom>
        <a:noFill/>
      </xdr:spPr>
    </xdr:pic>
    <xdr:clientData fLocksWithSheet="0"/>
  </xdr:oneCellAnchor>
  <xdr:oneCellAnchor>
    <xdr:from>
      <xdr:col>1</xdr:col>
      <xdr:colOff>0</xdr:colOff>
      <xdr:row>254</xdr:row>
      <xdr:rowOff>0</xdr:rowOff>
    </xdr:from>
    <xdr:ext cx="400050" cy="400050"/>
    <xdr:pic>
      <xdr:nvPicPr>
        <xdr:cNvPr id="0" name="image126.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255</xdr:row>
      <xdr:rowOff>0</xdr:rowOff>
    </xdr:from>
    <xdr:ext cx="400050" cy="400050"/>
    <xdr:pic>
      <xdr:nvPicPr>
        <xdr:cNvPr id="0" name="image192.png"/>
        <xdr:cNvPicPr preferRelativeResize="0"/>
      </xdr:nvPicPr>
      <xdr:blipFill>
        <a:blip cstate="print" r:embed="rId134"/>
        <a:stretch>
          <a:fillRect/>
        </a:stretch>
      </xdr:blipFill>
      <xdr:spPr>
        <a:prstGeom prst="rect">
          <a:avLst/>
        </a:prstGeom>
        <a:noFill/>
      </xdr:spPr>
    </xdr:pic>
    <xdr:clientData fLocksWithSheet="0"/>
  </xdr:oneCellAnchor>
  <xdr:oneCellAnchor>
    <xdr:from>
      <xdr:col>1</xdr:col>
      <xdr:colOff>0</xdr:colOff>
      <xdr:row>256</xdr:row>
      <xdr:rowOff>0</xdr:rowOff>
    </xdr:from>
    <xdr:ext cx="400050" cy="400050"/>
    <xdr:pic>
      <xdr:nvPicPr>
        <xdr:cNvPr id="0" name="image204.png"/>
        <xdr:cNvPicPr preferRelativeResize="0"/>
      </xdr:nvPicPr>
      <xdr:blipFill>
        <a:blip cstate="print" r:embed="rId135"/>
        <a:stretch>
          <a:fillRect/>
        </a:stretch>
      </xdr:blipFill>
      <xdr:spPr>
        <a:prstGeom prst="rect">
          <a:avLst/>
        </a:prstGeom>
        <a:noFill/>
      </xdr:spPr>
    </xdr:pic>
    <xdr:clientData fLocksWithSheet="0"/>
  </xdr:oneCellAnchor>
  <xdr:oneCellAnchor>
    <xdr:from>
      <xdr:col>1</xdr:col>
      <xdr:colOff>0</xdr:colOff>
      <xdr:row>257</xdr:row>
      <xdr:rowOff>0</xdr:rowOff>
    </xdr:from>
    <xdr:ext cx="400050" cy="400050"/>
    <xdr:pic>
      <xdr:nvPicPr>
        <xdr:cNvPr id="0" name="image148.png"/>
        <xdr:cNvPicPr preferRelativeResize="0"/>
      </xdr:nvPicPr>
      <xdr:blipFill>
        <a:blip cstate="print" r:embed="rId136"/>
        <a:stretch>
          <a:fillRect/>
        </a:stretch>
      </xdr:blipFill>
      <xdr:spPr>
        <a:prstGeom prst="rect">
          <a:avLst/>
        </a:prstGeom>
        <a:noFill/>
      </xdr:spPr>
    </xdr:pic>
    <xdr:clientData fLocksWithSheet="0"/>
  </xdr:oneCellAnchor>
  <xdr:oneCellAnchor>
    <xdr:from>
      <xdr:col>1</xdr:col>
      <xdr:colOff>0</xdr:colOff>
      <xdr:row>258</xdr:row>
      <xdr:rowOff>0</xdr:rowOff>
    </xdr:from>
    <xdr:ext cx="400050" cy="400050"/>
    <xdr:pic>
      <xdr:nvPicPr>
        <xdr:cNvPr id="0" name="image129.png"/>
        <xdr:cNvPicPr preferRelativeResize="0"/>
      </xdr:nvPicPr>
      <xdr:blipFill>
        <a:blip cstate="print" r:embed="rId137"/>
        <a:stretch>
          <a:fillRect/>
        </a:stretch>
      </xdr:blipFill>
      <xdr:spPr>
        <a:prstGeom prst="rect">
          <a:avLst/>
        </a:prstGeom>
        <a:noFill/>
      </xdr:spPr>
    </xdr:pic>
    <xdr:clientData fLocksWithSheet="0"/>
  </xdr:oneCellAnchor>
  <xdr:oneCellAnchor>
    <xdr:from>
      <xdr:col>1</xdr:col>
      <xdr:colOff>0</xdr:colOff>
      <xdr:row>259</xdr:row>
      <xdr:rowOff>0</xdr:rowOff>
    </xdr:from>
    <xdr:ext cx="400050" cy="400050"/>
    <xdr:pic>
      <xdr:nvPicPr>
        <xdr:cNvPr id="0" name="image151.png"/>
        <xdr:cNvPicPr preferRelativeResize="0"/>
      </xdr:nvPicPr>
      <xdr:blipFill>
        <a:blip cstate="print" r:embed="rId138"/>
        <a:stretch>
          <a:fillRect/>
        </a:stretch>
      </xdr:blipFill>
      <xdr:spPr>
        <a:prstGeom prst="rect">
          <a:avLst/>
        </a:prstGeom>
        <a:noFill/>
      </xdr:spPr>
    </xdr:pic>
    <xdr:clientData fLocksWithSheet="0"/>
  </xdr:oneCellAnchor>
  <xdr:oneCellAnchor>
    <xdr:from>
      <xdr:col>1</xdr:col>
      <xdr:colOff>0</xdr:colOff>
      <xdr:row>260</xdr:row>
      <xdr:rowOff>0</xdr:rowOff>
    </xdr:from>
    <xdr:ext cx="400050" cy="400050"/>
    <xdr:pic>
      <xdr:nvPicPr>
        <xdr:cNvPr id="0" name="image137.png"/>
        <xdr:cNvPicPr preferRelativeResize="0"/>
      </xdr:nvPicPr>
      <xdr:blipFill>
        <a:blip cstate="print" r:embed="rId139"/>
        <a:stretch>
          <a:fillRect/>
        </a:stretch>
      </xdr:blipFill>
      <xdr:spPr>
        <a:prstGeom prst="rect">
          <a:avLst/>
        </a:prstGeom>
        <a:noFill/>
      </xdr:spPr>
    </xdr:pic>
    <xdr:clientData fLocksWithSheet="0"/>
  </xdr:oneCellAnchor>
  <xdr:oneCellAnchor>
    <xdr:from>
      <xdr:col>1</xdr:col>
      <xdr:colOff>0</xdr:colOff>
      <xdr:row>261</xdr:row>
      <xdr:rowOff>0</xdr:rowOff>
    </xdr:from>
    <xdr:ext cx="400050" cy="400050"/>
    <xdr:pic>
      <xdr:nvPicPr>
        <xdr:cNvPr id="0" name="image211.png"/>
        <xdr:cNvPicPr preferRelativeResize="0"/>
      </xdr:nvPicPr>
      <xdr:blipFill>
        <a:blip cstate="print" r:embed="rId140"/>
        <a:stretch>
          <a:fillRect/>
        </a:stretch>
      </xdr:blipFill>
      <xdr:spPr>
        <a:prstGeom prst="rect">
          <a:avLst/>
        </a:prstGeom>
        <a:noFill/>
      </xdr:spPr>
    </xdr:pic>
    <xdr:clientData fLocksWithSheet="0"/>
  </xdr:oneCellAnchor>
  <xdr:oneCellAnchor>
    <xdr:from>
      <xdr:col>1</xdr:col>
      <xdr:colOff>0</xdr:colOff>
      <xdr:row>262</xdr:row>
      <xdr:rowOff>0</xdr:rowOff>
    </xdr:from>
    <xdr:ext cx="400050" cy="400050"/>
    <xdr:pic>
      <xdr:nvPicPr>
        <xdr:cNvPr id="0" name="image215.png"/>
        <xdr:cNvPicPr preferRelativeResize="0"/>
      </xdr:nvPicPr>
      <xdr:blipFill>
        <a:blip cstate="print" r:embed="rId141"/>
        <a:stretch>
          <a:fillRect/>
        </a:stretch>
      </xdr:blipFill>
      <xdr:spPr>
        <a:prstGeom prst="rect">
          <a:avLst/>
        </a:prstGeom>
        <a:noFill/>
      </xdr:spPr>
    </xdr:pic>
    <xdr:clientData fLocksWithSheet="0"/>
  </xdr:oneCellAnchor>
  <xdr:oneCellAnchor>
    <xdr:from>
      <xdr:col>1</xdr:col>
      <xdr:colOff>0</xdr:colOff>
      <xdr:row>263</xdr:row>
      <xdr:rowOff>0</xdr:rowOff>
    </xdr:from>
    <xdr:ext cx="400050" cy="400050"/>
    <xdr:pic>
      <xdr:nvPicPr>
        <xdr:cNvPr id="0" name="image157.png"/>
        <xdr:cNvPicPr preferRelativeResize="0"/>
      </xdr:nvPicPr>
      <xdr:blipFill>
        <a:blip cstate="print" r:embed="rId142"/>
        <a:stretch>
          <a:fillRect/>
        </a:stretch>
      </xdr:blipFill>
      <xdr:spPr>
        <a:prstGeom prst="rect">
          <a:avLst/>
        </a:prstGeom>
        <a:noFill/>
      </xdr:spPr>
    </xdr:pic>
    <xdr:clientData fLocksWithSheet="0"/>
  </xdr:oneCellAnchor>
  <xdr:oneCellAnchor>
    <xdr:from>
      <xdr:col>1</xdr:col>
      <xdr:colOff>0</xdr:colOff>
      <xdr:row>264</xdr:row>
      <xdr:rowOff>0</xdr:rowOff>
    </xdr:from>
    <xdr:ext cx="400050" cy="400050"/>
    <xdr:pic>
      <xdr:nvPicPr>
        <xdr:cNvPr id="0" name="image150.png"/>
        <xdr:cNvPicPr preferRelativeResize="0"/>
      </xdr:nvPicPr>
      <xdr:blipFill>
        <a:blip cstate="print" r:embed="rId143"/>
        <a:stretch>
          <a:fillRect/>
        </a:stretch>
      </xdr:blipFill>
      <xdr:spPr>
        <a:prstGeom prst="rect">
          <a:avLst/>
        </a:prstGeom>
        <a:noFill/>
      </xdr:spPr>
    </xdr:pic>
    <xdr:clientData fLocksWithSheet="0"/>
  </xdr:oneCellAnchor>
  <xdr:oneCellAnchor>
    <xdr:from>
      <xdr:col>1</xdr:col>
      <xdr:colOff>0</xdr:colOff>
      <xdr:row>265</xdr:row>
      <xdr:rowOff>0</xdr:rowOff>
    </xdr:from>
    <xdr:ext cx="400050" cy="400050"/>
    <xdr:pic>
      <xdr:nvPicPr>
        <xdr:cNvPr id="0" name="image229.png"/>
        <xdr:cNvPicPr preferRelativeResize="0"/>
      </xdr:nvPicPr>
      <xdr:blipFill>
        <a:blip cstate="print" r:embed="rId144"/>
        <a:stretch>
          <a:fillRect/>
        </a:stretch>
      </xdr:blipFill>
      <xdr:spPr>
        <a:prstGeom prst="rect">
          <a:avLst/>
        </a:prstGeom>
        <a:noFill/>
      </xdr:spPr>
    </xdr:pic>
    <xdr:clientData fLocksWithSheet="0"/>
  </xdr:oneCellAnchor>
  <xdr:oneCellAnchor>
    <xdr:from>
      <xdr:col>1</xdr:col>
      <xdr:colOff>0</xdr:colOff>
      <xdr:row>266</xdr:row>
      <xdr:rowOff>0</xdr:rowOff>
    </xdr:from>
    <xdr:ext cx="400050" cy="400050"/>
    <xdr:pic>
      <xdr:nvPicPr>
        <xdr:cNvPr id="0" name="image160.png"/>
        <xdr:cNvPicPr preferRelativeResize="0"/>
      </xdr:nvPicPr>
      <xdr:blipFill>
        <a:blip cstate="print" r:embed="rId145"/>
        <a:stretch>
          <a:fillRect/>
        </a:stretch>
      </xdr:blipFill>
      <xdr:spPr>
        <a:prstGeom prst="rect">
          <a:avLst/>
        </a:prstGeom>
        <a:noFill/>
      </xdr:spPr>
    </xdr:pic>
    <xdr:clientData fLocksWithSheet="0"/>
  </xdr:oneCellAnchor>
  <xdr:oneCellAnchor>
    <xdr:from>
      <xdr:col>1</xdr:col>
      <xdr:colOff>0</xdr:colOff>
      <xdr:row>267</xdr:row>
      <xdr:rowOff>0</xdr:rowOff>
    </xdr:from>
    <xdr:ext cx="400050" cy="400050"/>
    <xdr:pic>
      <xdr:nvPicPr>
        <xdr:cNvPr id="0" name="image149.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268</xdr:row>
      <xdr:rowOff>0</xdr:rowOff>
    </xdr:from>
    <xdr:ext cx="400050" cy="400050"/>
    <xdr:pic>
      <xdr:nvPicPr>
        <xdr:cNvPr id="0" name="image142.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269</xdr:row>
      <xdr:rowOff>0</xdr:rowOff>
    </xdr:from>
    <xdr:ext cx="400050" cy="400050"/>
    <xdr:pic>
      <xdr:nvPicPr>
        <xdr:cNvPr id="0" name="image186.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270</xdr:row>
      <xdr:rowOff>0</xdr:rowOff>
    </xdr:from>
    <xdr:ext cx="400050" cy="400050"/>
    <xdr:pic>
      <xdr:nvPicPr>
        <xdr:cNvPr id="0" name="image165.png"/>
        <xdr:cNvPicPr preferRelativeResize="0"/>
      </xdr:nvPicPr>
      <xdr:blipFill>
        <a:blip cstate="print" r:embed="rId146"/>
        <a:stretch>
          <a:fillRect/>
        </a:stretch>
      </xdr:blipFill>
      <xdr:spPr>
        <a:prstGeom prst="rect">
          <a:avLst/>
        </a:prstGeom>
        <a:noFill/>
      </xdr:spPr>
    </xdr:pic>
    <xdr:clientData fLocksWithSheet="0"/>
  </xdr:oneCellAnchor>
  <xdr:oneCellAnchor>
    <xdr:from>
      <xdr:col>1</xdr:col>
      <xdr:colOff>0</xdr:colOff>
      <xdr:row>271</xdr:row>
      <xdr:rowOff>0</xdr:rowOff>
    </xdr:from>
    <xdr:ext cx="400050" cy="400050"/>
    <xdr:pic>
      <xdr:nvPicPr>
        <xdr:cNvPr id="0" name="image249.png"/>
        <xdr:cNvPicPr preferRelativeResize="0"/>
      </xdr:nvPicPr>
      <xdr:blipFill>
        <a:blip cstate="print" r:embed="rId147"/>
        <a:stretch>
          <a:fillRect/>
        </a:stretch>
      </xdr:blipFill>
      <xdr:spPr>
        <a:prstGeom prst="rect">
          <a:avLst/>
        </a:prstGeom>
        <a:noFill/>
      </xdr:spPr>
    </xdr:pic>
    <xdr:clientData fLocksWithSheet="0"/>
  </xdr:oneCellAnchor>
  <xdr:oneCellAnchor>
    <xdr:from>
      <xdr:col>1</xdr:col>
      <xdr:colOff>0</xdr:colOff>
      <xdr:row>272</xdr:row>
      <xdr:rowOff>0</xdr:rowOff>
    </xdr:from>
    <xdr:ext cx="400050" cy="400050"/>
    <xdr:pic>
      <xdr:nvPicPr>
        <xdr:cNvPr id="0" name="image209.png"/>
        <xdr:cNvPicPr preferRelativeResize="0"/>
      </xdr:nvPicPr>
      <xdr:blipFill>
        <a:blip cstate="print" r:embed="rId148"/>
        <a:stretch>
          <a:fillRect/>
        </a:stretch>
      </xdr:blipFill>
      <xdr:spPr>
        <a:prstGeom prst="rect">
          <a:avLst/>
        </a:prstGeom>
        <a:noFill/>
      </xdr:spPr>
    </xdr:pic>
    <xdr:clientData fLocksWithSheet="0"/>
  </xdr:oneCellAnchor>
  <xdr:oneCellAnchor>
    <xdr:from>
      <xdr:col>1</xdr:col>
      <xdr:colOff>0</xdr:colOff>
      <xdr:row>273</xdr:row>
      <xdr:rowOff>0</xdr:rowOff>
    </xdr:from>
    <xdr:ext cx="400050" cy="400050"/>
    <xdr:pic>
      <xdr:nvPicPr>
        <xdr:cNvPr id="0" name="image177.png"/>
        <xdr:cNvPicPr preferRelativeResize="0"/>
      </xdr:nvPicPr>
      <xdr:blipFill>
        <a:blip cstate="print" r:embed="rId149"/>
        <a:stretch>
          <a:fillRect/>
        </a:stretch>
      </xdr:blipFill>
      <xdr:spPr>
        <a:prstGeom prst="rect">
          <a:avLst/>
        </a:prstGeom>
        <a:noFill/>
      </xdr:spPr>
    </xdr:pic>
    <xdr:clientData fLocksWithSheet="0"/>
  </xdr:oneCellAnchor>
  <xdr:oneCellAnchor>
    <xdr:from>
      <xdr:col>1</xdr:col>
      <xdr:colOff>0</xdr:colOff>
      <xdr:row>274</xdr:row>
      <xdr:rowOff>0</xdr:rowOff>
    </xdr:from>
    <xdr:ext cx="400050" cy="400050"/>
    <xdr:pic>
      <xdr:nvPicPr>
        <xdr:cNvPr id="0" name="image174.png"/>
        <xdr:cNvPicPr preferRelativeResize="0"/>
      </xdr:nvPicPr>
      <xdr:blipFill>
        <a:blip cstate="print" r:embed="rId150"/>
        <a:stretch>
          <a:fillRect/>
        </a:stretch>
      </xdr:blipFill>
      <xdr:spPr>
        <a:prstGeom prst="rect">
          <a:avLst/>
        </a:prstGeom>
        <a:noFill/>
      </xdr:spPr>
    </xdr:pic>
    <xdr:clientData fLocksWithSheet="0"/>
  </xdr:oneCellAnchor>
  <xdr:oneCellAnchor>
    <xdr:from>
      <xdr:col>1</xdr:col>
      <xdr:colOff>0</xdr:colOff>
      <xdr:row>275</xdr:row>
      <xdr:rowOff>0</xdr:rowOff>
    </xdr:from>
    <xdr:ext cx="400050" cy="400050"/>
    <xdr:pic>
      <xdr:nvPicPr>
        <xdr:cNvPr id="0" name="image184.png"/>
        <xdr:cNvPicPr preferRelativeResize="0"/>
      </xdr:nvPicPr>
      <xdr:blipFill>
        <a:blip cstate="print" r:embed="rId151"/>
        <a:stretch>
          <a:fillRect/>
        </a:stretch>
      </xdr:blipFill>
      <xdr:spPr>
        <a:prstGeom prst="rect">
          <a:avLst/>
        </a:prstGeom>
        <a:noFill/>
      </xdr:spPr>
    </xdr:pic>
    <xdr:clientData fLocksWithSheet="0"/>
  </xdr:oneCellAnchor>
  <xdr:oneCellAnchor>
    <xdr:from>
      <xdr:col>1</xdr:col>
      <xdr:colOff>0</xdr:colOff>
      <xdr:row>276</xdr:row>
      <xdr:rowOff>0</xdr:rowOff>
    </xdr:from>
    <xdr:ext cx="400050" cy="400050"/>
    <xdr:pic>
      <xdr:nvPicPr>
        <xdr:cNvPr id="0" name="image185.png"/>
        <xdr:cNvPicPr preferRelativeResize="0"/>
      </xdr:nvPicPr>
      <xdr:blipFill>
        <a:blip cstate="print" r:embed="rId152"/>
        <a:stretch>
          <a:fillRect/>
        </a:stretch>
      </xdr:blipFill>
      <xdr:spPr>
        <a:prstGeom prst="rect">
          <a:avLst/>
        </a:prstGeom>
        <a:noFill/>
      </xdr:spPr>
    </xdr:pic>
    <xdr:clientData fLocksWithSheet="0"/>
  </xdr:oneCellAnchor>
  <xdr:oneCellAnchor>
    <xdr:from>
      <xdr:col>1</xdr:col>
      <xdr:colOff>0</xdr:colOff>
      <xdr:row>277</xdr:row>
      <xdr:rowOff>0</xdr:rowOff>
    </xdr:from>
    <xdr:ext cx="400050" cy="400050"/>
    <xdr:pic>
      <xdr:nvPicPr>
        <xdr:cNvPr id="0" name="image181.png"/>
        <xdr:cNvPicPr preferRelativeResize="0"/>
      </xdr:nvPicPr>
      <xdr:blipFill>
        <a:blip cstate="print" r:embed="rId153"/>
        <a:stretch>
          <a:fillRect/>
        </a:stretch>
      </xdr:blipFill>
      <xdr:spPr>
        <a:prstGeom prst="rect">
          <a:avLst/>
        </a:prstGeom>
        <a:noFill/>
      </xdr:spPr>
    </xdr:pic>
    <xdr:clientData fLocksWithSheet="0"/>
  </xdr:oneCellAnchor>
  <xdr:oneCellAnchor>
    <xdr:from>
      <xdr:col>1</xdr:col>
      <xdr:colOff>0</xdr:colOff>
      <xdr:row>278</xdr:row>
      <xdr:rowOff>0</xdr:rowOff>
    </xdr:from>
    <xdr:ext cx="400050" cy="400050"/>
    <xdr:pic>
      <xdr:nvPicPr>
        <xdr:cNvPr id="0" name="image283.png"/>
        <xdr:cNvPicPr preferRelativeResize="0"/>
      </xdr:nvPicPr>
      <xdr:blipFill>
        <a:blip cstate="print" r:embed="rId154"/>
        <a:stretch>
          <a:fillRect/>
        </a:stretch>
      </xdr:blipFill>
      <xdr:spPr>
        <a:prstGeom prst="rect">
          <a:avLst/>
        </a:prstGeom>
        <a:noFill/>
      </xdr:spPr>
    </xdr:pic>
    <xdr:clientData fLocksWithSheet="0"/>
  </xdr:oneCellAnchor>
  <xdr:oneCellAnchor>
    <xdr:from>
      <xdr:col>1</xdr:col>
      <xdr:colOff>0</xdr:colOff>
      <xdr:row>279</xdr:row>
      <xdr:rowOff>0</xdr:rowOff>
    </xdr:from>
    <xdr:ext cx="400050" cy="400050"/>
    <xdr:pic>
      <xdr:nvPicPr>
        <xdr:cNvPr id="0" name="image122.png"/>
        <xdr:cNvPicPr preferRelativeResize="0"/>
      </xdr:nvPicPr>
      <xdr:blipFill>
        <a:blip cstate="print" r:embed="rId110"/>
        <a:stretch>
          <a:fillRect/>
        </a:stretch>
      </xdr:blipFill>
      <xdr:spPr>
        <a:prstGeom prst="rect">
          <a:avLst/>
        </a:prstGeom>
        <a:noFill/>
      </xdr:spPr>
    </xdr:pic>
    <xdr:clientData fLocksWithSheet="0"/>
  </xdr:oneCellAnchor>
  <xdr:oneCellAnchor>
    <xdr:from>
      <xdr:col>1</xdr:col>
      <xdr:colOff>0</xdr:colOff>
      <xdr:row>280</xdr:row>
      <xdr:rowOff>0</xdr:rowOff>
    </xdr:from>
    <xdr:ext cx="400050" cy="400050"/>
    <xdr:pic>
      <xdr:nvPicPr>
        <xdr:cNvPr id="0" name="image11.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281</xdr:row>
      <xdr:rowOff>0</xdr:rowOff>
    </xdr:from>
    <xdr:ext cx="400050" cy="400050"/>
    <xdr:pic>
      <xdr:nvPicPr>
        <xdr:cNvPr id="0" name="image72.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282</xdr:row>
      <xdr:rowOff>0</xdr:rowOff>
    </xdr:from>
    <xdr:ext cx="400050" cy="400050"/>
    <xdr:pic>
      <xdr:nvPicPr>
        <xdr:cNvPr id="0" name="image18.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300</xdr:row>
      <xdr:rowOff>0</xdr:rowOff>
    </xdr:from>
    <xdr:ext cx="400050" cy="400050"/>
    <xdr:pic>
      <xdr:nvPicPr>
        <xdr:cNvPr id="0" name="image240.png"/>
        <xdr:cNvPicPr preferRelativeResize="0"/>
      </xdr:nvPicPr>
      <xdr:blipFill>
        <a:blip cstate="print" r:embed="rId155"/>
        <a:stretch>
          <a:fillRect/>
        </a:stretch>
      </xdr:blipFill>
      <xdr:spPr>
        <a:prstGeom prst="rect">
          <a:avLst/>
        </a:prstGeom>
        <a:noFill/>
      </xdr:spPr>
    </xdr:pic>
    <xdr:clientData fLocksWithSheet="0"/>
  </xdr:oneCellAnchor>
  <xdr:oneCellAnchor>
    <xdr:from>
      <xdr:col>1</xdr:col>
      <xdr:colOff>0</xdr:colOff>
      <xdr:row>301</xdr:row>
      <xdr:rowOff>0</xdr:rowOff>
    </xdr:from>
    <xdr:ext cx="400050" cy="400050"/>
    <xdr:pic>
      <xdr:nvPicPr>
        <xdr:cNvPr id="0" name="image210.png"/>
        <xdr:cNvPicPr preferRelativeResize="0"/>
      </xdr:nvPicPr>
      <xdr:blipFill>
        <a:blip cstate="print" r:embed="rId156"/>
        <a:stretch>
          <a:fillRect/>
        </a:stretch>
      </xdr:blipFill>
      <xdr:spPr>
        <a:prstGeom prst="rect">
          <a:avLst/>
        </a:prstGeom>
        <a:noFill/>
      </xdr:spPr>
    </xdr:pic>
    <xdr:clientData fLocksWithSheet="0"/>
  </xdr:oneCellAnchor>
  <xdr:oneCellAnchor>
    <xdr:from>
      <xdr:col>1</xdr:col>
      <xdr:colOff>0</xdr:colOff>
      <xdr:row>302</xdr:row>
      <xdr:rowOff>0</xdr:rowOff>
    </xdr:from>
    <xdr:ext cx="400050" cy="400050"/>
    <xdr:pic>
      <xdr:nvPicPr>
        <xdr:cNvPr id="0" name="image183.png"/>
        <xdr:cNvPicPr preferRelativeResize="0"/>
      </xdr:nvPicPr>
      <xdr:blipFill>
        <a:blip cstate="print" r:embed="rId157"/>
        <a:stretch>
          <a:fillRect/>
        </a:stretch>
      </xdr:blipFill>
      <xdr:spPr>
        <a:prstGeom prst="rect">
          <a:avLst/>
        </a:prstGeom>
        <a:noFill/>
      </xdr:spPr>
    </xdr:pic>
    <xdr:clientData fLocksWithSheet="0"/>
  </xdr:oneCellAnchor>
  <xdr:oneCellAnchor>
    <xdr:from>
      <xdr:col>1</xdr:col>
      <xdr:colOff>0</xdr:colOff>
      <xdr:row>303</xdr:row>
      <xdr:rowOff>0</xdr:rowOff>
    </xdr:from>
    <xdr:ext cx="400050" cy="400050"/>
    <xdr:pic>
      <xdr:nvPicPr>
        <xdr:cNvPr id="0" name="image233.png"/>
        <xdr:cNvPicPr preferRelativeResize="0"/>
      </xdr:nvPicPr>
      <xdr:blipFill>
        <a:blip cstate="print" r:embed="rId158"/>
        <a:stretch>
          <a:fillRect/>
        </a:stretch>
      </xdr:blipFill>
      <xdr:spPr>
        <a:prstGeom prst="rect">
          <a:avLst/>
        </a:prstGeom>
        <a:noFill/>
      </xdr:spPr>
    </xdr:pic>
    <xdr:clientData fLocksWithSheet="0"/>
  </xdr:oneCellAnchor>
  <xdr:oneCellAnchor>
    <xdr:from>
      <xdr:col>1</xdr:col>
      <xdr:colOff>0</xdr:colOff>
      <xdr:row>304</xdr:row>
      <xdr:rowOff>0</xdr:rowOff>
    </xdr:from>
    <xdr:ext cx="400050" cy="400050"/>
    <xdr:pic>
      <xdr:nvPicPr>
        <xdr:cNvPr id="0" name="image167.png"/>
        <xdr:cNvPicPr preferRelativeResize="0"/>
      </xdr:nvPicPr>
      <xdr:blipFill>
        <a:blip cstate="print" r:embed="rId159"/>
        <a:stretch>
          <a:fillRect/>
        </a:stretch>
      </xdr:blipFill>
      <xdr:spPr>
        <a:prstGeom prst="rect">
          <a:avLst/>
        </a:prstGeom>
        <a:noFill/>
      </xdr:spPr>
    </xdr:pic>
    <xdr:clientData fLocksWithSheet="0"/>
  </xdr:oneCellAnchor>
  <xdr:oneCellAnchor>
    <xdr:from>
      <xdr:col>1</xdr:col>
      <xdr:colOff>0</xdr:colOff>
      <xdr:row>305</xdr:row>
      <xdr:rowOff>0</xdr:rowOff>
    </xdr:from>
    <xdr:ext cx="400050" cy="400050"/>
    <xdr:pic>
      <xdr:nvPicPr>
        <xdr:cNvPr id="0" name="image242.png"/>
        <xdr:cNvPicPr preferRelativeResize="0"/>
      </xdr:nvPicPr>
      <xdr:blipFill>
        <a:blip cstate="print" r:embed="rId155"/>
        <a:stretch>
          <a:fillRect/>
        </a:stretch>
      </xdr:blipFill>
      <xdr:spPr>
        <a:prstGeom prst="rect">
          <a:avLst/>
        </a:prstGeom>
        <a:noFill/>
      </xdr:spPr>
    </xdr:pic>
    <xdr:clientData fLocksWithSheet="0"/>
  </xdr:oneCellAnchor>
  <xdr:oneCellAnchor>
    <xdr:from>
      <xdr:col>1</xdr:col>
      <xdr:colOff>0</xdr:colOff>
      <xdr:row>306</xdr:row>
      <xdr:rowOff>0</xdr:rowOff>
    </xdr:from>
    <xdr:ext cx="400050" cy="400050"/>
    <xdr:pic>
      <xdr:nvPicPr>
        <xdr:cNvPr id="0" name="image172.png"/>
        <xdr:cNvPicPr preferRelativeResize="0"/>
      </xdr:nvPicPr>
      <xdr:blipFill>
        <a:blip cstate="print" r:embed="rId160"/>
        <a:stretch>
          <a:fillRect/>
        </a:stretch>
      </xdr:blipFill>
      <xdr:spPr>
        <a:prstGeom prst="rect">
          <a:avLst/>
        </a:prstGeom>
        <a:noFill/>
      </xdr:spPr>
    </xdr:pic>
    <xdr:clientData fLocksWithSheet="0"/>
  </xdr:oneCellAnchor>
  <xdr:oneCellAnchor>
    <xdr:from>
      <xdr:col>1</xdr:col>
      <xdr:colOff>0</xdr:colOff>
      <xdr:row>307</xdr:row>
      <xdr:rowOff>0</xdr:rowOff>
    </xdr:from>
    <xdr:ext cx="400050" cy="400050"/>
    <xdr:pic>
      <xdr:nvPicPr>
        <xdr:cNvPr id="0" name="image208.png"/>
        <xdr:cNvPicPr preferRelativeResize="0"/>
      </xdr:nvPicPr>
      <xdr:blipFill>
        <a:blip cstate="print" r:embed="rId161"/>
        <a:stretch>
          <a:fillRect/>
        </a:stretch>
      </xdr:blipFill>
      <xdr:spPr>
        <a:prstGeom prst="rect">
          <a:avLst/>
        </a:prstGeom>
        <a:noFill/>
      </xdr:spPr>
    </xdr:pic>
    <xdr:clientData fLocksWithSheet="0"/>
  </xdr:oneCellAnchor>
  <xdr:oneCellAnchor>
    <xdr:from>
      <xdr:col>1</xdr:col>
      <xdr:colOff>0</xdr:colOff>
      <xdr:row>308</xdr:row>
      <xdr:rowOff>0</xdr:rowOff>
    </xdr:from>
    <xdr:ext cx="400050" cy="400050"/>
    <xdr:pic>
      <xdr:nvPicPr>
        <xdr:cNvPr id="0" name="image199.png"/>
        <xdr:cNvPicPr preferRelativeResize="0"/>
      </xdr:nvPicPr>
      <xdr:blipFill>
        <a:blip cstate="print" r:embed="rId162"/>
        <a:stretch>
          <a:fillRect/>
        </a:stretch>
      </xdr:blipFill>
      <xdr:spPr>
        <a:prstGeom prst="rect">
          <a:avLst/>
        </a:prstGeom>
        <a:noFill/>
      </xdr:spPr>
    </xdr:pic>
    <xdr:clientData fLocksWithSheet="0"/>
  </xdr:oneCellAnchor>
  <xdr:oneCellAnchor>
    <xdr:from>
      <xdr:col>1</xdr:col>
      <xdr:colOff>0</xdr:colOff>
      <xdr:row>309</xdr:row>
      <xdr:rowOff>0</xdr:rowOff>
    </xdr:from>
    <xdr:ext cx="400050" cy="400050"/>
    <xdr:pic>
      <xdr:nvPicPr>
        <xdr:cNvPr id="0" name="image257.png"/>
        <xdr:cNvPicPr preferRelativeResize="0"/>
      </xdr:nvPicPr>
      <xdr:blipFill>
        <a:blip cstate="print" r:embed="rId163"/>
        <a:stretch>
          <a:fillRect/>
        </a:stretch>
      </xdr:blipFill>
      <xdr:spPr>
        <a:prstGeom prst="rect">
          <a:avLst/>
        </a:prstGeom>
        <a:noFill/>
      </xdr:spPr>
    </xdr:pic>
    <xdr:clientData fLocksWithSheet="0"/>
  </xdr:oneCellAnchor>
  <xdr:oneCellAnchor>
    <xdr:from>
      <xdr:col>1</xdr:col>
      <xdr:colOff>0</xdr:colOff>
      <xdr:row>310</xdr:row>
      <xdr:rowOff>0</xdr:rowOff>
    </xdr:from>
    <xdr:ext cx="400050" cy="400050"/>
    <xdr:pic>
      <xdr:nvPicPr>
        <xdr:cNvPr id="0" name="image230.png"/>
        <xdr:cNvPicPr preferRelativeResize="0"/>
      </xdr:nvPicPr>
      <xdr:blipFill>
        <a:blip cstate="print" r:embed="rId164"/>
        <a:stretch>
          <a:fillRect/>
        </a:stretch>
      </xdr:blipFill>
      <xdr:spPr>
        <a:prstGeom prst="rect">
          <a:avLst/>
        </a:prstGeom>
        <a:noFill/>
      </xdr:spPr>
    </xdr:pic>
    <xdr:clientData fLocksWithSheet="0"/>
  </xdr:oneCellAnchor>
  <xdr:oneCellAnchor>
    <xdr:from>
      <xdr:col>1</xdr:col>
      <xdr:colOff>0</xdr:colOff>
      <xdr:row>311</xdr:row>
      <xdr:rowOff>0</xdr:rowOff>
    </xdr:from>
    <xdr:ext cx="400050" cy="400050"/>
    <xdr:pic>
      <xdr:nvPicPr>
        <xdr:cNvPr id="0" name="image162.png"/>
        <xdr:cNvPicPr preferRelativeResize="0"/>
      </xdr:nvPicPr>
      <xdr:blipFill>
        <a:blip cstate="print" r:embed="rId112"/>
        <a:stretch>
          <a:fillRect/>
        </a:stretch>
      </xdr:blipFill>
      <xdr:spPr>
        <a:prstGeom prst="rect">
          <a:avLst/>
        </a:prstGeom>
        <a:noFill/>
      </xdr:spPr>
    </xdr:pic>
    <xdr:clientData fLocksWithSheet="0"/>
  </xdr:oneCellAnchor>
  <xdr:oneCellAnchor>
    <xdr:from>
      <xdr:col>1</xdr:col>
      <xdr:colOff>0</xdr:colOff>
      <xdr:row>312</xdr:row>
      <xdr:rowOff>0</xdr:rowOff>
    </xdr:from>
    <xdr:ext cx="400050" cy="400050"/>
    <xdr:pic>
      <xdr:nvPicPr>
        <xdr:cNvPr id="0" name="image232.png"/>
        <xdr:cNvPicPr preferRelativeResize="0"/>
      </xdr:nvPicPr>
      <xdr:blipFill>
        <a:blip cstate="print" r:embed="rId165"/>
        <a:stretch>
          <a:fillRect/>
        </a:stretch>
      </xdr:blipFill>
      <xdr:spPr>
        <a:prstGeom prst="rect">
          <a:avLst/>
        </a:prstGeom>
        <a:noFill/>
      </xdr:spPr>
    </xdr:pic>
    <xdr:clientData fLocksWithSheet="0"/>
  </xdr:oneCellAnchor>
  <xdr:oneCellAnchor>
    <xdr:from>
      <xdr:col>1</xdr:col>
      <xdr:colOff>0</xdr:colOff>
      <xdr:row>313</xdr:row>
      <xdr:rowOff>0</xdr:rowOff>
    </xdr:from>
    <xdr:ext cx="400050" cy="400050"/>
    <xdr:pic>
      <xdr:nvPicPr>
        <xdr:cNvPr id="0" name="image265.png"/>
        <xdr:cNvPicPr preferRelativeResize="0"/>
      </xdr:nvPicPr>
      <xdr:blipFill>
        <a:blip cstate="print" r:embed="rId166"/>
        <a:stretch>
          <a:fillRect/>
        </a:stretch>
      </xdr:blipFill>
      <xdr:spPr>
        <a:prstGeom prst="rect">
          <a:avLst/>
        </a:prstGeom>
        <a:noFill/>
      </xdr:spPr>
    </xdr:pic>
    <xdr:clientData fLocksWithSheet="0"/>
  </xdr:oneCellAnchor>
  <xdr:oneCellAnchor>
    <xdr:from>
      <xdr:col>1</xdr:col>
      <xdr:colOff>0</xdr:colOff>
      <xdr:row>314</xdr:row>
      <xdr:rowOff>0</xdr:rowOff>
    </xdr:from>
    <xdr:ext cx="400050" cy="400050"/>
    <xdr:pic>
      <xdr:nvPicPr>
        <xdr:cNvPr id="0" name="image187.png"/>
        <xdr:cNvPicPr preferRelativeResize="0"/>
      </xdr:nvPicPr>
      <xdr:blipFill>
        <a:blip cstate="print" r:embed="rId167"/>
        <a:stretch>
          <a:fillRect/>
        </a:stretch>
      </xdr:blipFill>
      <xdr:spPr>
        <a:prstGeom prst="rect">
          <a:avLst/>
        </a:prstGeom>
        <a:noFill/>
      </xdr:spPr>
    </xdr:pic>
    <xdr:clientData fLocksWithSheet="0"/>
  </xdr:oneCellAnchor>
  <xdr:oneCellAnchor>
    <xdr:from>
      <xdr:col>1</xdr:col>
      <xdr:colOff>0</xdr:colOff>
      <xdr:row>315</xdr:row>
      <xdr:rowOff>0</xdr:rowOff>
    </xdr:from>
    <xdr:ext cx="400050" cy="400050"/>
    <xdr:pic>
      <xdr:nvPicPr>
        <xdr:cNvPr id="0" name="image239.png"/>
        <xdr:cNvPicPr preferRelativeResize="0"/>
      </xdr:nvPicPr>
      <xdr:blipFill>
        <a:blip cstate="print" r:embed="rId155"/>
        <a:stretch>
          <a:fillRect/>
        </a:stretch>
      </xdr:blipFill>
      <xdr:spPr>
        <a:prstGeom prst="rect">
          <a:avLst/>
        </a:prstGeom>
        <a:noFill/>
      </xdr:spPr>
    </xdr:pic>
    <xdr:clientData fLocksWithSheet="0"/>
  </xdr:oneCellAnchor>
  <xdr:oneCellAnchor>
    <xdr:from>
      <xdr:col>1</xdr:col>
      <xdr:colOff>0</xdr:colOff>
      <xdr:row>316</xdr:row>
      <xdr:rowOff>0</xdr:rowOff>
    </xdr:from>
    <xdr:ext cx="400050" cy="400050"/>
    <xdr:pic>
      <xdr:nvPicPr>
        <xdr:cNvPr id="0" name="image168.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317</xdr:row>
      <xdr:rowOff>0</xdr:rowOff>
    </xdr:from>
    <xdr:ext cx="400050" cy="400050"/>
    <xdr:pic>
      <xdr:nvPicPr>
        <xdr:cNvPr id="0" name="image180.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318</xdr:row>
      <xdr:rowOff>0</xdr:rowOff>
    </xdr:from>
    <xdr:ext cx="400050" cy="400050"/>
    <xdr:pic>
      <xdr:nvPicPr>
        <xdr:cNvPr id="0" name="image243.png"/>
        <xdr:cNvPicPr preferRelativeResize="0"/>
      </xdr:nvPicPr>
      <xdr:blipFill>
        <a:blip cstate="print" r:embed="rId168"/>
        <a:stretch>
          <a:fillRect/>
        </a:stretch>
      </xdr:blipFill>
      <xdr:spPr>
        <a:prstGeom prst="rect">
          <a:avLst/>
        </a:prstGeom>
        <a:noFill/>
      </xdr:spPr>
    </xdr:pic>
    <xdr:clientData fLocksWithSheet="0"/>
  </xdr:oneCellAnchor>
  <xdr:oneCellAnchor>
    <xdr:from>
      <xdr:col>1</xdr:col>
      <xdr:colOff>0</xdr:colOff>
      <xdr:row>319</xdr:row>
      <xdr:rowOff>0</xdr:rowOff>
    </xdr:from>
    <xdr:ext cx="400050" cy="400050"/>
    <xdr:pic>
      <xdr:nvPicPr>
        <xdr:cNvPr id="0" name="image214.png"/>
        <xdr:cNvPicPr preferRelativeResize="0"/>
      </xdr:nvPicPr>
      <xdr:blipFill>
        <a:blip cstate="print" r:embed="rId169"/>
        <a:stretch>
          <a:fillRect/>
        </a:stretch>
      </xdr:blipFill>
      <xdr:spPr>
        <a:prstGeom prst="rect">
          <a:avLst/>
        </a:prstGeom>
        <a:noFill/>
      </xdr:spPr>
    </xdr:pic>
    <xdr:clientData fLocksWithSheet="0"/>
  </xdr:oneCellAnchor>
  <xdr:oneCellAnchor>
    <xdr:from>
      <xdr:col>1</xdr:col>
      <xdr:colOff>0</xdr:colOff>
      <xdr:row>320</xdr:row>
      <xdr:rowOff>0</xdr:rowOff>
    </xdr:from>
    <xdr:ext cx="400050" cy="400050"/>
    <xdr:pic>
      <xdr:nvPicPr>
        <xdr:cNvPr id="0" name="image218.png"/>
        <xdr:cNvPicPr preferRelativeResize="0"/>
      </xdr:nvPicPr>
      <xdr:blipFill>
        <a:blip cstate="print" r:embed="rId170"/>
        <a:stretch>
          <a:fillRect/>
        </a:stretch>
      </xdr:blipFill>
      <xdr:spPr>
        <a:prstGeom prst="rect">
          <a:avLst/>
        </a:prstGeom>
        <a:noFill/>
      </xdr:spPr>
    </xdr:pic>
    <xdr:clientData fLocksWithSheet="0"/>
  </xdr:oneCellAnchor>
  <xdr:oneCellAnchor>
    <xdr:from>
      <xdr:col>1</xdr:col>
      <xdr:colOff>0</xdr:colOff>
      <xdr:row>321</xdr:row>
      <xdr:rowOff>0</xdr:rowOff>
    </xdr:from>
    <xdr:ext cx="400050" cy="400050"/>
    <xdr:pic>
      <xdr:nvPicPr>
        <xdr:cNvPr id="0" name="image219.png"/>
        <xdr:cNvPicPr preferRelativeResize="0"/>
      </xdr:nvPicPr>
      <xdr:blipFill>
        <a:blip cstate="print" r:embed="rId171"/>
        <a:stretch>
          <a:fillRect/>
        </a:stretch>
      </xdr:blipFill>
      <xdr:spPr>
        <a:prstGeom prst="rect">
          <a:avLst/>
        </a:prstGeom>
        <a:noFill/>
      </xdr:spPr>
    </xdr:pic>
    <xdr:clientData fLocksWithSheet="0"/>
  </xdr:oneCellAnchor>
  <xdr:oneCellAnchor>
    <xdr:from>
      <xdr:col>1</xdr:col>
      <xdr:colOff>0</xdr:colOff>
      <xdr:row>322</xdr:row>
      <xdr:rowOff>0</xdr:rowOff>
    </xdr:from>
    <xdr:ext cx="400050" cy="400050"/>
    <xdr:pic>
      <xdr:nvPicPr>
        <xdr:cNvPr id="0" name="image222.png"/>
        <xdr:cNvPicPr preferRelativeResize="0"/>
      </xdr:nvPicPr>
      <xdr:blipFill>
        <a:blip cstate="print" r:embed="rId172"/>
        <a:stretch>
          <a:fillRect/>
        </a:stretch>
      </xdr:blipFill>
      <xdr:spPr>
        <a:prstGeom prst="rect">
          <a:avLst/>
        </a:prstGeom>
        <a:noFill/>
      </xdr:spPr>
    </xdr:pic>
    <xdr:clientData fLocksWithSheet="0"/>
  </xdr:oneCellAnchor>
  <xdr:oneCellAnchor>
    <xdr:from>
      <xdr:col>1</xdr:col>
      <xdr:colOff>0</xdr:colOff>
      <xdr:row>323</xdr:row>
      <xdr:rowOff>0</xdr:rowOff>
    </xdr:from>
    <xdr:ext cx="400050" cy="400050"/>
    <xdr:pic>
      <xdr:nvPicPr>
        <xdr:cNvPr id="0" name="image227.png"/>
        <xdr:cNvPicPr preferRelativeResize="0"/>
      </xdr:nvPicPr>
      <xdr:blipFill>
        <a:blip cstate="print" r:embed="rId173"/>
        <a:stretch>
          <a:fillRect/>
        </a:stretch>
      </xdr:blipFill>
      <xdr:spPr>
        <a:prstGeom prst="rect">
          <a:avLst/>
        </a:prstGeom>
        <a:noFill/>
      </xdr:spPr>
    </xdr:pic>
    <xdr:clientData fLocksWithSheet="0"/>
  </xdr:oneCellAnchor>
  <xdr:oneCellAnchor>
    <xdr:from>
      <xdr:col>1</xdr:col>
      <xdr:colOff>0</xdr:colOff>
      <xdr:row>324</xdr:row>
      <xdr:rowOff>0</xdr:rowOff>
    </xdr:from>
    <xdr:ext cx="400050" cy="400050"/>
    <xdr:pic>
      <xdr:nvPicPr>
        <xdr:cNvPr id="0" name="image244.png"/>
        <xdr:cNvPicPr preferRelativeResize="0"/>
      </xdr:nvPicPr>
      <xdr:blipFill>
        <a:blip cstate="print" r:embed="rId155"/>
        <a:stretch>
          <a:fillRect/>
        </a:stretch>
      </xdr:blipFill>
      <xdr:spPr>
        <a:prstGeom prst="rect">
          <a:avLst/>
        </a:prstGeom>
        <a:noFill/>
      </xdr:spPr>
    </xdr:pic>
    <xdr:clientData fLocksWithSheet="0"/>
  </xdr:oneCellAnchor>
  <xdr:oneCellAnchor>
    <xdr:from>
      <xdr:col>1</xdr:col>
      <xdr:colOff>0</xdr:colOff>
      <xdr:row>325</xdr:row>
      <xdr:rowOff>0</xdr:rowOff>
    </xdr:from>
    <xdr:ext cx="400050" cy="400050"/>
    <xdr:pic>
      <xdr:nvPicPr>
        <xdr:cNvPr id="0" name="image224.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326</xdr:row>
      <xdr:rowOff>0</xdr:rowOff>
    </xdr:from>
    <xdr:ext cx="400050" cy="400050"/>
    <xdr:pic>
      <xdr:nvPicPr>
        <xdr:cNvPr id="0" name="image182.png"/>
        <xdr:cNvPicPr preferRelativeResize="0"/>
      </xdr:nvPicPr>
      <xdr:blipFill>
        <a:blip cstate="print" r:embed="rId86"/>
        <a:stretch>
          <a:fillRect/>
        </a:stretch>
      </xdr:blipFill>
      <xdr:spPr>
        <a:prstGeom prst="rect">
          <a:avLst/>
        </a:prstGeom>
        <a:noFill/>
      </xdr:spPr>
    </xdr:pic>
    <xdr:clientData fLocksWithSheet="0"/>
  </xdr:oneCellAnchor>
  <xdr:oneCellAnchor>
    <xdr:from>
      <xdr:col>1</xdr:col>
      <xdr:colOff>0</xdr:colOff>
      <xdr:row>327</xdr:row>
      <xdr:rowOff>0</xdr:rowOff>
    </xdr:from>
    <xdr:ext cx="400050" cy="400050"/>
    <xdr:pic>
      <xdr:nvPicPr>
        <xdr:cNvPr id="0" name="image207.png"/>
        <xdr:cNvPicPr preferRelativeResize="0"/>
      </xdr:nvPicPr>
      <xdr:blipFill>
        <a:blip cstate="print" r:embed="rId174"/>
        <a:stretch>
          <a:fillRect/>
        </a:stretch>
      </xdr:blipFill>
      <xdr:spPr>
        <a:prstGeom prst="rect">
          <a:avLst/>
        </a:prstGeom>
        <a:noFill/>
      </xdr:spPr>
    </xdr:pic>
    <xdr:clientData fLocksWithSheet="0"/>
  </xdr:oneCellAnchor>
  <xdr:oneCellAnchor>
    <xdr:from>
      <xdr:col>1</xdr:col>
      <xdr:colOff>0</xdr:colOff>
      <xdr:row>328</xdr:row>
      <xdr:rowOff>0</xdr:rowOff>
    </xdr:from>
    <xdr:ext cx="400050" cy="400050"/>
    <xdr:pic>
      <xdr:nvPicPr>
        <xdr:cNvPr id="0" name="image176.png"/>
        <xdr:cNvPicPr preferRelativeResize="0"/>
      </xdr:nvPicPr>
      <xdr:blipFill>
        <a:blip cstate="print" r:embed="rId123"/>
        <a:stretch>
          <a:fillRect/>
        </a:stretch>
      </xdr:blipFill>
      <xdr:spPr>
        <a:prstGeom prst="rect">
          <a:avLst/>
        </a:prstGeom>
        <a:noFill/>
      </xdr:spPr>
    </xdr:pic>
    <xdr:clientData fLocksWithSheet="0"/>
  </xdr:oneCellAnchor>
  <xdr:oneCellAnchor>
    <xdr:from>
      <xdr:col>1</xdr:col>
      <xdr:colOff>0</xdr:colOff>
      <xdr:row>329</xdr:row>
      <xdr:rowOff>0</xdr:rowOff>
    </xdr:from>
    <xdr:ext cx="400050" cy="400050"/>
    <xdr:pic>
      <xdr:nvPicPr>
        <xdr:cNvPr id="0" name="image188.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330</xdr:row>
      <xdr:rowOff>0</xdr:rowOff>
    </xdr:from>
    <xdr:ext cx="400050" cy="400050"/>
    <xdr:pic>
      <xdr:nvPicPr>
        <xdr:cNvPr id="0" name="image11.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331</xdr:row>
      <xdr:rowOff>0</xdr:rowOff>
    </xdr:from>
    <xdr:ext cx="400050" cy="400050"/>
    <xdr:pic>
      <xdr:nvPicPr>
        <xdr:cNvPr id="0" name="image72.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332</xdr:row>
      <xdr:rowOff>0</xdr:rowOff>
    </xdr:from>
    <xdr:ext cx="400050" cy="400050"/>
    <xdr:pic>
      <xdr:nvPicPr>
        <xdr:cNvPr id="0" name="image18.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350</xdr:row>
      <xdr:rowOff>0</xdr:rowOff>
    </xdr:from>
    <xdr:ext cx="400050" cy="400050"/>
    <xdr:pic>
      <xdr:nvPicPr>
        <xdr:cNvPr id="0" name="image237.png"/>
        <xdr:cNvPicPr preferRelativeResize="0"/>
      </xdr:nvPicPr>
      <xdr:blipFill>
        <a:blip cstate="print" r:embed="rId175"/>
        <a:stretch>
          <a:fillRect/>
        </a:stretch>
      </xdr:blipFill>
      <xdr:spPr>
        <a:prstGeom prst="rect">
          <a:avLst/>
        </a:prstGeom>
        <a:noFill/>
      </xdr:spPr>
    </xdr:pic>
    <xdr:clientData fLocksWithSheet="0"/>
  </xdr:oneCellAnchor>
  <xdr:oneCellAnchor>
    <xdr:from>
      <xdr:col>1</xdr:col>
      <xdr:colOff>0</xdr:colOff>
      <xdr:row>351</xdr:row>
      <xdr:rowOff>0</xdr:rowOff>
    </xdr:from>
    <xdr:ext cx="400050" cy="400050"/>
    <xdr:pic>
      <xdr:nvPicPr>
        <xdr:cNvPr id="0" name="image292.png"/>
        <xdr:cNvPicPr preferRelativeResize="0"/>
      </xdr:nvPicPr>
      <xdr:blipFill>
        <a:blip cstate="print" r:embed="rId176"/>
        <a:stretch>
          <a:fillRect/>
        </a:stretch>
      </xdr:blipFill>
      <xdr:spPr>
        <a:prstGeom prst="rect">
          <a:avLst/>
        </a:prstGeom>
        <a:noFill/>
      </xdr:spPr>
    </xdr:pic>
    <xdr:clientData fLocksWithSheet="0"/>
  </xdr:oneCellAnchor>
  <xdr:oneCellAnchor>
    <xdr:from>
      <xdr:col>1</xdr:col>
      <xdr:colOff>0</xdr:colOff>
      <xdr:row>352</xdr:row>
      <xdr:rowOff>0</xdr:rowOff>
    </xdr:from>
    <xdr:ext cx="400050" cy="400050"/>
    <xdr:pic>
      <xdr:nvPicPr>
        <xdr:cNvPr id="0" name="image198.png"/>
        <xdr:cNvPicPr preferRelativeResize="0"/>
      </xdr:nvPicPr>
      <xdr:blipFill>
        <a:blip cstate="print" r:embed="rId177"/>
        <a:stretch>
          <a:fillRect/>
        </a:stretch>
      </xdr:blipFill>
      <xdr:spPr>
        <a:prstGeom prst="rect">
          <a:avLst/>
        </a:prstGeom>
        <a:noFill/>
      </xdr:spPr>
    </xdr:pic>
    <xdr:clientData fLocksWithSheet="0"/>
  </xdr:oneCellAnchor>
  <xdr:oneCellAnchor>
    <xdr:from>
      <xdr:col>1</xdr:col>
      <xdr:colOff>0</xdr:colOff>
      <xdr:row>353</xdr:row>
      <xdr:rowOff>0</xdr:rowOff>
    </xdr:from>
    <xdr:ext cx="400050" cy="400050"/>
    <xdr:pic>
      <xdr:nvPicPr>
        <xdr:cNvPr id="0" name="image197.png"/>
        <xdr:cNvPicPr preferRelativeResize="0"/>
      </xdr:nvPicPr>
      <xdr:blipFill>
        <a:blip cstate="print" r:embed="rId178"/>
        <a:stretch>
          <a:fillRect/>
        </a:stretch>
      </xdr:blipFill>
      <xdr:spPr>
        <a:prstGeom prst="rect">
          <a:avLst/>
        </a:prstGeom>
        <a:noFill/>
      </xdr:spPr>
    </xdr:pic>
    <xdr:clientData fLocksWithSheet="0"/>
  </xdr:oneCellAnchor>
  <xdr:oneCellAnchor>
    <xdr:from>
      <xdr:col>1</xdr:col>
      <xdr:colOff>0</xdr:colOff>
      <xdr:row>354</xdr:row>
      <xdr:rowOff>0</xdr:rowOff>
    </xdr:from>
    <xdr:ext cx="400050" cy="400050"/>
    <xdr:pic>
      <xdr:nvPicPr>
        <xdr:cNvPr id="0" name="image191.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355</xdr:row>
      <xdr:rowOff>0</xdr:rowOff>
    </xdr:from>
    <xdr:ext cx="400050" cy="400050"/>
    <xdr:pic>
      <xdr:nvPicPr>
        <xdr:cNvPr id="0" name="image246.png"/>
        <xdr:cNvPicPr preferRelativeResize="0"/>
      </xdr:nvPicPr>
      <xdr:blipFill>
        <a:blip cstate="print" r:embed="rId179"/>
        <a:stretch>
          <a:fillRect/>
        </a:stretch>
      </xdr:blipFill>
      <xdr:spPr>
        <a:prstGeom prst="rect">
          <a:avLst/>
        </a:prstGeom>
        <a:noFill/>
      </xdr:spPr>
    </xdr:pic>
    <xdr:clientData fLocksWithSheet="0"/>
  </xdr:oneCellAnchor>
  <xdr:oneCellAnchor>
    <xdr:from>
      <xdr:col>1</xdr:col>
      <xdr:colOff>0</xdr:colOff>
      <xdr:row>356</xdr:row>
      <xdr:rowOff>0</xdr:rowOff>
    </xdr:from>
    <xdr:ext cx="400050" cy="400050"/>
    <xdr:pic>
      <xdr:nvPicPr>
        <xdr:cNvPr id="0" name="image261.png"/>
        <xdr:cNvPicPr preferRelativeResize="0"/>
      </xdr:nvPicPr>
      <xdr:blipFill>
        <a:blip cstate="print" r:embed="rId180"/>
        <a:stretch>
          <a:fillRect/>
        </a:stretch>
      </xdr:blipFill>
      <xdr:spPr>
        <a:prstGeom prst="rect">
          <a:avLst/>
        </a:prstGeom>
        <a:noFill/>
      </xdr:spPr>
    </xdr:pic>
    <xdr:clientData fLocksWithSheet="0"/>
  </xdr:oneCellAnchor>
  <xdr:oneCellAnchor>
    <xdr:from>
      <xdr:col>1</xdr:col>
      <xdr:colOff>0</xdr:colOff>
      <xdr:row>357</xdr:row>
      <xdr:rowOff>0</xdr:rowOff>
    </xdr:from>
    <xdr:ext cx="400050" cy="400050"/>
    <xdr:pic>
      <xdr:nvPicPr>
        <xdr:cNvPr id="0" name="image217.png"/>
        <xdr:cNvPicPr preferRelativeResize="0"/>
      </xdr:nvPicPr>
      <xdr:blipFill>
        <a:blip cstate="print" r:embed="rId181"/>
        <a:stretch>
          <a:fillRect/>
        </a:stretch>
      </xdr:blipFill>
      <xdr:spPr>
        <a:prstGeom prst="rect">
          <a:avLst/>
        </a:prstGeom>
        <a:noFill/>
      </xdr:spPr>
    </xdr:pic>
    <xdr:clientData fLocksWithSheet="0"/>
  </xdr:oneCellAnchor>
  <xdr:oneCellAnchor>
    <xdr:from>
      <xdr:col>1</xdr:col>
      <xdr:colOff>0</xdr:colOff>
      <xdr:row>358</xdr:row>
      <xdr:rowOff>0</xdr:rowOff>
    </xdr:from>
    <xdr:ext cx="400050" cy="400050"/>
    <xdr:pic>
      <xdr:nvPicPr>
        <xdr:cNvPr id="0" name="image193.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359</xdr:row>
      <xdr:rowOff>0</xdr:rowOff>
    </xdr:from>
    <xdr:ext cx="400050" cy="400050"/>
    <xdr:pic>
      <xdr:nvPicPr>
        <xdr:cNvPr id="0" name="image202.png"/>
        <xdr:cNvPicPr preferRelativeResize="0"/>
      </xdr:nvPicPr>
      <xdr:blipFill>
        <a:blip cstate="print" r:embed="rId182"/>
        <a:stretch>
          <a:fillRect/>
        </a:stretch>
      </xdr:blipFill>
      <xdr:spPr>
        <a:prstGeom prst="rect">
          <a:avLst/>
        </a:prstGeom>
        <a:noFill/>
      </xdr:spPr>
    </xdr:pic>
    <xdr:clientData fLocksWithSheet="0"/>
  </xdr:oneCellAnchor>
  <xdr:oneCellAnchor>
    <xdr:from>
      <xdr:col>1</xdr:col>
      <xdr:colOff>0</xdr:colOff>
      <xdr:row>360</xdr:row>
      <xdr:rowOff>0</xdr:rowOff>
    </xdr:from>
    <xdr:ext cx="400050" cy="400050"/>
    <xdr:pic>
      <xdr:nvPicPr>
        <xdr:cNvPr id="0" name="image203.png"/>
        <xdr:cNvPicPr preferRelativeResize="0"/>
      </xdr:nvPicPr>
      <xdr:blipFill>
        <a:blip cstate="print" r:embed="rId183"/>
        <a:stretch>
          <a:fillRect/>
        </a:stretch>
      </xdr:blipFill>
      <xdr:spPr>
        <a:prstGeom prst="rect">
          <a:avLst/>
        </a:prstGeom>
        <a:noFill/>
      </xdr:spPr>
    </xdr:pic>
    <xdr:clientData fLocksWithSheet="0"/>
  </xdr:oneCellAnchor>
  <xdr:oneCellAnchor>
    <xdr:from>
      <xdr:col>1</xdr:col>
      <xdr:colOff>0</xdr:colOff>
      <xdr:row>361</xdr:row>
      <xdr:rowOff>0</xdr:rowOff>
    </xdr:from>
    <xdr:ext cx="400050" cy="400050"/>
    <xdr:pic>
      <xdr:nvPicPr>
        <xdr:cNvPr id="0" name="image248.png"/>
        <xdr:cNvPicPr preferRelativeResize="0"/>
      </xdr:nvPicPr>
      <xdr:blipFill>
        <a:blip cstate="print" r:embed="rId184"/>
        <a:stretch>
          <a:fillRect/>
        </a:stretch>
      </xdr:blipFill>
      <xdr:spPr>
        <a:prstGeom prst="rect">
          <a:avLst/>
        </a:prstGeom>
        <a:noFill/>
      </xdr:spPr>
    </xdr:pic>
    <xdr:clientData fLocksWithSheet="0"/>
  </xdr:oneCellAnchor>
  <xdr:oneCellAnchor>
    <xdr:from>
      <xdr:col>1</xdr:col>
      <xdr:colOff>0</xdr:colOff>
      <xdr:row>362</xdr:row>
      <xdr:rowOff>0</xdr:rowOff>
    </xdr:from>
    <xdr:ext cx="400050" cy="400050"/>
    <xdr:pic>
      <xdr:nvPicPr>
        <xdr:cNvPr id="0" name="image196.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363</xdr:row>
      <xdr:rowOff>0</xdr:rowOff>
    </xdr:from>
    <xdr:ext cx="400050" cy="400050"/>
    <xdr:pic>
      <xdr:nvPicPr>
        <xdr:cNvPr id="0" name="image195.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364</xdr:row>
      <xdr:rowOff>0</xdr:rowOff>
    </xdr:from>
    <xdr:ext cx="400050" cy="400050"/>
    <xdr:pic>
      <xdr:nvPicPr>
        <xdr:cNvPr id="0" name="image349.png"/>
        <xdr:cNvPicPr preferRelativeResize="0"/>
      </xdr:nvPicPr>
      <xdr:blipFill>
        <a:blip cstate="print" r:embed="rId185"/>
        <a:stretch>
          <a:fillRect/>
        </a:stretch>
      </xdr:blipFill>
      <xdr:spPr>
        <a:prstGeom prst="rect">
          <a:avLst/>
        </a:prstGeom>
        <a:noFill/>
      </xdr:spPr>
    </xdr:pic>
    <xdr:clientData fLocksWithSheet="0"/>
  </xdr:oneCellAnchor>
  <xdr:oneCellAnchor>
    <xdr:from>
      <xdr:col>1</xdr:col>
      <xdr:colOff>0</xdr:colOff>
      <xdr:row>365</xdr:row>
      <xdr:rowOff>0</xdr:rowOff>
    </xdr:from>
    <xdr:ext cx="400050" cy="400050"/>
    <xdr:pic>
      <xdr:nvPicPr>
        <xdr:cNvPr id="0" name="image253.png"/>
        <xdr:cNvPicPr preferRelativeResize="0"/>
      </xdr:nvPicPr>
      <xdr:blipFill>
        <a:blip cstate="print" r:embed="rId186"/>
        <a:stretch>
          <a:fillRect/>
        </a:stretch>
      </xdr:blipFill>
      <xdr:spPr>
        <a:prstGeom prst="rect">
          <a:avLst/>
        </a:prstGeom>
        <a:noFill/>
      </xdr:spPr>
    </xdr:pic>
    <xdr:clientData fLocksWithSheet="0"/>
  </xdr:oneCellAnchor>
  <xdr:oneCellAnchor>
    <xdr:from>
      <xdr:col>1</xdr:col>
      <xdr:colOff>0</xdr:colOff>
      <xdr:row>366</xdr:row>
      <xdr:rowOff>0</xdr:rowOff>
    </xdr:from>
    <xdr:ext cx="400050" cy="400050"/>
    <xdr:pic>
      <xdr:nvPicPr>
        <xdr:cNvPr id="0" name="image194.png"/>
        <xdr:cNvPicPr preferRelativeResize="0"/>
      </xdr:nvPicPr>
      <xdr:blipFill>
        <a:blip cstate="print" r:embed="rId113"/>
        <a:stretch>
          <a:fillRect/>
        </a:stretch>
      </xdr:blipFill>
      <xdr:spPr>
        <a:prstGeom prst="rect">
          <a:avLst/>
        </a:prstGeom>
        <a:noFill/>
      </xdr:spPr>
    </xdr:pic>
    <xdr:clientData fLocksWithSheet="0"/>
  </xdr:oneCellAnchor>
  <xdr:oneCellAnchor>
    <xdr:from>
      <xdr:col>1</xdr:col>
      <xdr:colOff>0</xdr:colOff>
      <xdr:row>367</xdr:row>
      <xdr:rowOff>0</xdr:rowOff>
    </xdr:from>
    <xdr:ext cx="400050" cy="400050"/>
    <xdr:pic>
      <xdr:nvPicPr>
        <xdr:cNvPr id="0" name="image245.png"/>
        <xdr:cNvPicPr preferRelativeResize="0"/>
      </xdr:nvPicPr>
      <xdr:blipFill>
        <a:blip cstate="print" r:embed="rId187"/>
        <a:stretch>
          <a:fillRect/>
        </a:stretch>
      </xdr:blipFill>
      <xdr:spPr>
        <a:prstGeom prst="rect">
          <a:avLst/>
        </a:prstGeom>
        <a:noFill/>
      </xdr:spPr>
    </xdr:pic>
    <xdr:clientData fLocksWithSheet="0"/>
  </xdr:oneCellAnchor>
  <xdr:oneCellAnchor>
    <xdr:from>
      <xdr:col>1</xdr:col>
      <xdr:colOff>0</xdr:colOff>
      <xdr:row>368</xdr:row>
      <xdr:rowOff>0</xdr:rowOff>
    </xdr:from>
    <xdr:ext cx="400050" cy="400050"/>
    <xdr:pic>
      <xdr:nvPicPr>
        <xdr:cNvPr id="0" name="image205.png"/>
        <xdr:cNvPicPr preferRelativeResize="0"/>
      </xdr:nvPicPr>
      <xdr:blipFill>
        <a:blip cstate="print" r:embed="rId188"/>
        <a:stretch>
          <a:fillRect/>
        </a:stretch>
      </xdr:blipFill>
      <xdr:spPr>
        <a:prstGeom prst="rect">
          <a:avLst/>
        </a:prstGeom>
        <a:noFill/>
      </xdr:spPr>
    </xdr:pic>
    <xdr:clientData fLocksWithSheet="0"/>
  </xdr:oneCellAnchor>
  <xdr:oneCellAnchor>
    <xdr:from>
      <xdr:col>1</xdr:col>
      <xdr:colOff>0</xdr:colOff>
      <xdr:row>369</xdr:row>
      <xdr:rowOff>0</xdr:rowOff>
    </xdr:from>
    <xdr:ext cx="400050" cy="400050"/>
    <xdr:pic>
      <xdr:nvPicPr>
        <xdr:cNvPr id="0" name="image201.png"/>
        <xdr:cNvPicPr preferRelativeResize="0"/>
      </xdr:nvPicPr>
      <xdr:blipFill>
        <a:blip cstate="print" r:embed="rId127"/>
        <a:stretch>
          <a:fillRect/>
        </a:stretch>
      </xdr:blipFill>
      <xdr:spPr>
        <a:prstGeom prst="rect">
          <a:avLst/>
        </a:prstGeom>
        <a:noFill/>
      </xdr:spPr>
    </xdr:pic>
    <xdr:clientData fLocksWithSheet="0"/>
  </xdr:oneCellAnchor>
  <xdr:oneCellAnchor>
    <xdr:from>
      <xdr:col>1</xdr:col>
      <xdr:colOff>0</xdr:colOff>
      <xdr:row>370</xdr:row>
      <xdr:rowOff>0</xdr:rowOff>
    </xdr:from>
    <xdr:ext cx="400050" cy="400050"/>
    <xdr:pic>
      <xdr:nvPicPr>
        <xdr:cNvPr id="0" name="image200.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371</xdr:row>
      <xdr:rowOff>0</xdr:rowOff>
    </xdr:from>
    <xdr:ext cx="400050" cy="400050"/>
    <xdr:pic>
      <xdr:nvPicPr>
        <xdr:cNvPr id="0" name="image228.png"/>
        <xdr:cNvPicPr preferRelativeResize="0"/>
      </xdr:nvPicPr>
      <xdr:blipFill>
        <a:blip cstate="print" r:embed="rId189"/>
        <a:stretch>
          <a:fillRect/>
        </a:stretch>
      </xdr:blipFill>
      <xdr:spPr>
        <a:prstGeom prst="rect">
          <a:avLst/>
        </a:prstGeom>
        <a:noFill/>
      </xdr:spPr>
    </xdr:pic>
    <xdr:clientData fLocksWithSheet="0"/>
  </xdr:oneCellAnchor>
  <xdr:oneCellAnchor>
    <xdr:from>
      <xdr:col>1</xdr:col>
      <xdr:colOff>0</xdr:colOff>
      <xdr:row>372</xdr:row>
      <xdr:rowOff>0</xdr:rowOff>
    </xdr:from>
    <xdr:ext cx="400050" cy="400050"/>
    <xdr:pic>
      <xdr:nvPicPr>
        <xdr:cNvPr id="0" name="image216.png"/>
        <xdr:cNvPicPr preferRelativeResize="0"/>
      </xdr:nvPicPr>
      <xdr:blipFill>
        <a:blip cstate="print" r:embed="rId190"/>
        <a:stretch>
          <a:fillRect/>
        </a:stretch>
      </xdr:blipFill>
      <xdr:spPr>
        <a:prstGeom prst="rect">
          <a:avLst/>
        </a:prstGeom>
        <a:noFill/>
      </xdr:spPr>
    </xdr:pic>
    <xdr:clientData fLocksWithSheet="0"/>
  </xdr:oneCellAnchor>
  <xdr:oneCellAnchor>
    <xdr:from>
      <xdr:col>1</xdr:col>
      <xdr:colOff>0</xdr:colOff>
      <xdr:row>373</xdr:row>
      <xdr:rowOff>0</xdr:rowOff>
    </xdr:from>
    <xdr:ext cx="400050" cy="400050"/>
    <xdr:pic>
      <xdr:nvPicPr>
        <xdr:cNvPr id="0" name="image256.png"/>
        <xdr:cNvPicPr preferRelativeResize="0"/>
      </xdr:nvPicPr>
      <xdr:blipFill>
        <a:blip cstate="print" r:embed="rId191"/>
        <a:stretch>
          <a:fillRect/>
        </a:stretch>
      </xdr:blipFill>
      <xdr:spPr>
        <a:prstGeom prst="rect">
          <a:avLst/>
        </a:prstGeom>
        <a:noFill/>
      </xdr:spPr>
    </xdr:pic>
    <xdr:clientData fLocksWithSheet="0"/>
  </xdr:oneCellAnchor>
  <xdr:oneCellAnchor>
    <xdr:from>
      <xdr:col>1</xdr:col>
      <xdr:colOff>0</xdr:colOff>
      <xdr:row>374</xdr:row>
      <xdr:rowOff>0</xdr:rowOff>
    </xdr:from>
    <xdr:ext cx="400050" cy="400050"/>
    <xdr:pic>
      <xdr:nvPicPr>
        <xdr:cNvPr id="0" name="image262.png"/>
        <xdr:cNvPicPr preferRelativeResize="0"/>
      </xdr:nvPicPr>
      <xdr:blipFill>
        <a:blip cstate="print" r:embed="rId192"/>
        <a:stretch>
          <a:fillRect/>
        </a:stretch>
      </xdr:blipFill>
      <xdr:spPr>
        <a:prstGeom prst="rect">
          <a:avLst/>
        </a:prstGeom>
        <a:noFill/>
      </xdr:spPr>
    </xdr:pic>
    <xdr:clientData fLocksWithSheet="0"/>
  </xdr:oneCellAnchor>
  <xdr:oneCellAnchor>
    <xdr:from>
      <xdr:col>1</xdr:col>
      <xdr:colOff>0</xdr:colOff>
      <xdr:row>375</xdr:row>
      <xdr:rowOff>0</xdr:rowOff>
    </xdr:from>
    <xdr:ext cx="400050" cy="400050"/>
    <xdr:pic>
      <xdr:nvPicPr>
        <xdr:cNvPr id="0" name="image266.png"/>
        <xdr:cNvPicPr preferRelativeResize="0"/>
      </xdr:nvPicPr>
      <xdr:blipFill>
        <a:blip cstate="print" r:embed="rId193"/>
        <a:stretch>
          <a:fillRect/>
        </a:stretch>
      </xdr:blipFill>
      <xdr:spPr>
        <a:prstGeom prst="rect">
          <a:avLst/>
        </a:prstGeom>
        <a:noFill/>
      </xdr:spPr>
    </xdr:pic>
    <xdr:clientData fLocksWithSheet="0"/>
  </xdr:oneCellAnchor>
  <xdr:oneCellAnchor>
    <xdr:from>
      <xdr:col>1</xdr:col>
      <xdr:colOff>0</xdr:colOff>
      <xdr:row>376</xdr:row>
      <xdr:rowOff>0</xdr:rowOff>
    </xdr:from>
    <xdr:ext cx="400050" cy="400050"/>
    <xdr:pic>
      <xdr:nvPicPr>
        <xdr:cNvPr id="0" name="image255.png"/>
        <xdr:cNvPicPr preferRelativeResize="0"/>
      </xdr:nvPicPr>
      <xdr:blipFill>
        <a:blip cstate="print" r:embed="rId86"/>
        <a:stretch>
          <a:fillRect/>
        </a:stretch>
      </xdr:blipFill>
      <xdr:spPr>
        <a:prstGeom prst="rect">
          <a:avLst/>
        </a:prstGeom>
        <a:noFill/>
      </xdr:spPr>
    </xdr:pic>
    <xdr:clientData fLocksWithSheet="0"/>
  </xdr:oneCellAnchor>
  <xdr:oneCellAnchor>
    <xdr:from>
      <xdr:col>1</xdr:col>
      <xdr:colOff>0</xdr:colOff>
      <xdr:row>377</xdr:row>
      <xdr:rowOff>0</xdr:rowOff>
    </xdr:from>
    <xdr:ext cx="400050" cy="400050"/>
    <xdr:pic>
      <xdr:nvPicPr>
        <xdr:cNvPr id="0" name="image269.png"/>
        <xdr:cNvPicPr preferRelativeResize="0"/>
      </xdr:nvPicPr>
      <xdr:blipFill>
        <a:blip cstate="print" r:embed="rId129"/>
        <a:stretch>
          <a:fillRect/>
        </a:stretch>
      </xdr:blipFill>
      <xdr:spPr>
        <a:prstGeom prst="rect">
          <a:avLst/>
        </a:prstGeom>
        <a:noFill/>
      </xdr:spPr>
    </xdr:pic>
    <xdr:clientData fLocksWithSheet="0"/>
  </xdr:oneCellAnchor>
  <xdr:oneCellAnchor>
    <xdr:from>
      <xdr:col>1</xdr:col>
      <xdr:colOff>0</xdr:colOff>
      <xdr:row>378</xdr:row>
      <xdr:rowOff>0</xdr:rowOff>
    </xdr:from>
    <xdr:ext cx="400050" cy="400050"/>
    <xdr:pic>
      <xdr:nvPicPr>
        <xdr:cNvPr id="0" name="image223.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379</xdr:row>
      <xdr:rowOff>0</xdr:rowOff>
    </xdr:from>
    <xdr:ext cx="400050" cy="400050"/>
    <xdr:pic>
      <xdr:nvPicPr>
        <xdr:cNvPr id="0" name="image206.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380</xdr:row>
      <xdr:rowOff>0</xdr:rowOff>
    </xdr:from>
    <xdr:ext cx="400050" cy="400050"/>
    <xdr:pic>
      <xdr:nvPicPr>
        <xdr:cNvPr id="0" name="image11.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381</xdr:row>
      <xdr:rowOff>0</xdr:rowOff>
    </xdr:from>
    <xdr:ext cx="400050" cy="400050"/>
    <xdr:pic>
      <xdr:nvPicPr>
        <xdr:cNvPr id="0" name="image72.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382</xdr:row>
      <xdr:rowOff>0</xdr:rowOff>
    </xdr:from>
    <xdr:ext cx="400050" cy="400050"/>
    <xdr:pic>
      <xdr:nvPicPr>
        <xdr:cNvPr id="0" name="image18.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400</xdr:row>
      <xdr:rowOff>0</xdr:rowOff>
    </xdr:from>
    <xdr:ext cx="400050" cy="400050"/>
    <xdr:pic>
      <xdr:nvPicPr>
        <xdr:cNvPr id="0" name="image221.png"/>
        <xdr:cNvPicPr preferRelativeResize="0"/>
      </xdr:nvPicPr>
      <xdr:blipFill>
        <a:blip cstate="print" r:embed="rId194"/>
        <a:stretch>
          <a:fillRect/>
        </a:stretch>
      </xdr:blipFill>
      <xdr:spPr>
        <a:prstGeom prst="rect">
          <a:avLst/>
        </a:prstGeom>
        <a:noFill/>
      </xdr:spPr>
    </xdr:pic>
    <xdr:clientData fLocksWithSheet="0"/>
  </xdr:oneCellAnchor>
  <xdr:oneCellAnchor>
    <xdr:from>
      <xdr:col>1</xdr:col>
      <xdr:colOff>0</xdr:colOff>
      <xdr:row>401</xdr:row>
      <xdr:rowOff>0</xdr:rowOff>
    </xdr:from>
    <xdr:ext cx="400050" cy="400050"/>
    <xdr:pic>
      <xdr:nvPicPr>
        <xdr:cNvPr id="0" name="image267.png"/>
        <xdr:cNvPicPr preferRelativeResize="0"/>
      </xdr:nvPicPr>
      <xdr:blipFill>
        <a:blip cstate="print" r:embed="rId195"/>
        <a:stretch>
          <a:fillRect/>
        </a:stretch>
      </xdr:blipFill>
      <xdr:spPr>
        <a:prstGeom prst="rect">
          <a:avLst/>
        </a:prstGeom>
        <a:noFill/>
      </xdr:spPr>
    </xdr:pic>
    <xdr:clientData fLocksWithSheet="0"/>
  </xdr:oneCellAnchor>
  <xdr:oneCellAnchor>
    <xdr:from>
      <xdr:col>1</xdr:col>
      <xdr:colOff>0</xdr:colOff>
      <xdr:row>402</xdr:row>
      <xdr:rowOff>0</xdr:rowOff>
    </xdr:from>
    <xdr:ext cx="400050" cy="400050"/>
    <xdr:pic>
      <xdr:nvPicPr>
        <xdr:cNvPr id="0" name="image340.png"/>
        <xdr:cNvPicPr preferRelativeResize="0"/>
      </xdr:nvPicPr>
      <xdr:blipFill>
        <a:blip cstate="print" r:embed="rId196"/>
        <a:stretch>
          <a:fillRect/>
        </a:stretch>
      </xdr:blipFill>
      <xdr:spPr>
        <a:prstGeom prst="rect">
          <a:avLst/>
        </a:prstGeom>
        <a:noFill/>
      </xdr:spPr>
    </xdr:pic>
    <xdr:clientData fLocksWithSheet="0"/>
  </xdr:oneCellAnchor>
  <xdr:oneCellAnchor>
    <xdr:from>
      <xdr:col>1</xdr:col>
      <xdr:colOff>0</xdr:colOff>
      <xdr:row>403</xdr:row>
      <xdr:rowOff>0</xdr:rowOff>
    </xdr:from>
    <xdr:ext cx="400050" cy="400050"/>
    <xdr:pic>
      <xdr:nvPicPr>
        <xdr:cNvPr id="0" name="image236.png"/>
        <xdr:cNvPicPr preferRelativeResize="0"/>
      </xdr:nvPicPr>
      <xdr:blipFill>
        <a:blip cstate="print" r:embed="rId197"/>
        <a:stretch>
          <a:fillRect/>
        </a:stretch>
      </xdr:blipFill>
      <xdr:spPr>
        <a:prstGeom prst="rect">
          <a:avLst/>
        </a:prstGeom>
        <a:noFill/>
      </xdr:spPr>
    </xdr:pic>
    <xdr:clientData fLocksWithSheet="0"/>
  </xdr:oneCellAnchor>
  <xdr:oneCellAnchor>
    <xdr:from>
      <xdr:col>1</xdr:col>
      <xdr:colOff>0</xdr:colOff>
      <xdr:row>404</xdr:row>
      <xdr:rowOff>0</xdr:rowOff>
    </xdr:from>
    <xdr:ext cx="400050" cy="400050"/>
    <xdr:pic>
      <xdr:nvPicPr>
        <xdr:cNvPr id="0" name="image346.png"/>
        <xdr:cNvPicPr preferRelativeResize="0"/>
      </xdr:nvPicPr>
      <xdr:blipFill>
        <a:blip cstate="print" r:embed="rId198"/>
        <a:stretch>
          <a:fillRect/>
        </a:stretch>
      </xdr:blipFill>
      <xdr:spPr>
        <a:prstGeom prst="rect">
          <a:avLst/>
        </a:prstGeom>
        <a:noFill/>
      </xdr:spPr>
    </xdr:pic>
    <xdr:clientData fLocksWithSheet="0"/>
  </xdr:oneCellAnchor>
  <xdr:oneCellAnchor>
    <xdr:from>
      <xdr:col>1</xdr:col>
      <xdr:colOff>0</xdr:colOff>
      <xdr:row>405</xdr:row>
      <xdr:rowOff>0</xdr:rowOff>
    </xdr:from>
    <xdr:ext cx="400050" cy="400050"/>
    <xdr:pic>
      <xdr:nvPicPr>
        <xdr:cNvPr id="0" name="image220.png"/>
        <xdr:cNvPicPr preferRelativeResize="0"/>
      </xdr:nvPicPr>
      <xdr:blipFill>
        <a:blip cstate="print" r:embed="rId139"/>
        <a:stretch>
          <a:fillRect/>
        </a:stretch>
      </xdr:blipFill>
      <xdr:spPr>
        <a:prstGeom prst="rect">
          <a:avLst/>
        </a:prstGeom>
        <a:noFill/>
      </xdr:spPr>
    </xdr:pic>
    <xdr:clientData fLocksWithSheet="0"/>
  </xdr:oneCellAnchor>
  <xdr:oneCellAnchor>
    <xdr:from>
      <xdr:col>1</xdr:col>
      <xdr:colOff>0</xdr:colOff>
      <xdr:row>406</xdr:row>
      <xdr:rowOff>0</xdr:rowOff>
    </xdr:from>
    <xdr:ext cx="400050" cy="400050"/>
    <xdr:pic>
      <xdr:nvPicPr>
        <xdr:cNvPr id="0" name="image289.png"/>
        <xdr:cNvPicPr preferRelativeResize="0"/>
      </xdr:nvPicPr>
      <xdr:blipFill>
        <a:blip cstate="print" r:embed="rId199"/>
        <a:stretch>
          <a:fillRect/>
        </a:stretch>
      </xdr:blipFill>
      <xdr:spPr>
        <a:prstGeom prst="rect">
          <a:avLst/>
        </a:prstGeom>
        <a:noFill/>
      </xdr:spPr>
    </xdr:pic>
    <xdr:clientData fLocksWithSheet="0"/>
  </xdr:oneCellAnchor>
  <xdr:oneCellAnchor>
    <xdr:from>
      <xdr:col>1</xdr:col>
      <xdr:colOff>0</xdr:colOff>
      <xdr:row>407</xdr:row>
      <xdr:rowOff>0</xdr:rowOff>
    </xdr:from>
    <xdr:ext cx="400050" cy="400050"/>
    <xdr:pic>
      <xdr:nvPicPr>
        <xdr:cNvPr id="0" name="image213.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408</xdr:row>
      <xdr:rowOff>0</xdr:rowOff>
    </xdr:from>
    <xdr:ext cx="400050" cy="400050"/>
    <xdr:pic>
      <xdr:nvPicPr>
        <xdr:cNvPr id="0" name="image238.png"/>
        <xdr:cNvPicPr preferRelativeResize="0"/>
      </xdr:nvPicPr>
      <xdr:blipFill>
        <a:blip cstate="print" r:embed="rId200"/>
        <a:stretch>
          <a:fillRect/>
        </a:stretch>
      </xdr:blipFill>
      <xdr:spPr>
        <a:prstGeom prst="rect">
          <a:avLst/>
        </a:prstGeom>
        <a:noFill/>
      </xdr:spPr>
    </xdr:pic>
    <xdr:clientData fLocksWithSheet="0"/>
  </xdr:oneCellAnchor>
  <xdr:oneCellAnchor>
    <xdr:from>
      <xdr:col>1</xdr:col>
      <xdr:colOff>0</xdr:colOff>
      <xdr:row>409</xdr:row>
      <xdr:rowOff>0</xdr:rowOff>
    </xdr:from>
    <xdr:ext cx="400050" cy="400050"/>
    <xdr:pic>
      <xdr:nvPicPr>
        <xdr:cNvPr id="0" name="image226.png"/>
        <xdr:cNvPicPr preferRelativeResize="0"/>
      </xdr:nvPicPr>
      <xdr:blipFill>
        <a:blip cstate="print" r:embed="rId201"/>
        <a:stretch>
          <a:fillRect/>
        </a:stretch>
      </xdr:blipFill>
      <xdr:spPr>
        <a:prstGeom prst="rect">
          <a:avLst/>
        </a:prstGeom>
        <a:noFill/>
      </xdr:spPr>
    </xdr:pic>
    <xdr:clientData fLocksWithSheet="0"/>
  </xdr:oneCellAnchor>
  <xdr:oneCellAnchor>
    <xdr:from>
      <xdr:col>1</xdr:col>
      <xdr:colOff>0</xdr:colOff>
      <xdr:row>410</xdr:row>
      <xdr:rowOff>0</xdr:rowOff>
    </xdr:from>
    <xdr:ext cx="400050" cy="400050"/>
    <xdr:pic>
      <xdr:nvPicPr>
        <xdr:cNvPr id="0" name="image250.png"/>
        <xdr:cNvPicPr preferRelativeResize="0"/>
      </xdr:nvPicPr>
      <xdr:blipFill>
        <a:blip cstate="print" r:embed="rId202"/>
        <a:stretch>
          <a:fillRect/>
        </a:stretch>
      </xdr:blipFill>
      <xdr:spPr>
        <a:prstGeom prst="rect">
          <a:avLst/>
        </a:prstGeom>
        <a:noFill/>
      </xdr:spPr>
    </xdr:pic>
    <xdr:clientData fLocksWithSheet="0"/>
  </xdr:oneCellAnchor>
  <xdr:oneCellAnchor>
    <xdr:from>
      <xdr:col>1</xdr:col>
      <xdr:colOff>0</xdr:colOff>
      <xdr:row>411</xdr:row>
      <xdr:rowOff>0</xdr:rowOff>
    </xdr:from>
    <xdr:ext cx="400050" cy="400050"/>
    <xdr:pic>
      <xdr:nvPicPr>
        <xdr:cNvPr id="0" name="image275.png"/>
        <xdr:cNvPicPr preferRelativeResize="0"/>
      </xdr:nvPicPr>
      <xdr:blipFill>
        <a:blip cstate="print" r:embed="rId203"/>
        <a:stretch>
          <a:fillRect/>
        </a:stretch>
      </xdr:blipFill>
      <xdr:spPr>
        <a:prstGeom prst="rect">
          <a:avLst/>
        </a:prstGeom>
        <a:noFill/>
      </xdr:spPr>
    </xdr:pic>
    <xdr:clientData fLocksWithSheet="0"/>
  </xdr:oneCellAnchor>
  <xdr:oneCellAnchor>
    <xdr:from>
      <xdr:col>1</xdr:col>
      <xdr:colOff>0</xdr:colOff>
      <xdr:row>412</xdr:row>
      <xdr:rowOff>0</xdr:rowOff>
    </xdr:from>
    <xdr:ext cx="400050" cy="400050"/>
    <xdr:pic>
      <xdr:nvPicPr>
        <xdr:cNvPr id="0" name="image251.png"/>
        <xdr:cNvPicPr preferRelativeResize="0"/>
      </xdr:nvPicPr>
      <xdr:blipFill>
        <a:blip cstate="print" r:embed="rId204"/>
        <a:stretch>
          <a:fillRect/>
        </a:stretch>
      </xdr:blipFill>
      <xdr:spPr>
        <a:prstGeom prst="rect">
          <a:avLst/>
        </a:prstGeom>
        <a:noFill/>
      </xdr:spPr>
    </xdr:pic>
    <xdr:clientData fLocksWithSheet="0"/>
  </xdr:oneCellAnchor>
  <xdr:oneCellAnchor>
    <xdr:from>
      <xdr:col>1</xdr:col>
      <xdr:colOff>0</xdr:colOff>
      <xdr:row>413</xdr:row>
      <xdr:rowOff>0</xdr:rowOff>
    </xdr:from>
    <xdr:ext cx="400050" cy="400050"/>
    <xdr:pic>
      <xdr:nvPicPr>
        <xdr:cNvPr id="0" name="image234.png"/>
        <xdr:cNvPicPr preferRelativeResize="0"/>
      </xdr:nvPicPr>
      <xdr:blipFill>
        <a:blip cstate="print" r:embed="rId205"/>
        <a:stretch>
          <a:fillRect/>
        </a:stretch>
      </xdr:blipFill>
      <xdr:spPr>
        <a:prstGeom prst="rect">
          <a:avLst/>
        </a:prstGeom>
        <a:noFill/>
      </xdr:spPr>
    </xdr:pic>
    <xdr:clientData fLocksWithSheet="0"/>
  </xdr:oneCellAnchor>
  <xdr:oneCellAnchor>
    <xdr:from>
      <xdr:col>1</xdr:col>
      <xdr:colOff>0</xdr:colOff>
      <xdr:row>414</xdr:row>
      <xdr:rowOff>0</xdr:rowOff>
    </xdr:from>
    <xdr:ext cx="400050" cy="400050"/>
    <xdr:pic>
      <xdr:nvPicPr>
        <xdr:cNvPr id="0" name="image231.png"/>
        <xdr:cNvPicPr preferRelativeResize="0"/>
      </xdr:nvPicPr>
      <xdr:blipFill>
        <a:blip cstate="print" r:embed="rId206"/>
        <a:stretch>
          <a:fillRect/>
        </a:stretch>
      </xdr:blipFill>
      <xdr:spPr>
        <a:prstGeom prst="rect">
          <a:avLst/>
        </a:prstGeom>
        <a:noFill/>
      </xdr:spPr>
    </xdr:pic>
    <xdr:clientData fLocksWithSheet="0"/>
  </xdr:oneCellAnchor>
  <xdr:oneCellAnchor>
    <xdr:from>
      <xdr:col>1</xdr:col>
      <xdr:colOff>0</xdr:colOff>
      <xdr:row>415</xdr:row>
      <xdr:rowOff>0</xdr:rowOff>
    </xdr:from>
    <xdr:ext cx="400050" cy="400050"/>
    <xdr:pic>
      <xdr:nvPicPr>
        <xdr:cNvPr id="0" name="image300.png"/>
        <xdr:cNvPicPr preferRelativeResize="0"/>
      </xdr:nvPicPr>
      <xdr:blipFill>
        <a:blip cstate="print" r:embed="rId207"/>
        <a:stretch>
          <a:fillRect/>
        </a:stretch>
      </xdr:blipFill>
      <xdr:spPr>
        <a:prstGeom prst="rect">
          <a:avLst/>
        </a:prstGeom>
        <a:noFill/>
      </xdr:spPr>
    </xdr:pic>
    <xdr:clientData fLocksWithSheet="0"/>
  </xdr:oneCellAnchor>
  <xdr:oneCellAnchor>
    <xdr:from>
      <xdr:col>1</xdr:col>
      <xdr:colOff>0</xdr:colOff>
      <xdr:row>416</xdr:row>
      <xdr:rowOff>0</xdr:rowOff>
    </xdr:from>
    <xdr:ext cx="400050" cy="400050"/>
    <xdr:pic>
      <xdr:nvPicPr>
        <xdr:cNvPr id="0" name="image301.png"/>
        <xdr:cNvPicPr preferRelativeResize="0"/>
      </xdr:nvPicPr>
      <xdr:blipFill>
        <a:blip cstate="print" r:embed="rId208"/>
        <a:stretch>
          <a:fillRect/>
        </a:stretch>
      </xdr:blipFill>
      <xdr:spPr>
        <a:prstGeom prst="rect">
          <a:avLst/>
        </a:prstGeom>
        <a:noFill/>
      </xdr:spPr>
    </xdr:pic>
    <xdr:clientData fLocksWithSheet="0"/>
  </xdr:oneCellAnchor>
  <xdr:oneCellAnchor>
    <xdr:from>
      <xdr:col>1</xdr:col>
      <xdr:colOff>0</xdr:colOff>
      <xdr:row>417</xdr:row>
      <xdr:rowOff>0</xdr:rowOff>
    </xdr:from>
    <xdr:ext cx="400050" cy="400050"/>
    <xdr:pic>
      <xdr:nvPicPr>
        <xdr:cNvPr id="0" name="image225.png"/>
        <xdr:cNvPicPr preferRelativeResize="0"/>
      </xdr:nvPicPr>
      <xdr:blipFill>
        <a:blip cstate="print" r:embed="rId129"/>
        <a:stretch>
          <a:fillRect/>
        </a:stretch>
      </xdr:blipFill>
      <xdr:spPr>
        <a:prstGeom prst="rect">
          <a:avLst/>
        </a:prstGeom>
        <a:noFill/>
      </xdr:spPr>
    </xdr:pic>
    <xdr:clientData fLocksWithSheet="0"/>
  </xdr:oneCellAnchor>
  <xdr:oneCellAnchor>
    <xdr:from>
      <xdr:col>1</xdr:col>
      <xdr:colOff>0</xdr:colOff>
      <xdr:row>418</xdr:row>
      <xdr:rowOff>0</xdr:rowOff>
    </xdr:from>
    <xdr:ext cx="400050" cy="400050"/>
    <xdr:pic>
      <xdr:nvPicPr>
        <xdr:cNvPr id="0" name="image304.png"/>
        <xdr:cNvPicPr preferRelativeResize="0"/>
      </xdr:nvPicPr>
      <xdr:blipFill>
        <a:blip cstate="print" r:embed="rId209"/>
        <a:stretch>
          <a:fillRect/>
        </a:stretch>
      </xdr:blipFill>
      <xdr:spPr>
        <a:prstGeom prst="rect">
          <a:avLst/>
        </a:prstGeom>
        <a:noFill/>
      </xdr:spPr>
    </xdr:pic>
    <xdr:clientData fLocksWithSheet="0"/>
  </xdr:oneCellAnchor>
  <xdr:oneCellAnchor>
    <xdr:from>
      <xdr:col>1</xdr:col>
      <xdr:colOff>0</xdr:colOff>
      <xdr:row>419</xdr:row>
      <xdr:rowOff>0</xdr:rowOff>
    </xdr:from>
    <xdr:ext cx="400050" cy="400050"/>
    <xdr:pic>
      <xdr:nvPicPr>
        <xdr:cNvPr id="0" name="image378.png"/>
        <xdr:cNvPicPr preferRelativeResize="0"/>
      </xdr:nvPicPr>
      <xdr:blipFill>
        <a:blip cstate="print" r:embed="rId210"/>
        <a:stretch>
          <a:fillRect/>
        </a:stretch>
      </xdr:blipFill>
      <xdr:spPr>
        <a:prstGeom prst="rect">
          <a:avLst/>
        </a:prstGeom>
        <a:noFill/>
      </xdr:spPr>
    </xdr:pic>
    <xdr:clientData fLocksWithSheet="0"/>
  </xdr:oneCellAnchor>
  <xdr:oneCellAnchor>
    <xdr:from>
      <xdr:col>1</xdr:col>
      <xdr:colOff>0</xdr:colOff>
      <xdr:row>420</xdr:row>
      <xdr:rowOff>0</xdr:rowOff>
    </xdr:from>
    <xdr:ext cx="400050" cy="400050"/>
    <xdr:pic>
      <xdr:nvPicPr>
        <xdr:cNvPr id="0" name="image281.png"/>
        <xdr:cNvPicPr preferRelativeResize="0"/>
      </xdr:nvPicPr>
      <xdr:blipFill>
        <a:blip cstate="print" r:embed="rId211"/>
        <a:stretch>
          <a:fillRect/>
        </a:stretch>
      </xdr:blipFill>
      <xdr:spPr>
        <a:prstGeom prst="rect">
          <a:avLst/>
        </a:prstGeom>
        <a:noFill/>
      </xdr:spPr>
    </xdr:pic>
    <xdr:clientData fLocksWithSheet="0"/>
  </xdr:oneCellAnchor>
  <xdr:oneCellAnchor>
    <xdr:from>
      <xdr:col>1</xdr:col>
      <xdr:colOff>0</xdr:colOff>
      <xdr:row>421</xdr:row>
      <xdr:rowOff>0</xdr:rowOff>
    </xdr:from>
    <xdr:ext cx="400050" cy="400050"/>
    <xdr:pic>
      <xdr:nvPicPr>
        <xdr:cNvPr id="0" name="image293.png"/>
        <xdr:cNvPicPr preferRelativeResize="0"/>
      </xdr:nvPicPr>
      <xdr:blipFill>
        <a:blip cstate="print" r:embed="rId212"/>
        <a:stretch>
          <a:fillRect/>
        </a:stretch>
      </xdr:blipFill>
      <xdr:spPr>
        <a:prstGeom prst="rect">
          <a:avLst/>
        </a:prstGeom>
        <a:noFill/>
      </xdr:spPr>
    </xdr:pic>
    <xdr:clientData fLocksWithSheet="0"/>
  </xdr:oneCellAnchor>
  <xdr:oneCellAnchor>
    <xdr:from>
      <xdr:col>1</xdr:col>
      <xdr:colOff>0</xdr:colOff>
      <xdr:row>422</xdr:row>
      <xdr:rowOff>0</xdr:rowOff>
    </xdr:from>
    <xdr:ext cx="400050" cy="400050"/>
    <xdr:pic>
      <xdr:nvPicPr>
        <xdr:cNvPr id="0" name="image285.png"/>
        <xdr:cNvPicPr preferRelativeResize="0"/>
      </xdr:nvPicPr>
      <xdr:blipFill>
        <a:blip cstate="print" r:embed="rId213"/>
        <a:stretch>
          <a:fillRect/>
        </a:stretch>
      </xdr:blipFill>
      <xdr:spPr>
        <a:prstGeom prst="rect">
          <a:avLst/>
        </a:prstGeom>
        <a:noFill/>
      </xdr:spPr>
    </xdr:pic>
    <xdr:clientData fLocksWithSheet="0"/>
  </xdr:oneCellAnchor>
  <xdr:oneCellAnchor>
    <xdr:from>
      <xdr:col>1</xdr:col>
      <xdr:colOff>0</xdr:colOff>
      <xdr:row>423</xdr:row>
      <xdr:rowOff>0</xdr:rowOff>
    </xdr:from>
    <xdr:ext cx="400050" cy="400050"/>
    <xdr:pic>
      <xdr:nvPicPr>
        <xdr:cNvPr id="0" name="image294.png"/>
        <xdr:cNvPicPr preferRelativeResize="0"/>
      </xdr:nvPicPr>
      <xdr:blipFill>
        <a:blip cstate="print" r:embed="rId214"/>
        <a:stretch>
          <a:fillRect/>
        </a:stretch>
      </xdr:blipFill>
      <xdr:spPr>
        <a:prstGeom prst="rect">
          <a:avLst/>
        </a:prstGeom>
        <a:noFill/>
      </xdr:spPr>
    </xdr:pic>
    <xdr:clientData fLocksWithSheet="0"/>
  </xdr:oneCellAnchor>
  <xdr:oneCellAnchor>
    <xdr:from>
      <xdr:col>1</xdr:col>
      <xdr:colOff>0</xdr:colOff>
      <xdr:row>424</xdr:row>
      <xdr:rowOff>0</xdr:rowOff>
    </xdr:from>
    <xdr:ext cx="400050" cy="400050"/>
    <xdr:pic>
      <xdr:nvPicPr>
        <xdr:cNvPr id="0" name="image332.png"/>
        <xdr:cNvPicPr preferRelativeResize="0"/>
      </xdr:nvPicPr>
      <xdr:blipFill>
        <a:blip cstate="print" r:embed="rId215"/>
        <a:stretch>
          <a:fillRect/>
        </a:stretch>
      </xdr:blipFill>
      <xdr:spPr>
        <a:prstGeom prst="rect">
          <a:avLst/>
        </a:prstGeom>
        <a:noFill/>
      </xdr:spPr>
    </xdr:pic>
    <xdr:clientData fLocksWithSheet="0"/>
  </xdr:oneCellAnchor>
  <xdr:oneCellAnchor>
    <xdr:from>
      <xdr:col>1</xdr:col>
      <xdr:colOff>0</xdr:colOff>
      <xdr:row>425</xdr:row>
      <xdr:rowOff>0</xdr:rowOff>
    </xdr:from>
    <xdr:ext cx="400050" cy="400050"/>
    <xdr:pic>
      <xdr:nvPicPr>
        <xdr:cNvPr id="0" name="image11.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426</xdr:row>
      <xdr:rowOff>0</xdr:rowOff>
    </xdr:from>
    <xdr:ext cx="400050" cy="400050"/>
    <xdr:pic>
      <xdr:nvPicPr>
        <xdr:cNvPr id="0" name="image72.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427</xdr:row>
      <xdr:rowOff>0</xdr:rowOff>
    </xdr:from>
    <xdr:ext cx="400050" cy="400050"/>
    <xdr:pic>
      <xdr:nvPicPr>
        <xdr:cNvPr id="0" name="image18.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450</xdr:row>
      <xdr:rowOff>0</xdr:rowOff>
    </xdr:from>
    <xdr:ext cx="400050" cy="400050"/>
    <xdr:pic>
      <xdr:nvPicPr>
        <xdr:cNvPr id="0" name="image259.png"/>
        <xdr:cNvPicPr preferRelativeResize="0"/>
      </xdr:nvPicPr>
      <xdr:blipFill>
        <a:blip cstate="print" r:embed="rId216"/>
        <a:stretch>
          <a:fillRect/>
        </a:stretch>
      </xdr:blipFill>
      <xdr:spPr>
        <a:prstGeom prst="rect">
          <a:avLst/>
        </a:prstGeom>
        <a:noFill/>
      </xdr:spPr>
    </xdr:pic>
    <xdr:clientData fLocksWithSheet="0"/>
  </xdr:oneCellAnchor>
  <xdr:oneCellAnchor>
    <xdr:from>
      <xdr:col>1</xdr:col>
      <xdr:colOff>0</xdr:colOff>
      <xdr:row>451</xdr:row>
      <xdr:rowOff>0</xdr:rowOff>
    </xdr:from>
    <xdr:ext cx="400050" cy="400050"/>
    <xdr:pic>
      <xdr:nvPicPr>
        <xdr:cNvPr id="0" name="image258.png"/>
        <xdr:cNvPicPr preferRelativeResize="0"/>
      </xdr:nvPicPr>
      <xdr:blipFill>
        <a:blip cstate="print" r:embed="rId217"/>
        <a:stretch>
          <a:fillRect/>
        </a:stretch>
      </xdr:blipFill>
      <xdr:spPr>
        <a:prstGeom prst="rect">
          <a:avLst/>
        </a:prstGeom>
        <a:noFill/>
      </xdr:spPr>
    </xdr:pic>
    <xdr:clientData fLocksWithSheet="0"/>
  </xdr:oneCellAnchor>
  <xdr:oneCellAnchor>
    <xdr:from>
      <xdr:col>1</xdr:col>
      <xdr:colOff>0</xdr:colOff>
      <xdr:row>452</xdr:row>
      <xdr:rowOff>0</xdr:rowOff>
    </xdr:from>
    <xdr:ext cx="400050" cy="400050"/>
    <xdr:pic>
      <xdr:nvPicPr>
        <xdr:cNvPr id="0" name="image341.png"/>
        <xdr:cNvPicPr preferRelativeResize="0"/>
      </xdr:nvPicPr>
      <xdr:blipFill>
        <a:blip cstate="print" r:embed="rId218"/>
        <a:stretch>
          <a:fillRect/>
        </a:stretch>
      </xdr:blipFill>
      <xdr:spPr>
        <a:prstGeom prst="rect">
          <a:avLst/>
        </a:prstGeom>
        <a:noFill/>
      </xdr:spPr>
    </xdr:pic>
    <xdr:clientData fLocksWithSheet="0"/>
  </xdr:oneCellAnchor>
  <xdr:oneCellAnchor>
    <xdr:from>
      <xdr:col>1</xdr:col>
      <xdr:colOff>0</xdr:colOff>
      <xdr:row>453</xdr:row>
      <xdr:rowOff>0</xdr:rowOff>
    </xdr:from>
    <xdr:ext cx="400050" cy="400050"/>
    <xdr:pic>
      <xdr:nvPicPr>
        <xdr:cNvPr id="0" name="image247.png"/>
        <xdr:cNvPicPr preferRelativeResize="0"/>
      </xdr:nvPicPr>
      <xdr:blipFill>
        <a:blip cstate="print" r:embed="rId219"/>
        <a:stretch>
          <a:fillRect/>
        </a:stretch>
      </xdr:blipFill>
      <xdr:spPr>
        <a:prstGeom prst="rect">
          <a:avLst/>
        </a:prstGeom>
        <a:noFill/>
      </xdr:spPr>
    </xdr:pic>
    <xdr:clientData fLocksWithSheet="0"/>
  </xdr:oneCellAnchor>
  <xdr:oneCellAnchor>
    <xdr:from>
      <xdr:col>1</xdr:col>
      <xdr:colOff>0</xdr:colOff>
      <xdr:row>454</xdr:row>
      <xdr:rowOff>0</xdr:rowOff>
    </xdr:from>
    <xdr:ext cx="400050" cy="400050"/>
    <xdr:pic>
      <xdr:nvPicPr>
        <xdr:cNvPr id="0" name="image270.png"/>
        <xdr:cNvPicPr preferRelativeResize="0"/>
      </xdr:nvPicPr>
      <xdr:blipFill>
        <a:blip cstate="print" r:embed="rId220"/>
        <a:stretch>
          <a:fillRect/>
        </a:stretch>
      </xdr:blipFill>
      <xdr:spPr>
        <a:prstGeom prst="rect">
          <a:avLst/>
        </a:prstGeom>
        <a:noFill/>
      </xdr:spPr>
    </xdr:pic>
    <xdr:clientData fLocksWithSheet="0"/>
  </xdr:oneCellAnchor>
  <xdr:oneCellAnchor>
    <xdr:from>
      <xdr:col>1</xdr:col>
      <xdr:colOff>0</xdr:colOff>
      <xdr:row>455</xdr:row>
      <xdr:rowOff>0</xdr:rowOff>
    </xdr:from>
    <xdr:ext cx="400050" cy="400050"/>
    <xdr:pic>
      <xdr:nvPicPr>
        <xdr:cNvPr id="0" name="image241.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456</xdr:row>
      <xdr:rowOff>0</xdr:rowOff>
    </xdr:from>
    <xdr:ext cx="400050" cy="400050"/>
    <xdr:pic>
      <xdr:nvPicPr>
        <xdr:cNvPr id="0" name="image296.png"/>
        <xdr:cNvPicPr preferRelativeResize="0"/>
      </xdr:nvPicPr>
      <xdr:blipFill>
        <a:blip cstate="print" r:embed="rId221"/>
        <a:stretch>
          <a:fillRect/>
        </a:stretch>
      </xdr:blipFill>
      <xdr:spPr>
        <a:prstGeom prst="rect">
          <a:avLst/>
        </a:prstGeom>
        <a:noFill/>
      </xdr:spPr>
    </xdr:pic>
    <xdr:clientData fLocksWithSheet="0"/>
  </xdr:oneCellAnchor>
  <xdr:oneCellAnchor>
    <xdr:from>
      <xdr:col>1</xdr:col>
      <xdr:colOff>0</xdr:colOff>
      <xdr:row>457</xdr:row>
      <xdr:rowOff>0</xdr:rowOff>
    </xdr:from>
    <xdr:ext cx="400050" cy="400050"/>
    <xdr:pic>
      <xdr:nvPicPr>
        <xdr:cNvPr id="0" name="image263.png"/>
        <xdr:cNvPicPr preferRelativeResize="0"/>
      </xdr:nvPicPr>
      <xdr:blipFill>
        <a:blip cstate="print" r:embed="rId222"/>
        <a:stretch>
          <a:fillRect/>
        </a:stretch>
      </xdr:blipFill>
      <xdr:spPr>
        <a:prstGeom prst="rect">
          <a:avLst/>
        </a:prstGeom>
        <a:noFill/>
      </xdr:spPr>
    </xdr:pic>
    <xdr:clientData fLocksWithSheet="0"/>
  </xdr:oneCellAnchor>
  <xdr:oneCellAnchor>
    <xdr:from>
      <xdr:col>1</xdr:col>
      <xdr:colOff>0</xdr:colOff>
      <xdr:row>458</xdr:row>
      <xdr:rowOff>0</xdr:rowOff>
    </xdr:from>
    <xdr:ext cx="400050" cy="400050"/>
    <xdr:pic>
      <xdr:nvPicPr>
        <xdr:cNvPr id="0" name="image235.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459</xdr:row>
      <xdr:rowOff>0</xdr:rowOff>
    </xdr:from>
    <xdr:ext cx="400050" cy="400050"/>
    <xdr:pic>
      <xdr:nvPicPr>
        <xdr:cNvPr id="0" name="image272.png"/>
        <xdr:cNvPicPr preferRelativeResize="0"/>
      </xdr:nvPicPr>
      <xdr:blipFill>
        <a:blip cstate="print" r:embed="rId223"/>
        <a:stretch>
          <a:fillRect/>
        </a:stretch>
      </xdr:blipFill>
      <xdr:spPr>
        <a:prstGeom prst="rect">
          <a:avLst/>
        </a:prstGeom>
        <a:noFill/>
      </xdr:spPr>
    </xdr:pic>
    <xdr:clientData fLocksWithSheet="0"/>
  </xdr:oneCellAnchor>
  <xdr:oneCellAnchor>
    <xdr:from>
      <xdr:col>1</xdr:col>
      <xdr:colOff>0</xdr:colOff>
      <xdr:row>460</xdr:row>
      <xdr:rowOff>0</xdr:rowOff>
    </xdr:from>
    <xdr:ext cx="400050" cy="400050"/>
    <xdr:pic>
      <xdr:nvPicPr>
        <xdr:cNvPr id="0" name="image321.png"/>
        <xdr:cNvPicPr preferRelativeResize="0"/>
      </xdr:nvPicPr>
      <xdr:blipFill>
        <a:blip cstate="print" r:embed="rId224"/>
        <a:stretch>
          <a:fillRect/>
        </a:stretch>
      </xdr:blipFill>
      <xdr:spPr>
        <a:prstGeom prst="rect">
          <a:avLst/>
        </a:prstGeom>
        <a:noFill/>
      </xdr:spPr>
    </xdr:pic>
    <xdr:clientData fLocksWithSheet="0"/>
  </xdr:oneCellAnchor>
  <xdr:oneCellAnchor>
    <xdr:from>
      <xdr:col>1</xdr:col>
      <xdr:colOff>0</xdr:colOff>
      <xdr:row>461</xdr:row>
      <xdr:rowOff>0</xdr:rowOff>
    </xdr:from>
    <xdr:ext cx="400050" cy="400050"/>
    <xdr:pic>
      <xdr:nvPicPr>
        <xdr:cNvPr id="0" name="image276.png"/>
        <xdr:cNvPicPr preferRelativeResize="0"/>
      </xdr:nvPicPr>
      <xdr:blipFill>
        <a:blip cstate="print" r:embed="rId225"/>
        <a:stretch>
          <a:fillRect/>
        </a:stretch>
      </xdr:blipFill>
      <xdr:spPr>
        <a:prstGeom prst="rect">
          <a:avLst/>
        </a:prstGeom>
        <a:noFill/>
      </xdr:spPr>
    </xdr:pic>
    <xdr:clientData fLocksWithSheet="0"/>
  </xdr:oneCellAnchor>
  <xdr:oneCellAnchor>
    <xdr:from>
      <xdr:col>1</xdr:col>
      <xdr:colOff>0</xdr:colOff>
      <xdr:row>462</xdr:row>
      <xdr:rowOff>0</xdr:rowOff>
    </xdr:from>
    <xdr:ext cx="400050" cy="400050"/>
    <xdr:pic>
      <xdr:nvPicPr>
        <xdr:cNvPr id="0" name="image273.png"/>
        <xdr:cNvPicPr preferRelativeResize="0"/>
      </xdr:nvPicPr>
      <xdr:blipFill>
        <a:blip cstate="print" r:embed="rId226"/>
        <a:stretch>
          <a:fillRect/>
        </a:stretch>
      </xdr:blipFill>
      <xdr:spPr>
        <a:prstGeom prst="rect">
          <a:avLst/>
        </a:prstGeom>
        <a:noFill/>
      </xdr:spPr>
    </xdr:pic>
    <xdr:clientData fLocksWithSheet="0"/>
  </xdr:oneCellAnchor>
  <xdr:oneCellAnchor>
    <xdr:from>
      <xdr:col>1</xdr:col>
      <xdr:colOff>0</xdr:colOff>
      <xdr:row>463</xdr:row>
      <xdr:rowOff>0</xdr:rowOff>
    </xdr:from>
    <xdr:ext cx="400050" cy="400050"/>
    <xdr:pic>
      <xdr:nvPicPr>
        <xdr:cNvPr id="0" name="image317.png"/>
        <xdr:cNvPicPr preferRelativeResize="0"/>
      </xdr:nvPicPr>
      <xdr:blipFill>
        <a:blip cstate="print" r:embed="rId227"/>
        <a:stretch>
          <a:fillRect/>
        </a:stretch>
      </xdr:blipFill>
      <xdr:spPr>
        <a:prstGeom prst="rect">
          <a:avLst/>
        </a:prstGeom>
        <a:noFill/>
      </xdr:spPr>
    </xdr:pic>
    <xdr:clientData fLocksWithSheet="0"/>
  </xdr:oneCellAnchor>
  <xdr:oneCellAnchor>
    <xdr:from>
      <xdr:col>1</xdr:col>
      <xdr:colOff>0</xdr:colOff>
      <xdr:row>464</xdr:row>
      <xdr:rowOff>0</xdr:rowOff>
    </xdr:from>
    <xdr:ext cx="400050" cy="400050"/>
    <xdr:pic>
      <xdr:nvPicPr>
        <xdr:cNvPr id="0" name="image264.png"/>
        <xdr:cNvPicPr preferRelativeResize="0"/>
      </xdr:nvPicPr>
      <xdr:blipFill>
        <a:blip cstate="print" r:embed="rId228"/>
        <a:stretch>
          <a:fillRect/>
        </a:stretch>
      </xdr:blipFill>
      <xdr:spPr>
        <a:prstGeom prst="rect">
          <a:avLst/>
        </a:prstGeom>
        <a:noFill/>
      </xdr:spPr>
    </xdr:pic>
    <xdr:clientData fLocksWithSheet="0"/>
  </xdr:oneCellAnchor>
  <xdr:oneCellAnchor>
    <xdr:from>
      <xdr:col>1</xdr:col>
      <xdr:colOff>0</xdr:colOff>
      <xdr:row>465</xdr:row>
      <xdr:rowOff>0</xdr:rowOff>
    </xdr:from>
    <xdr:ext cx="400050" cy="400050"/>
    <xdr:pic>
      <xdr:nvPicPr>
        <xdr:cNvPr id="0" name="image363.png"/>
        <xdr:cNvPicPr preferRelativeResize="0"/>
      </xdr:nvPicPr>
      <xdr:blipFill>
        <a:blip cstate="print" r:embed="rId229"/>
        <a:stretch>
          <a:fillRect/>
        </a:stretch>
      </xdr:blipFill>
      <xdr:spPr>
        <a:prstGeom prst="rect">
          <a:avLst/>
        </a:prstGeom>
        <a:noFill/>
      </xdr:spPr>
    </xdr:pic>
    <xdr:clientData fLocksWithSheet="0"/>
  </xdr:oneCellAnchor>
  <xdr:oneCellAnchor>
    <xdr:from>
      <xdr:col>1</xdr:col>
      <xdr:colOff>0</xdr:colOff>
      <xdr:row>466</xdr:row>
      <xdr:rowOff>0</xdr:rowOff>
    </xdr:from>
    <xdr:ext cx="400050" cy="400050"/>
    <xdr:pic>
      <xdr:nvPicPr>
        <xdr:cNvPr id="0" name="image339.png"/>
        <xdr:cNvPicPr preferRelativeResize="0"/>
      </xdr:nvPicPr>
      <xdr:blipFill>
        <a:blip cstate="print" r:embed="rId230"/>
        <a:stretch>
          <a:fillRect/>
        </a:stretch>
      </xdr:blipFill>
      <xdr:spPr>
        <a:prstGeom prst="rect">
          <a:avLst/>
        </a:prstGeom>
        <a:noFill/>
      </xdr:spPr>
    </xdr:pic>
    <xdr:clientData fLocksWithSheet="0"/>
  </xdr:oneCellAnchor>
  <xdr:oneCellAnchor>
    <xdr:from>
      <xdr:col>1</xdr:col>
      <xdr:colOff>0</xdr:colOff>
      <xdr:row>467</xdr:row>
      <xdr:rowOff>0</xdr:rowOff>
    </xdr:from>
    <xdr:ext cx="400050" cy="400050"/>
    <xdr:pic>
      <xdr:nvPicPr>
        <xdr:cNvPr id="0" name="image316.png"/>
        <xdr:cNvPicPr preferRelativeResize="0"/>
      </xdr:nvPicPr>
      <xdr:blipFill>
        <a:blip cstate="print" r:embed="rId231"/>
        <a:stretch>
          <a:fillRect/>
        </a:stretch>
      </xdr:blipFill>
      <xdr:spPr>
        <a:prstGeom prst="rect">
          <a:avLst/>
        </a:prstGeom>
        <a:noFill/>
      </xdr:spPr>
    </xdr:pic>
    <xdr:clientData fLocksWithSheet="0"/>
  </xdr:oneCellAnchor>
  <xdr:oneCellAnchor>
    <xdr:from>
      <xdr:col>1</xdr:col>
      <xdr:colOff>0</xdr:colOff>
      <xdr:row>468</xdr:row>
      <xdr:rowOff>0</xdr:rowOff>
    </xdr:from>
    <xdr:ext cx="400050" cy="400050"/>
    <xdr:pic>
      <xdr:nvPicPr>
        <xdr:cNvPr id="0" name="image328.png"/>
        <xdr:cNvPicPr preferRelativeResize="0"/>
      </xdr:nvPicPr>
      <xdr:blipFill>
        <a:blip cstate="print" r:embed="rId232"/>
        <a:stretch>
          <a:fillRect/>
        </a:stretch>
      </xdr:blipFill>
      <xdr:spPr>
        <a:prstGeom prst="rect">
          <a:avLst/>
        </a:prstGeom>
        <a:noFill/>
      </xdr:spPr>
    </xdr:pic>
    <xdr:clientData fLocksWithSheet="0"/>
  </xdr:oneCellAnchor>
  <xdr:oneCellAnchor>
    <xdr:from>
      <xdr:col>1</xdr:col>
      <xdr:colOff>0</xdr:colOff>
      <xdr:row>469</xdr:row>
      <xdr:rowOff>0</xdr:rowOff>
    </xdr:from>
    <xdr:ext cx="400050" cy="400050"/>
    <xdr:pic>
      <xdr:nvPicPr>
        <xdr:cNvPr id="0" name="image284.png"/>
        <xdr:cNvPicPr preferRelativeResize="0"/>
      </xdr:nvPicPr>
      <xdr:blipFill>
        <a:blip cstate="print" r:embed="rId233"/>
        <a:stretch>
          <a:fillRect/>
        </a:stretch>
      </xdr:blipFill>
      <xdr:spPr>
        <a:prstGeom prst="rect">
          <a:avLst/>
        </a:prstGeom>
        <a:noFill/>
      </xdr:spPr>
    </xdr:pic>
    <xdr:clientData fLocksWithSheet="0"/>
  </xdr:oneCellAnchor>
  <xdr:oneCellAnchor>
    <xdr:from>
      <xdr:col>1</xdr:col>
      <xdr:colOff>0</xdr:colOff>
      <xdr:row>470</xdr:row>
      <xdr:rowOff>0</xdr:rowOff>
    </xdr:from>
    <xdr:ext cx="400050" cy="400050"/>
    <xdr:pic>
      <xdr:nvPicPr>
        <xdr:cNvPr id="0" name="image252.png"/>
        <xdr:cNvPicPr preferRelativeResize="0"/>
      </xdr:nvPicPr>
      <xdr:blipFill>
        <a:blip cstate="print" r:embed="rId129"/>
        <a:stretch>
          <a:fillRect/>
        </a:stretch>
      </xdr:blipFill>
      <xdr:spPr>
        <a:prstGeom prst="rect">
          <a:avLst/>
        </a:prstGeom>
        <a:noFill/>
      </xdr:spPr>
    </xdr:pic>
    <xdr:clientData fLocksWithSheet="0"/>
  </xdr:oneCellAnchor>
  <xdr:oneCellAnchor>
    <xdr:from>
      <xdr:col>1</xdr:col>
      <xdr:colOff>0</xdr:colOff>
      <xdr:row>471</xdr:row>
      <xdr:rowOff>0</xdr:rowOff>
    </xdr:from>
    <xdr:ext cx="390525" cy="400050"/>
    <xdr:pic>
      <xdr:nvPicPr>
        <xdr:cNvPr id="0" name="image288.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472</xdr:row>
      <xdr:rowOff>0</xdr:rowOff>
    </xdr:from>
    <xdr:ext cx="400050" cy="400050"/>
    <xdr:pic>
      <xdr:nvPicPr>
        <xdr:cNvPr id="0" name="image279.png"/>
        <xdr:cNvPicPr preferRelativeResize="0"/>
      </xdr:nvPicPr>
      <xdr:blipFill>
        <a:blip cstate="print" r:embed="rId234"/>
        <a:stretch>
          <a:fillRect/>
        </a:stretch>
      </xdr:blipFill>
      <xdr:spPr>
        <a:prstGeom prst="rect">
          <a:avLst/>
        </a:prstGeom>
        <a:noFill/>
      </xdr:spPr>
    </xdr:pic>
    <xdr:clientData fLocksWithSheet="0"/>
  </xdr:oneCellAnchor>
  <xdr:oneCellAnchor>
    <xdr:from>
      <xdr:col>1</xdr:col>
      <xdr:colOff>0</xdr:colOff>
      <xdr:row>473</xdr:row>
      <xdr:rowOff>0</xdr:rowOff>
    </xdr:from>
    <xdr:ext cx="400050" cy="400050"/>
    <xdr:pic>
      <xdr:nvPicPr>
        <xdr:cNvPr id="0" name="image310.png"/>
        <xdr:cNvPicPr preferRelativeResize="0"/>
      </xdr:nvPicPr>
      <xdr:blipFill>
        <a:blip cstate="print" r:embed="rId235"/>
        <a:stretch>
          <a:fillRect/>
        </a:stretch>
      </xdr:blipFill>
      <xdr:spPr>
        <a:prstGeom prst="rect">
          <a:avLst/>
        </a:prstGeom>
        <a:noFill/>
      </xdr:spPr>
    </xdr:pic>
    <xdr:clientData fLocksWithSheet="0"/>
  </xdr:oneCellAnchor>
  <xdr:oneCellAnchor>
    <xdr:from>
      <xdr:col>1</xdr:col>
      <xdr:colOff>0</xdr:colOff>
      <xdr:row>474</xdr:row>
      <xdr:rowOff>0</xdr:rowOff>
    </xdr:from>
    <xdr:ext cx="400050" cy="400050"/>
    <xdr:pic>
      <xdr:nvPicPr>
        <xdr:cNvPr id="0" name="image298.png"/>
        <xdr:cNvPicPr preferRelativeResize="0"/>
      </xdr:nvPicPr>
      <xdr:blipFill>
        <a:blip cstate="print" r:embed="rId86"/>
        <a:stretch>
          <a:fillRect/>
        </a:stretch>
      </xdr:blipFill>
      <xdr:spPr>
        <a:prstGeom prst="rect">
          <a:avLst/>
        </a:prstGeom>
        <a:noFill/>
      </xdr:spPr>
    </xdr:pic>
    <xdr:clientData fLocksWithSheet="0"/>
  </xdr:oneCellAnchor>
  <xdr:oneCellAnchor>
    <xdr:from>
      <xdr:col>1</xdr:col>
      <xdr:colOff>0</xdr:colOff>
      <xdr:row>475</xdr:row>
      <xdr:rowOff>0</xdr:rowOff>
    </xdr:from>
    <xdr:ext cx="400050" cy="400050"/>
    <xdr:pic>
      <xdr:nvPicPr>
        <xdr:cNvPr id="0" name="image278.png"/>
        <xdr:cNvPicPr preferRelativeResize="0"/>
      </xdr:nvPicPr>
      <xdr:blipFill>
        <a:blip cstate="print" r:embed="rId236"/>
        <a:stretch>
          <a:fillRect/>
        </a:stretch>
      </xdr:blipFill>
      <xdr:spPr>
        <a:prstGeom prst="rect">
          <a:avLst/>
        </a:prstGeom>
        <a:noFill/>
      </xdr:spPr>
    </xdr:pic>
    <xdr:clientData fLocksWithSheet="0"/>
  </xdr:oneCellAnchor>
  <xdr:oneCellAnchor>
    <xdr:from>
      <xdr:col>1</xdr:col>
      <xdr:colOff>0</xdr:colOff>
      <xdr:row>476</xdr:row>
      <xdr:rowOff>0</xdr:rowOff>
    </xdr:from>
    <xdr:ext cx="400050" cy="400050"/>
    <xdr:pic>
      <xdr:nvPicPr>
        <xdr:cNvPr id="0" name="image282.png"/>
        <xdr:cNvPicPr preferRelativeResize="0"/>
      </xdr:nvPicPr>
      <xdr:blipFill>
        <a:blip cstate="print" r:embed="rId237"/>
        <a:stretch>
          <a:fillRect/>
        </a:stretch>
      </xdr:blipFill>
      <xdr:spPr>
        <a:prstGeom prst="rect">
          <a:avLst/>
        </a:prstGeom>
        <a:noFill/>
      </xdr:spPr>
    </xdr:pic>
    <xdr:clientData fLocksWithSheet="0"/>
  </xdr:oneCellAnchor>
  <xdr:oneCellAnchor>
    <xdr:from>
      <xdr:col>1</xdr:col>
      <xdr:colOff>0</xdr:colOff>
      <xdr:row>477</xdr:row>
      <xdr:rowOff>0</xdr:rowOff>
    </xdr:from>
    <xdr:ext cx="400050" cy="400050"/>
    <xdr:pic>
      <xdr:nvPicPr>
        <xdr:cNvPr id="0" name="image11.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478</xdr:row>
      <xdr:rowOff>0</xdr:rowOff>
    </xdr:from>
    <xdr:ext cx="400050" cy="400050"/>
    <xdr:pic>
      <xdr:nvPicPr>
        <xdr:cNvPr id="0" name="image72.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479</xdr:row>
      <xdr:rowOff>0</xdr:rowOff>
    </xdr:from>
    <xdr:ext cx="400050" cy="400050"/>
    <xdr:pic>
      <xdr:nvPicPr>
        <xdr:cNvPr id="0" name="image18.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500</xdr:row>
      <xdr:rowOff>0</xdr:rowOff>
    </xdr:from>
    <xdr:ext cx="400050" cy="400050"/>
    <xdr:pic>
      <xdr:nvPicPr>
        <xdr:cNvPr id="0" name="image260.png"/>
        <xdr:cNvPicPr preferRelativeResize="0"/>
      </xdr:nvPicPr>
      <xdr:blipFill>
        <a:blip cstate="print" r:embed="rId238"/>
        <a:stretch>
          <a:fillRect/>
        </a:stretch>
      </xdr:blipFill>
      <xdr:spPr>
        <a:prstGeom prst="rect">
          <a:avLst/>
        </a:prstGeom>
        <a:noFill/>
      </xdr:spPr>
    </xdr:pic>
    <xdr:clientData fLocksWithSheet="0"/>
  </xdr:oneCellAnchor>
  <xdr:oneCellAnchor>
    <xdr:from>
      <xdr:col>1</xdr:col>
      <xdr:colOff>0</xdr:colOff>
      <xdr:row>501</xdr:row>
      <xdr:rowOff>0</xdr:rowOff>
    </xdr:from>
    <xdr:ext cx="400050" cy="400050"/>
    <xdr:pic>
      <xdr:nvPicPr>
        <xdr:cNvPr id="0" name="image481.png"/>
        <xdr:cNvPicPr preferRelativeResize="0"/>
      </xdr:nvPicPr>
      <xdr:blipFill>
        <a:blip cstate="print" r:embed="rId239"/>
        <a:stretch>
          <a:fillRect/>
        </a:stretch>
      </xdr:blipFill>
      <xdr:spPr>
        <a:prstGeom prst="rect">
          <a:avLst/>
        </a:prstGeom>
        <a:noFill/>
      </xdr:spPr>
    </xdr:pic>
    <xdr:clientData fLocksWithSheet="0"/>
  </xdr:oneCellAnchor>
  <xdr:oneCellAnchor>
    <xdr:from>
      <xdr:col>1</xdr:col>
      <xdr:colOff>0</xdr:colOff>
      <xdr:row>502</xdr:row>
      <xdr:rowOff>0</xdr:rowOff>
    </xdr:from>
    <xdr:ext cx="400050" cy="400050"/>
    <xdr:pic>
      <xdr:nvPicPr>
        <xdr:cNvPr id="0" name="image320.png"/>
        <xdr:cNvPicPr preferRelativeResize="0"/>
      </xdr:nvPicPr>
      <xdr:blipFill>
        <a:blip cstate="print" r:embed="rId240"/>
        <a:stretch>
          <a:fillRect/>
        </a:stretch>
      </xdr:blipFill>
      <xdr:spPr>
        <a:prstGeom prst="rect">
          <a:avLst/>
        </a:prstGeom>
        <a:noFill/>
      </xdr:spPr>
    </xdr:pic>
    <xdr:clientData fLocksWithSheet="0"/>
  </xdr:oneCellAnchor>
  <xdr:oneCellAnchor>
    <xdr:from>
      <xdr:col>1</xdr:col>
      <xdr:colOff>0</xdr:colOff>
      <xdr:row>503</xdr:row>
      <xdr:rowOff>0</xdr:rowOff>
    </xdr:from>
    <xdr:ext cx="400050" cy="400050"/>
    <xdr:pic>
      <xdr:nvPicPr>
        <xdr:cNvPr id="0" name="image311.png"/>
        <xdr:cNvPicPr preferRelativeResize="0"/>
      </xdr:nvPicPr>
      <xdr:blipFill>
        <a:blip cstate="print" r:embed="rId241"/>
        <a:stretch>
          <a:fillRect/>
        </a:stretch>
      </xdr:blipFill>
      <xdr:spPr>
        <a:prstGeom prst="rect">
          <a:avLst/>
        </a:prstGeom>
        <a:noFill/>
      </xdr:spPr>
    </xdr:pic>
    <xdr:clientData fLocksWithSheet="0"/>
  </xdr:oneCellAnchor>
  <xdr:oneCellAnchor>
    <xdr:from>
      <xdr:col>1</xdr:col>
      <xdr:colOff>0</xdr:colOff>
      <xdr:row>504</xdr:row>
      <xdr:rowOff>0</xdr:rowOff>
    </xdr:from>
    <xdr:ext cx="400050" cy="400050"/>
    <xdr:pic>
      <xdr:nvPicPr>
        <xdr:cNvPr id="0" name="image290.png"/>
        <xdr:cNvPicPr preferRelativeResize="0"/>
      </xdr:nvPicPr>
      <xdr:blipFill>
        <a:blip cstate="print" r:embed="rId242"/>
        <a:stretch>
          <a:fillRect/>
        </a:stretch>
      </xdr:blipFill>
      <xdr:spPr>
        <a:prstGeom prst="rect">
          <a:avLst/>
        </a:prstGeom>
        <a:noFill/>
      </xdr:spPr>
    </xdr:pic>
    <xdr:clientData fLocksWithSheet="0"/>
  </xdr:oneCellAnchor>
  <xdr:oneCellAnchor>
    <xdr:from>
      <xdr:col>1</xdr:col>
      <xdr:colOff>0</xdr:colOff>
      <xdr:row>505</xdr:row>
      <xdr:rowOff>0</xdr:rowOff>
    </xdr:from>
    <xdr:ext cx="400050" cy="400050"/>
    <xdr:pic>
      <xdr:nvPicPr>
        <xdr:cNvPr id="0" name="image277.png"/>
        <xdr:cNvPicPr preferRelativeResize="0"/>
      </xdr:nvPicPr>
      <xdr:blipFill>
        <a:blip cstate="print" r:embed="rId243"/>
        <a:stretch>
          <a:fillRect/>
        </a:stretch>
      </xdr:blipFill>
      <xdr:spPr>
        <a:prstGeom prst="rect">
          <a:avLst/>
        </a:prstGeom>
        <a:noFill/>
      </xdr:spPr>
    </xdr:pic>
    <xdr:clientData fLocksWithSheet="0"/>
  </xdr:oneCellAnchor>
  <xdr:oneCellAnchor>
    <xdr:from>
      <xdr:col>1</xdr:col>
      <xdr:colOff>0</xdr:colOff>
      <xdr:row>506</xdr:row>
      <xdr:rowOff>0</xdr:rowOff>
    </xdr:from>
    <xdr:ext cx="400050" cy="400050"/>
    <xdr:pic>
      <xdr:nvPicPr>
        <xdr:cNvPr id="0" name="image353.png"/>
        <xdr:cNvPicPr preferRelativeResize="0"/>
      </xdr:nvPicPr>
      <xdr:blipFill>
        <a:blip cstate="print" r:embed="rId244"/>
        <a:stretch>
          <a:fillRect/>
        </a:stretch>
      </xdr:blipFill>
      <xdr:spPr>
        <a:prstGeom prst="rect">
          <a:avLst/>
        </a:prstGeom>
        <a:noFill/>
      </xdr:spPr>
    </xdr:pic>
    <xdr:clientData fLocksWithSheet="0"/>
  </xdr:oneCellAnchor>
  <xdr:oneCellAnchor>
    <xdr:from>
      <xdr:col>1</xdr:col>
      <xdr:colOff>0</xdr:colOff>
      <xdr:row>507</xdr:row>
      <xdr:rowOff>0</xdr:rowOff>
    </xdr:from>
    <xdr:ext cx="400050" cy="400050"/>
    <xdr:pic>
      <xdr:nvPicPr>
        <xdr:cNvPr id="0" name="image268.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508</xdr:row>
      <xdr:rowOff>0</xdr:rowOff>
    </xdr:from>
    <xdr:ext cx="400050" cy="400050"/>
    <xdr:pic>
      <xdr:nvPicPr>
        <xdr:cNvPr id="0" name="image319.png"/>
        <xdr:cNvPicPr preferRelativeResize="0"/>
      </xdr:nvPicPr>
      <xdr:blipFill>
        <a:blip cstate="print" r:embed="rId245"/>
        <a:stretch>
          <a:fillRect/>
        </a:stretch>
      </xdr:blipFill>
      <xdr:spPr>
        <a:prstGeom prst="rect">
          <a:avLst/>
        </a:prstGeom>
        <a:noFill/>
      </xdr:spPr>
    </xdr:pic>
    <xdr:clientData fLocksWithSheet="0"/>
  </xdr:oneCellAnchor>
  <xdr:oneCellAnchor>
    <xdr:from>
      <xdr:col>1</xdr:col>
      <xdr:colOff>0</xdr:colOff>
      <xdr:row>509</xdr:row>
      <xdr:rowOff>0</xdr:rowOff>
    </xdr:from>
    <xdr:ext cx="400050" cy="400050"/>
    <xdr:pic>
      <xdr:nvPicPr>
        <xdr:cNvPr id="0" name="image271.png"/>
        <xdr:cNvPicPr preferRelativeResize="0"/>
      </xdr:nvPicPr>
      <xdr:blipFill>
        <a:blip cstate="print" r:embed="rId246"/>
        <a:stretch>
          <a:fillRect/>
        </a:stretch>
      </xdr:blipFill>
      <xdr:spPr>
        <a:prstGeom prst="rect">
          <a:avLst/>
        </a:prstGeom>
        <a:noFill/>
      </xdr:spPr>
    </xdr:pic>
    <xdr:clientData fLocksWithSheet="0"/>
  </xdr:oneCellAnchor>
  <xdr:oneCellAnchor>
    <xdr:from>
      <xdr:col>1</xdr:col>
      <xdr:colOff>0</xdr:colOff>
      <xdr:row>510</xdr:row>
      <xdr:rowOff>0</xdr:rowOff>
    </xdr:from>
    <xdr:ext cx="400050" cy="400050"/>
    <xdr:pic>
      <xdr:nvPicPr>
        <xdr:cNvPr id="0" name="image314.png"/>
        <xdr:cNvPicPr preferRelativeResize="0"/>
      </xdr:nvPicPr>
      <xdr:blipFill>
        <a:blip cstate="print" r:embed="rId247"/>
        <a:stretch>
          <a:fillRect/>
        </a:stretch>
      </xdr:blipFill>
      <xdr:spPr>
        <a:prstGeom prst="rect">
          <a:avLst/>
        </a:prstGeom>
        <a:noFill/>
      </xdr:spPr>
    </xdr:pic>
    <xdr:clientData fLocksWithSheet="0"/>
  </xdr:oneCellAnchor>
  <xdr:oneCellAnchor>
    <xdr:from>
      <xdr:col>1</xdr:col>
      <xdr:colOff>0</xdr:colOff>
      <xdr:row>511</xdr:row>
      <xdr:rowOff>0</xdr:rowOff>
    </xdr:from>
    <xdr:ext cx="400050" cy="400050"/>
    <xdr:pic>
      <xdr:nvPicPr>
        <xdr:cNvPr id="0" name="image299.png"/>
        <xdr:cNvPicPr preferRelativeResize="0"/>
      </xdr:nvPicPr>
      <xdr:blipFill>
        <a:blip cstate="print" r:embed="rId248"/>
        <a:stretch>
          <a:fillRect/>
        </a:stretch>
      </xdr:blipFill>
      <xdr:spPr>
        <a:prstGeom prst="rect">
          <a:avLst/>
        </a:prstGeom>
        <a:noFill/>
      </xdr:spPr>
    </xdr:pic>
    <xdr:clientData fLocksWithSheet="0"/>
  </xdr:oneCellAnchor>
  <xdr:oneCellAnchor>
    <xdr:from>
      <xdr:col>1</xdr:col>
      <xdr:colOff>0</xdr:colOff>
      <xdr:row>512</xdr:row>
      <xdr:rowOff>0</xdr:rowOff>
    </xdr:from>
    <xdr:ext cx="400050" cy="400050"/>
    <xdr:pic>
      <xdr:nvPicPr>
        <xdr:cNvPr id="0" name="image330.png"/>
        <xdr:cNvPicPr preferRelativeResize="0"/>
      </xdr:nvPicPr>
      <xdr:blipFill>
        <a:blip cstate="print" r:embed="rId249"/>
        <a:stretch>
          <a:fillRect/>
        </a:stretch>
      </xdr:blipFill>
      <xdr:spPr>
        <a:prstGeom prst="rect">
          <a:avLst/>
        </a:prstGeom>
        <a:noFill/>
      </xdr:spPr>
    </xdr:pic>
    <xdr:clientData fLocksWithSheet="0"/>
  </xdr:oneCellAnchor>
  <xdr:oneCellAnchor>
    <xdr:from>
      <xdr:col>1</xdr:col>
      <xdr:colOff>0</xdr:colOff>
      <xdr:row>513</xdr:row>
      <xdr:rowOff>0</xdr:rowOff>
    </xdr:from>
    <xdr:ext cx="400050" cy="400050"/>
    <xdr:pic>
      <xdr:nvPicPr>
        <xdr:cNvPr id="0" name="image382.png"/>
        <xdr:cNvPicPr preferRelativeResize="0"/>
      </xdr:nvPicPr>
      <xdr:blipFill>
        <a:blip cstate="print" r:embed="rId250"/>
        <a:stretch>
          <a:fillRect/>
        </a:stretch>
      </xdr:blipFill>
      <xdr:spPr>
        <a:prstGeom prst="rect">
          <a:avLst/>
        </a:prstGeom>
        <a:noFill/>
      </xdr:spPr>
    </xdr:pic>
    <xdr:clientData fLocksWithSheet="0"/>
  </xdr:oneCellAnchor>
  <xdr:oneCellAnchor>
    <xdr:from>
      <xdr:col>1</xdr:col>
      <xdr:colOff>0</xdr:colOff>
      <xdr:row>514</xdr:row>
      <xdr:rowOff>0</xdr:rowOff>
    </xdr:from>
    <xdr:ext cx="400050" cy="400050"/>
    <xdr:pic>
      <xdr:nvPicPr>
        <xdr:cNvPr id="0" name="image322.png"/>
        <xdr:cNvPicPr preferRelativeResize="0"/>
      </xdr:nvPicPr>
      <xdr:blipFill>
        <a:blip cstate="print" r:embed="rId251"/>
        <a:stretch>
          <a:fillRect/>
        </a:stretch>
      </xdr:blipFill>
      <xdr:spPr>
        <a:prstGeom prst="rect">
          <a:avLst/>
        </a:prstGeom>
        <a:noFill/>
      </xdr:spPr>
    </xdr:pic>
    <xdr:clientData fLocksWithSheet="0"/>
  </xdr:oneCellAnchor>
  <xdr:oneCellAnchor>
    <xdr:from>
      <xdr:col>1</xdr:col>
      <xdr:colOff>0</xdr:colOff>
      <xdr:row>515</xdr:row>
      <xdr:rowOff>0</xdr:rowOff>
    </xdr:from>
    <xdr:ext cx="400050" cy="400050"/>
    <xdr:pic>
      <xdr:nvPicPr>
        <xdr:cNvPr id="0" name="image329.png"/>
        <xdr:cNvPicPr preferRelativeResize="0"/>
      </xdr:nvPicPr>
      <xdr:blipFill>
        <a:blip cstate="print" r:embed="rId252"/>
        <a:stretch>
          <a:fillRect/>
        </a:stretch>
      </xdr:blipFill>
      <xdr:spPr>
        <a:prstGeom prst="rect">
          <a:avLst/>
        </a:prstGeom>
        <a:noFill/>
      </xdr:spPr>
    </xdr:pic>
    <xdr:clientData fLocksWithSheet="0"/>
  </xdr:oneCellAnchor>
  <xdr:oneCellAnchor>
    <xdr:from>
      <xdr:col>1</xdr:col>
      <xdr:colOff>0</xdr:colOff>
      <xdr:row>516</xdr:row>
      <xdr:rowOff>0</xdr:rowOff>
    </xdr:from>
    <xdr:ext cx="400050" cy="400050"/>
    <xdr:pic>
      <xdr:nvPicPr>
        <xdr:cNvPr id="0" name="image303.png"/>
        <xdr:cNvPicPr preferRelativeResize="0"/>
      </xdr:nvPicPr>
      <xdr:blipFill>
        <a:blip cstate="print" r:embed="rId253"/>
        <a:stretch>
          <a:fillRect/>
        </a:stretch>
      </xdr:blipFill>
      <xdr:spPr>
        <a:prstGeom prst="rect">
          <a:avLst/>
        </a:prstGeom>
        <a:noFill/>
      </xdr:spPr>
    </xdr:pic>
    <xdr:clientData fLocksWithSheet="0"/>
  </xdr:oneCellAnchor>
  <xdr:oneCellAnchor>
    <xdr:from>
      <xdr:col>1</xdr:col>
      <xdr:colOff>0</xdr:colOff>
      <xdr:row>517</xdr:row>
      <xdr:rowOff>0</xdr:rowOff>
    </xdr:from>
    <xdr:ext cx="400050" cy="400050"/>
    <xdr:pic>
      <xdr:nvPicPr>
        <xdr:cNvPr id="0" name="image274.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518</xdr:row>
      <xdr:rowOff>0</xdr:rowOff>
    </xdr:from>
    <xdr:ext cx="400050" cy="400050"/>
    <xdr:pic>
      <xdr:nvPicPr>
        <xdr:cNvPr id="0" name="image280.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519</xdr:row>
      <xdr:rowOff>0</xdr:rowOff>
    </xdr:from>
    <xdr:ext cx="400050" cy="400050"/>
    <xdr:pic>
      <xdr:nvPicPr>
        <xdr:cNvPr id="0" name="image318.png"/>
        <xdr:cNvPicPr preferRelativeResize="0"/>
      </xdr:nvPicPr>
      <xdr:blipFill>
        <a:blip cstate="print" r:embed="rId254"/>
        <a:stretch>
          <a:fillRect/>
        </a:stretch>
      </xdr:blipFill>
      <xdr:spPr>
        <a:prstGeom prst="rect">
          <a:avLst/>
        </a:prstGeom>
        <a:noFill/>
      </xdr:spPr>
    </xdr:pic>
    <xdr:clientData fLocksWithSheet="0"/>
  </xdr:oneCellAnchor>
  <xdr:oneCellAnchor>
    <xdr:from>
      <xdr:col>1</xdr:col>
      <xdr:colOff>0</xdr:colOff>
      <xdr:row>520</xdr:row>
      <xdr:rowOff>0</xdr:rowOff>
    </xdr:from>
    <xdr:ext cx="400050" cy="400050"/>
    <xdr:pic>
      <xdr:nvPicPr>
        <xdr:cNvPr id="0" name="image336.png"/>
        <xdr:cNvPicPr preferRelativeResize="0"/>
      </xdr:nvPicPr>
      <xdr:blipFill>
        <a:blip cstate="print" r:embed="rId255"/>
        <a:stretch>
          <a:fillRect/>
        </a:stretch>
      </xdr:blipFill>
      <xdr:spPr>
        <a:prstGeom prst="rect">
          <a:avLst/>
        </a:prstGeom>
        <a:noFill/>
      </xdr:spPr>
    </xdr:pic>
    <xdr:clientData fLocksWithSheet="0"/>
  </xdr:oneCellAnchor>
  <xdr:oneCellAnchor>
    <xdr:from>
      <xdr:col>1</xdr:col>
      <xdr:colOff>0</xdr:colOff>
      <xdr:row>521</xdr:row>
      <xdr:rowOff>0</xdr:rowOff>
    </xdr:from>
    <xdr:ext cx="400050" cy="400050"/>
    <xdr:pic>
      <xdr:nvPicPr>
        <xdr:cNvPr id="0" name="image306.png"/>
        <xdr:cNvPicPr preferRelativeResize="0"/>
      </xdr:nvPicPr>
      <xdr:blipFill>
        <a:blip cstate="print" r:embed="rId256"/>
        <a:stretch>
          <a:fillRect/>
        </a:stretch>
      </xdr:blipFill>
      <xdr:spPr>
        <a:prstGeom prst="rect">
          <a:avLst/>
        </a:prstGeom>
        <a:noFill/>
      </xdr:spPr>
    </xdr:pic>
    <xdr:clientData fLocksWithSheet="0"/>
  </xdr:oneCellAnchor>
  <xdr:oneCellAnchor>
    <xdr:from>
      <xdr:col>1</xdr:col>
      <xdr:colOff>0</xdr:colOff>
      <xdr:row>522</xdr:row>
      <xdr:rowOff>0</xdr:rowOff>
    </xdr:from>
    <xdr:ext cx="400050" cy="400050"/>
    <xdr:pic>
      <xdr:nvPicPr>
        <xdr:cNvPr id="0" name="image295.png"/>
        <xdr:cNvPicPr preferRelativeResize="0"/>
      </xdr:nvPicPr>
      <xdr:blipFill>
        <a:blip cstate="print" r:embed="rId257"/>
        <a:stretch>
          <a:fillRect/>
        </a:stretch>
      </xdr:blipFill>
      <xdr:spPr>
        <a:prstGeom prst="rect">
          <a:avLst/>
        </a:prstGeom>
        <a:noFill/>
      </xdr:spPr>
    </xdr:pic>
    <xdr:clientData fLocksWithSheet="0"/>
  </xdr:oneCellAnchor>
  <xdr:oneCellAnchor>
    <xdr:from>
      <xdr:col>1</xdr:col>
      <xdr:colOff>0</xdr:colOff>
      <xdr:row>523</xdr:row>
      <xdr:rowOff>0</xdr:rowOff>
    </xdr:from>
    <xdr:ext cx="400050" cy="400050"/>
    <xdr:pic>
      <xdr:nvPicPr>
        <xdr:cNvPr id="0" name="image335.png"/>
        <xdr:cNvPicPr preferRelativeResize="0"/>
      </xdr:nvPicPr>
      <xdr:blipFill>
        <a:blip cstate="print" r:embed="rId255"/>
        <a:stretch>
          <a:fillRect/>
        </a:stretch>
      </xdr:blipFill>
      <xdr:spPr>
        <a:prstGeom prst="rect">
          <a:avLst/>
        </a:prstGeom>
        <a:noFill/>
      </xdr:spPr>
    </xdr:pic>
    <xdr:clientData fLocksWithSheet="0"/>
  </xdr:oneCellAnchor>
  <xdr:oneCellAnchor>
    <xdr:from>
      <xdr:col>1</xdr:col>
      <xdr:colOff>0</xdr:colOff>
      <xdr:row>524</xdr:row>
      <xdr:rowOff>0</xdr:rowOff>
    </xdr:from>
    <xdr:ext cx="400050" cy="400050"/>
    <xdr:pic>
      <xdr:nvPicPr>
        <xdr:cNvPr id="0" name="image305.png"/>
        <xdr:cNvPicPr preferRelativeResize="0"/>
      </xdr:nvPicPr>
      <xdr:blipFill>
        <a:blip cstate="print" r:embed="rId258"/>
        <a:stretch>
          <a:fillRect/>
        </a:stretch>
      </xdr:blipFill>
      <xdr:spPr>
        <a:prstGeom prst="rect">
          <a:avLst/>
        </a:prstGeom>
        <a:noFill/>
      </xdr:spPr>
    </xdr:pic>
    <xdr:clientData fLocksWithSheet="0"/>
  </xdr:oneCellAnchor>
  <xdr:oneCellAnchor>
    <xdr:from>
      <xdr:col>1</xdr:col>
      <xdr:colOff>0</xdr:colOff>
      <xdr:row>525</xdr:row>
      <xdr:rowOff>0</xdr:rowOff>
    </xdr:from>
    <xdr:ext cx="400050" cy="400050"/>
    <xdr:pic>
      <xdr:nvPicPr>
        <xdr:cNvPr id="0" name="image312.png"/>
        <xdr:cNvPicPr preferRelativeResize="0"/>
      </xdr:nvPicPr>
      <xdr:blipFill>
        <a:blip cstate="print" r:embed="rId110"/>
        <a:stretch>
          <a:fillRect/>
        </a:stretch>
      </xdr:blipFill>
      <xdr:spPr>
        <a:prstGeom prst="rect">
          <a:avLst/>
        </a:prstGeom>
        <a:noFill/>
      </xdr:spPr>
    </xdr:pic>
    <xdr:clientData fLocksWithSheet="0"/>
  </xdr:oneCellAnchor>
  <xdr:oneCellAnchor>
    <xdr:from>
      <xdr:col>1</xdr:col>
      <xdr:colOff>0</xdr:colOff>
      <xdr:row>526</xdr:row>
      <xdr:rowOff>0</xdr:rowOff>
    </xdr:from>
    <xdr:ext cx="400050" cy="400050"/>
    <xdr:pic>
      <xdr:nvPicPr>
        <xdr:cNvPr id="0" name="image297.png"/>
        <xdr:cNvPicPr preferRelativeResize="0"/>
      </xdr:nvPicPr>
      <xdr:blipFill>
        <a:blip cstate="print" r:embed="rId259"/>
        <a:stretch>
          <a:fillRect/>
        </a:stretch>
      </xdr:blipFill>
      <xdr:spPr>
        <a:prstGeom prst="rect">
          <a:avLst/>
        </a:prstGeom>
        <a:noFill/>
      </xdr:spPr>
    </xdr:pic>
    <xdr:clientData fLocksWithSheet="0"/>
  </xdr:oneCellAnchor>
  <xdr:oneCellAnchor>
    <xdr:from>
      <xdr:col>1</xdr:col>
      <xdr:colOff>0</xdr:colOff>
      <xdr:row>527</xdr:row>
      <xdr:rowOff>0</xdr:rowOff>
    </xdr:from>
    <xdr:ext cx="390525" cy="400050"/>
    <xdr:pic>
      <xdr:nvPicPr>
        <xdr:cNvPr id="0" name="image287.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528</xdr:row>
      <xdr:rowOff>0</xdr:rowOff>
    </xdr:from>
    <xdr:ext cx="400050" cy="400050"/>
    <xdr:pic>
      <xdr:nvPicPr>
        <xdr:cNvPr id="0" name="image286.png"/>
        <xdr:cNvPicPr preferRelativeResize="0"/>
      </xdr:nvPicPr>
      <xdr:blipFill>
        <a:blip cstate="print" r:embed="rId86"/>
        <a:stretch>
          <a:fillRect/>
        </a:stretch>
      </xdr:blipFill>
      <xdr:spPr>
        <a:prstGeom prst="rect">
          <a:avLst/>
        </a:prstGeom>
        <a:noFill/>
      </xdr:spPr>
    </xdr:pic>
    <xdr:clientData fLocksWithSheet="0"/>
  </xdr:oneCellAnchor>
  <xdr:oneCellAnchor>
    <xdr:from>
      <xdr:col>1</xdr:col>
      <xdr:colOff>0</xdr:colOff>
      <xdr:row>529</xdr:row>
      <xdr:rowOff>0</xdr:rowOff>
    </xdr:from>
    <xdr:ext cx="400050" cy="400050"/>
    <xdr:pic>
      <xdr:nvPicPr>
        <xdr:cNvPr id="0" name="image334.png"/>
        <xdr:cNvPicPr preferRelativeResize="0"/>
      </xdr:nvPicPr>
      <xdr:blipFill>
        <a:blip cstate="print" r:embed="rId260"/>
        <a:stretch>
          <a:fillRect/>
        </a:stretch>
      </xdr:blipFill>
      <xdr:spPr>
        <a:prstGeom prst="rect">
          <a:avLst/>
        </a:prstGeom>
        <a:noFill/>
      </xdr:spPr>
    </xdr:pic>
    <xdr:clientData fLocksWithSheet="0"/>
  </xdr:oneCellAnchor>
  <xdr:oneCellAnchor>
    <xdr:from>
      <xdr:col>1</xdr:col>
      <xdr:colOff>0</xdr:colOff>
      <xdr:row>530</xdr:row>
      <xdr:rowOff>0</xdr:rowOff>
    </xdr:from>
    <xdr:ext cx="390525" cy="400050"/>
    <xdr:pic>
      <xdr:nvPicPr>
        <xdr:cNvPr id="0" name="image291.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531</xdr:row>
      <xdr:rowOff>0</xdr:rowOff>
    </xdr:from>
    <xdr:ext cx="400050" cy="400050"/>
    <xdr:pic>
      <xdr:nvPicPr>
        <xdr:cNvPr id="0" name="image11.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532</xdr:row>
      <xdr:rowOff>0</xdr:rowOff>
    </xdr:from>
    <xdr:ext cx="400050" cy="400050"/>
    <xdr:pic>
      <xdr:nvPicPr>
        <xdr:cNvPr id="0" name="image72.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533</xdr:row>
      <xdr:rowOff>0</xdr:rowOff>
    </xdr:from>
    <xdr:ext cx="400050" cy="400050"/>
    <xdr:pic>
      <xdr:nvPicPr>
        <xdr:cNvPr id="0" name="image18.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550</xdr:row>
      <xdr:rowOff>0</xdr:rowOff>
    </xdr:from>
    <xdr:ext cx="400050" cy="400050"/>
    <xdr:pic>
      <xdr:nvPicPr>
        <xdr:cNvPr id="0" name="image307.png"/>
        <xdr:cNvPicPr preferRelativeResize="0"/>
      </xdr:nvPicPr>
      <xdr:blipFill>
        <a:blip cstate="print" r:embed="rId261"/>
        <a:stretch>
          <a:fillRect/>
        </a:stretch>
      </xdr:blipFill>
      <xdr:spPr>
        <a:prstGeom prst="rect">
          <a:avLst/>
        </a:prstGeom>
        <a:noFill/>
      </xdr:spPr>
    </xdr:pic>
    <xdr:clientData fLocksWithSheet="0"/>
  </xdr:oneCellAnchor>
  <xdr:oneCellAnchor>
    <xdr:from>
      <xdr:col>1</xdr:col>
      <xdr:colOff>0</xdr:colOff>
      <xdr:row>551</xdr:row>
      <xdr:rowOff>0</xdr:rowOff>
    </xdr:from>
    <xdr:ext cx="400050" cy="400050"/>
    <xdr:pic>
      <xdr:nvPicPr>
        <xdr:cNvPr id="0" name="image309.png"/>
        <xdr:cNvPicPr preferRelativeResize="0"/>
      </xdr:nvPicPr>
      <xdr:blipFill>
        <a:blip cstate="print" r:embed="rId262"/>
        <a:stretch>
          <a:fillRect/>
        </a:stretch>
      </xdr:blipFill>
      <xdr:spPr>
        <a:prstGeom prst="rect">
          <a:avLst/>
        </a:prstGeom>
        <a:noFill/>
      </xdr:spPr>
    </xdr:pic>
    <xdr:clientData fLocksWithSheet="0"/>
  </xdr:oneCellAnchor>
  <xdr:oneCellAnchor>
    <xdr:from>
      <xdr:col>1</xdr:col>
      <xdr:colOff>0</xdr:colOff>
      <xdr:row>552</xdr:row>
      <xdr:rowOff>0</xdr:rowOff>
    </xdr:from>
    <xdr:ext cx="400050" cy="400050"/>
    <xdr:pic>
      <xdr:nvPicPr>
        <xdr:cNvPr id="0" name="image337.png"/>
        <xdr:cNvPicPr preferRelativeResize="0"/>
      </xdr:nvPicPr>
      <xdr:blipFill>
        <a:blip cstate="print" r:embed="rId263"/>
        <a:stretch>
          <a:fillRect/>
        </a:stretch>
      </xdr:blipFill>
      <xdr:spPr>
        <a:prstGeom prst="rect">
          <a:avLst/>
        </a:prstGeom>
        <a:noFill/>
      </xdr:spPr>
    </xdr:pic>
    <xdr:clientData fLocksWithSheet="0"/>
  </xdr:oneCellAnchor>
  <xdr:oneCellAnchor>
    <xdr:from>
      <xdr:col>1</xdr:col>
      <xdr:colOff>0</xdr:colOff>
      <xdr:row>553</xdr:row>
      <xdr:rowOff>0</xdr:rowOff>
    </xdr:from>
    <xdr:ext cx="400050" cy="400050"/>
    <xdr:pic>
      <xdr:nvPicPr>
        <xdr:cNvPr id="0" name="image308.png"/>
        <xdr:cNvPicPr preferRelativeResize="0"/>
      </xdr:nvPicPr>
      <xdr:blipFill>
        <a:blip cstate="print" r:embed="rId264"/>
        <a:stretch>
          <a:fillRect/>
        </a:stretch>
      </xdr:blipFill>
      <xdr:spPr>
        <a:prstGeom prst="rect">
          <a:avLst/>
        </a:prstGeom>
        <a:noFill/>
      </xdr:spPr>
    </xdr:pic>
    <xdr:clientData fLocksWithSheet="0"/>
  </xdr:oneCellAnchor>
  <xdr:oneCellAnchor>
    <xdr:from>
      <xdr:col>1</xdr:col>
      <xdr:colOff>0</xdr:colOff>
      <xdr:row>554</xdr:row>
      <xdr:rowOff>0</xdr:rowOff>
    </xdr:from>
    <xdr:ext cx="400050" cy="400050"/>
    <xdr:pic>
      <xdr:nvPicPr>
        <xdr:cNvPr id="0" name="image302.png"/>
        <xdr:cNvPicPr preferRelativeResize="0"/>
      </xdr:nvPicPr>
      <xdr:blipFill>
        <a:blip cstate="print" r:embed="rId265"/>
        <a:stretch>
          <a:fillRect/>
        </a:stretch>
      </xdr:blipFill>
      <xdr:spPr>
        <a:prstGeom prst="rect">
          <a:avLst/>
        </a:prstGeom>
        <a:noFill/>
      </xdr:spPr>
    </xdr:pic>
    <xdr:clientData fLocksWithSheet="0"/>
  </xdr:oneCellAnchor>
  <xdr:oneCellAnchor>
    <xdr:from>
      <xdr:col>1</xdr:col>
      <xdr:colOff>0</xdr:colOff>
      <xdr:row>555</xdr:row>
      <xdr:rowOff>0</xdr:rowOff>
    </xdr:from>
    <xdr:ext cx="400050" cy="400050"/>
    <xdr:pic>
      <xdr:nvPicPr>
        <xdr:cNvPr id="0" name="image352.png"/>
        <xdr:cNvPicPr preferRelativeResize="0"/>
      </xdr:nvPicPr>
      <xdr:blipFill>
        <a:blip cstate="print" r:embed="rId266"/>
        <a:stretch>
          <a:fillRect/>
        </a:stretch>
      </xdr:blipFill>
      <xdr:spPr>
        <a:prstGeom prst="rect">
          <a:avLst/>
        </a:prstGeom>
        <a:noFill/>
      </xdr:spPr>
    </xdr:pic>
    <xdr:clientData fLocksWithSheet="0"/>
  </xdr:oneCellAnchor>
  <xdr:oneCellAnchor>
    <xdr:from>
      <xdr:col>1</xdr:col>
      <xdr:colOff>0</xdr:colOff>
      <xdr:row>556</xdr:row>
      <xdr:rowOff>0</xdr:rowOff>
    </xdr:from>
    <xdr:ext cx="400050" cy="400050"/>
    <xdr:pic>
      <xdr:nvPicPr>
        <xdr:cNvPr id="0" name="image384.png"/>
        <xdr:cNvPicPr preferRelativeResize="0"/>
      </xdr:nvPicPr>
      <xdr:blipFill>
        <a:blip cstate="print" r:embed="rId267"/>
        <a:stretch>
          <a:fillRect/>
        </a:stretch>
      </xdr:blipFill>
      <xdr:spPr>
        <a:prstGeom prst="rect">
          <a:avLst/>
        </a:prstGeom>
        <a:noFill/>
      </xdr:spPr>
    </xdr:pic>
    <xdr:clientData fLocksWithSheet="0"/>
  </xdr:oneCellAnchor>
  <xdr:oneCellAnchor>
    <xdr:from>
      <xdr:col>1</xdr:col>
      <xdr:colOff>0</xdr:colOff>
      <xdr:row>557</xdr:row>
      <xdr:rowOff>0</xdr:rowOff>
    </xdr:from>
    <xdr:ext cx="400050" cy="400050"/>
    <xdr:pic>
      <xdr:nvPicPr>
        <xdr:cNvPr id="0" name="image400.png"/>
        <xdr:cNvPicPr preferRelativeResize="0"/>
      </xdr:nvPicPr>
      <xdr:blipFill>
        <a:blip cstate="print" r:embed="rId268"/>
        <a:stretch>
          <a:fillRect/>
        </a:stretch>
      </xdr:blipFill>
      <xdr:spPr>
        <a:prstGeom prst="rect">
          <a:avLst/>
        </a:prstGeom>
        <a:noFill/>
      </xdr:spPr>
    </xdr:pic>
    <xdr:clientData fLocksWithSheet="0"/>
  </xdr:oneCellAnchor>
  <xdr:oneCellAnchor>
    <xdr:from>
      <xdr:col>1</xdr:col>
      <xdr:colOff>0</xdr:colOff>
      <xdr:row>558</xdr:row>
      <xdr:rowOff>0</xdr:rowOff>
    </xdr:from>
    <xdr:ext cx="400050" cy="400050"/>
    <xdr:pic>
      <xdr:nvPicPr>
        <xdr:cNvPr id="0" name="image338.png"/>
        <xdr:cNvPicPr preferRelativeResize="0"/>
      </xdr:nvPicPr>
      <xdr:blipFill>
        <a:blip cstate="print" r:embed="rId112"/>
        <a:stretch>
          <a:fillRect/>
        </a:stretch>
      </xdr:blipFill>
      <xdr:spPr>
        <a:prstGeom prst="rect">
          <a:avLst/>
        </a:prstGeom>
        <a:noFill/>
      </xdr:spPr>
    </xdr:pic>
    <xdr:clientData fLocksWithSheet="0"/>
  </xdr:oneCellAnchor>
  <xdr:oneCellAnchor>
    <xdr:from>
      <xdr:col>1</xdr:col>
      <xdr:colOff>0</xdr:colOff>
      <xdr:row>559</xdr:row>
      <xdr:rowOff>0</xdr:rowOff>
    </xdr:from>
    <xdr:ext cx="400050" cy="400050"/>
    <xdr:pic>
      <xdr:nvPicPr>
        <xdr:cNvPr id="0" name="image350.png"/>
        <xdr:cNvPicPr preferRelativeResize="0"/>
      </xdr:nvPicPr>
      <xdr:blipFill>
        <a:blip cstate="print" r:embed="rId269"/>
        <a:stretch>
          <a:fillRect/>
        </a:stretch>
      </xdr:blipFill>
      <xdr:spPr>
        <a:prstGeom prst="rect">
          <a:avLst/>
        </a:prstGeom>
        <a:noFill/>
      </xdr:spPr>
    </xdr:pic>
    <xdr:clientData fLocksWithSheet="0"/>
  </xdr:oneCellAnchor>
  <xdr:oneCellAnchor>
    <xdr:from>
      <xdr:col>1</xdr:col>
      <xdr:colOff>0</xdr:colOff>
      <xdr:row>560</xdr:row>
      <xdr:rowOff>0</xdr:rowOff>
    </xdr:from>
    <xdr:ext cx="400050" cy="400050"/>
    <xdr:pic>
      <xdr:nvPicPr>
        <xdr:cNvPr id="0" name="image342.png"/>
        <xdr:cNvPicPr preferRelativeResize="0"/>
      </xdr:nvPicPr>
      <xdr:blipFill>
        <a:blip cstate="print" r:embed="rId270"/>
        <a:stretch>
          <a:fillRect/>
        </a:stretch>
      </xdr:blipFill>
      <xdr:spPr>
        <a:prstGeom prst="rect">
          <a:avLst/>
        </a:prstGeom>
        <a:noFill/>
      </xdr:spPr>
    </xdr:pic>
    <xdr:clientData fLocksWithSheet="0"/>
  </xdr:oneCellAnchor>
  <xdr:oneCellAnchor>
    <xdr:from>
      <xdr:col>1</xdr:col>
      <xdr:colOff>0</xdr:colOff>
      <xdr:row>561</xdr:row>
      <xdr:rowOff>0</xdr:rowOff>
    </xdr:from>
    <xdr:ext cx="400050" cy="400050"/>
    <xdr:pic>
      <xdr:nvPicPr>
        <xdr:cNvPr id="0" name="image360.png"/>
        <xdr:cNvPicPr preferRelativeResize="0"/>
      </xdr:nvPicPr>
      <xdr:blipFill>
        <a:blip cstate="print" r:embed="rId105"/>
        <a:stretch>
          <a:fillRect/>
        </a:stretch>
      </xdr:blipFill>
      <xdr:spPr>
        <a:prstGeom prst="rect">
          <a:avLst/>
        </a:prstGeom>
        <a:noFill/>
      </xdr:spPr>
    </xdr:pic>
    <xdr:clientData fLocksWithSheet="0"/>
  </xdr:oneCellAnchor>
  <xdr:oneCellAnchor>
    <xdr:from>
      <xdr:col>1</xdr:col>
      <xdr:colOff>0</xdr:colOff>
      <xdr:row>562</xdr:row>
      <xdr:rowOff>0</xdr:rowOff>
    </xdr:from>
    <xdr:ext cx="400050" cy="400050"/>
    <xdr:pic>
      <xdr:nvPicPr>
        <xdr:cNvPr id="0" name="image361.png"/>
        <xdr:cNvPicPr preferRelativeResize="0"/>
      </xdr:nvPicPr>
      <xdr:blipFill>
        <a:blip cstate="print" r:embed="rId271"/>
        <a:stretch>
          <a:fillRect/>
        </a:stretch>
      </xdr:blipFill>
      <xdr:spPr>
        <a:prstGeom prst="rect">
          <a:avLst/>
        </a:prstGeom>
        <a:noFill/>
      </xdr:spPr>
    </xdr:pic>
    <xdr:clientData fLocksWithSheet="0"/>
  </xdr:oneCellAnchor>
  <xdr:oneCellAnchor>
    <xdr:from>
      <xdr:col>1</xdr:col>
      <xdr:colOff>0</xdr:colOff>
      <xdr:row>563</xdr:row>
      <xdr:rowOff>0</xdr:rowOff>
    </xdr:from>
    <xdr:ext cx="400050" cy="400050"/>
    <xdr:pic>
      <xdr:nvPicPr>
        <xdr:cNvPr id="0" name="image345.png"/>
        <xdr:cNvPicPr preferRelativeResize="0"/>
      </xdr:nvPicPr>
      <xdr:blipFill>
        <a:blip cstate="print" r:embed="rId272"/>
        <a:stretch>
          <a:fillRect/>
        </a:stretch>
      </xdr:blipFill>
      <xdr:spPr>
        <a:prstGeom prst="rect">
          <a:avLst/>
        </a:prstGeom>
        <a:noFill/>
      </xdr:spPr>
    </xdr:pic>
    <xdr:clientData fLocksWithSheet="0"/>
  </xdr:oneCellAnchor>
  <xdr:oneCellAnchor>
    <xdr:from>
      <xdr:col>1</xdr:col>
      <xdr:colOff>0</xdr:colOff>
      <xdr:row>564</xdr:row>
      <xdr:rowOff>0</xdr:rowOff>
    </xdr:from>
    <xdr:ext cx="400050" cy="400050"/>
    <xdr:pic>
      <xdr:nvPicPr>
        <xdr:cNvPr id="0" name="image315.png"/>
        <xdr:cNvPicPr preferRelativeResize="0"/>
      </xdr:nvPicPr>
      <xdr:blipFill>
        <a:blip cstate="print" r:embed="rId273"/>
        <a:stretch>
          <a:fillRect/>
        </a:stretch>
      </xdr:blipFill>
      <xdr:spPr>
        <a:prstGeom prst="rect">
          <a:avLst/>
        </a:prstGeom>
        <a:noFill/>
      </xdr:spPr>
    </xdr:pic>
    <xdr:clientData fLocksWithSheet="0"/>
  </xdr:oneCellAnchor>
  <xdr:oneCellAnchor>
    <xdr:from>
      <xdr:col>1</xdr:col>
      <xdr:colOff>0</xdr:colOff>
      <xdr:row>565</xdr:row>
      <xdr:rowOff>0</xdr:rowOff>
    </xdr:from>
    <xdr:ext cx="400050" cy="400050"/>
    <xdr:pic>
      <xdr:nvPicPr>
        <xdr:cNvPr id="0" name="image351.png"/>
        <xdr:cNvPicPr preferRelativeResize="0"/>
      </xdr:nvPicPr>
      <xdr:blipFill>
        <a:blip cstate="print" r:embed="rId274"/>
        <a:stretch>
          <a:fillRect/>
        </a:stretch>
      </xdr:blipFill>
      <xdr:spPr>
        <a:prstGeom prst="rect">
          <a:avLst/>
        </a:prstGeom>
        <a:noFill/>
      </xdr:spPr>
    </xdr:pic>
    <xdr:clientData fLocksWithSheet="0"/>
  </xdr:oneCellAnchor>
  <xdr:oneCellAnchor>
    <xdr:from>
      <xdr:col>1</xdr:col>
      <xdr:colOff>0</xdr:colOff>
      <xdr:row>566</xdr:row>
      <xdr:rowOff>0</xdr:rowOff>
    </xdr:from>
    <xdr:ext cx="400050" cy="400050"/>
    <xdr:pic>
      <xdr:nvPicPr>
        <xdr:cNvPr id="0" name="image407.png"/>
        <xdr:cNvPicPr preferRelativeResize="0"/>
      </xdr:nvPicPr>
      <xdr:blipFill>
        <a:blip cstate="print" r:embed="rId275"/>
        <a:stretch>
          <a:fillRect/>
        </a:stretch>
      </xdr:blipFill>
      <xdr:spPr>
        <a:prstGeom prst="rect">
          <a:avLst/>
        </a:prstGeom>
        <a:noFill/>
      </xdr:spPr>
    </xdr:pic>
    <xdr:clientData fLocksWithSheet="0"/>
  </xdr:oneCellAnchor>
  <xdr:oneCellAnchor>
    <xdr:from>
      <xdr:col>1</xdr:col>
      <xdr:colOff>0</xdr:colOff>
      <xdr:row>567</xdr:row>
      <xdr:rowOff>0</xdr:rowOff>
    </xdr:from>
    <xdr:ext cx="400050" cy="400050"/>
    <xdr:pic>
      <xdr:nvPicPr>
        <xdr:cNvPr id="0" name="image324.png"/>
        <xdr:cNvPicPr preferRelativeResize="0"/>
      </xdr:nvPicPr>
      <xdr:blipFill>
        <a:blip cstate="print" r:embed="rId276"/>
        <a:stretch>
          <a:fillRect/>
        </a:stretch>
      </xdr:blipFill>
      <xdr:spPr>
        <a:prstGeom prst="rect">
          <a:avLst/>
        </a:prstGeom>
        <a:noFill/>
      </xdr:spPr>
    </xdr:pic>
    <xdr:clientData fLocksWithSheet="0"/>
  </xdr:oneCellAnchor>
  <xdr:oneCellAnchor>
    <xdr:from>
      <xdr:col>1</xdr:col>
      <xdr:colOff>0</xdr:colOff>
      <xdr:row>568</xdr:row>
      <xdr:rowOff>0</xdr:rowOff>
    </xdr:from>
    <xdr:ext cx="400050" cy="400050"/>
    <xdr:pic>
      <xdr:nvPicPr>
        <xdr:cNvPr id="0" name="image326.png"/>
        <xdr:cNvPicPr preferRelativeResize="0"/>
      </xdr:nvPicPr>
      <xdr:blipFill>
        <a:blip cstate="print" r:embed="rId277"/>
        <a:stretch>
          <a:fillRect/>
        </a:stretch>
      </xdr:blipFill>
      <xdr:spPr>
        <a:prstGeom prst="rect">
          <a:avLst/>
        </a:prstGeom>
        <a:noFill/>
      </xdr:spPr>
    </xdr:pic>
    <xdr:clientData fLocksWithSheet="0"/>
  </xdr:oneCellAnchor>
  <xdr:oneCellAnchor>
    <xdr:from>
      <xdr:col>1</xdr:col>
      <xdr:colOff>0</xdr:colOff>
      <xdr:row>569</xdr:row>
      <xdr:rowOff>0</xdr:rowOff>
    </xdr:from>
    <xdr:ext cx="400050" cy="400050"/>
    <xdr:pic>
      <xdr:nvPicPr>
        <xdr:cNvPr id="0" name="image348.png"/>
        <xdr:cNvPicPr preferRelativeResize="0"/>
      </xdr:nvPicPr>
      <xdr:blipFill>
        <a:blip cstate="print" r:embed="rId278"/>
        <a:stretch>
          <a:fillRect/>
        </a:stretch>
      </xdr:blipFill>
      <xdr:spPr>
        <a:prstGeom prst="rect">
          <a:avLst/>
        </a:prstGeom>
        <a:noFill/>
      </xdr:spPr>
    </xdr:pic>
    <xdr:clientData fLocksWithSheet="0"/>
  </xdr:oneCellAnchor>
  <xdr:oneCellAnchor>
    <xdr:from>
      <xdr:col>1</xdr:col>
      <xdr:colOff>0</xdr:colOff>
      <xdr:row>570</xdr:row>
      <xdr:rowOff>0</xdr:rowOff>
    </xdr:from>
    <xdr:ext cx="400050" cy="400050"/>
    <xdr:pic>
      <xdr:nvPicPr>
        <xdr:cNvPr id="0" name="image313.png"/>
        <xdr:cNvPicPr preferRelativeResize="0"/>
      </xdr:nvPicPr>
      <xdr:blipFill>
        <a:blip cstate="print" r:embed="rId279"/>
        <a:stretch>
          <a:fillRect/>
        </a:stretch>
      </xdr:blipFill>
      <xdr:spPr>
        <a:prstGeom prst="rect">
          <a:avLst/>
        </a:prstGeom>
        <a:noFill/>
      </xdr:spPr>
    </xdr:pic>
    <xdr:clientData fLocksWithSheet="0"/>
  </xdr:oneCellAnchor>
  <xdr:oneCellAnchor>
    <xdr:from>
      <xdr:col>1</xdr:col>
      <xdr:colOff>0</xdr:colOff>
      <xdr:row>571</xdr:row>
      <xdr:rowOff>0</xdr:rowOff>
    </xdr:from>
    <xdr:ext cx="400050" cy="400050"/>
    <xdr:pic>
      <xdr:nvPicPr>
        <xdr:cNvPr id="0" name="image358.png"/>
        <xdr:cNvPicPr preferRelativeResize="0"/>
      </xdr:nvPicPr>
      <xdr:blipFill>
        <a:blip cstate="print" r:embed="rId280"/>
        <a:stretch>
          <a:fillRect/>
        </a:stretch>
      </xdr:blipFill>
      <xdr:spPr>
        <a:prstGeom prst="rect">
          <a:avLst/>
        </a:prstGeom>
        <a:noFill/>
      </xdr:spPr>
    </xdr:pic>
    <xdr:clientData fLocksWithSheet="0"/>
  </xdr:oneCellAnchor>
  <xdr:oneCellAnchor>
    <xdr:from>
      <xdr:col>1</xdr:col>
      <xdr:colOff>0</xdr:colOff>
      <xdr:row>572</xdr:row>
      <xdr:rowOff>0</xdr:rowOff>
    </xdr:from>
    <xdr:ext cx="400050" cy="400050"/>
    <xdr:pic>
      <xdr:nvPicPr>
        <xdr:cNvPr id="0" name="image402.png"/>
        <xdr:cNvPicPr preferRelativeResize="0"/>
      </xdr:nvPicPr>
      <xdr:blipFill>
        <a:blip cstate="print" r:embed="rId281"/>
        <a:stretch>
          <a:fillRect/>
        </a:stretch>
      </xdr:blipFill>
      <xdr:spPr>
        <a:prstGeom prst="rect">
          <a:avLst/>
        </a:prstGeom>
        <a:noFill/>
      </xdr:spPr>
    </xdr:pic>
    <xdr:clientData fLocksWithSheet="0"/>
  </xdr:oneCellAnchor>
  <xdr:oneCellAnchor>
    <xdr:from>
      <xdr:col>1</xdr:col>
      <xdr:colOff>0</xdr:colOff>
      <xdr:row>573</xdr:row>
      <xdr:rowOff>0</xdr:rowOff>
    </xdr:from>
    <xdr:ext cx="400050" cy="400050"/>
    <xdr:pic>
      <xdr:nvPicPr>
        <xdr:cNvPr id="0" name="image325.png"/>
        <xdr:cNvPicPr preferRelativeResize="0"/>
      </xdr:nvPicPr>
      <xdr:blipFill>
        <a:blip cstate="print" r:embed="rId282"/>
        <a:stretch>
          <a:fillRect/>
        </a:stretch>
      </xdr:blipFill>
      <xdr:spPr>
        <a:prstGeom prst="rect">
          <a:avLst/>
        </a:prstGeom>
        <a:noFill/>
      </xdr:spPr>
    </xdr:pic>
    <xdr:clientData fLocksWithSheet="0"/>
  </xdr:oneCellAnchor>
  <xdr:oneCellAnchor>
    <xdr:from>
      <xdr:col>1</xdr:col>
      <xdr:colOff>0</xdr:colOff>
      <xdr:row>574</xdr:row>
      <xdr:rowOff>0</xdr:rowOff>
    </xdr:from>
    <xdr:ext cx="400050" cy="400050"/>
    <xdr:pic>
      <xdr:nvPicPr>
        <xdr:cNvPr id="0" name="image367.png"/>
        <xdr:cNvPicPr preferRelativeResize="0"/>
      </xdr:nvPicPr>
      <xdr:blipFill>
        <a:blip cstate="print" r:embed="rId283"/>
        <a:stretch>
          <a:fillRect/>
        </a:stretch>
      </xdr:blipFill>
      <xdr:spPr>
        <a:prstGeom prst="rect">
          <a:avLst/>
        </a:prstGeom>
        <a:noFill/>
      </xdr:spPr>
    </xdr:pic>
    <xdr:clientData fLocksWithSheet="0"/>
  </xdr:oneCellAnchor>
  <xdr:oneCellAnchor>
    <xdr:from>
      <xdr:col>1</xdr:col>
      <xdr:colOff>0</xdr:colOff>
      <xdr:row>575</xdr:row>
      <xdr:rowOff>0</xdr:rowOff>
    </xdr:from>
    <xdr:ext cx="400050" cy="400050"/>
    <xdr:pic>
      <xdr:nvPicPr>
        <xdr:cNvPr id="0" name="image359.png"/>
        <xdr:cNvPicPr preferRelativeResize="0"/>
      </xdr:nvPicPr>
      <xdr:blipFill>
        <a:blip cstate="print" r:embed="rId284"/>
        <a:stretch>
          <a:fillRect/>
        </a:stretch>
      </xdr:blipFill>
      <xdr:spPr>
        <a:prstGeom prst="rect">
          <a:avLst/>
        </a:prstGeom>
        <a:noFill/>
      </xdr:spPr>
    </xdr:pic>
    <xdr:clientData fLocksWithSheet="0"/>
  </xdr:oneCellAnchor>
  <xdr:oneCellAnchor>
    <xdr:from>
      <xdr:col>1</xdr:col>
      <xdr:colOff>0</xdr:colOff>
      <xdr:row>576</xdr:row>
      <xdr:rowOff>0</xdr:rowOff>
    </xdr:from>
    <xdr:ext cx="400050" cy="400050"/>
    <xdr:pic>
      <xdr:nvPicPr>
        <xdr:cNvPr id="0" name="image381.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577</xdr:row>
      <xdr:rowOff>0</xdr:rowOff>
    </xdr:from>
    <xdr:ext cx="400050" cy="400050"/>
    <xdr:pic>
      <xdr:nvPicPr>
        <xdr:cNvPr id="0" name="image364.png"/>
        <xdr:cNvPicPr preferRelativeResize="0"/>
      </xdr:nvPicPr>
      <xdr:blipFill>
        <a:blip cstate="print" r:embed="rId260"/>
        <a:stretch>
          <a:fillRect/>
        </a:stretch>
      </xdr:blipFill>
      <xdr:spPr>
        <a:prstGeom prst="rect">
          <a:avLst/>
        </a:prstGeom>
        <a:noFill/>
      </xdr:spPr>
    </xdr:pic>
    <xdr:clientData fLocksWithSheet="0"/>
  </xdr:oneCellAnchor>
  <xdr:oneCellAnchor>
    <xdr:from>
      <xdr:col>1</xdr:col>
      <xdr:colOff>0</xdr:colOff>
      <xdr:row>578</xdr:row>
      <xdr:rowOff>0</xdr:rowOff>
    </xdr:from>
    <xdr:ext cx="400050" cy="400050"/>
    <xdr:pic>
      <xdr:nvPicPr>
        <xdr:cNvPr id="0" name="image369.png"/>
        <xdr:cNvPicPr preferRelativeResize="0"/>
      </xdr:nvPicPr>
      <xdr:blipFill>
        <a:blip cstate="print" r:embed="rId110"/>
        <a:stretch>
          <a:fillRect/>
        </a:stretch>
      </xdr:blipFill>
      <xdr:spPr>
        <a:prstGeom prst="rect">
          <a:avLst/>
        </a:prstGeom>
        <a:noFill/>
      </xdr:spPr>
    </xdr:pic>
    <xdr:clientData fLocksWithSheet="0"/>
  </xdr:oneCellAnchor>
  <xdr:oneCellAnchor>
    <xdr:from>
      <xdr:col>1</xdr:col>
      <xdr:colOff>0</xdr:colOff>
      <xdr:row>579</xdr:row>
      <xdr:rowOff>0</xdr:rowOff>
    </xdr:from>
    <xdr:ext cx="400050" cy="400050"/>
    <xdr:pic>
      <xdr:nvPicPr>
        <xdr:cNvPr id="0" name="image372.png"/>
        <xdr:cNvPicPr preferRelativeResize="0"/>
      </xdr:nvPicPr>
      <xdr:blipFill>
        <a:blip cstate="print" r:embed="rId285"/>
        <a:stretch>
          <a:fillRect/>
        </a:stretch>
      </xdr:blipFill>
      <xdr:spPr>
        <a:prstGeom prst="rect">
          <a:avLst/>
        </a:prstGeom>
        <a:noFill/>
      </xdr:spPr>
    </xdr:pic>
    <xdr:clientData fLocksWithSheet="0"/>
  </xdr:oneCellAnchor>
  <xdr:oneCellAnchor>
    <xdr:from>
      <xdr:col>1</xdr:col>
      <xdr:colOff>0</xdr:colOff>
      <xdr:row>580</xdr:row>
      <xdr:rowOff>0</xdr:rowOff>
    </xdr:from>
    <xdr:ext cx="400050" cy="400050"/>
    <xdr:pic>
      <xdr:nvPicPr>
        <xdr:cNvPr id="0" name="image398.png"/>
        <xdr:cNvPicPr preferRelativeResize="0"/>
      </xdr:nvPicPr>
      <xdr:blipFill>
        <a:blip cstate="print" r:embed="rId129"/>
        <a:stretch>
          <a:fillRect/>
        </a:stretch>
      </xdr:blipFill>
      <xdr:spPr>
        <a:prstGeom prst="rect">
          <a:avLst/>
        </a:prstGeom>
        <a:noFill/>
      </xdr:spPr>
    </xdr:pic>
    <xdr:clientData fLocksWithSheet="0"/>
  </xdr:oneCellAnchor>
  <xdr:oneCellAnchor>
    <xdr:from>
      <xdr:col>1</xdr:col>
      <xdr:colOff>0</xdr:colOff>
      <xdr:row>581</xdr:row>
      <xdr:rowOff>0</xdr:rowOff>
    </xdr:from>
    <xdr:ext cx="400050" cy="400050"/>
    <xdr:pic>
      <xdr:nvPicPr>
        <xdr:cNvPr id="0" name="image11.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582</xdr:row>
      <xdr:rowOff>0</xdr:rowOff>
    </xdr:from>
    <xdr:ext cx="400050" cy="400050"/>
    <xdr:pic>
      <xdr:nvPicPr>
        <xdr:cNvPr id="0" name="image72.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583</xdr:row>
      <xdr:rowOff>0</xdr:rowOff>
    </xdr:from>
    <xdr:ext cx="400050" cy="400050"/>
    <xdr:pic>
      <xdr:nvPicPr>
        <xdr:cNvPr id="0" name="image18.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600</xdr:row>
      <xdr:rowOff>0</xdr:rowOff>
    </xdr:from>
    <xdr:ext cx="400050" cy="400050"/>
    <xdr:pic>
      <xdr:nvPicPr>
        <xdr:cNvPr id="0" name="image467.png"/>
        <xdr:cNvPicPr preferRelativeResize="0"/>
      </xdr:nvPicPr>
      <xdr:blipFill>
        <a:blip cstate="print" r:embed="rId286"/>
        <a:stretch>
          <a:fillRect/>
        </a:stretch>
      </xdr:blipFill>
      <xdr:spPr>
        <a:prstGeom prst="rect">
          <a:avLst/>
        </a:prstGeom>
        <a:noFill/>
      </xdr:spPr>
    </xdr:pic>
    <xdr:clientData fLocksWithSheet="0"/>
  </xdr:oneCellAnchor>
  <xdr:oneCellAnchor>
    <xdr:from>
      <xdr:col>1</xdr:col>
      <xdr:colOff>0</xdr:colOff>
      <xdr:row>601</xdr:row>
      <xdr:rowOff>0</xdr:rowOff>
    </xdr:from>
    <xdr:ext cx="400050" cy="400050"/>
    <xdr:pic>
      <xdr:nvPicPr>
        <xdr:cNvPr id="0" name="image366.png"/>
        <xdr:cNvPicPr preferRelativeResize="0"/>
      </xdr:nvPicPr>
      <xdr:blipFill>
        <a:blip cstate="print" r:embed="rId287"/>
        <a:stretch>
          <a:fillRect/>
        </a:stretch>
      </xdr:blipFill>
      <xdr:spPr>
        <a:prstGeom prst="rect">
          <a:avLst/>
        </a:prstGeom>
        <a:noFill/>
      </xdr:spPr>
    </xdr:pic>
    <xdr:clientData fLocksWithSheet="0"/>
  </xdr:oneCellAnchor>
  <xdr:oneCellAnchor>
    <xdr:from>
      <xdr:col>1</xdr:col>
      <xdr:colOff>0</xdr:colOff>
      <xdr:row>602</xdr:row>
      <xdr:rowOff>0</xdr:rowOff>
    </xdr:from>
    <xdr:ext cx="400050" cy="400050"/>
    <xdr:pic>
      <xdr:nvPicPr>
        <xdr:cNvPr id="0" name="image368.png"/>
        <xdr:cNvPicPr preferRelativeResize="0"/>
      </xdr:nvPicPr>
      <xdr:blipFill>
        <a:blip cstate="print" r:embed="rId288"/>
        <a:stretch>
          <a:fillRect/>
        </a:stretch>
      </xdr:blipFill>
      <xdr:spPr>
        <a:prstGeom prst="rect">
          <a:avLst/>
        </a:prstGeom>
        <a:noFill/>
      </xdr:spPr>
    </xdr:pic>
    <xdr:clientData fLocksWithSheet="0"/>
  </xdr:oneCellAnchor>
  <xdr:oneCellAnchor>
    <xdr:from>
      <xdr:col>1</xdr:col>
      <xdr:colOff>0</xdr:colOff>
      <xdr:row>603</xdr:row>
      <xdr:rowOff>0</xdr:rowOff>
    </xdr:from>
    <xdr:ext cx="400050" cy="400050"/>
    <xdr:pic>
      <xdr:nvPicPr>
        <xdr:cNvPr id="0" name="image323.png"/>
        <xdr:cNvPicPr preferRelativeResize="0"/>
      </xdr:nvPicPr>
      <xdr:blipFill>
        <a:blip cstate="print" r:embed="rId114"/>
        <a:stretch>
          <a:fillRect/>
        </a:stretch>
      </xdr:blipFill>
      <xdr:spPr>
        <a:prstGeom prst="rect">
          <a:avLst/>
        </a:prstGeom>
        <a:noFill/>
      </xdr:spPr>
    </xdr:pic>
    <xdr:clientData fLocksWithSheet="0"/>
  </xdr:oneCellAnchor>
  <xdr:oneCellAnchor>
    <xdr:from>
      <xdr:col>1</xdr:col>
      <xdr:colOff>0</xdr:colOff>
      <xdr:row>604</xdr:row>
      <xdr:rowOff>0</xdr:rowOff>
    </xdr:from>
    <xdr:ext cx="400050" cy="400050"/>
    <xdr:pic>
      <xdr:nvPicPr>
        <xdr:cNvPr id="0" name="image331.png"/>
        <xdr:cNvPicPr preferRelativeResize="0"/>
      </xdr:nvPicPr>
      <xdr:blipFill>
        <a:blip cstate="print" r:embed="rId289"/>
        <a:stretch>
          <a:fillRect/>
        </a:stretch>
      </xdr:blipFill>
      <xdr:spPr>
        <a:prstGeom prst="rect">
          <a:avLst/>
        </a:prstGeom>
        <a:noFill/>
      </xdr:spPr>
    </xdr:pic>
    <xdr:clientData fLocksWithSheet="0"/>
  </xdr:oneCellAnchor>
  <xdr:oneCellAnchor>
    <xdr:from>
      <xdr:col>1</xdr:col>
      <xdr:colOff>0</xdr:colOff>
      <xdr:row>605</xdr:row>
      <xdr:rowOff>0</xdr:rowOff>
    </xdr:from>
    <xdr:ext cx="400050" cy="400050"/>
    <xdr:pic>
      <xdr:nvPicPr>
        <xdr:cNvPr id="0" name="image387.png"/>
        <xdr:cNvPicPr preferRelativeResize="0"/>
      </xdr:nvPicPr>
      <xdr:blipFill>
        <a:blip cstate="print" r:embed="rId290"/>
        <a:stretch>
          <a:fillRect/>
        </a:stretch>
      </xdr:blipFill>
      <xdr:spPr>
        <a:prstGeom prst="rect">
          <a:avLst/>
        </a:prstGeom>
        <a:noFill/>
      </xdr:spPr>
    </xdr:pic>
    <xdr:clientData fLocksWithSheet="0"/>
  </xdr:oneCellAnchor>
  <xdr:oneCellAnchor>
    <xdr:from>
      <xdr:col>1</xdr:col>
      <xdr:colOff>0</xdr:colOff>
      <xdr:row>606</xdr:row>
      <xdr:rowOff>0</xdr:rowOff>
    </xdr:from>
    <xdr:ext cx="400050" cy="400050"/>
    <xdr:pic>
      <xdr:nvPicPr>
        <xdr:cNvPr id="0" name="image405.png"/>
        <xdr:cNvPicPr preferRelativeResize="0"/>
      </xdr:nvPicPr>
      <xdr:blipFill>
        <a:blip cstate="print" r:embed="rId291"/>
        <a:stretch>
          <a:fillRect/>
        </a:stretch>
      </xdr:blipFill>
      <xdr:spPr>
        <a:prstGeom prst="rect">
          <a:avLst/>
        </a:prstGeom>
        <a:noFill/>
      </xdr:spPr>
    </xdr:pic>
    <xdr:clientData fLocksWithSheet="0"/>
  </xdr:oneCellAnchor>
  <xdr:oneCellAnchor>
    <xdr:from>
      <xdr:col>1</xdr:col>
      <xdr:colOff>0</xdr:colOff>
      <xdr:row>607</xdr:row>
      <xdr:rowOff>0</xdr:rowOff>
    </xdr:from>
    <xdr:ext cx="400050" cy="400050"/>
    <xdr:pic>
      <xdr:nvPicPr>
        <xdr:cNvPr id="0" name="image399.png"/>
        <xdr:cNvPicPr preferRelativeResize="0"/>
      </xdr:nvPicPr>
      <xdr:blipFill>
        <a:blip cstate="print" r:embed="rId292"/>
        <a:stretch>
          <a:fillRect/>
        </a:stretch>
      </xdr:blipFill>
      <xdr:spPr>
        <a:prstGeom prst="rect">
          <a:avLst/>
        </a:prstGeom>
        <a:noFill/>
      </xdr:spPr>
    </xdr:pic>
    <xdr:clientData fLocksWithSheet="0"/>
  </xdr:oneCellAnchor>
  <xdr:oneCellAnchor>
    <xdr:from>
      <xdr:col>1</xdr:col>
      <xdr:colOff>0</xdr:colOff>
      <xdr:row>608</xdr:row>
      <xdr:rowOff>0</xdr:rowOff>
    </xdr:from>
    <xdr:ext cx="400050" cy="400050"/>
    <xdr:pic>
      <xdr:nvPicPr>
        <xdr:cNvPr id="0" name="image374.png"/>
        <xdr:cNvPicPr preferRelativeResize="0"/>
      </xdr:nvPicPr>
      <xdr:blipFill>
        <a:blip cstate="print" r:embed="rId293"/>
        <a:stretch>
          <a:fillRect/>
        </a:stretch>
      </xdr:blipFill>
      <xdr:spPr>
        <a:prstGeom prst="rect">
          <a:avLst/>
        </a:prstGeom>
        <a:noFill/>
      </xdr:spPr>
    </xdr:pic>
    <xdr:clientData fLocksWithSheet="0"/>
  </xdr:oneCellAnchor>
  <xdr:oneCellAnchor>
    <xdr:from>
      <xdr:col>1</xdr:col>
      <xdr:colOff>0</xdr:colOff>
      <xdr:row>609</xdr:row>
      <xdr:rowOff>0</xdr:rowOff>
    </xdr:from>
    <xdr:ext cx="400050" cy="400050"/>
    <xdr:pic>
      <xdr:nvPicPr>
        <xdr:cNvPr id="0" name="image327.png"/>
        <xdr:cNvPicPr preferRelativeResize="0"/>
      </xdr:nvPicPr>
      <xdr:blipFill>
        <a:blip cstate="print" r:embed="rId179"/>
        <a:stretch>
          <a:fillRect/>
        </a:stretch>
      </xdr:blipFill>
      <xdr:spPr>
        <a:prstGeom prst="rect">
          <a:avLst/>
        </a:prstGeom>
        <a:noFill/>
      </xdr:spPr>
    </xdr:pic>
    <xdr:clientData fLocksWithSheet="0"/>
  </xdr:oneCellAnchor>
  <xdr:oneCellAnchor>
    <xdr:from>
      <xdr:col>1</xdr:col>
      <xdr:colOff>0</xdr:colOff>
      <xdr:row>610</xdr:row>
      <xdr:rowOff>0</xdr:rowOff>
    </xdr:from>
    <xdr:ext cx="400050" cy="400050"/>
    <xdr:pic>
      <xdr:nvPicPr>
        <xdr:cNvPr id="0" name="image376.png"/>
        <xdr:cNvPicPr preferRelativeResize="0"/>
      </xdr:nvPicPr>
      <xdr:blipFill>
        <a:blip cstate="print" r:embed="rId294"/>
        <a:stretch>
          <a:fillRect/>
        </a:stretch>
      </xdr:blipFill>
      <xdr:spPr>
        <a:prstGeom prst="rect">
          <a:avLst/>
        </a:prstGeom>
        <a:noFill/>
      </xdr:spPr>
    </xdr:pic>
    <xdr:clientData fLocksWithSheet="0"/>
  </xdr:oneCellAnchor>
  <xdr:oneCellAnchor>
    <xdr:from>
      <xdr:col>1</xdr:col>
      <xdr:colOff>0</xdr:colOff>
      <xdr:row>611</xdr:row>
      <xdr:rowOff>0</xdr:rowOff>
    </xdr:from>
    <xdr:ext cx="400050" cy="400050"/>
    <xdr:pic>
      <xdr:nvPicPr>
        <xdr:cNvPr id="0" name="image333.png"/>
        <xdr:cNvPicPr preferRelativeResize="0"/>
      </xdr:nvPicPr>
      <xdr:blipFill>
        <a:blip cstate="print" r:embed="rId167"/>
        <a:stretch>
          <a:fillRect/>
        </a:stretch>
      </xdr:blipFill>
      <xdr:spPr>
        <a:prstGeom prst="rect">
          <a:avLst/>
        </a:prstGeom>
        <a:noFill/>
      </xdr:spPr>
    </xdr:pic>
    <xdr:clientData fLocksWithSheet="0"/>
  </xdr:oneCellAnchor>
  <xdr:oneCellAnchor>
    <xdr:from>
      <xdr:col>1</xdr:col>
      <xdr:colOff>0</xdr:colOff>
      <xdr:row>612</xdr:row>
      <xdr:rowOff>0</xdr:rowOff>
    </xdr:from>
    <xdr:ext cx="400050" cy="400050"/>
    <xdr:pic>
      <xdr:nvPicPr>
        <xdr:cNvPr id="0" name="image388.png"/>
        <xdr:cNvPicPr preferRelativeResize="0"/>
      </xdr:nvPicPr>
      <xdr:blipFill>
        <a:blip cstate="print" r:embed="rId295"/>
        <a:stretch>
          <a:fillRect/>
        </a:stretch>
      </xdr:blipFill>
      <xdr:spPr>
        <a:prstGeom prst="rect">
          <a:avLst/>
        </a:prstGeom>
        <a:noFill/>
      </xdr:spPr>
    </xdr:pic>
    <xdr:clientData fLocksWithSheet="0"/>
  </xdr:oneCellAnchor>
  <xdr:oneCellAnchor>
    <xdr:from>
      <xdr:col>1</xdr:col>
      <xdr:colOff>0</xdr:colOff>
      <xdr:row>613</xdr:row>
      <xdr:rowOff>0</xdr:rowOff>
    </xdr:from>
    <xdr:ext cx="400050" cy="400050"/>
    <xdr:pic>
      <xdr:nvPicPr>
        <xdr:cNvPr id="0" name="image380.png"/>
        <xdr:cNvPicPr preferRelativeResize="0"/>
      </xdr:nvPicPr>
      <xdr:blipFill>
        <a:blip cstate="print" r:embed="rId296"/>
        <a:stretch>
          <a:fillRect/>
        </a:stretch>
      </xdr:blipFill>
      <xdr:spPr>
        <a:prstGeom prst="rect">
          <a:avLst/>
        </a:prstGeom>
        <a:noFill/>
      </xdr:spPr>
    </xdr:pic>
    <xdr:clientData fLocksWithSheet="0"/>
  </xdr:oneCellAnchor>
  <xdr:oneCellAnchor>
    <xdr:from>
      <xdr:col>1</xdr:col>
      <xdr:colOff>0</xdr:colOff>
      <xdr:row>614</xdr:row>
      <xdr:rowOff>0</xdr:rowOff>
    </xdr:from>
    <xdr:ext cx="400050" cy="400050"/>
    <xdr:pic>
      <xdr:nvPicPr>
        <xdr:cNvPr id="0" name="image343.png"/>
        <xdr:cNvPicPr preferRelativeResize="0"/>
      </xdr:nvPicPr>
      <xdr:blipFill>
        <a:blip cstate="print" r:embed="rId223"/>
        <a:stretch>
          <a:fillRect/>
        </a:stretch>
      </xdr:blipFill>
      <xdr:spPr>
        <a:prstGeom prst="rect">
          <a:avLst/>
        </a:prstGeom>
        <a:noFill/>
      </xdr:spPr>
    </xdr:pic>
    <xdr:clientData fLocksWithSheet="0"/>
  </xdr:oneCellAnchor>
  <xdr:oneCellAnchor>
    <xdr:from>
      <xdr:col>1</xdr:col>
      <xdr:colOff>0</xdr:colOff>
      <xdr:row>615</xdr:row>
      <xdr:rowOff>0</xdr:rowOff>
    </xdr:from>
    <xdr:ext cx="400050" cy="400050"/>
    <xdr:pic>
      <xdr:nvPicPr>
        <xdr:cNvPr id="0" name="image354.png"/>
        <xdr:cNvPicPr preferRelativeResize="0"/>
      </xdr:nvPicPr>
      <xdr:blipFill>
        <a:blip cstate="print" r:embed="rId297"/>
        <a:stretch>
          <a:fillRect/>
        </a:stretch>
      </xdr:blipFill>
      <xdr:spPr>
        <a:prstGeom prst="rect">
          <a:avLst/>
        </a:prstGeom>
        <a:noFill/>
      </xdr:spPr>
    </xdr:pic>
    <xdr:clientData fLocksWithSheet="0"/>
  </xdr:oneCellAnchor>
  <xdr:oneCellAnchor>
    <xdr:from>
      <xdr:col>1</xdr:col>
      <xdr:colOff>0</xdr:colOff>
      <xdr:row>616</xdr:row>
      <xdr:rowOff>0</xdr:rowOff>
    </xdr:from>
    <xdr:ext cx="400050" cy="400050"/>
    <xdr:pic>
      <xdr:nvPicPr>
        <xdr:cNvPr id="0" name="image390.png"/>
        <xdr:cNvPicPr preferRelativeResize="0"/>
      </xdr:nvPicPr>
      <xdr:blipFill>
        <a:blip cstate="print" r:embed="rId292"/>
        <a:stretch>
          <a:fillRect/>
        </a:stretch>
      </xdr:blipFill>
      <xdr:spPr>
        <a:prstGeom prst="rect">
          <a:avLst/>
        </a:prstGeom>
        <a:noFill/>
      </xdr:spPr>
    </xdr:pic>
    <xdr:clientData fLocksWithSheet="0"/>
  </xdr:oneCellAnchor>
  <xdr:oneCellAnchor>
    <xdr:from>
      <xdr:col>1</xdr:col>
      <xdr:colOff>0</xdr:colOff>
      <xdr:row>617</xdr:row>
      <xdr:rowOff>0</xdr:rowOff>
    </xdr:from>
    <xdr:ext cx="400050" cy="400050"/>
    <xdr:pic>
      <xdr:nvPicPr>
        <xdr:cNvPr id="0" name="image391.png"/>
        <xdr:cNvPicPr preferRelativeResize="0"/>
      </xdr:nvPicPr>
      <xdr:blipFill>
        <a:blip cstate="print" r:embed="rId169"/>
        <a:stretch>
          <a:fillRect/>
        </a:stretch>
      </xdr:blipFill>
      <xdr:spPr>
        <a:prstGeom prst="rect">
          <a:avLst/>
        </a:prstGeom>
        <a:noFill/>
      </xdr:spPr>
    </xdr:pic>
    <xdr:clientData fLocksWithSheet="0"/>
  </xdr:oneCellAnchor>
  <xdr:oneCellAnchor>
    <xdr:from>
      <xdr:col>1</xdr:col>
      <xdr:colOff>0</xdr:colOff>
      <xdr:row>618</xdr:row>
      <xdr:rowOff>0</xdr:rowOff>
    </xdr:from>
    <xdr:ext cx="400050" cy="400050"/>
    <xdr:pic>
      <xdr:nvPicPr>
        <xdr:cNvPr id="0" name="image386.png"/>
        <xdr:cNvPicPr preferRelativeResize="0"/>
      </xdr:nvPicPr>
      <xdr:blipFill>
        <a:blip cstate="print" r:embed="rId294"/>
        <a:stretch>
          <a:fillRect/>
        </a:stretch>
      </xdr:blipFill>
      <xdr:spPr>
        <a:prstGeom prst="rect">
          <a:avLst/>
        </a:prstGeom>
        <a:noFill/>
      </xdr:spPr>
    </xdr:pic>
    <xdr:clientData fLocksWithSheet="0"/>
  </xdr:oneCellAnchor>
  <xdr:oneCellAnchor>
    <xdr:from>
      <xdr:col>1</xdr:col>
      <xdr:colOff>0</xdr:colOff>
      <xdr:row>619</xdr:row>
      <xdr:rowOff>0</xdr:rowOff>
    </xdr:from>
    <xdr:ext cx="400050" cy="400050"/>
    <xdr:pic>
      <xdr:nvPicPr>
        <xdr:cNvPr id="0" name="image393.png"/>
        <xdr:cNvPicPr preferRelativeResize="0"/>
      </xdr:nvPicPr>
      <xdr:blipFill>
        <a:blip cstate="print" r:embed="rId298"/>
        <a:stretch>
          <a:fillRect/>
        </a:stretch>
      </xdr:blipFill>
      <xdr:spPr>
        <a:prstGeom prst="rect">
          <a:avLst/>
        </a:prstGeom>
        <a:noFill/>
      </xdr:spPr>
    </xdr:pic>
    <xdr:clientData fLocksWithSheet="0"/>
  </xdr:oneCellAnchor>
  <xdr:oneCellAnchor>
    <xdr:from>
      <xdr:col>1</xdr:col>
      <xdr:colOff>0</xdr:colOff>
      <xdr:row>620</xdr:row>
      <xdr:rowOff>0</xdr:rowOff>
    </xdr:from>
    <xdr:ext cx="400050" cy="400050"/>
    <xdr:pic>
      <xdr:nvPicPr>
        <xdr:cNvPr id="0" name="image347.png"/>
        <xdr:cNvPicPr preferRelativeResize="0"/>
      </xdr:nvPicPr>
      <xdr:blipFill>
        <a:blip cstate="print" r:embed="rId299"/>
        <a:stretch>
          <a:fillRect/>
        </a:stretch>
      </xdr:blipFill>
      <xdr:spPr>
        <a:prstGeom prst="rect">
          <a:avLst/>
        </a:prstGeom>
        <a:noFill/>
      </xdr:spPr>
    </xdr:pic>
    <xdr:clientData fLocksWithSheet="0"/>
  </xdr:oneCellAnchor>
  <xdr:oneCellAnchor>
    <xdr:from>
      <xdr:col>1</xdr:col>
      <xdr:colOff>0</xdr:colOff>
      <xdr:row>621</xdr:row>
      <xdr:rowOff>0</xdr:rowOff>
    </xdr:from>
    <xdr:ext cx="400050" cy="400050"/>
    <xdr:pic>
      <xdr:nvPicPr>
        <xdr:cNvPr id="0" name="image488.png"/>
        <xdr:cNvPicPr preferRelativeResize="0"/>
      </xdr:nvPicPr>
      <xdr:blipFill>
        <a:blip cstate="print" r:embed="rId300"/>
        <a:stretch>
          <a:fillRect/>
        </a:stretch>
      </xdr:blipFill>
      <xdr:spPr>
        <a:prstGeom prst="rect">
          <a:avLst/>
        </a:prstGeom>
        <a:noFill/>
      </xdr:spPr>
    </xdr:pic>
    <xdr:clientData fLocksWithSheet="0"/>
  </xdr:oneCellAnchor>
  <xdr:oneCellAnchor>
    <xdr:from>
      <xdr:col>1</xdr:col>
      <xdr:colOff>0</xdr:colOff>
      <xdr:row>622</xdr:row>
      <xdr:rowOff>0</xdr:rowOff>
    </xdr:from>
    <xdr:ext cx="400050" cy="400050"/>
    <xdr:pic>
      <xdr:nvPicPr>
        <xdr:cNvPr id="0" name="image397.png"/>
        <xdr:cNvPicPr preferRelativeResize="0"/>
      </xdr:nvPicPr>
      <xdr:blipFill>
        <a:blip cstate="print" r:embed="rId301"/>
        <a:stretch>
          <a:fillRect/>
        </a:stretch>
      </xdr:blipFill>
      <xdr:spPr>
        <a:prstGeom prst="rect">
          <a:avLst/>
        </a:prstGeom>
        <a:noFill/>
      </xdr:spPr>
    </xdr:pic>
    <xdr:clientData fLocksWithSheet="0"/>
  </xdr:oneCellAnchor>
  <xdr:oneCellAnchor>
    <xdr:from>
      <xdr:col>1</xdr:col>
      <xdr:colOff>0</xdr:colOff>
      <xdr:row>623</xdr:row>
      <xdr:rowOff>0</xdr:rowOff>
    </xdr:from>
    <xdr:ext cx="400050" cy="400050"/>
    <xdr:pic>
      <xdr:nvPicPr>
        <xdr:cNvPr id="0" name="image395.png"/>
        <xdr:cNvPicPr preferRelativeResize="0"/>
      </xdr:nvPicPr>
      <xdr:blipFill>
        <a:blip cstate="print" r:embed="rId302"/>
        <a:stretch>
          <a:fillRect/>
        </a:stretch>
      </xdr:blipFill>
      <xdr:spPr>
        <a:prstGeom prst="rect">
          <a:avLst/>
        </a:prstGeom>
        <a:noFill/>
      </xdr:spPr>
    </xdr:pic>
    <xdr:clientData fLocksWithSheet="0"/>
  </xdr:oneCellAnchor>
  <xdr:oneCellAnchor>
    <xdr:from>
      <xdr:col>1</xdr:col>
      <xdr:colOff>0</xdr:colOff>
      <xdr:row>624</xdr:row>
      <xdr:rowOff>0</xdr:rowOff>
    </xdr:from>
    <xdr:ext cx="400050" cy="400050"/>
    <xdr:pic>
      <xdr:nvPicPr>
        <xdr:cNvPr id="0" name="image11.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625</xdr:row>
      <xdr:rowOff>0</xdr:rowOff>
    </xdr:from>
    <xdr:ext cx="400050" cy="400050"/>
    <xdr:pic>
      <xdr:nvPicPr>
        <xdr:cNvPr id="0" name="image72.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626</xdr:row>
      <xdr:rowOff>0</xdr:rowOff>
    </xdr:from>
    <xdr:ext cx="400050" cy="400050"/>
    <xdr:pic>
      <xdr:nvPicPr>
        <xdr:cNvPr id="0" name="image18.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650</xdr:row>
      <xdr:rowOff>0</xdr:rowOff>
    </xdr:from>
    <xdr:ext cx="400050" cy="400050"/>
    <xdr:pic>
      <xdr:nvPicPr>
        <xdr:cNvPr id="0" name="image371.png"/>
        <xdr:cNvPicPr preferRelativeResize="0"/>
      </xdr:nvPicPr>
      <xdr:blipFill>
        <a:blip cstate="print" r:embed="rId303"/>
        <a:stretch>
          <a:fillRect/>
        </a:stretch>
      </xdr:blipFill>
      <xdr:spPr>
        <a:prstGeom prst="rect">
          <a:avLst/>
        </a:prstGeom>
        <a:noFill/>
      </xdr:spPr>
    </xdr:pic>
    <xdr:clientData fLocksWithSheet="0"/>
  </xdr:oneCellAnchor>
  <xdr:oneCellAnchor>
    <xdr:from>
      <xdr:col>1</xdr:col>
      <xdr:colOff>0</xdr:colOff>
      <xdr:row>651</xdr:row>
      <xdr:rowOff>0</xdr:rowOff>
    </xdr:from>
    <xdr:ext cx="400050" cy="400050"/>
    <xdr:pic>
      <xdr:nvPicPr>
        <xdr:cNvPr id="0" name="image412.png"/>
        <xdr:cNvPicPr preferRelativeResize="0"/>
      </xdr:nvPicPr>
      <xdr:blipFill>
        <a:blip cstate="print" r:embed="rId304"/>
        <a:stretch>
          <a:fillRect/>
        </a:stretch>
      </xdr:blipFill>
      <xdr:spPr>
        <a:prstGeom prst="rect">
          <a:avLst/>
        </a:prstGeom>
        <a:noFill/>
      </xdr:spPr>
    </xdr:pic>
    <xdr:clientData fLocksWithSheet="0"/>
  </xdr:oneCellAnchor>
  <xdr:oneCellAnchor>
    <xdr:from>
      <xdr:col>1</xdr:col>
      <xdr:colOff>0</xdr:colOff>
      <xdr:row>652</xdr:row>
      <xdr:rowOff>0</xdr:rowOff>
    </xdr:from>
    <xdr:ext cx="400050" cy="400050"/>
    <xdr:pic>
      <xdr:nvPicPr>
        <xdr:cNvPr id="0" name="image485.png"/>
        <xdr:cNvPicPr preferRelativeResize="0"/>
      </xdr:nvPicPr>
      <xdr:blipFill>
        <a:blip cstate="print" r:embed="rId305"/>
        <a:stretch>
          <a:fillRect/>
        </a:stretch>
      </xdr:blipFill>
      <xdr:spPr>
        <a:prstGeom prst="rect">
          <a:avLst/>
        </a:prstGeom>
        <a:noFill/>
      </xdr:spPr>
    </xdr:pic>
    <xdr:clientData fLocksWithSheet="0"/>
  </xdr:oneCellAnchor>
  <xdr:oneCellAnchor>
    <xdr:from>
      <xdr:col>1</xdr:col>
      <xdr:colOff>0</xdr:colOff>
      <xdr:row>653</xdr:row>
      <xdr:rowOff>0</xdr:rowOff>
    </xdr:from>
    <xdr:ext cx="400050" cy="400050"/>
    <xdr:pic>
      <xdr:nvPicPr>
        <xdr:cNvPr id="0" name="image365.png"/>
        <xdr:cNvPicPr preferRelativeResize="0"/>
      </xdr:nvPicPr>
      <xdr:blipFill>
        <a:blip cstate="print" r:embed="rId119"/>
        <a:stretch>
          <a:fillRect/>
        </a:stretch>
      </xdr:blipFill>
      <xdr:spPr>
        <a:prstGeom prst="rect">
          <a:avLst/>
        </a:prstGeom>
        <a:noFill/>
      </xdr:spPr>
    </xdr:pic>
    <xdr:clientData fLocksWithSheet="0"/>
  </xdr:oneCellAnchor>
  <xdr:oneCellAnchor>
    <xdr:from>
      <xdr:col>1</xdr:col>
      <xdr:colOff>0</xdr:colOff>
      <xdr:row>654</xdr:row>
      <xdr:rowOff>0</xdr:rowOff>
    </xdr:from>
    <xdr:ext cx="400050" cy="400050"/>
    <xdr:pic>
      <xdr:nvPicPr>
        <xdr:cNvPr id="0" name="image356.png"/>
        <xdr:cNvPicPr preferRelativeResize="0"/>
      </xdr:nvPicPr>
      <xdr:blipFill>
        <a:blip cstate="print" r:embed="rId306"/>
        <a:stretch>
          <a:fillRect/>
        </a:stretch>
      </xdr:blipFill>
      <xdr:spPr>
        <a:prstGeom prst="rect">
          <a:avLst/>
        </a:prstGeom>
        <a:noFill/>
      </xdr:spPr>
    </xdr:pic>
    <xdr:clientData fLocksWithSheet="0"/>
  </xdr:oneCellAnchor>
  <xdr:oneCellAnchor>
    <xdr:from>
      <xdr:col>1</xdr:col>
      <xdr:colOff>0</xdr:colOff>
      <xdr:row>655</xdr:row>
      <xdr:rowOff>0</xdr:rowOff>
    </xdr:from>
    <xdr:ext cx="400050" cy="400050"/>
    <xdr:pic>
      <xdr:nvPicPr>
        <xdr:cNvPr id="0" name="image406.png"/>
        <xdr:cNvPicPr preferRelativeResize="0"/>
      </xdr:nvPicPr>
      <xdr:blipFill>
        <a:blip cstate="print" r:embed="rId226"/>
        <a:stretch>
          <a:fillRect/>
        </a:stretch>
      </xdr:blipFill>
      <xdr:spPr>
        <a:prstGeom prst="rect">
          <a:avLst/>
        </a:prstGeom>
        <a:noFill/>
      </xdr:spPr>
    </xdr:pic>
    <xdr:clientData fLocksWithSheet="0"/>
  </xdr:oneCellAnchor>
  <xdr:oneCellAnchor>
    <xdr:from>
      <xdr:col>1</xdr:col>
      <xdr:colOff>0</xdr:colOff>
      <xdr:row>656</xdr:row>
      <xdr:rowOff>0</xdr:rowOff>
    </xdr:from>
    <xdr:ext cx="400050" cy="400050"/>
    <xdr:pic>
      <xdr:nvPicPr>
        <xdr:cNvPr id="0" name="image373.png"/>
        <xdr:cNvPicPr preferRelativeResize="0"/>
      </xdr:nvPicPr>
      <xdr:blipFill>
        <a:blip cstate="print" r:embed="rId288"/>
        <a:stretch>
          <a:fillRect/>
        </a:stretch>
      </xdr:blipFill>
      <xdr:spPr>
        <a:prstGeom prst="rect">
          <a:avLst/>
        </a:prstGeom>
        <a:noFill/>
      </xdr:spPr>
    </xdr:pic>
    <xdr:clientData fLocksWithSheet="0"/>
  </xdr:oneCellAnchor>
  <xdr:oneCellAnchor>
    <xdr:from>
      <xdr:col>1</xdr:col>
      <xdr:colOff>0</xdr:colOff>
      <xdr:row>657</xdr:row>
      <xdr:rowOff>0</xdr:rowOff>
    </xdr:from>
    <xdr:ext cx="400050" cy="400050"/>
    <xdr:pic>
      <xdr:nvPicPr>
        <xdr:cNvPr id="0" name="image362.png"/>
        <xdr:cNvPicPr preferRelativeResize="0"/>
      </xdr:nvPicPr>
      <xdr:blipFill>
        <a:blip cstate="print" r:embed="rId307"/>
        <a:stretch>
          <a:fillRect/>
        </a:stretch>
      </xdr:blipFill>
      <xdr:spPr>
        <a:prstGeom prst="rect">
          <a:avLst/>
        </a:prstGeom>
        <a:noFill/>
      </xdr:spPr>
    </xdr:pic>
    <xdr:clientData fLocksWithSheet="0"/>
  </xdr:oneCellAnchor>
  <xdr:oneCellAnchor>
    <xdr:from>
      <xdr:col>1</xdr:col>
      <xdr:colOff>0</xdr:colOff>
      <xdr:row>658</xdr:row>
      <xdr:rowOff>0</xdr:rowOff>
    </xdr:from>
    <xdr:ext cx="400050" cy="400050"/>
    <xdr:pic>
      <xdr:nvPicPr>
        <xdr:cNvPr id="0" name="image409.png"/>
        <xdr:cNvPicPr preferRelativeResize="0"/>
      </xdr:nvPicPr>
      <xdr:blipFill>
        <a:blip cstate="print" r:embed="rId249"/>
        <a:stretch>
          <a:fillRect/>
        </a:stretch>
      </xdr:blipFill>
      <xdr:spPr>
        <a:prstGeom prst="rect">
          <a:avLst/>
        </a:prstGeom>
        <a:noFill/>
      </xdr:spPr>
    </xdr:pic>
    <xdr:clientData fLocksWithSheet="0"/>
  </xdr:oneCellAnchor>
  <xdr:oneCellAnchor>
    <xdr:from>
      <xdr:col>1</xdr:col>
      <xdr:colOff>0</xdr:colOff>
      <xdr:row>659</xdr:row>
      <xdr:rowOff>0</xdr:rowOff>
    </xdr:from>
    <xdr:ext cx="400050" cy="400050"/>
    <xdr:pic>
      <xdr:nvPicPr>
        <xdr:cNvPr id="0" name="image377.png"/>
        <xdr:cNvPicPr preferRelativeResize="0"/>
      </xdr:nvPicPr>
      <xdr:blipFill>
        <a:blip cstate="print" r:embed="rId308"/>
        <a:stretch>
          <a:fillRect/>
        </a:stretch>
      </xdr:blipFill>
      <xdr:spPr>
        <a:prstGeom prst="rect">
          <a:avLst/>
        </a:prstGeom>
        <a:noFill/>
      </xdr:spPr>
    </xdr:pic>
    <xdr:clientData fLocksWithSheet="0"/>
  </xdr:oneCellAnchor>
  <xdr:oneCellAnchor>
    <xdr:from>
      <xdr:col>1</xdr:col>
      <xdr:colOff>0</xdr:colOff>
      <xdr:row>660</xdr:row>
      <xdr:rowOff>0</xdr:rowOff>
    </xdr:from>
    <xdr:ext cx="400050" cy="400050"/>
    <xdr:pic>
      <xdr:nvPicPr>
        <xdr:cNvPr id="0" name="image383.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661</xdr:row>
      <xdr:rowOff>0</xdr:rowOff>
    </xdr:from>
    <xdr:ext cx="400050" cy="400050"/>
    <xdr:pic>
      <xdr:nvPicPr>
        <xdr:cNvPr id="0" name="image394.png"/>
        <xdr:cNvPicPr preferRelativeResize="0"/>
      </xdr:nvPicPr>
      <xdr:blipFill>
        <a:blip cstate="print" r:embed="rId309"/>
        <a:stretch>
          <a:fillRect/>
        </a:stretch>
      </xdr:blipFill>
      <xdr:spPr>
        <a:prstGeom prst="rect">
          <a:avLst/>
        </a:prstGeom>
        <a:noFill/>
      </xdr:spPr>
    </xdr:pic>
    <xdr:clientData fLocksWithSheet="0"/>
  </xdr:oneCellAnchor>
  <xdr:oneCellAnchor>
    <xdr:from>
      <xdr:col>1</xdr:col>
      <xdr:colOff>0</xdr:colOff>
      <xdr:row>662</xdr:row>
      <xdr:rowOff>0</xdr:rowOff>
    </xdr:from>
    <xdr:ext cx="400050" cy="400050"/>
    <xdr:pic>
      <xdr:nvPicPr>
        <xdr:cNvPr id="0" name="image357.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663</xdr:row>
      <xdr:rowOff>0</xdr:rowOff>
    </xdr:from>
    <xdr:ext cx="400050" cy="400050"/>
    <xdr:pic>
      <xdr:nvPicPr>
        <xdr:cNvPr id="0" name="image396.png"/>
        <xdr:cNvPicPr preferRelativeResize="0"/>
      </xdr:nvPicPr>
      <xdr:blipFill>
        <a:blip cstate="print" r:embed="rId310"/>
        <a:stretch>
          <a:fillRect/>
        </a:stretch>
      </xdr:blipFill>
      <xdr:spPr>
        <a:prstGeom prst="rect">
          <a:avLst/>
        </a:prstGeom>
        <a:noFill/>
      </xdr:spPr>
    </xdr:pic>
    <xdr:clientData fLocksWithSheet="0"/>
  </xdr:oneCellAnchor>
  <xdr:oneCellAnchor>
    <xdr:from>
      <xdr:col>1</xdr:col>
      <xdr:colOff>0</xdr:colOff>
      <xdr:row>664</xdr:row>
      <xdr:rowOff>0</xdr:rowOff>
    </xdr:from>
    <xdr:ext cx="390525" cy="400050"/>
    <xdr:pic>
      <xdr:nvPicPr>
        <xdr:cNvPr id="0" name="image355.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665</xdr:row>
      <xdr:rowOff>0</xdr:rowOff>
    </xdr:from>
    <xdr:ext cx="400050" cy="400050"/>
    <xdr:pic>
      <xdr:nvPicPr>
        <xdr:cNvPr id="0" name="image420.png"/>
        <xdr:cNvPicPr preferRelativeResize="0"/>
      </xdr:nvPicPr>
      <xdr:blipFill>
        <a:blip cstate="print" r:embed="rId311"/>
        <a:stretch>
          <a:fillRect/>
        </a:stretch>
      </xdr:blipFill>
      <xdr:spPr>
        <a:prstGeom prst="rect">
          <a:avLst/>
        </a:prstGeom>
        <a:noFill/>
      </xdr:spPr>
    </xdr:pic>
    <xdr:clientData fLocksWithSheet="0"/>
  </xdr:oneCellAnchor>
  <xdr:oneCellAnchor>
    <xdr:from>
      <xdr:col>1</xdr:col>
      <xdr:colOff>0</xdr:colOff>
      <xdr:row>666</xdr:row>
      <xdr:rowOff>0</xdr:rowOff>
    </xdr:from>
    <xdr:ext cx="400050" cy="400050"/>
    <xdr:pic>
      <xdr:nvPicPr>
        <xdr:cNvPr id="0" name="image417.png"/>
        <xdr:cNvPicPr preferRelativeResize="0"/>
      </xdr:nvPicPr>
      <xdr:blipFill>
        <a:blip cstate="print" r:embed="rId312"/>
        <a:stretch>
          <a:fillRect/>
        </a:stretch>
      </xdr:blipFill>
      <xdr:spPr>
        <a:prstGeom prst="rect">
          <a:avLst/>
        </a:prstGeom>
        <a:noFill/>
      </xdr:spPr>
    </xdr:pic>
    <xdr:clientData fLocksWithSheet="0"/>
  </xdr:oneCellAnchor>
  <xdr:oneCellAnchor>
    <xdr:from>
      <xdr:col>1</xdr:col>
      <xdr:colOff>0</xdr:colOff>
      <xdr:row>667</xdr:row>
      <xdr:rowOff>0</xdr:rowOff>
    </xdr:from>
    <xdr:ext cx="400050" cy="400050"/>
    <xdr:pic>
      <xdr:nvPicPr>
        <xdr:cNvPr id="0" name="image422.png"/>
        <xdr:cNvPicPr preferRelativeResize="0"/>
      </xdr:nvPicPr>
      <xdr:blipFill>
        <a:blip cstate="print" r:embed="rId313"/>
        <a:stretch>
          <a:fillRect/>
        </a:stretch>
      </xdr:blipFill>
      <xdr:spPr>
        <a:prstGeom prst="rect">
          <a:avLst/>
        </a:prstGeom>
        <a:noFill/>
      </xdr:spPr>
    </xdr:pic>
    <xdr:clientData fLocksWithSheet="0"/>
  </xdr:oneCellAnchor>
  <xdr:oneCellAnchor>
    <xdr:from>
      <xdr:col>1</xdr:col>
      <xdr:colOff>0</xdr:colOff>
      <xdr:row>668</xdr:row>
      <xdr:rowOff>0</xdr:rowOff>
    </xdr:from>
    <xdr:ext cx="400050" cy="400050"/>
    <xdr:pic>
      <xdr:nvPicPr>
        <xdr:cNvPr id="0" name="image370.png"/>
        <xdr:cNvPicPr preferRelativeResize="0"/>
      </xdr:nvPicPr>
      <xdr:blipFill>
        <a:blip cstate="print" r:embed="rId314"/>
        <a:stretch>
          <a:fillRect/>
        </a:stretch>
      </xdr:blipFill>
      <xdr:spPr>
        <a:prstGeom prst="rect">
          <a:avLst/>
        </a:prstGeom>
        <a:noFill/>
      </xdr:spPr>
    </xdr:pic>
    <xdr:clientData fLocksWithSheet="0"/>
  </xdr:oneCellAnchor>
  <xdr:oneCellAnchor>
    <xdr:from>
      <xdr:col>1</xdr:col>
      <xdr:colOff>0</xdr:colOff>
      <xdr:row>669</xdr:row>
      <xdr:rowOff>0</xdr:rowOff>
    </xdr:from>
    <xdr:ext cx="400050" cy="400050"/>
    <xdr:pic>
      <xdr:nvPicPr>
        <xdr:cNvPr id="0" name="image419.png"/>
        <xdr:cNvPicPr preferRelativeResize="0"/>
      </xdr:nvPicPr>
      <xdr:blipFill>
        <a:blip cstate="print" r:embed="rId315"/>
        <a:stretch>
          <a:fillRect/>
        </a:stretch>
      </xdr:blipFill>
      <xdr:spPr>
        <a:prstGeom prst="rect">
          <a:avLst/>
        </a:prstGeom>
        <a:noFill/>
      </xdr:spPr>
    </xdr:pic>
    <xdr:clientData fLocksWithSheet="0"/>
  </xdr:oneCellAnchor>
  <xdr:oneCellAnchor>
    <xdr:from>
      <xdr:col>1</xdr:col>
      <xdr:colOff>0</xdr:colOff>
      <xdr:row>670</xdr:row>
      <xdr:rowOff>0</xdr:rowOff>
    </xdr:from>
    <xdr:ext cx="400050" cy="400050"/>
    <xdr:pic>
      <xdr:nvPicPr>
        <xdr:cNvPr id="0" name="image347.png"/>
        <xdr:cNvPicPr preferRelativeResize="0"/>
      </xdr:nvPicPr>
      <xdr:blipFill>
        <a:blip cstate="print" r:embed="rId299"/>
        <a:stretch>
          <a:fillRect/>
        </a:stretch>
      </xdr:blipFill>
      <xdr:spPr>
        <a:prstGeom prst="rect">
          <a:avLst/>
        </a:prstGeom>
        <a:noFill/>
      </xdr:spPr>
    </xdr:pic>
    <xdr:clientData fLocksWithSheet="0"/>
  </xdr:oneCellAnchor>
  <xdr:oneCellAnchor>
    <xdr:from>
      <xdr:col>1</xdr:col>
      <xdr:colOff>0</xdr:colOff>
      <xdr:row>671</xdr:row>
      <xdr:rowOff>0</xdr:rowOff>
    </xdr:from>
    <xdr:ext cx="400050" cy="400050"/>
    <xdr:pic>
      <xdr:nvPicPr>
        <xdr:cNvPr id="0" name="image488.png"/>
        <xdr:cNvPicPr preferRelativeResize="0"/>
      </xdr:nvPicPr>
      <xdr:blipFill>
        <a:blip cstate="print" r:embed="rId300"/>
        <a:stretch>
          <a:fillRect/>
        </a:stretch>
      </xdr:blipFill>
      <xdr:spPr>
        <a:prstGeom prst="rect">
          <a:avLst/>
        </a:prstGeom>
        <a:noFill/>
      </xdr:spPr>
    </xdr:pic>
    <xdr:clientData fLocksWithSheet="0"/>
  </xdr:oneCellAnchor>
  <xdr:oneCellAnchor>
    <xdr:from>
      <xdr:col>1</xdr:col>
      <xdr:colOff>0</xdr:colOff>
      <xdr:row>672</xdr:row>
      <xdr:rowOff>0</xdr:rowOff>
    </xdr:from>
    <xdr:ext cx="400050" cy="400050"/>
    <xdr:pic>
      <xdr:nvPicPr>
        <xdr:cNvPr id="0" name="image397.png"/>
        <xdr:cNvPicPr preferRelativeResize="0"/>
      </xdr:nvPicPr>
      <xdr:blipFill>
        <a:blip cstate="print" r:embed="rId301"/>
        <a:stretch>
          <a:fillRect/>
        </a:stretch>
      </xdr:blipFill>
      <xdr:spPr>
        <a:prstGeom prst="rect">
          <a:avLst/>
        </a:prstGeom>
        <a:noFill/>
      </xdr:spPr>
    </xdr:pic>
    <xdr:clientData fLocksWithSheet="0"/>
  </xdr:oneCellAnchor>
  <xdr:oneCellAnchor>
    <xdr:from>
      <xdr:col>1</xdr:col>
      <xdr:colOff>0</xdr:colOff>
      <xdr:row>673</xdr:row>
      <xdr:rowOff>0</xdr:rowOff>
    </xdr:from>
    <xdr:ext cx="400050" cy="400050"/>
    <xdr:pic>
      <xdr:nvPicPr>
        <xdr:cNvPr id="0" name="image395.png"/>
        <xdr:cNvPicPr preferRelativeResize="0"/>
      </xdr:nvPicPr>
      <xdr:blipFill>
        <a:blip cstate="print" r:embed="rId302"/>
        <a:stretch>
          <a:fillRect/>
        </a:stretch>
      </xdr:blipFill>
      <xdr:spPr>
        <a:prstGeom prst="rect">
          <a:avLst/>
        </a:prstGeom>
        <a:noFill/>
      </xdr:spPr>
    </xdr:pic>
    <xdr:clientData fLocksWithSheet="0"/>
  </xdr:oneCellAnchor>
  <xdr:oneCellAnchor>
    <xdr:from>
      <xdr:col>1</xdr:col>
      <xdr:colOff>0</xdr:colOff>
      <xdr:row>674</xdr:row>
      <xdr:rowOff>0</xdr:rowOff>
    </xdr:from>
    <xdr:ext cx="400050" cy="400050"/>
    <xdr:pic>
      <xdr:nvPicPr>
        <xdr:cNvPr id="0" name="image11.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675</xdr:row>
      <xdr:rowOff>0</xdr:rowOff>
    </xdr:from>
    <xdr:ext cx="400050" cy="400050"/>
    <xdr:pic>
      <xdr:nvPicPr>
        <xdr:cNvPr id="0" name="image72.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676</xdr:row>
      <xdr:rowOff>0</xdr:rowOff>
    </xdr:from>
    <xdr:ext cx="400050" cy="400050"/>
    <xdr:pic>
      <xdr:nvPicPr>
        <xdr:cNvPr id="0" name="image18.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700</xdr:row>
      <xdr:rowOff>0</xdr:rowOff>
    </xdr:from>
    <xdr:ext cx="400050" cy="400050"/>
    <xdr:pic>
      <xdr:nvPicPr>
        <xdr:cNvPr id="0" name="image440.png"/>
        <xdr:cNvPicPr preferRelativeResize="0"/>
      </xdr:nvPicPr>
      <xdr:blipFill>
        <a:blip cstate="print" r:embed="rId316"/>
        <a:stretch>
          <a:fillRect/>
        </a:stretch>
      </xdr:blipFill>
      <xdr:spPr>
        <a:prstGeom prst="rect">
          <a:avLst/>
        </a:prstGeom>
        <a:noFill/>
      </xdr:spPr>
    </xdr:pic>
    <xdr:clientData fLocksWithSheet="0"/>
  </xdr:oneCellAnchor>
  <xdr:oneCellAnchor>
    <xdr:from>
      <xdr:col>1</xdr:col>
      <xdr:colOff>0</xdr:colOff>
      <xdr:row>701</xdr:row>
      <xdr:rowOff>0</xdr:rowOff>
    </xdr:from>
    <xdr:ext cx="400050" cy="400050"/>
    <xdr:pic>
      <xdr:nvPicPr>
        <xdr:cNvPr id="0" name="image424.png"/>
        <xdr:cNvPicPr preferRelativeResize="0"/>
      </xdr:nvPicPr>
      <xdr:blipFill>
        <a:blip cstate="print" r:embed="rId317"/>
        <a:stretch>
          <a:fillRect/>
        </a:stretch>
      </xdr:blipFill>
      <xdr:spPr>
        <a:prstGeom prst="rect">
          <a:avLst/>
        </a:prstGeom>
        <a:noFill/>
      </xdr:spPr>
    </xdr:pic>
    <xdr:clientData fLocksWithSheet="0"/>
  </xdr:oneCellAnchor>
  <xdr:oneCellAnchor>
    <xdr:from>
      <xdr:col>1</xdr:col>
      <xdr:colOff>0</xdr:colOff>
      <xdr:row>702</xdr:row>
      <xdr:rowOff>0</xdr:rowOff>
    </xdr:from>
    <xdr:ext cx="400050" cy="400050"/>
    <xdr:pic>
      <xdr:nvPicPr>
        <xdr:cNvPr id="0" name="image452.png"/>
        <xdr:cNvPicPr preferRelativeResize="0"/>
      </xdr:nvPicPr>
      <xdr:blipFill>
        <a:blip cstate="print" r:embed="rId318"/>
        <a:stretch>
          <a:fillRect/>
        </a:stretch>
      </xdr:blipFill>
      <xdr:spPr>
        <a:prstGeom prst="rect">
          <a:avLst/>
        </a:prstGeom>
        <a:noFill/>
      </xdr:spPr>
    </xdr:pic>
    <xdr:clientData fLocksWithSheet="0"/>
  </xdr:oneCellAnchor>
  <xdr:oneCellAnchor>
    <xdr:from>
      <xdr:col>1</xdr:col>
      <xdr:colOff>0</xdr:colOff>
      <xdr:row>703</xdr:row>
      <xdr:rowOff>0</xdr:rowOff>
    </xdr:from>
    <xdr:ext cx="400050" cy="400050"/>
    <xdr:pic>
      <xdr:nvPicPr>
        <xdr:cNvPr id="0" name="image434.png"/>
        <xdr:cNvPicPr preferRelativeResize="0"/>
      </xdr:nvPicPr>
      <xdr:blipFill>
        <a:blip cstate="print" r:embed="rId319"/>
        <a:stretch>
          <a:fillRect/>
        </a:stretch>
      </xdr:blipFill>
      <xdr:spPr>
        <a:prstGeom prst="rect">
          <a:avLst/>
        </a:prstGeom>
        <a:noFill/>
      </xdr:spPr>
    </xdr:pic>
    <xdr:clientData fLocksWithSheet="0"/>
  </xdr:oneCellAnchor>
  <xdr:oneCellAnchor>
    <xdr:from>
      <xdr:col>1</xdr:col>
      <xdr:colOff>0</xdr:colOff>
      <xdr:row>704</xdr:row>
      <xdr:rowOff>0</xdr:rowOff>
    </xdr:from>
    <xdr:ext cx="400050" cy="400050"/>
    <xdr:pic>
      <xdr:nvPicPr>
        <xdr:cNvPr id="0" name="image436.png"/>
        <xdr:cNvPicPr preferRelativeResize="0"/>
      </xdr:nvPicPr>
      <xdr:blipFill>
        <a:blip cstate="print" r:embed="rId320"/>
        <a:stretch>
          <a:fillRect/>
        </a:stretch>
      </xdr:blipFill>
      <xdr:spPr>
        <a:prstGeom prst="rect">
          <a:avLst/>
        </a:prstGeom>
        <a:noFill/>
      </xdr:spPr>
    </xdr:pic>
    <xdr:clientData fLocksWithSheet="0"/>
  </xdr:oneCellAnchor>
  <xdr:oneCellAnchor>
    <xdr:from>
      <xdr:col>1</xdr:col>
      <xdr:colOff>0</xdr:colOff>
      <xdr:row>705</xdr:row>
      <xdr:rowOff>0</xdr:rowOff>
    </xdr:from>
    <xdr:ext cx="400050" cy="400050"/>
    <xdr:pic>
      <xdr:nvPicPr>
        <xdr:cNvPr id="0" name="image426.png"/>
        <xdr:cNvPicPr preferRelativeResize="0"/>
      </xdr:nvPicPr>
      <xdr:blipFill>
        <a:blip cstate="print" r:embed="rId321"/>
        <a:stretch>
          <a:fillRect/>
        </a:stretch>
      </xdr:blipFill>
      <xdr:spPr>
        <a:prstGeom prst="rect">
          <a:avLst/>
        </a:prstGeom>
        <a:noFill/>
      </xdr:spPr>
    </xdr:pic>
    <xdr:clientData fLocksWithSheet="0"/>
  </xdr:oneCellAnchor>
  <xdr:oneCellAnchor>
    <xdr:from>
      <xdr:col>1</xdr:col>
      <xdr:colOff>0</xdr:colOff>
      <xdr:row>706</xdr:row>
      <xdr:rowOff>0</xdr:rowOff>
    </xdr:from>
    <xdr:ext cx="400050" cy="400050"/>
    <xdr:pic>
      <xdr:nvPicPr>
        <xdr:cNvPr id="0" name="image379.png"/>
        <xdr:cNvPicPr preferRelativeResize="0"/>
      </xdr:nvPicPr>
      <xdr:blipFill>
        <a:blip cstate="print" r:embed="rId139"/>
        <a:stretch>
          <a:fillRect/>
        </a:stretch>
      </xdr:blipFill>
      <xdr:spPr>
        <a:prstGeom prst="rect">
          <a:avLst/>
        </a:prstGeom>
        <a:noFill/>
      </xdr:spPr>
    </xdr:pic>
    <xdr:clientData fLocksWithSheet="0"/>
  </xdr:oneCellAnchor>
  <xdr:oneCellAnchor>
    <xdr:from>
      <xdr:col>1</xdr:col>
      <xdr:colOff>0</xdr:colOff>
      <xdr:row>707</xdr:row>
      <xdr:rowOff>0</xdr:rowOff>
    </xdr:from>
    <xdr:ext cx="400050" cy="400050"/>
    <xdr:pic>
      <xdr:nvPicPr>
        <xdr:cNvPr id="0" name="image431.png"/>
        <xdr:cNvPicPr preferRelativeResize="0"/>
      </xdr:nvPicPr>
      <xdr:blipFill>
        <a:blip cstate="print" r:embed="rId262"/>
        <a:stretch>
          <a:fillRect/>
        </a:stretch>
      </xdr:blipFill>
      <xdr:spPr>
        <a:prstGeom prst="rect">
          <a:avLst/>
        </a:prstGeom>
        <a:noFill/>
      </xdr:spPr>
    </xdr:pic>
    <xdr:clientData fLocksWithSheet="0"/>
  </xdr:oneCellAnchor>
  <xdr:oneCellAnchor>
    <xdr:from>
      <xdr:col>1</xdr:col>
      <xdr:colOff>0</xdr:colOff>
      <xdr:row>708</xdr:row>
      <xdr:rowOff>0</xdr:rowOff>
    </xdr:from>
    <xdr:ext cx="400050" cy="400050"/>
    <xdr:pic>
      <xdr:nvPicPr>
        <xdr:cNvPr id="0" name="image403.png"/>
        <xdr:cNvPicPr preferRelativeResize="0"/>
      </xdr:nvPicPr>
      <xdr:blipFill>
        <a:blip cstate="print" r:embed="rId162"/>
        <a:stretch>
          <a:fillRect/>
        </a:stretch>
      </xdr:blipFill>
      <xdr:spPr>
        <a:prstGeom prst="rect">
          <a:avLst/>
        </a:prstGeom>
        <a:noFill/>
      </xdr:spPr>
    </xdr:pic>
    <xdr:clientData fLocksWithSheet="0"/>
  </xdr:oneCellAnchor>
  <xdr:oneCellAnchor>
    <xdr:from>
      <xdr:col>1</xdr:col>
      <xdr:colOff>0</xdr:colOff>
      <xdr:row>709</xdr:row>
      <xdr:rowOff>0</xdr:rowOff>
    </xdr:from>
    <xdr:ext cx="400050" cy="400050"/>
    <xdr:pic>
      <xdr:nvPicPr>
        <xdr:cNvPr id="0" name="image477.png"/>
        <xdr:cNvPicPr preferRelativeResize="0"/>
      </xdr:nvPicPr>
      <xdr:blipFill>
        <a:blip cstate="print" r:embed="rId322"/>
        <a:stretch>
          <a:fillRect/>
        </a:stretch>
      </xdr:blipFill>
      <xdr:spPr>
        <a:prstGeom prst="rect">
          <a:avLst/>
        </a:prstGeom>
        <a:noFill/>
      </xdr:spPr>
    </xdr:pic>
    <xdr:clientData fLocksWithSheet="0"/>
  </xdr:oneCellAnchor>
  <xdr:oneCellAnchor>
    <xdr:from>
      <xdr:col>1</xdr:col>
      <xdr:colOff>0</xdr:colOff>
      <xdr:row>710</xdr:row>
      <xdr:rowOff>0</xdr:rowOff>
    </xdr:from>
    <xdr:ext cx="400050" cy="400050"/>
    <xdr:pic>
      <xdr:nvPicPr>
        <xdr:cNvPr id="0" name="image428.png"/>
        <xdr:cNvPicPr preferRelativeResize="0"/>
      </xdr:nvPicPr>
      <xdr:blipFill>
        <a:blip cstate="print" r:embed="rId323"/>
        <a:stretch>
          <a:fillRect/>
        </a:stretch>
      </xdr:blipFill>
      <xdr:spPr>
        <a:prstGeom prst="rect">
          <a:avLst/>
        </a:prstGeom>
        <a:noFill/>
      </xdr:spPr>
    </xdr:pic>
    <xdr:clientData fLocksWithSheet="0"/>
  </xdr:oneCellAnchor>
  <xdr:oneCellAnchor>
    <xdr:from>
      <xdr:col>1</xdr:col>
      <xdr:colOff>0</xdr:colOff>
      <xdr:row>711</xdr:row>
      <xdr:rowOff>0</xdr:rowOff>
    </xdr:from>
    <xdr:ext cx="400050" cy="400050"/>
    <xdr:pic>
      <xdr:nvPicPr>
        <xdr:cNvPr id="0" name="image429.png"/>
        <xdr:cNvPicPr preferRelativeResize="0"/>
      </xdr:nvPicPr>
      <xdr:blipFill>
        <a:blip cstate="print" r:embed="rId293"/>
        <a:stretch>
          <a:fillRect/>
        </a:stretch>
      </xdr:blipFill>
      <xdr:spPr>
        <a:prstGeom prst="rect">
          <a:avLst/>
        </a:prstGeom>
        <a:noFill/>
      </xdr:spPr>
    </xdr:pic>
    <xdr:clientData fLocksWithSheet="0"/>
  </xdr:oneCellAnchor>
  <xdr:oneCellAnchor>
    <xdr:from>
      <xdr:col>1</xdr:col>
      <xdr:colOff>0</xdr:colOff>
      <xdr:row>712</xdr:row>
      <xdr:rowOff>0</xdr:rowOff>
    </xdr:from>
    <xdr:ext cx="400050" cy="400050"/>
    <xdr:pic>
      <xdr:nvPicPr>
        <xdr:cNvPr id="0" name="image385.png"/>
        <xdr:cNvPicPr preferRelativeResize="0"/>
      </xdr:nvPicPr>
      <xdr:blipFill>
        <a:blip cstate="print" r:embed="rId226"/>
        <a:stretch>
          <a:fillRect/>
        </a:stretch>
      </xdr:blipFill>
      <xdr:spPr>
        <a:prstGeom prst="rect">
          <a:avLst/>
        </a:prstGeom>
        <a:noFill/>
      </xdr:spPr>
    </xdr:pic>
    <xdr:clientData fLocksWithSheet="0"/>
  </xdr:oneCellAnchor>
  <xdr:oneCellAnchor>
    <xdr:from>
      <xdr:col>1</xdr:col>
      <xdr:colOff>0</xdr:colOff>
      <xdr:row>713</xdr:row>
      <xdr:rowOff>0</xdr:rowOff>
    </xdr:from>
    <xdr:ext cx="400050" cy="400050"/>
    <xdr:pic>
      <xdr:nvPicPr>
        <xdr:cNvPr id="0" name="image389.png"/>
        <xdr:cNvPicPr preferRelativeResize="0"/>
      </xdr:nvPicPr>
      <xdr:blipFill>
        <a:blip cstate="print" r:embed="rId114"/>
        <a:stretch>
          <a:fillRect/>
        </a:stretch>
      </xdr:blipFill>
      <xdr:spPr>
        <a:prstGeom prst="rect">
          <a:avLst/>
        </a:prstGeom>
        <a:noFill/>
      </xdr:spPr>
    </xdr:pic>
    <xdr:clientData fLocksWithSheet="0"/>
  </xdr:oneCellAnchor>
  <xdr:oneCellAnchor>
    <xdr:from>
      <xdr:col>1</xdr:col>
      <xdr:colOff>0</xdr:colOff>
      <xdr:row>714</xdr:row>
      <xdr:rowOff>0</xdr:rowOff>
    </xdr:from>
    <xdr:ext cx="400050" cy="400050"/>
    <xdr:pic>
      <xdr:nvPicPr>
        <xdr:cNvPr id="0" name="image435.png"/>
        <xdr:cNvPicPr preferRelativeResize="0"/>
      </xdr:nvPicPr>
      <xdr:blipFill>
        <a:blip cstate="print" r:embed="rId169"/>
        <a:stretch>
          <a:fillRect/>
        </a:stretch>
      </xdr:blipFill>
      <xdr:spPr>
        <a:prstGeom prst="rect">
          <a:avLst/>
        </a:prstGeom>
        <a:noFill/>
      </xdr:spPr>
    </xdr:pic>
    <xdr:clientData fLocksWithSheet="0"/>
  </xdr:oneCellAnchor>
  <xdr:oneCellAnchor>
    <xdr:from>
      <xdr:col>1</xdr:col>
      <xdr:colOff>0</xdr:colOff>
      <xdr:row>715</xdr:row>
      <xdr:rowOff>0</xdr:rowOff>
    </xdr:from>
    <xdr:ext cx="400050" cy="400050"/>
    <xdr:pic>
      <xdr:nvPicPr>
        <xdr:cNvPr id="0" name="image408.png"/>
        <xdr:cNvPicPr preferRelativeResize="0"/>
      </xdr:nvPicPr>
      <xdr:blipFill>
        <a:blip cstate="print" r:embed="rId324"/>
        <a:stretch>
          <a:fillRect/>
        </a:stretch>
      </xdr:blipFill>
      <xdr:spPr>
        <a:prstGeom prst="rect">
          <a:avLst/>
        </a:prstGeom>
        <a:noFill/>
      </xdr:spPr>
    </xdr:pic>
    <xdr:clientData fLocksWithSheet="0"/>
  </xdr:oneCellAnchor>
  <xdr:oneCellAnchor>
    <xdr:from>
      <xdr:col>1</xdr:col>
      <xdr:colOff>0</xdr:colOff>
      <xdr:row>716</xdr:row>
      <xdr:rowOff>0</xdr:rowOff>
    </xdr:from>
    <xdr:ext cx="400050" cy="400050"/>
    <xdr:pic>
      <xdr:nvPicPr>
        <xdr:cNvPr id="0" name="image410.png"/>
        <xdr:cNvPicPr preferRelativeResize="0"/>
      </xdr:nvPicPr>
      <xdr:blipFill>
        <a:blip cstate="print" r:embed="rId325"/>
        <a:stretch>
          <a:fillRect/>
        </a:stretch>
      </xdr:blipFill>
      <xdr:spPr>
        <a:prstGeom prst="rect">
          <a:avLst/>
        </a:prstGeom>
        <a:noFill/>
      </xdr:spPr>
    </xdr:pic>
    <xdr:clientData fLocksWithSheet="0"/>
  </xdr:oneCellAnchor>
  <xdr:oneCellAnchor>
    <xdr:from>
      <xdr:col>1</xdr:col>
      <xdr:colOff>0</xdr:colOff>
      <xdr:row>717</xdr:row>
      <xdr:rowOff>0</xdr:rowOff>
    </xdr:from>
    <xdr:ext cx="400050" cy="400050"/>
    <xdr:pic>
      <xdr:nvPicPr>
        <xdr:cNvPr id="0" name="image439.png"/>
        <xdr:cNvPicPr preferRelativeResize="0"/>
      </xdr:nvPicPr>
      <xdr:blipFill>
        <a:blip cstate="print" r:embed="rId326"/>
        <a:stretch>
          <a:fillRect/>
        </a:stretch>
      </xdr:blipFill>
      <xdr:spPr>
        <a:prstGeom prst="rect">
          <a:avLst/>
        </a:prstGeom>
        <a:noFill/>
      </xdr:spPr>
    </xdr:pic>
    <xdr:clientData fLocksWithSheet="0"/>
  </xdr:oneCellAnchor>
  <xdr:oneCellAnchor>
    <xdr:from>
      <xdr:col>1</xdr:col>
      <xdr:colOff>0</xdr:colOff>
      <xdr:row>718</xdr:row>
      <xdr:rowOff>0</xdr:rowOff>
    </xdr:from>
    <xdr:ext cx="400050" cy="400050"/>
    <xdr:pic>
      <xdr:nvPicPr>
        <xdr:cNvPr id="0" name="image441.png"/>
        <xdr:cNvPicPr preferRelativeResize="0"/>
      </xdr:nvPicPr>
      <xdr:blipFill>
        <a:blip cstate="print" r:embed="rId294"/>
        <a:stretch>
          <a:fillRect/>
        </a:stretch>
      </xdr:blipFill>
      <xdr:spPr>
        <a:prstGeom prst="rect">
          <a:avLst/>
        </a:prstGeom>
        <a:noFill/>
      </xdr:spPr>
    </xdr:pic>
    <xdr:clientData fLocksWithSheet="0"/>
  </xdr:oneCellAnchor>
  <xdr:oneCellAnchor>
    <xdr:from>
      <xdr:col>1</xdr:col>
      <xdr:colOff>0</xdr:colOff>
      <xdr:row>719</xdr:row>
      <xdr:rowOff>0</xdr:rowOff>
    </xdr:from>
    <xdr:ext cx="400050" cy="400050"/>
    <xdr:pic>
      <xdr:nvPicPr>
        <xdr:cNvPr id="0" name="image427.png"/>
        <xdr:cNvPicPr preferRelativeResize="0"/>
      </xdr:nvPicPr>
      <xdr:blipFill>
        <a:blip cstate="print" r:embed="rId327"/>
        <a:stretch>
          <a:fillRect/>
        </a:stretch>
      </xdr:blipFill>
      <xdr:spPr>
        <a:prstGeom prst="rect">
          <a:avLst/>
        </a:prstGeom>
        <a:noFill/>
      </xdr:spPr>
    </xdr:pic>
    <xdr:clientData fLocksWithSheet="0"/>
  </xdr:oneCellAnchor>
  <xdr:oneCellAnchor>
    <xdr:from>
      <xdr:col>1</xdr:col>
      <xdr:colOff>0</xdr:colOff>
      <xdr:row>720</xdr:row>
      <xdr:rowOff>0</xdr:rowOff>
    </xdr:from>
    <xdr:ext cx="400050" cy="400050"/>
    <xdr:pic>
      <xdr:nvPicPr>
        <xdr:cNvPr id="0" name="image347.png"/>
        <xdr:cNvPicPr preferRelativeResize="0"/>
      </xdr:nvPicPr>
      <xdr:blipFill>
        <a:blip cstate="print" r:embed="rId299"/>
        <a:stretch>
          <a:fillRect/>
        </a:stretch>
      </xdr:blipFill>
      <xdr:spPr>
        <a:prstGeom prst="rect">
          <a:avLst/>
        </a:prstGeom>
        <a:noFill/>
      </xdr:spPr>
    </xdr:pic>
    <xdr:clientData fLocksWithSheet="0"/>
  </xdr:oneCellAnchor>
  <xdr:oneCellAnchor>
    <xdr:from>
      <xdr:col>1</xdr:col>
      <xdr:colOff>0</xdr:colOff>
      <xdr:row>721</xdr:row>
      <xdr:rowOff>0</xdr:rowOff>
    </xdr:from>
    <xdr:ext cx="400050" cy="400050"/>
    <xdr:pic>
      <xdr:nvPicPr>
        <xdr:cNvPr id="0" name="image488.png"/>
        <xdr:cNvPicPr preferRelativeResize="0"/>
      </xdr:nvPicPr>
      <xdr:blipFill>
        <a:blip cstate="print" r:embed="rId300"/>
        <a:stretch>
          <a:fillRect/>
        </a:stretch>
      </xdr:blipFill>
      <xdr:spPr>
        <a:prstGeom prst="rect">
          <a:avLst/>
        </a:prstGeom>
        <a:noFill/>
      </xdr:spPr>
    </xdr:pic>
    <xdr:clientData fLocksWithSheet="0"/>
  </xdr:oneCellAnchor>
  <xdr:oneCellAnchor>
    <xdr:from>
      <xdr:col>1</xdr:col>
      <xdr:colOff>0</xdr:colOff>
      <xdr:row>722</xdr:row>
      <xdr:rowOff>0</xdr:rowOff>
    </xdr:from>
    <xdr:ext cx="400050" cy="400050"/>
    <xdr:pic>
      <xdr:nvPicPr>
        <xdr:cNvPr id="0" name="image397.png"/>
        <xdr:cNvPicPr preferRelativeResize="0"/>
      </xdr:nvPicPr>
      <xdr:blipFill>
        <a:blip cstate="print" r:embed="rId301"/>
        <a:stretch>
          <a:fillRect/>
        </a:stretch>
      </xdr:blipFill>
      <xdr:spPr>
        <a:prstGeom prst="rect">
          <a:avLst/>
        </a:prstGeom>
        <a:noFill/>
      </xdr:spPr>
    </xdr:pic>
    <xdr:clientData fLocksWithSheet="0"/>
  </xdr:oneCellAnchor>
  <xdr:oneCellAnchor>
    <xdr:from>
      <xdr:col>1</xdr:col>
      <xdr:colOff>0</xdr:colOff>
      <xdr:row>723</xdr:row>
      <xdr:rowOff>0</xdr:rowOff>
    </xdr:from>
    <xdr:ext cx="400050" cy="400050"/>
    <xdr:pic>
      <xdr:nvPicPr>
        <xdr:cNvPr id="0" name="image395.png"/>
        <xdr:cNvPicPr preferRelativeResize="0"/>
      </xdr:nvPicPr>
      <xdr:blipFill>
        <a:blip cstate="print" r:embed="rId302"/>
        <a:stretch>
          <a:fillRect/>
        </a:stretch>
      </xdr:blipFill>
      <xdr:spPr>
        <a:prstGeom prst="rect">
          <a:avLst/>
        </a:prstGeom>
        <a:noFill/>
      </xdr:spPr>
    </xdr:pic>
    <xdr:clientData fLocksWithSheet="0"/>
  </xdr:oneCellAnchor>
  <xdr:oneCellAnchor>
    <xdr:from>
      <xdr:col>1</xdr:col>
      <xdr:colOff>0</xdr:colOff>
      <xdr:row>724</xdr:row>
      <xdr:rowOff>0</xdr:rowOff>
    </xdr:from>
    <xdr:ext cx="400050" cy="400050"/>
    <xdr:pic>
      <xdr:nvPicPr>
        <xdr:cNvPr id="0" name="image11.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725</xdr:row>
      <xdr:rowOff>0</xdr:rowOff>
    </xdr:from>
    <xdr:ext cx="400050" cy="400050"/>
    <xdr:pic>
      <xdr:nvPicPr>
        <xdr:cNvPr id="0" name="image72.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726</xdr:row>
      <xdr:rowOff>0</xdr:rowOff>
    </xdr:from>
    <xdr:ext cx="400050" cy="400050"/>
    <xdr:pic>
      <xdr:nvPicPr>
        <xdr:cNvPr id="0" name="image18.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750</xdr:row>
      <xdr:rowOff>0</xdr:rowOff>
    </xdr:from>
    <xdr:ext cx="400050" cy="400050"/>
    <xdr:pic>
      <xdr:nvPicPr>
        <xdr:cNvPr id="0" name="image432.png"/>
        <xdr:cNvPicPr preferRelativeResize="0"/>
      </xdr:nvPicPr>
      <xdr:blipFill>
        <a:blip cstate="print" r:embed="rId328"/>
        <a:stretch>
          <a:fillRect/>
        </a:stretch>
      </xdr:blipFill>
      <xdr:spPr>
        <a:prstGeom prst="rect">
          <a:avLst/>
        </a:prstGeom>
        <a:noFill/>
      </xdr:spPr>
    </xdr:pic>
    <xdr:clientData fLocksWithSheet="0"/>
  </xdr:oneCellAnchor>
  <xdr:oneCellAnchor>
    <xdr:from>
      <xdr:col>1</xdr:col>
      <xdr:colOff>0</xdr:colOff>
      <xdr:row>751</xdr:row>
      <xdr:rowOff>0</xdr:rowOff>
    </xdr:from>
    <xdr:ext cx="400050" cy="400050"/>
    <xdr:pic>
      <xdr:nvPicPr>
        <xdr:cNvPr id="0" name="image401.png"/>
        <xdr:cNvPicPr preferRelativeResize="0"/>
      </xdr:nvPicPr>
      <xdr:blipFill>
        <a:blip cstate="print" r:embed="rId329"/>
        <a:stretch>
          <a:fillRect/>
        </a:stretch>
      </xdr:blipFill>
      <xdr:spPr>
        <a:prstGeom prst="rect">
          <a:avLst/>
        </a:prstGeom>
        <a:noFill/>
      </xdr:spPr>
    </xdr:pic>
    <xdr:clientData fLocksWithSheet="0"/>
  </xdr:oneCellAnchor>
  <xdr:oneCellAnchor>
    <xdr:from>
      <xdr:col>1</xdr:col>
      <xdr:colOff>0</xdr:colOff>
      <xdr:row>752</xdr:row>
      <xdr:rowOff>0</xdr:rowOff>
    </xdr:from>
    <xdr:ext cx="400050" cy="400050"/>
    <xdr:pic>
      <xdr:nvPicPr>
        <xdr:cNvPr id="0" name="image404.png"/>
        <xdr:cNvPicPr preferRelativeResize="0"/>
      </xdr:nvPicPr>
      <xdr:blipFill>
        <a:blip cstate="print" r:embed="rId330"/>
        <a:stretch>
          <a:fillRect/>
        </a:stretch>
      </xdr:blipFill>
      <xdr:spPr>
        <a:prstGeom prst="rect">
          <a:avLst/>
        </a:prstGeom>
        <a:noFill/>
      </xdr:spPr>
    </xdr:pic>
    <xdr:clientData fLocksWithSheet="0"/>
  </xdr:oneCellAnchor>
  <xdr:oneCellAnchor>
    <xdr:from>
      <xdr:col>1</xdr:col>
      <xdr:colOff>0</xdr:colOff>
      <xdr:row>753</xdr:row>
      <xdr:rowOff>0</xdr:rowOff>
    </xdr:from>
    <xdr:ext cx="400050" cy="400050"/>
    <xdr:pic>
      <xdr:nvPicPr>
        <xdr:cNvPr id="0" name="image474.png"/>
        <xdr:cNvPicPr preferRelativeResize="0"/>
      </xdr:nvPicPr>
      <xdr:blipFill>
        <a:blip cstate="print" r:embed="rId331"/>
        <a:stretch>
          <a:fillRect/>
        </a:stretch>
      </xdr:blipFill>
      <xdr:spPr>
        <a:prstGeom prst="rect">
          <a:avLst/>
        </a:prstGeom>
        <a:noFill/>
      </xdr:spPr>
    </xdr:pic>
    <xdr:clientData fLocksWithSheet="0"/>
  </xdr:oneCellAnchor>
  <xdr:oneCellAnchor>
    <xdr:from>
      <xdr:col>1</xdr:col>
      <xdr:colOff>0</xdr:colOff>
      <xdr:row>754</xdr:row>
      <xdr:rowOff>0</xdr:rowOff>
    </xdr:from>
    <xdr:ext cx="400050" cy="400050"/>
    <xdr:pic>
      <xdr:nvPicPr>
        <xdr:cNvPr id="0" name="image415.png"/>
        <xdr:cNvPicPr preferRelativeResize="0"/>
      </xdr:nvPicPr>
      <xdr:blipFill>
        <a:blip cstate="print" r:embed="rId332"/>
        <a:stretch>
          <a:fillRect/>
        </a:stretch>
      </xdr:blipFill>
      <xdr:spPr>
        <a:prstGeom prst="rect">
          <a:avLst/>
        </a:prstGeom>
        <a:noFill/>
      </xdr:spPr>
    </xdr:pic>
    <xdr:clientData fLocksWithSheet="0"/>
  </xdr:oneCellAnchor>
  <xdr:oneCellAnchor>
    <xdr:from>
      <xdr:col>1</xdr:col>
      <xdr:colOff>0</xdr:colOff>
      <xdr:row>755</xdr:row>
      <xdr:rowOff>0</xdr:rowOff>
    </xdr:from>
    <xdr:ext cx="400050" cy="400050"/>
    <xdr:pic>
      <xdr:nvPicPr>
        <xdr:cNvPr id="0" name="image423.png"/>
        <xdr:cNvPicPr preferRelativeResize="0"/>
      </xdr:nvPicPr>
      <xdr:blipFill>
        <a:blip cstate="print" r:embed="rId333"/>
        <a:stretch>
          <a:fillRect/>
        </a:stretch>
      </xdr:blipFill>
      <xdr:spPr>
        <a:prstGeom prst="rect">
          <a:avLst/>
        </a:prstGeom>
        <a:noFill/>
      </xdr:spPr>
    </xdr:pic>
    <xdr:clientData fLocksWithSheet="0"/>
  </xdr:oneCellAnchor>
  <xdr:oneCellAnchor>
    <xdr:from>
      <xdr:col>1</xdr:col>
      <xdr:colOff>0</xdr:colOff>
      <xdr:row>756</xdr:row>
      <xdr:rowOff>0</xdr:rowOff>
    </xdr:from>
    <xdr:ext cx="400050" cy="400050"/>
    <xdr:pic>
      <xdr:nvPicPr>
        <xdr:cNvPr id="0" name="image392.png"/>
        <xdr:cNvPicPr preferRelativeResize="0"/>
      </xdr:nvPicPr>
      <xdr:blipFill>
        <a:blip cstate="print" r:embed="rId287"/>
        <a:stretch>
          <a:fillRect/>
        </a:stretch>
      </xdr:blipFill>
      <xdr:spPr>
        <a:prstGeom prst="rect">
          <a:avLst/>
        </a:prstGeom>
        <a:noFill/>
      </xdr:spPr>
    </xdr:pic>
    <xdr:clientData fLocksWithSheet="0"/>
  </xdr:oneCellAnchor>
  <xdr:oneCellAnchor>
    <xdr:from>
      <xdr:col>1</xdr:col>
      <xdr:colOff>0</xdr:colOff>
      <xdr:row>757</xdr:row>
      <xdr:rowOff>0</xdr:rowOff>
    </xdr:from>
    <xdr:ext cx="400050" cy="400050"/>
    <xdr:pic>
      <xdr:nvPicPr>
        <xdr:cNvPr id="0" name="image438.png"/>
        <xdr:cNvPicPr preferRelativeResize="0"/>
      </xdr:nvPicPr>
      <xdr:blipFill>
        <a:blip cstate="print" r:embed="rId326"/>
        <a:stretch>
          <a:fillRect/>
        </a:stretch>
      </xdr:blipFill>
      <xdr:spPr>
        <a:prstGeom prst="rect">
          <a:avLst/>
        </a:prstGeom>
        <a:noFill/>
      </xdr:spPr>
    </xdr:pic>
    <xdr:clientData fLocksWithSheet="0"/>
  </xdr:oneCellAnchor>
  <xdr:oneCellAnchor>
    <xdr:from>
      <xdr:col>1</xdr:col>
      <xdr:colOff>0</xdr:colOff>
      <xdr:row>758</xdr:row>
      <xdr:rowOff>0</xdr:rowOff>
    </xdr:from>
    <xdr:ext cx="400050" cy="400050"/>
    <xdr:pic>
      <xdr:nvPicPr>
        <xdr:cNvPr id="0" name="image425.png"/>
        <xdr:cNvPicPr preferRelativeResize="0"/>
      </xdr:nvPicPr>
      <xdr:blipFill>
        <a:blip cstate="print" r:embed="rId334"/>
        <a:stretch>
          <a:fillRect/>
        </a:stretch>
      </xdr:blipFill>
      <xdr:spPr>
        <a:prstGeom prst="rect">
          <a:avLst/>
        </a:prstGeom>
        <a:noFill/>
      </xdr:spPr>
    </xdr:pic>
    <xdr:clientData fLocksWithSheet="0"/>
  </xdr:oneCellAnchor>
  <xdr:oneCellAnchor>
    <xdr:from>
      <xdr:col>1</xdr:col>
      <xdr:colOff>0</xdr:colOff>
      <xdr:row>759</xdr:row>
      <xdr:rowOff>0</xdr:rowOff>
    </xdr:from>
    <xdr:ext cx="400050" cy="400050"/>
    <xdr:pic>
      <xdr:nvPicPr>
        <xdr:cNvPr id="0" name="image443.png"/>
        <xdr:cNvPicPr preferRelativeResize="0"/>
      </xdr:nvPicPr>
      <xdr:blipFill>
        <a:blip cstate="print" r:embed="rId335"/>
        <a:stretch>
          <a:fillRect/>
        </a:stretch>
      </xdr:blipFill>
      <xdr:spPr>
        <a:prstGeom prst="rect">
          <a:avLst/>
        </a:prstGeom>
        <a:noFill/>
      </xdr:spPr>
    </xdr:pic>
    <xdr:clientData fLocksWithSheet="0"/>
  </xdr:oneCellAnchor>
  <xdr:oneCellAnchor>
    <xdr:from>
      <xdr:col>1</xdr:col>
      <xdr:colOff>0</xdr:colOff>
      <xdr:row>760</xdr:row>
      <xdr:rowOff>0</xdr:rowOff>
    </xdr:from>
    <xdr:ext cx="400050" cy="400050"/>
    <xdr:pic>
      <xdr:nvPicPr>
        <xdr:cNvPr id="0" name="image446.png"/>
        <xdr:cNvPicPr preferRelativeResize="0"/>
      </xdr:nvPicPr>
      <xdr:blipFill>
        <a:blip cstate="print" r:embed="rId316"/>
        <a:stretch>
          <a:fillRect/>
        </a:stretch>
      </xdr:blipFill>
      <xdr:spPr>
        <a:prstGeom prst="rect">
          <a:avLst/>
        </a:prstGeom>
        <a:noFill/>
      </xdr:spPr>
    </xdr:pic>
    <xdr:clientData fLocksWithSheet="0"/>
  </xdr:oneCellAnchor>
  <xdr:oneCellAnchor>
    <xdr:from>
      <xdr:col>1</xdr:col>
      <xdr:colOff>0</xdr:colOff>
      <xdr:row>761</xdr:row>
      <xdr:rowOff>0</xdr:rowOff>
    </xdr:from>
    <xdr:ext cx="400050" cy="400050"/>
    <xdr:pic>
      <xdr:nvPicPr>
        <xdr:cNvPr id="0" name="image451.png"/>
        <xdr:cNvPicPr preferRelativeResize="0"/>
      </xdr:nvPicPr>
      <xdr:blipFill>
        <a:blip cstate="print" r:embed="rId336"/>
        <a:stretch>
          <a:fillRect/>
        </a:stretch>
      </xdr:blipFill>
      <xdr:spPr>
        <a:prstGeom prst="rect">
          <a:avLst/>
        </a:prstGeom>
        <a:noFill/>
      </xdr:spPr>
    </xdr:pic>
    <xdr:clientData fLocksWithSheet="0"/>
  </xdr:oneCellAnchor>
  <xdr:oneCellAnchor>
    <xdr:from>
      <xdr:col>1</xdr:col>
      <xdr:colOff>0</xdr:colOff>
      <xdr:row>762</xdr:row>
      <xdr:rowOff>0</xdr:rowOff>
    </xdr:from>
    <xdr:ext cx="400050" cy="400050"/>
    <xdr:pic>
      <xdr:nvPicPr>
        <xdr:cNvPr id="0" name="image421.png"/>
        <xdr:cNvPicPr preferRelativeResize="0"/>
      </xdr:nvPicPr>
      <xdr:blipFill>
        <a:blip cstate="print" r:embed="rId337"/>
        <a:stretch>
          <a:fillRect/>
        </a:stretch>
      </xdr:blipFill>
      <xdr:spPr>
        <a:prstGeom prst="rect">
          <a:avLst/>
        </a:prstGeom>
        <a:noFill/>
      </xdr:spPr>
    </xdr:pic>
    <xdr:clientData fLocksWithSheet="0"/>
  </xdr:oneCellAnchor>
  <xdr:oneCellAnchor>
    <xdr:from>
      <xdr:col>1</xdr:col>
      <xdr:colOff>0</xdr:colOff>
      <xdr:row>763</xdr:row>
      <xdr:rowOff>0</xdr:rowOff>
    </xdr:from>
    <xdr:ext cx="400050" cy="400050"/>
    <xdr:pic>
      <xdr:nvPicPr>
        <xdr:cNvPr id="0" name="image461.png"/>
        <xdr:cNvPicPr preferRelativeResize="0"/>
      </xdr:nvPicPr>
      <xdr:blipFill>
        <a:blip cstate="print" r:embed="rId338"/>
        <a:stretch>
          <a:fillRect/>
        </a:stretch>
      </xdr:blipFill>
      <xdr:spPr>
        <a:prstGeom prst="rect">
          <a:avLst/>
        </a:prstGeom>
        <a:noFill/>
      </xdr:spPr>
    </xdr:pic>
    <xdr:clientData fLocksWithSheet="0"/>
  </xdr:oneCellAnchor>
  <xdr:oneCellAnchor>
    <xdr:from>
      <xdr:col>1</xdr:col>
      <xdr:colOff>0</xdr:colOff>
      <xdr:row>764</xdr:row>
      <xdr:rowOff>0</xdr:rowOff>
    </xdr:from>
    <xdr:ext cx="400050" cy="400050"/>
    <xdr:pic>
      <xdr:nvPicPr>
        <xdr:cNvPr id="0" name="image472.png"/>
        <xdr:cNvPicPr preferRelativeResize="0"/>
      </xdr:nvPicPr>
      <xdr:blipFill>
        <a:blip cstate="print" r:embed="rId339"/>
        <a:stretch>
          <a:fillRect/>
        </a:stretch>
      </xdr:blipFill>
      <xdr:spPr>
        <a:prstGeom prst="rect">
          <a:avLst/>
        </a:prstGeom>
        <a:noFill/>
      </xdr:spPr>
    </xdr:pic>
    <xdr:clientData fLocksWithSheet="0"/>
  </xdr:oneCellAnchor>
  <xdr:oneCellAnchor>
    <xdr:from>
      <xdr:col>1</xdr:col>
      <xdr:colOff>0</xdr:colOff>
      <xdr:row>765</xdr:row>
      <xdr:rowOff>0</xdr:rowOff>
    </xdr:from>
    <xdr:ext cx="400050" cy="400050"/>
    <xdr:pic>
      <xdr:nvPicPr>
        <xdr:cNvPr id="0" name="image433.png"/>
        <xdr:cNvPicPr preferRelativeResize="0"/>
      </xdr:nvPicPr>
      <xdr:blipFill>
        <a:blip cstate="print" r:embed="rId325"/>
        <a:stretch>
          <a:fillRect/>
        </a:stretch>
      </xdr:blipFill>
      <xdr:spPr>
        <a:prstGeom prst="rect">
          <a:avLst/>
        </a:prstGeom>
        <a:noFill/>
      </xdr:spPr>
    </xdr:pic>
    <xdr:clientData fLocksWithSheet="0"/>
  </xdr:oneCellAnchor>
  <xdr:oneCellAnchor>
    <xdr:from>
      <xdr:col>1</xdr:col>
      <xdr:colOff>0</xdr:colOff>
      <xdr:row>766</xdr:row>
      <xdr:rowOff>0</xdr:rowOff>
    </xdr:from>
    <xdr:ext cx="400050" cy="400050"/>
    <xdr:pic>
      <xdr:nvPicPr>
        <xdr:cNvPr id="0" name="image492.png"/>
        <xdr:cNvPicPr preferRelativeResize="0"/>
      </xdr:nvPicPr>
      <xdr:blipFill>
        <a:blip cstate="print" r:embed="rId340"/>
        <a:stretch>
          <a:fillRect/>
        </a:stretch>
      </xdr:blipFill>
      <xdr:spPr>
        <a:prstGeom prst="rect">
          <a:avLst/>
        </a:prstGeom>
        <a:noFill/>
      </xdr:spPr>
    </xdr:pic>
    <xdr:clientData fLocksWithSheet="0"/>
  </xdr:oneCellAnchor>
  <xdr:oneCellAnchor>
    <xdr:from>
      <xdr:col>1</xdr:col>
      <xdr:colOff>0</xdr:colOff>
      <xdr:row>767</xdr:row>
      <xdr:rowOff>0</xdr:rowOff>
    </xdr:from>
    <xdr:ext cx="400050" cy="400050"/>
    <xdr:pic>
      <xdr:nvPicPr>
        <xdr:cNvPr id="0" name="image458.png"/>
        <xdr:cNvPicPr preferRelativeResize="0"/>
      </xdr:nvPicPr>
      <xdr:blipFill>
        <a:blip cstate="print" r:embed="rId341"/>
        <a:stretch>
          <a:fillRect/>
        </a:stretch>
      </xdr:blipFill>
      <xdr:spPr>
        <a:prstGeom prst="rect">
          <a:avLst/>
        </a:prstGeom>
        <a:noFill/>
      </xdr:spPr>
    </xdr:pic>
    <xdr:clientData fLocksWithSheet="0"/>
  </xdr:oneCellAnchor>
  <xdr:oneCellAnchor>
    <xdr:from>
      <xdr:col>1</xdr:col>
      <xdr:colOff>0</xdr:colOff>
      <xdr:row>768</xdr:row>
      <xdr:rowOff>0</xdr:rowOff>
    </xdr:from>
    <xdr:ext cx="400050" cy="400050"/>
    <xdr:pic>
      <xdr:nvPicPr>
        <xdr:cNvPr id="0" name="image460.png"/>
        <xdr:cNvPicPr preferRelativeResize="0"/>
      </xdr:nvPicPr>
      <xdr:blipFill>
        <a:blip cstate="print" r:embed="rId342"/>
        <a:stretch>
          <a:fillRect/>
        </a:stretch>
      </xdr:blipFill>
      <xdr:spPr>
        <a:prstGeom prst="rect">
          <a:avLst/>
        </a:prstGeom>
        <a:noFill/>
      </xdr:spPr>
    </xdr:pic>
    <xdr:clientData fLocksWithSheet="0"/>
  </xdr:oneCellAnchor>
  <xdr:oneCellAnchor>
    <xdr:from>
      <xdr:col>1</xdr:col>
      <xdr:colOff>0</xdr:colOff>
      <xdr:row>769</xdr:row>
      <xdr:rowOff>0</xdr:rowOff>
    </xdr:from>
    <xdr:ext cx="400050" cy="400050"/>
    <xdr:pic>
      <xdr:nvPicPr>
        <xdr:cNvPr id="0" name="image413.png"/>
        <xdr:cNvPicPr preferRelativeResize="0"/>
      </xdr:nvPicPr>
      <xdr:blipFill>
        <a:blip cstate="print" r:embed="rId296"/>
        <a:stretch>
          <a:fillRect/>
        </a:stretch>
      </xdr:blipFill>
      <xdr:spPr>
        <a:prstGeom prst="rect">
          <a:avLst/>
        </a:prstGeom>
        <a:noFill/>
      </xdr:spPr>
    </xdr:pic>
    <xdr:clientData fLocksWithSheet="0"/>
  </xdr:oneCellAnchor>
  <xdr:oneCellAnchor>
    <xdr:from>
      <xdr:col>1</xdr:col>
      <xdr:colOff>0</xdr:colOff>
      <xdr:row>770</xdr:row>
      <xdr:rowOff>0</xdr:rowOff>
    </xdr:from>
    <xdr:ext cx="400050" cy="400050"/>
    <xdr:pic>
      <xdr:nvPicPr>
        <xdr:cNvPr id="0" name="image411.png"/>
        <xdr:cNvPicPr preferRelativeResize="0"/>
      </xdr:nvPicPr>
      <xdr:blipFill>
        <a:blip cstate="print" r:embed="rId180"/>
        <a:stretch>
          <a:fillRect/>
        </a:stretch>
      </xdr:blipFill>
      <xdr:spPr>
        <a:prstGeom prst="rect">
          <a:avLst/>
        </a:prstGeom>
        <a:noFill/>
      </xdr:spPr>
    </xdr:pic>
    <xdr:clientData fLocksWithSheet="0"/>
  </xdr:oneCellAnchor>
  <xdr:oneCellAnchor>
    <xdr:from>
      <xdr:col>1</xdr:col>
      <xdr:colOff>0</xdr:colOff>
      <xdr:row>771</xdr:row>
      <xdr:rowOff>0</xdr:rowOff>
    </xdr:from>
    <xdr:ext cx="400050" cy="400050"/>
    <xdr:pic>
      <xdr:nvPicPr>
        <xdr:cNvPr id="0" name="image414.png"/>
        <xdr:cNvPicPr preferRelativeResize="0"/>
      </xdr:nvPicPr>
      <xdr:blipFill>
        <a:blip cstate="print" r:embed="rId295"/>
        <a:stretch>
          <a:fillRect/>
        </a:stretch>
      </xdr:blipFill>
      <xdr:spPr>
        <a:prstGeom prst="rect">
          <a:avLst/>
        </a:prstGeom>
        <a:noFill/>
      </xdr:spPr>
    </xdr:pic>
    <xdr:clientData fLocksWithSheet="0"/>
  </xdr:oneCellAnchor>
  <xdr:oneCellAnchor>
    <xdr:from>
      <xdr:col>1</xdr:col>
      <xdr:colOff>0</xdr:colOff>
      <xdr:row>772</xdr:row>
      <xdr:rowOff>0</xdr:rowOff>
    </xdr:from>
    <xdr:ext cx="400050" cy="400050"/>
    <xdr:pic>
      <xdr:nvPicPr>
        <xdr:cNvPr id="0" name="image447.png"/>
        <xdr:cNvPicPr preferRelativeResize="0"/>
      </xdr:nvPicPr>
      <xdr:blipFill>
        <a:blip cstate="print" r:embed="rId343"/>
        <a:stretch>
          <a:fillRect/>
        </a:stretch>
      </xdr:blipFill>
      <xdr:spPr>
        <a:prstGeom prst="rect">
          <a:avLst/>
        </a:prstGeom>
        <a:noFill/>
      </xdr:spPr>
    </xdr:pic>
    <xdr:clientData fLocksWithSheet="0"/>
  </xdr:oneCellAnchor>
  <xdr:oneCellAnchor>
    <xdr:from>
      <xdr:col>1</xdr:col>
      <xdr:colOff>0</xdr:colOff>
      <xdr:row>773</xdr:row>
      <xdr:rowOff>0</xdr:rowOff>
    </xdr:from>
    <xdr:ext cx="400050" cy="400050"/>
    <xdr:pic>
      <xdr:nvPicPr>
        <xdr:cNvPr id="0" name="image430.png"/>
        <xdr:cNvPicPr preferRelativeResize="0"/>
      </xdr:nvPicPr>
      <xdr:blipFill>
        <a:blip cstate="print" r:embed="rId223"/>
        <a:stretch>
          <a:fillRect/>
        </a:stretch>
      </xdr:blipFill>
      <xdr:spPr>
        <a:prstGeom prst="rect">
          <a:avLst/>
        </a:prstGeom>
        <a:noFill/>
      </xdr:spPr>
    </xdr:pic>
    <xdr:clientData fLocksWithSheet="0"/>
  </xdr:oneCellAnchor>
  <xdr:oneCellAnchor>
    <xdr:from>
      <xdr:col>1</xdr:col>
      <xdr:colOff>0</xdr:colOff>
      <xdr:row>774</xdr:row>
      <xdr:rowOff>0</xdr:rowOff>
    </xdr:from>
    <xdr:ext cx="400050" cy="400050"/>
    <xdr:pic>
      <xdr:nvPicPr>
        <xdr:cNvPr id="0" name="image416.png"/>
        <xdr:cNvPicPr preferRelativeResize="0"/>
      </xdr:nvPicPr>
      <xdr:blipFill>
        <a:blip cstate="print" r:embed="rId309"/>
        <a:stretch>
          <a:fillRect/>
        </a:stretch>
      </xdr:blipFill>
      <xdr:spPr>
        <a:prstGeom prst="rect">
          <a:avLst/>
        </a:prstGeom>
        <a:noFill/>
      </xdr:spPr>
    </xdr:pic>
    <xdr:clientData fLocksWithSheet="0"/>
  </xdr:oneCellAnchor>
  <xdr:oneCellAnchor>
    <xdr:from>
      <xdr:col>1</xdr:col>
      <xdr:colOff>0</xdr:colOff>
      <xdr:row>775</xdr:row>
      <xdr:rowOff>0</xdr:rowOff>
    </xdr:from>
    <xdr:ext cx="400050" cy="400050"/>
    <xdr:pic>
      <xdr:nvPicPr>
        <xdr:cNvPr id="0" name="image457.png"/>
        <xdr:cNvPicPr preferRelativeResize="0"/>
      </xdr:nvPicPr>
      <xdr:blipFill>
        <a:blip cstate="print" r:embed="rId344"/>
        <a:stretch>
          <a:fillRect/>
        </a:stretch>
      </xdr:blipFill>
      <xdr:spPr>
        <a:prstGeom prst="rect">
          <a:avLst/>
        </a:prstGeom>
        <a:noFill/>
      </xdr:spPr>
    </xdr:pic>
    <xdr:clientData fLocksWithSheet="0"/>
  </xdr:oneCellAnchor>
  <xdr:oneCellAnchor>
    <xdr:from>
      <xdr:col>1</xdr:col>
      <xdr:colOff>0</xdr:colOff>
      <xdr:row>776</xdr:row>
      <xdr:rowOff>0</xdr:rowOff>
    </xdr:from>
    <xdr:ext cx="400050" cy="400050"/>
    <xdr:pic>
      <xdr:nvPicPr>
        <xdr:cNvPr id="0" name="image475.png"/>
        <xdr:cNvPicPr preferRelativeResize="0"/>
      </xdr:nvPicPr>
      <xdr:blipFill>
        <a:blip cstate="print" r:embed="rId345"/>
        <a:stretch>
          <a:fillRect/>
        </a:stretch>
      </xdr:blipFill>
      <xdr:spPr>
        <a:prstGeom prst="rect">
          <a:avLst/>
        </a:prstGeom>
        <a:noFill/>
      </xdr:spPr>
    </xdr:pic>
    <xdr:clientData fLocksWithSheet="0"/>
  </xdr:oneCellAnchor>
  <xdr:oneCellAnchor>
    <xdr:from>
      <xdr:col>1</xdr:col>
      <xdr:colOff>0</xdr:colOff>
      <xdr:row>777</xdr:row>
      <xdr:rowOff>0</xdr:rowOff>
    </xdr:from>
    <xdr:ext cx="400050" cy="400050"/>
    <xdr:pic>
      <xdr:nvPicPr>
        <xdr:cNvPr id="0" name="image465.png"/>
        <xdr:cNvPicPr preferRelativeResize="0"/>
      </xdr:nvPicPr>
      <xdr:blipFill>
        <a:blip cstate="print" r:embed="rId326"/>
        <a:stretch>
          <a:fillRect/>
        </a:stretch>
      </xdr:blipFill>
      <xdr:spPr>
        <a:prstGeom prst="rect">
          <a:avLst/>
        </a:prstGeom>
        <a:noFill/>
      </xdr:spPr>
    </xdr:pic>
    <xdr:clientData fLocksWithSheet="0"/>
  </xdr:oneCellAnchor>
  <xdr:oneCellAnchor>
    <xdr:from>
      <xdr:col>1</xdr:col>
      <xdr:colOff>0</xdr:colOff>
      <xdr:row>778</xdr:row>
      <xdr:rowOff>0</xdr:rowOff>
    </xdr:from>
    <xdr:ext cx="400050" cy="400050"/>
    <xdr:pic>
      <xdr:nvPicPr>
        <xdr:cNvPr id="0" name="image508.png"/>
        <xdr:cNvPicPr preferRelativeResize="0"/>
      </xdr:nvPicPr>
      <xdr:blipFill>
        <a:blip cstate="print" r:embed="rId346"/>
        <a:stretch>
          <a:fillRect/>
        </a:stretch>
      </xdr:blipFill>
      <xdr:spPr>
        <a:prstGeom prst="rect">
          <a:avLst/>
        </a:prstGeom>
        <a:noFill/>
      </xdr:spPr>
    </xdr:pic>
    <xdr:clientData fLocksWithSheet="0"/>
  </xdr:oneCellAnchor>
  <xdr:oneCellAnchor>
    <xdr:from>
      <xdr:col>1</xdr:col>
      <xdr:colOff>0</xdr:colOff>
      <xdr:row>779</xdr:row>
      <xdr:rowOff>0</xdr:rowOff>
    </xdr:from>
    <xdr:ext cx="400050" cy="400050"/>
    <xdr:pic>
      <xdr:nvPicPr>
        <xdr:cNvPr id="0" name="image418.png"/>
        <xdr:cNvPicPr preferRelativeResize="0"/>
      </xdr:nvPicPr>
      <xdr:blipFill>
        <a:blip cstate="print" r:embed="rId315"/>
        <a:stretch>
          <a:fillRect/>
        </a:stretch>
      </xdr:blipFill>
      <xdr:spPr>
        <a:prstGeom prst="rect">
          <a:avLst/>
        </a:prstGeom>
        <a:noFill/>
      </xdr:spPr>
    </xdr:pic>
    <xdr:clientData fLocksWithSheet="0"/>
  </xdr:oneCellAnchor>
  <xdr:oneCellAnchor>
    <xdr:from>
      <xdr:col>1</xdr:col>
      <xdr:colOff>0</xdr:colOff>
      <xdr:row>780</xdr:row>
      <xdr:rowOff>0</xdr:rowOff>
    </xdr:from>
    <xdr:ext cx="400050" cy="400050"/>
    <xdr:pic>
      <xdr:nvPicPr>
        <xdr:cNvPr id="0" name="image528.png"/>
        <xdr:cNvPicPr preferRelativeResize="0"/>
      </xdr:nvPicPr>
      <xdr:blipFill>
        <a:blip cstate="print" r:embed="rId347"/>
        <a:stretch>
          <a:fillRect/>
        </a:stretch>
      </xdr:blipFill>
      <xdr:spPr>
        <a:prstGeom prst="rect">
          <a:avLst/>
        </a:prstGeom>
        <a:noFill/>
      </xdr:spPr>
    </xdr:pic>
    <xdr:clientData fLocksWithSheet="0"/>
  </xdr:oneCellAnchor>
  <xdr:oneCellAnchor>
    <xdr:from>
      <xdr:col>1</xdr:col>
      <xdr:colOff>0</xdr:colOff>
      <xdr:row>781</xdr:row>
      <xdr:rowOff>0</xdr:rowOff>
    </xdr:from>
    <xdr:ext cx="400050" cy="400050"/>
    <xdr:pic>
      <xdr:nvPicPr>
        <xdr:cNvPr id="0" name="image448.png"/>
        <xdr:cNvPicPr preferRelativeResize="0"/>
      </xdr:nvPicPr>
      <xdr:blipFill>
        <a:blip cstate="print" r:embed="rId348"/>
        <a:stretch>
          <a:fillRect/>
        </a:stretch>
      </xdr:blipFill>
      <xdr:spPr>
        <a:prstGeom prst="rect">
          <a:avLst/>
        </a:prstGeom>
        <a:noFill/>
      </xdr:spPr>
    </xdr:pic>
    <xdr:clientData fLocksWithSheet="0"/>
  </xdr:oneCellAnchor>
  <xdr:oneCellAnchor>
    <xdr:from>
      <xdr:col>1</xdr:col>
      <xdr:colOff>0</xdr:colOff>
      <xdr:row>782</xdr:row>
      <xdr:rowOff>0</xdr:rowOff>
    </xdr:from>
    <xdr:ext cx="400050" cy="400050"/>
    <xdr:pic>
      <xdr:nvPicPr>
        <xdr:cNvPr id="0" name="image453.png"/>
        <xdr:cNvPicPr preferRelativeResize="0"/>
      </xdr:nvPicPr>
      <xdr:blipFill>
        <a:blip cstate="print" r:embed="rId349"/>
        <a:stretch>
          <a:fillRect/>
        </a:stretch>
      </xdr:blipFill>
      <xdr:spPr>
        <a:prstGeom prst="rect">
          <a:avLst/>
        </a:prstGeom>
        <a:noFill/>
      </xdr:spPr>
    </xdr:pic>
    <xdr:clientData fLocksWithSheet="0"/>
  </xdr:oneCellAnchor>
  <xdr:oneCellAnchor>
    <xdr:from>
      <xdr:col>1</xdr:col>
      <xdr:colOff>0</xdr:colOff>
      <xdr:row>783</xdr:row>
      <xdr:rowOff>0</xdr:rowOff>
    </xdr:from>
    <xdr:ext cx="400050" cy="400050"/>
    <xdr:pic>
      <xdr:nvPicPr>
        <xdr:cNvPr id="0" name="image486.png"/>
        <xdr:cNvPicPr preferRelativeResize="0"/>
      </xdr:nvPicPr>
      <xdr:blipFill>
        <a:blip cstate="print" r:embed="rId350"/>
        <a:stretch>
          <a:fillRect/>
        </a:stretch>
      </xdr:blipFill>
      <xdr:spPr>
        <a:prstGeom prst="rect">
          <a:avLst/>
        </a:prstGeom>
        <a:noFill/>
      </xdr:spPr>
    </xdr:pic>
    <xdr:clientData fLocksWithSheet="0"/>
  </xdr:oneCellAnchor>
  <xdr:oneCellAnchor>
    <xdr:from>
      <xdr:col>1</xdr:col>
      <xdr:colOff>0</xdr:colOff>
      <xdr:row>784</xdr:row>
      <xdr:rowOff>0</xdr:rowOff>
    </xdr:from>
    <xdr:ext cx="400050" cy="400050"/>
    <xdr:pic>
      <xdr:nvPicPr>
        <xdr:cNvPr id="0" name="image463.png"/>
        <xdr:cNvPicPr preferRelativeResize="0"/>
      </xdr:nvPicPr>
      <xdr:blipFill>
        <a:blip cstate="print" r:embed="rId351"/>
        <a:stretch>
          <a:fillRect/>
        </a:stretch>
      </xdr:blipFill>
      <xdr:spPr>
        <a:prstGeom prst="rect">
          <a:avLst/>
        </a:prstGeom>
        <a:noFill/>
      </xdr:spPr>
    </xdr:pic>
    <xdr:clientData fLocksWithSheet="0"/>
  </xdr:oneCellAnchor>
  <xdr:oneCellAnchor>
    <xdr:from>
      <xdr:col>1</xdr:col>
      <xdr:colOff>0</xdr:colOff>
      <xdr:row>785</xdr:row>
      <xdr:rowOff>0</xdr:rowOff>
    </xdr:from>
    <xdr:ext cx="400050" cy="400050"/>
    <xdr:pic>
      <xdr:nvPicPr>
        <xdr:cNvPr id="0" name="image11.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786</xdr:row>
      <xdr:rowOff>0</xdr:rowOff>
    </xdr:from>
    <xdr:ext cx="400050" cy="400050"/>
    <xdr:pic>
      <xdr:nvPicPr>
        <xdr:cNvPr id="0" name="image72.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787</xdr:row>
      <xdr:rowOff>0</xdr:rowOff>
    </xdr:from>
    <xdr:ext cx="400050" cy="400050"/>
    <xdr:pic>
      <xdr:nvPicPr>
        <xdr:cNvPr id="0" name="image18.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800</xdr:row>
      <xdr:rowOff>0</xdr:rowOff>
    </xdr:from>
    <xdr:ext cx="400050" cy="400050"/>
    <xdr:pic>
      <xdr:nvPicPr>
        <xdr:cNvPr id="0" name="image455.png"/>
        <xdr:cNvPicPr preferRelativeResize="0"/>
      </xdr:nvPicPr>
      <xdr:blipFill>
        <a:blip cstate="print" r:embed="rId352"/>
        <a:stretch>
          <a:fillRect/>
        </a:stretch>
      </xdr:blipFill>
      <xdr:spPr>
        <a:prstGeom prst="rect">
          <a:avLst/>
        </a:prstGeom>
        <a:noFill/>
      </xdr:spPr>
    </xdr:pic>
    <xdr:clientData fLocksWithSheet="0"/>
  </xdr:oneCellAnchor>
  <xdr:oneCellAnchor>
    <xdr:from>
      <xdr:col>1</xdr:col>
      <xdr:colOff>0</xdr:colOff>
      <xdr:row>801</xdr:row>
      <xdr:rowOff>0</xdr:rowOff>
    </xdr:from>
    <xdr:ext cx="400050" cy="400050"/>
    <xdr:pic>
      <xdr:nvPicPr>
        <xdr:cNvPr id="0" name="image469.png"/>
        <xdr:cNvPicPr preferRelativeResize="0"/>
      </xdr:nvPicPr>
      <xdr:blipFill>
        <a:blip cstate="print" r:embed="rId353"/>
        <a:stretch>
          <a:fillRect/>
        </a:stretch>
      </xdr:blipFill>
      <xdr:spPr>
        <a:prstGeom prst="rect">
          <a:avLst/>
        </a:prstGeom>
        <a:noFill/>
      </xdr:spPr>
    </xdr:pic>
    <xdr:clientData fLocksWithSheet="0"/>
  </xdr:oneCellAnchor>
  <xdr:oneCellAnchor>
    <xdr:from>
      <xdr:col>1</xdr:col>
      <xdr:colOff>0</xdr:colOff>
      <xdr:row>802</xdr:row>
      <xdr:rowOff>0</xdr:rowOff>
    </xdr:from>
    <xdr:ext cx="400050" cy="400050"/>
    <xdr:pic>
      <xdr:nvPicPr>
        <xdr:cNvPr id="0" name="image445.png"/>
        <xdr:cNvPicPr preferRelativeResize="0"/>
      </xdr:nvPicPr>
      <xdr:blipFill>
        <a:blip cstate="print" r:embed="rId354"/>
        <a:stretch>
          <a:fillRect/>
        </a:stretch>
      </xdr:blipFill>
      <xdr:spPr>
        <a:prstGeom prst="rect">
          <a:avLst/>
        </a:prstGeom>
        <a:noFill/>
      </xdr:spPr>
    </xdr:pic>
    <xdr:clientData fLocksWithSheet="0"/>
  </xdr:oneCellAnchor>
  <xdr:oneCellAnchor>
    <xdr:from>
      <xdr:col>1</xdr:col>
      <xdr:colOff>0</xdr:colOff>
      <xdr:row>803</xdr:row>
      <xdr:rowOff>0</xdr:rowOff>
    </xdr:from>
    <xdr:ext cx="400050" cy="400050"/>
    <xdr:pic>
      <xdr:nvPicPr>
        <xdr:cNvPr id="0" name="image449.png"/>
        <xdr:cNvPicPr preferRelativeResize="0"/>
      </xdr:nvPicPr>
      <xdr:blipFill>
        <a:blip cstate="print" r:embed="rId355"/>
        <a:stretch>
          <a:fillRect/>
        </a:stretch>
      </xdr:blipFill>
      <xdr:spPr>
        <a:prstGeom prst="rect">
          <a:avLst/>
        </a:prstGeom>
        <a:noFill/>
      </xdr:spPr>
    </xdr:pic>
    <xdr:clientData fLocksWithSheet="0"/>
  </xdr:oneCellAnchor>
  <xdr:oneCellAnchor>
    <xdr:from>
      <xdr:col>1</xdr:col>
      <xdr:colOff>0</xdr:colOff>
      <xdr:row>804</xdr:row>
      <xdr:rowOff>0</xdr:rowOff>
    </xdr:from>
    <xdr:ext cx="400050" cy="400050"/>
    <xdr:pic>
      <xdr:nvPicPr>
        <xdr:cNvPr id="0" name="image471.png"/>
        <xdr:cNvPicPr preferRelativeResize="0"/>
      </xdr:nvPicPr>
      <xdr:blipFill>
        <a:blip cstate="print" r:embed="rId356"/>
        <a:stretch>
          <a:fillRect/>
        </a:stretch>
      </xdr:blipFill>
      <xdr:spPr>
        <a:prstGeom prst="rect">
          <a:avLst/>
        </a:prstGeom>
        <a:noFill/>
      </xdr:spPr>
    </xdr:pic>
    <xdr:clientData fLocksWithSheet="0"/>
  </xdr:oneCellAnchor>
  <xdr:oneCellAnchor>
    <xdr:from>
      <xdr:col>1</xdr:col>
      <xdr:colOff>0</xdr:colOff>
      <xdr:row>805</xdr:row>
      <xdr:rowOff>0</xdr:rowOff>
    </xdr:from>
    <xdr:ext cx="400050" cy="400050"/>
    <xdr:pic>
      <xdr:nvPicPr>
        <xdr:cNvPr id="0" name="image559.png"/>
        <xdr:cNvPicPr preferRelativeResize="0"/>
      </xdr:nvPicPr>
      <xdr:blipFill>
        <a:blip cstate="print" r:embed="rId357"/>
        <a:stretch>
          <a:fillRect/>
        </a:stretch>
      </xdr:blipFill>
      <xdr:spPr>
        <a:prstGeom prst="rect">
          <a:avLst/>
        </a:prstGeom>
        <a:noFill/>
      </xdr:spPr>
    </xdr:pic>
    <xdr:clientData fLocksWithSheet="0"/>
  </xdr:oneCellAnchor>
  <xdr:oneCellAnchor>
    <xdr:from>
      <xdr:col>1</xdr:col>
      <xdr:colOff>0</xdr:colOff>
      <xdr:row>806</xdr:row>
      <xdr:rowOff>0</xdr:rowOff>
    </xdr:from>
    <xdr:ext cx="400050" cy="400050"/>
    <xdr:pic>
      <xdr:nvPicPr>
        <xdr:cNvPr id="0" name="image450.png"/>
        <xdr:cNvPicPr preferRelativeResize="0"/>
      </xdr:nvPicPr>
      <xdr:blipFill>
        <a:blip cstate="print" r:embed="rId358"/>
        <a:stretch>
          <a:fillRect/>
        </a:stretch>
      </xdr:blipFill>
      <xdr:spPr>
        <a:prstGeom prst="rect">
          <a:avLst/>
        </a:prstGeom>
        <a:noFill/>
      </xdr:spPr>
    </xdr:pic>
    <xdr:clientData fLocksWithSheet="0"/>
  </xdr:oneCellAnchor>
  <xdr:oneCellAnchor>
    <xdr:from>
      <xdr:col>1</xdr:col>
      <xdr:colOff>0</xdr:colOff>
      <xdr:row>807</xdr:row>
      <xdr:rowOff>0</xdr:rowOff>
    </xdr:from>
    <xdr:ext cx="400050" cy="400050"/>
    <xdr:pic>
      <xdr:nvPicPr>
        <xdr:cNvPr id="0" name="image437.png"/>
        <xdr:cNvPicPr preferRelativeResize="0"/>
      </xdr:nvPicPr>
      <xdr:blipFill>
        <a:blip cstate="print" r:embed="rId359"/>
        <a:stretch>
          <a:fillRect/>
        </a:stretch>
      </xdr:blipFill>
      <xdr:spPr>
        <a:prstGeom prst="rect">
          <a:avLst/>
        </a:prstGeom>
        <a:noFill/>
      </xdr:spPr>
    </xdr:pic>
    <xdr:clientData fLocksWithSheet="0"/>
  </xdr:oneCellAnchor>
  <xdr:oneCellAnchor>
    <xdr:from>
      <xdr:col>1</xdr:col>
      <xdr:colOff>0</xdr:colOff>
      <xdr:row>808</xdr:row>
      <xdr:rowOff>0</xdr:rowOff>
    </xdr:from>
    <xdr:ext cx="400050" cy="400050"/>
    <xdr:pic>
      <xdr:nvPicPr>
        <xdr:cNvPr id="0" name="image495.png"/>
        <xdr:cNvPicPr preferRelativeResize="0"/>
      </xdr:nvPicPr>
      <xdr:blipFill>
        <a:blip cstate="print" r:embed="rId360"/>
        <a:stretch>
          <a:fillRect/>
        </a:stretch>
      </xdr:blipFill>
      <xdr:spPr>
        <a:prstGeom prst="rect">
          <a:avLst/>
        </a:prstGeom>
        <a:noFill/>
      </xdr:spPr>
    </xdr:pic>
    <xdr:clientData fLocksWithSheet="0"/>
  </xdr:oneCellAnchor>
  <xdr:oneCellAnchor>
    <xdr:from>
      <xdr:col>1</xdr:col>
      <xdr:colOff>0</xdr:colOff>
      <xdr:row>809</xdr:row>
      <xdr:rowOff>0</xdr:rowOff>
    </xdr:from>
    <xdr:ext cx="400050" cy="400050"/>
    <xdr:pic>
      <xdr:nvPicPr>
        <xdr:cNvPr id="0" name="image476.png"/>
        <xdr:cNvPicPr preferRelativeResize="0"/>
      </xdr:nvPicPr>
      <xdr:blipFill>
        <a:blip cstate="print" r:embed="rId361"/>
        <a:stretch>
          <a:fillRect/>
        </a:stretch>
      </xdr:blipFill>
      <xdr:spPr>
        <a:prstGeom prst="rect">
          <a:avLst/>
        </a:prstGeom>
        <a:noFill/>
      </xdr:spPr>
    </xdr:pic>
    <xdr:clientData fLocksWithSheet="0"/>
  </xdr:oneCellAnchor>
  <xdr:oneCellAnchor>
    <xdr:from>
      <xdr:col>1</xdr:col>
      <xdr:colOff>0</xdr:colOff>
      <xdr:row>810</xdr:row>
      <xdr:rowOff>0</xdr:rowOff>
    </xdr:from>
    <xdr:ext cx="400050" cy="400050"/>
    <xdr:pic>
      <xdr:nvPicPr>
        <xdr:cNvPr id="0" name="image489.png"/>
        <xdr:cNvPicPr preferRelativeResize="0"/>
      </xdr:nvPicPr>
      <xdr:blipFill>
        <a:blip cstate="print" r:embed="rId362"/>
        <a:stretch>
          <a:fillRect/>
        </a:stretch>
      </xdr:blipFill>
      <xdr:spPr>
        <a:prstGeom prst="rect">
          <a:avLst/>
        </a:prstGeom>
        <a:noFill/>
      </xdr:spPr>
    </xdr:pic>
    <xdr:clientData fLocksWithSheet="0"/>
  </xdr:oneCellAnchor>
  <xdr:oneCellAnchor>
    <xdr:from>
      <xdr:col>1</xdr:col>
      <xdr:colOff>0</xdr:colOff>
      <xdr:row>811</xdr:row>
      <xdr:rowOff>0</xdr:rowOff>
    </xdr:from>
    <xdr:ext cx="400050" cy="400050"/>
    <xdr:pic>
      <xdr:nvPicPr>
        <xdr:cNvPr id="0" name="image478.png"/>
        <xdr:cNvPicPr preferRelativeResize="0"/>
      </xdr:nvPicPr>
      <xdr:blipFill>
        <a:blip cstate="print" r:embed="rId363"/>
        <a:stretch>
          <a:fillRect/>
        </a:stretch>
      </xdr:blipFill>
      <xdr:spPr>
        <a:prstGeom prst="rect">
          <a:avLst/>
        </a:prstGeom>
        <a:noFill/>
      </xdr:spPr>
    </xdr:pic>
    <xdr:clientData fLocksWithSheet="0"/>
  </xdr:oneCellAnchor>
  <xdr:oneCellAnchor>
    <xdr:from>
      <xdr:col>1</xdr:col>
      <xdr:colOff>0</xdr:colOff>
      <xdr:row>812</xdr:row>
      <xdr:rowOff>0</xdr:rowOff>
    </xdr:from>
    <xdr:ext cx="400050" cy="400050"/>
    <xdr:pic>
      <xdr:nvPicPr>
        <xdr:cNvPr id="0" name="image483.png"/>
        <xdr:cNvPicPr preferRelativeResize="0"/>
      </xdr:nvPicPr>
      <xdr:blipFill>
        <a:blip cstate="print" r:embed="rId364"/>
        <a:stretch>
          <a:fillRect/>
        </a:stretch>
      </xdr:blipFill>
      <xdr:spPr>
        <a:prstGeom prst="rect">
          <a:avLst/>
        </a:prstGeom>
        <a:noFill/>
      </xdr:spPr>
    </xdr:pic>
    <xdr:clientData fLocksWithSheet="0"/>
  </xdr:oneCellAnchor>
  <xdr:oneCellAnchor>
    <xdr:from>
      <xdr:col>1</xdr:col>
      <xdr:colOff>0</xdr:colOff>
      <xdr:row>813</xdr:row>
      <xdr:rowOff>0</xdr:rowOff>
    </xdr:from>
    <xdr:ext cx="400050" cy="400050"/>
    <xdr:pic>
      <xdr:nvPicPr>
        <xdr:cNvPr id="0" name="image444.png"/>
        <xdr:cNvPicPr preferRelativeResize="0"/>
      </xdr:nvPicPr>
      <xdr:blipFill>
        <a:blip cstate="print" r:embed="rId365"/>
        <a:stretch>
          <a:fillRect/>
        </a:stretch>
      </xdr:blipFill>
      <xdr:spPr>
        <a:prstGeom prst="rect">
          <a:avLst/>
        </a:prstGeom>
        <a:noFill/>
      </xdr:spPr>
    </xdr:pic>
    <xdr:clientData fLocksWithSheet="0"/>
  </xdr:oneCellAnchor>
  <xdr:oneCellAnchor>
    <xdr:from>
      <xdr:col>1</xdr:col>
      <xdr:colOff>0</xdr:colOff>
      <xdr:row>814</xdr:row>
      <xdr:rowOff>0</xdr:rowOff>
    </xdr:from>
    <xdr:ext cx="400050" cy="400050"/>
    <xdr:pic>
      <xdr:nvPicPr>
        <xdr:cNvPr id="0" name="image470.png"/>
        <xdr:cNvPicPr preferRelativeResize="0"/>
      </xdr:nvPicPr>
      <xdr:blipFill>
        <a:blip cstate="print" r:embed="rId366"/>
        <a:stretch>
          <a:fillRect/>
        </a:stretch>
      </xdr:blipFill>
      <xdr:spPr>
        <a:prstGeom prst="rect">
          <a:avLst/>
        </a:prstGeom>
        <a:noFill/>
      </xdr:spPr>
    </xdr:pic>
    <xdr:clientData fLocksWithSheet="0"/>
  </xdr:oneCellAnchor>
  <xdr:oneCellAnchor>
    <xdr:from>
      <xdr:col>1</xdr:col>
      <xdr:colOff>0</xdr:colOff>
      <xdr:row>815</xdr:row>
      <xdr:rowOff>0</xdr:rowOff>
    </xdr:from>
    <xdr:ext cx="400050" cy="400050"/>
    <xdr:pic>
      <xdr:nvPicPr>
        <xdr:cNvPr id="0" name="image484.png"/>
        <xdr:cNvPicPr preferRelativeResize="0"/>
      </xdr:nvPicPr>
      <xdr:blipFill>
        <a:blip cstate="print" r:embed="rId367"/>
        <a:stretch>
          <a:fillRect/>
        </a:stretch>
      </xdr:blipFill>
      <xdr:spPr>
        <a:prstGeom prst="rect">
          <a:avLst/>
        </a:prstGeom>
        <a:noFill/>
      </xdr:spPr>
    </xdr:pic>
    <xdr:clientData fLocksWithSheet="0"/>
  </xdr:oneCellAnchor>
  <xdr:oneCellAnchor>
    <xdr:from>
      <xdr:col>1</xdr:col>
      <xdr:colOff>0</xdr:colOff>
      <xdr:row>816</xdr:row>
      <xdr:rowOff>0</xdr:rowOff>
    </xdr:from>
    <xdr:ext cx="400050" cy="400050"/>
    <xdr:pic>
      <xdr:nvPicPr>
        <xdr:cNvPr id="0" name="image442.png"/>
        <xdr:cNvPicPr preferRelativeResize="0"/>
      </xdr:nvPicPr>
      <xdr:blipFill>
        <a:blip cstate="print" r:embed="rId368"/>
        <a:stretch>
          <a:fillRect/>
        </a:stretch>
      </xdr:blipFill>
      <xdr:spPr>
        <a:prstGeom prst="rect">
          <a:avLst/>
        </a:prstGeom>
        <a:noFill/>
      </xdr:spPr>
    </xdr:pic>
    <xdr:clientData fLocksWithSheet="0"/>
  </xdr:oneCellAnchor>
  <xdr:oneCellAnchor>
    <xdr:from>
      <xdr:col>1</xdr:col>
      <xdr:colOff>0</xdr:colOff>
      <xdr:row>817</xdr:row>
      <xdr:rowOff>0</xdr:rowOff>
    </xdr:from>
    <xdr:ext cx="400050" cy="400050"/>
    <xdr:pic>
      <xdr:nvPicPr>
        <xdr:cNvPr id="0" name="image479.png"/>
        <xdr:cNvPicPr preferRelativeResize="0"/>
      </xdr:nvPicPr>
      <xdr:blipFill>
        <a:blip cstate="print" r:embed="rId369"/>
        <a:stretch>
          <a:fillRect/>
        </a:stretch>
      </xdr:blipFill>
      <xdr:spPr>
        <a:prstGeom prst="rect">
          <a:avLst/>
        </a:prstGeom>
        <a:noFill/>
      </xdr:spPr>
    </xdr:pic>
    <xdr:clientData fLocksWithSheet="0"/>
  </xdr:oneCellAnchor>
  <xdr:oneCellAnchor>
    <xdr:from>
      <xdr:col>1</xdr:col>
      <xdr:colOff>0</xdr:colOff>
      <xdr:row>818</xdr:row>
      <xdr:rowOff>0</xdr:rowOff>
    </xdr:from>
    <xdr:ext cx="400050" cy="400050"/>
    <xdr:pic>
      <xdr:nvPicPr>
        <xdr:cNvPr id="0" name="image459.png"/>
        <xdr:cNvPicPr preferRelativeResize="0"/>
      </xdr:nvPicPr>
      <xdr:blipFill>
        <a:blip cstate="print" r:embed="rId370"/>
        <a:stretch>
          <a:fillRect/>
        </a:stretch>
      </xdr:blipFill>
      <xdr:spPr>
        <a:prstGeom prst="rect">
          <a:avLst/>
        </a:prstGeom>
        <a:noFill/>
      </xdr:spPr>
    </xdr:pic>
    <xdr:clientData fLocksWithSheet="0"/>
  </xdr:oneCellAnchor>
  <xdr:oneCellAnchor>
    <xdr:from>
      <xdr:col>1</xdr:col>
      <xdr:colOff>0</xdr:colOff>
      <xdr:row>819</xdr:row>
      <xdr:rowOff>0</xdr:rowOff>
    </xdr:from>
    <xdr:ext cx="400050" cy="400050"/>
    <xdr:pic>
      <xdr:nvPicPr>
        <xdr:cNvPr id="0" name="image462.png"/>
        <xdr:cNvPicPr preferRelativeResize="0"/>
      </xdr:nvPicPr>
      <xdr:blipFill>
        <a:blip cstate="print" r:embed="rId371"/>
        <a:stretch>
          <a:fillRect/>
        </a:stretch>
      </xdr:blipFill>
      <xdr:spPr>
        <a:prstGeom prst="rect">
          <a:avLst/>
        </a:prstGeom>
        <a:noFill/>
      </xdr:spPr>
    </xdr:pic>
    <xdr:clientData fLocksWithSheet="0"/>
  </xdr:oneCellAnchor>
  <xdr:oneCellAnchor>
    <xdr:from>
      <xdr:col>1</xdr:col>
      <xdr:colOff>0</xdr:colOff>
      <xdr:row>820</xdr:row>
      <xdr:rowOff>0</xdr:rowOff>
    </xdr:from>
    <xdr:ext cx="400050" cy="400050"/>
    <xdr:pic>
      <xdr:nvPicPr>
        <xdr:cNvPr id="0" name="image480.png"/>
        <xdr:cNvPicPr preferRelativeResize="0"/>
      </xdr:nvPicPr>
      <xdr:blipFill>
        <a:blip cstate="print" r:embed="rId372"/>
        <a:stretch>
          <a:fillRect/>
        </a:stretch>
      </xdr:blipFill>
      <xdr:spPr>
        <a:prstGeom prst="rect">
          <a:avLst/>
        </a:prstGeom>
        <a:noFill/>
      </xdr:spPr>
    </xdr:pic>
    <xdr:clientData fLocksWithSheet="0"/>
  </xdr:oneCellAnchor>
  <xdr:oneCellAnchor>
    <xdr:from>
      <xdr:col>1</xdr:col>
      <xdr:colOff>0</xdr:colOff>
      <xdr:row>821</xdr:row>
      <xdr:rowOff>0</xdr:rowOff>
    </xdr:from>
    <xdr:ext cx="400050" cy="400050"/>
    <xdr:pic>
      <xdr:nvPicPr>
        <xdr:cNvPr id="0" name="image498.png"/>
        <xdr:cNvPicPr preferRelativeResize="0"/>
      </xdr:nvPicPr>
      <xdr:blipFill>
        <a:blip cstate="print" r:embed="rId373"/>
        <a:stretch>
          <a:fillRect/>
        </a:stretch>
      </xdr:blipFill>
      <xdr:spPr>
        <a:prstGeom prst="rect">
          <a:avLst/>
        </a:prstGeom>
        <a:noFill/>
      </xdr:spPr>
    </xdr:pic>
    <xdr:clientData fLocksWithSheet="0"/>
  </xdr:oneCellAnchor>
  <xdr:oneCellAnchor>
    <xdr:from>
      <xdr:col>1</xdr:col>
      <xdr:colOff>0</xdr:colOff>
      <xdr:row>822</xdr:row>
      <xdr:rowOff>0</xdr:rowOff>
    </xdr:from>
    <xdr:ext cx="400050" cy="400050"/>
    <xdr:pic>
      <xdr:nvPicPr>
        <xdr:cNvPr id="0" name="image494.png"/>
        <xdr:cNvPicPr preferRelativeResize="0"/>
      </xdr:nvPicPr>
      <xdr:blipFill>
        <a:blip cstate="print" r:embed="rId374"/>
        <a:stretch>
          <a:fillRect/>
        </a:stretch>
      </xdr:blipFill>
      <xdr:spPr>
        <a:prstGeom prst="rect">
          <a:avLst/>
        </a:prstGeom>
        <a:noFill/>
      </xdr:spPr>
    </xdr:pic>
    <xdr:clientData fLocksWithSheet="0"/>
  </xdr:oneCellAnchor>
  <xdr:oneCellAnchor>
    <xdr:from>
      <xdr:col>1</xdr:col>
      <xdr:colOff>0</xdr:colOff>
      <xdr:row>823</xdr:row>
      <xdr:rowOff>0</xdr:rowOff>
    </xdr:from>
    <xdr:ext cx="400050" cy="400050"/>
    <xdr:pic>
      <xdr:nvPicPr>
        <xdr:cNvPr id="0" name="image491.png"/>
        <xdr:cNvPicPr preferRelativeResize="0"/>
      </xdr:nvPicPr>
      <xdr:blipFill>
        <a:blip cstate="print" r:embed="rId375"/>
        <a:stretch>
          <a:fillRect/>
        </a:stretch>
      </xdr:blipFill>
      <xdr:spPr>
        <a:prstGeom prst="rect">
          <a:avLst/>
        </a:prstGeom>
        <a:noFill/>
      </xdr:spPr>
    </xdr:pic>
    <xdr:clientData fLocksWithSheet="0"/>
  </xdr:oneCellAnchor>
  <xdr:oneCellAnchor>
    <xdr:from>
      <xdr:col>1</xdr:col>
      <xdr:colOff>0</xdr:colOff>
      <xdr:row>824</xdr:row>
      <xdr:rowOff>0</xdr:rowOff>
    </xdr:from>
    <xdr:ext cx="400050" cy="400050"/>
    <xdr:pic>
      <xdr:nvPicPr>
        <xdr:cNvPr id="0" name="image490.png"/>
        <xdr:cNvPicPr preferRelativeResize="0"/>
      </xdr:nvPicPr>
      <xdr:blipFill>
        <a:blip cstate="print" r:embed="rId376"/>
        <a:stretch>
          <a:fillRect/>
        </a:stretch>
      </xdr:blipFill>
      <xdr:spPr>
        <a:prstGeom prst="rect">
          <a:avLst/>
        </a:prstGeom>
        <a:noFill/>
      </xdr:spPr>
    </xdr:pic>
    <xdr:clientData fLocksWithSheet="0"/>
  </xdr:oneCellAnchor>
  <xdr:oneCellAnchor>
    <xdr:from>
      <xdr:col>1</xdr:col>
      <xdr:colOff>0</xdr:colOff>
      <xdr:row>825</xdr:row>
      <xdr:rowOff>0</xdr:rowOff>
    </xdr:from>
    <xdr:ext cx="400050" cy="400050"/>
    <xdr:pic>
      <xdr:nvPicPr>
        <xdr:cNvPr id="0" name="image510.png"/>
        <xdr:cNvPicPr preferRelativeResize="0"/>
      </xdr:nvPicPr>
      <xdr:blipFill>
        <a:blip cstate="print" r:embed="rId377"/>
        <a:stretch>
          <a:fillRect/>
        </a:stretch>
      </xdr:blipFill>
      <xdr:spPr>
        <a:prstGeom prst="rect">
          <a:avLst/>
        </a:prstGeom>
        <a:noFill/>
      </xdr:spPr>
    </xdr:pic>
    <xdr:clientData fLocksWithSheet="0"/>
  </xdr:oneCellAnchor>
  <xdr:oneCellAnchor>
    <xdr:from>
      <xdr:col>1</xdr:col>
      <xdr:colOff>0</xdr:colOff>
      <xdr:row>826</xdr:row>
      <xdr:rowOff>0</xdr:rowOff>
    </xdr:from>
    <xdr:ext cx="400050" cy="400050"/>
    <xdr:pic>
      <xdr:nvPicPr>
        <xdr:cNvPr id="0" name="image456.png"/>
        <xdr:cNvPicPr preferRelativeResize="0"/>
      </xdr:nvPicPr>
      <xdr:blipFill>
        <a:blip cstate="print" r:embed="rId378"/>
        <a:stretch>
          <a:fillRect/>
        </a:stretch>
      </xdr:blipFill>
      <xdr:spPr>
        <a:prstGeom prst="rect">
          <a:avLst/>
        </a:prstGeom>
        <a:noFill/>
      </xdr:spPr>
    </xdr:pic>
    <xdr:clientData fLocksWithSheet="0"/>
  </xdr:oneCellAnchor>
  <xdr:oneCellAnchor>
    <xdr:from>
      <xdr:col>1</xdr:col>
      <xdr:colOff>0</xdr:colOff>
      <xdr:row>827</xdr:row>
      <xdr:rowOff>0</xdr:rowOff>
    </xdr:from>
    <xdr:ext cx="400050" cy="400050"/>
    <xdr:pic>
      <xdr:nvPicPr>
        <xdr:cNvPr id="0" name="image502.png"/>
        <xdr:cNvPicPr preferRelativeResize="0"/>
      </xdr:nvPicPr>
      <xdr:blipFill>
        <a:blip cstate="print" r:embed="rId379"/>
        <a:stretch>
          <a:fillRect/>
        </a:stretch>
      </xdr:blipFill>
      <xdr:spPr>
        <a:prstGeom prst="rect">
          <a:avLst/>
        </a:prstGeom>
        <a:noFill/>
      </xdr:spPr>
    </xdr:pic>
    <xdr:clientData fLocksWithSheet="0"/>
  </xdr:oneCellAnchor>
  <xdr:oneCellAnchor>
    <xdr:from>
      <xdr:col>1</xdr:col>
      <xdr:colOff>0</xdr:colOff>
      <xdr:row>828</xdr:row>
      <xdr:rowOff>0</xdr:rowOff>
    </xdr:from>
    <xdr:ext cx="400050" cy="400050"/>
    <xdr:pic>
      <xdr:nvPicPr>
        <xdr:cNvPr id="0" name="image473.png"/>
        <xdr:cNvPicPr preferRelativeResize="0"/>
      </xdr:nvPicPr>
      <xdr:blipFill>
        <a:blip cstate="print" r:embed="rId380"/>
        <a:stretch>
          <a:fillRect/>
        </a:stretch>
      </xdr:blipFill>
      <xdr:spPr>
        <a:prstGeom prst="rect">
          <a:avLst/>
        </a:prstGeom>
        <a:noFill/>
      </xdr:spPr>
    </xdr:pic>
    <xdr:clientData fLocksWithSheet="0"/>
  </xdr:oneCellAnchor>
  <xdr:oneCellAnchor>
    <xdr:from>
      <xdr:col>1</xdr:col>
      <xdr:colOff>0</xdr:colOff>
      <xdr:row>829</xdr:row>
      <xdr:rowOff>0</xdr:rowOff>
    </xdr:from>
    <xdr:ext cx="400050" cy="400050"/>
    <xdr:pic>
      <xdr:nvPicPr>
        <xdr:cNvPr id="0" name="image531.png"/>
        <xdr:cNvPicPr preferRelativeResize="0"/>
      </xdr:nvPicPr>
      <xdr:blipFill>
        <a:blip cstate="print" r:embed="rId381"/>
        <a:stretch>
          <a:fillRect/>
        </a:stretch>
      </xdr:blipFill>
      <xdr:spPr>
        <a:prstGeom prst="rect">
          <a:avLst/>
        </a:prstGeom>
        <a:noFill/>
      </xdr:spPr>
    </xdr:pic>
    <xdr:clientData fLocksWithSheet="0"/>
  </xdr:oneCellAnchor>
  <xdr:oneCellAnchor>
    <xdr:from>
      <xdr:col>1</xdr:col>
      <xdr:colOff>0</xdr:colOff>
      <xdr:row>830</xdr:row>
      <xdr:rowOff>0</xdr:rowOff>
    </xdr:from>
    <xdr:ext cx="400050" cy="400050"/>
    <xdr:pic>
      <xdr:nvPicPr>
        <xdr:cNvPr id="0" name="image454.png"/>
        <xdr:cNvPicPr preferRelativeResize="0"/>
      </xdr:nvPicPr>
      <xdr:blipFill>
        <a:blip cstate="print" r:embed="rId382"/>
        <a:stretch>
          <a:fillRect/>
        </a:stretch>
      </xdr:blipFill>
      <xdr:spPr>
        <a:prstGeom prst="rect">
          <a:avLst/>
        </a:prstGeom>
        <a:noFill/>
      </xdr:spPr>
    </xdr:pic>
    <xdr:clientData fLocksWithSheet="0"/>
  </xdr:oneCellAnchor>
  <xdr:oneCellAnchor>
    <xdr:from>
      <xdr:col>1</xdr:col>
      <xdr:colOff>0</xdr:colOff>
      <xdr:row>831</xdr:row>
      <xdr:rowOff>0</xdr:rowOff>
    </xdr:from>
    <xdr:ext cx="400050" cy="400050"/>
    <xdr:pic>
      <xdr:nvPicPr>
        <xdr:cNvPr id="0" name="image594.png"/>
        <xdr:cNvPicPr preferRelativeResize="0"/>
      </xdr:nvPicPr>
      <xdr:blipFill>
        <a:blip cstate="print" r:embed="rId383"/>
        <a:stretch>
          <a:fillRect/>
        </a:stretch>
      </xdr:blipFill>
      <xdr:spPr>
        <a:prstGeom prst="rect">
          <a:avLst/>
        </a:prstGeom>
        <a:noFill/>
      </xdr:spPr>
    </xdr:pic>
    <xdr:clientData fLocksWithSheet="0"/>
  </xdr:oneCellAnchor>
  <xdr:oneCellAnchor>
    <xdr:from>
      <xdr:col>1</xdr:col>
      <xdr:colOff>0</xdr:colOff>
      <xdr:row>832</xdr:row>
      <xdr:rowOff>0</xdr:rowOff>
    </xdr:from>
    <xdr:ext cx="400050" cy="400050"/>
    <xdr:pic>
      <xdr:nvPicPr>
        <xdr:cNvPr id="0" name="image555.png"/>
        <xdr:cNvPicPr preferRelativeResize="0"/>
      </xdr:nvPicPr>
      <xdr:blipFill>
        <a:blip cstate="print" r:embed="rId384"/>
        <a:stretch>
          <a:fillRect/>
        </a:stretch>
      </xdr:blipFill>
      <xdr:spPr>
        <a:prstGeom prst="rect">
          <a:avLst/>
        </a:prstGeom>
        <a:noFill/>
      </xdr:spPr>
    </xdr:pic>
    <xdr:clientData fLocksWithSheet="0"/>
  </xdr:oneCellAnchor>
  <xdr:oneCellAnchor>
    <xdr:from>
      <xdr:col>1</xdr:col>
      <xdr:colOff>0</xdr:colOff>
      <xdr:row>833</xdr:row>
      <xdr:rowOff>0</xdr:rowOff>
    </xdr:from>
    <xdr:ext cx="400050" cy="400050"/>
    <xdr:pic>
      <xdr:nvPicPr>
        <xdr:cNvPr id="0" name="image589.png"/>
        <xdr:cNvPicPr preferRelativeResize="0"/>
      </xdr:nvPicPr>
      <xdr:blipFill>
        <a:blip cstate="print" r:embed="rId383"/>
        <a:stretch>
          <a:fillRect/>
        </a:stretch>
      </xdr:blipFill>
      <xdr:spPr>
        <a:prstGeom prst="rect">
          <a:avLst/>
        </a:prstGeom>
        <a:noFill/>
      </xdr:spPr>
    </xdr:pic>
    <xdr:clientData fLocksWithSheet="0"/>
  </xdr:oneCellAnchor>
  <xdr:oneCellAnchor>
    <xdr:from>
      <xdr:col>1</xdr:col>
      <xdr:colOff>0</xdr:colOff>
      <xdr:row>834</xdr:row>
      <xdr:rowOff>0</xdr:rowOff>
    </xdr:from>
    <xdr:ext cx="400050" cy="400050"/>
    <xdr:pic>
      <xdr:nvPicPr>
        <xdr:cNvPr id="0" name="image482.png"/>
        <xdr:cNvPicPr preferRelativeResize="0"/>
      </xdr:nvPicPr>
      <xdr:blipFill>
        <a:blip cstate="print" r:embed="rId385"/>
        <a:stretch>
          <a:fillRect/>
        </a:stretch>
      </xdr:blipFill>
      <xdr:spPr>
        <a:prstGeom prst="rect">
          <a:avLst/>
        </a:prstGeom>
        <a:noFill/>
      </xdr:spPr>
    </xdr:pic>
    <xdr:clientData fLocksWithSheet="0"/>
  </xdr:oneCellAnchor>
  <xdr:oneCellAnchor>
    <xdr:from>
      <xdr:col>1</xdr:col>
      <xdr:colOff>0</xdr:colOff>
      <xdr:row>835</xdr:row>
      <xdr:rowOff>0</xdr:rowOff>
    </xdr:from>
    <xdr:ext cx="400050" cy="400050"/>
    <xdr:pic>
      <xdr:nvPicPr>
        <xdr:cNvPr id="0" name="image566.png"/>
        <xdr:cNvPicPr preferRelativeResize="0"/>
      </xdr:nvPicPr>
      <xdr:blipFill>
        <a:blip cstate="print" r:embed="rId386"/>
        <a:stretch>
          <a:fillRect/>
        </a:stretch>
      </xdr:blipFill>
      <xdr:spPr>
        <a:prstGeom prst="rect">
          <a:avLst/>
        </a:prstGeom>
        <a:noFill/>
      </xdr:spPr>
    </xdr:pic>
    <xdr:clientData fLocksWithSheet="0"/>
  </xdr:oneCellAnchor>
  <xdr:oneCellAnchor>
    <xdr:from>
      <xdr:col>1</xdr:col>
      <xdr:colOff>0</xdr:colOff>
      <xdr:row>850</xdr:row>
      <xdr:rowOff>0</xdr:rowOff>
    </xdr:from>
    <xdr:ext cx="400050" cy="400050"/>
    <xdr:pic>
      <xdr:nvPicPr>
        <xdr:cNvPr id="0" name="image543.png"/>
        <xdr:cNvPicPr preferRelativeResize="0"/>
      </xdr:nvPicPr>
      <xdr:blipFill>
        <a:blip cstate="print" r:embed="rId387"/>
        <a:stretch>
          <a:fillRect/>
        </a:stretch>
      </xdr:blipFill>
      <xdr:spPr>
        <a:prstGeom prst="rect">
          <a:avLst/>
        </a:prstGeom>
        <a:noFill/>
      </xdr:spPr>
    </xdr:pic>
    <xdr:clientData fLocksWithSheet="0"/>
  </xdr:oneCellAnchor>
  <xdr:oneCellAnchor>
    <xdr:from>
      <xdr:col>1</xdr:col>
      <xdr:colOff>0</xdr:colOff>
      <xdr:row>851</xdr:row>
      <xdr:rowOff>0</xdr:rowOff>
    </xdr:from>
    <xdr:ext cx="400050" cy="400050"/>
    <xdr:pic>
      <xdr:nvPicPr>
        <xdr:cNvPr id="0" name="image595.png"/>
        <xdr:cNvPicPr preferRelativeResize="0"/>
      </xdr:nvPicPr>
      <xdr:blipFill>
        <a:blip cstate="print" r:embed="rId388"/>
        <a:stretch>
          <a:fillRect/>
        </a:stretch>
      </xdr:blipFill>
      <xdr:spPr>
        <a:prstGeom prst="rect">
          <a:avLst/>
        </a:prstGeom>
        <a:noFill/>
      </xdr:spPr>
    </xdr:pic>
    <xdr:clientData fLocksWithSheet="0"/>
  </xdr:oneCellAnchor>
  <xdr:oneCellAnchor>
    <xdr:from>
      <xdr:col>1</xdr:col>
      <xdr:colOff>0</xdr:colOff>
      <xdr:row>852</xdr:row>
      <xdr:rowOff>0</xdr:rowOff>
    </xdr:from>
    <xdr:ext cx="400050" cy="400050"/>
    <xdr:pic>
      <xdr:nvPicPr>
        <xdr:cNvPr id="0" name="image464.png"/>
        <xdr:cNvPicPr preferRelativeResize="0"/>
      </xdr:nvPicPr>
      <xdr:blipFill>
        <a:blip cstate="print" r:embed="rId389"/>
        <a:stretch>
          <a:fillRect/>
        </a:stretch>
      </xdr:blipFill>
      <xdr:spPr>
        <a:prstGeom prst="rect">
          <a:avLst/>
        </a:prstGeom>
        <a:noFill/>
      </xdr:spPr>
    </xdr:pic>
    <xdr:clientData fLocksWithSheet="0"/>
  </xdr:oneCellAnchor>
  <xdr:oneCellAnchor>
    <xdr:from>
      <xdr:col>1</xdr:col>
      <xdr:colOff>0</xdr:colOff>
      <xdr:row>853</xdr:row>
      <xdr:rowOff>0</xdr:rowOff>
    </xdr:from>
    <xdr:ext cx="400050" cy="400050"/>
    <xdr:pic>
      <xdr:nvPicPr>
        <xdr:cNvPr id="0" name="image468.png"/>
        <xdr:cNvPicPr preferRelativeResize="0"/>
      </xdr:nvPicPr>
      <xdr:blipFill>
        <a:blip cstate="print" r:embed="rId390"/>
        <a:stretch>
          <a:fillRect/>
        </a:stretch>
      </xdr:blipFill>
      <xdr:spPr>
        <a:prstGeom prst="rect">
          <a:avLst/>
        </a:prstGeom>
        <a:noFill/>
      </xdr:spPr>
    </xdr:pic>
    <xdr:clientData fLocksWithSheet="0"/>
  </xdr:oneCellAnchor>
  <xdr:oneCellAnchor>
    <xdr:from>
      <xdr:col>1</xdr:col>
      <xdr:colOff>0</xdr:colOff>
      <xdr:row>854</xdr:row>
      <xdr:rowOff>0</xdr:rowOff>
    </xdr:from>
    <xdr:ext cx="400050" cy="400050"/>
    <xdr:pic>
      <xdr:nvPicPr>
        <xdr:cNvPr id="0" name="image466.png"/>
        <xdr:cNvPicPr preferRelativeResize="0"/>
      </xdr:nvPicPr>
      <xdr:blipFill>
        <a:blip cstate="print" r:embed="rId303"/>
        <a:stretch>
          <a:fillRect/>
        </a:stretch>
      </xdr:blipFill>
      <xdr:spPr>
        <a:prstGeom prst="rect">
          <a:avLst/>
        </a:prstGeom>
        <a:noFill/>
      </xdr:spPr>
    </xdr:pic>
    <xdr:clientData fLocksWithSheet="0"/>
  </xdr:oneCellAnchor>
  <xdr:oneCellAnchor>
    <xdr:from>
      <xdr:col>1</xdr:col>
      <xdr:colOff>0</xdr:colOff>
      <xdr:row>855</xdr:row>
      <xdr:rowOff>0</xdr:rowOff>
    </xdr:from>
    <xdr:ext cx="400050" cy="400050"/>
    <xdr:pic>
      <xdr:nvPicPr>
        <xdr:cNvPr id="0" name="image534.png"/>
        <xdr:cNvPicPr preferRelativeResize="0"/>
      </xdr:nvPicPr>
      <xdr:blipFill>
        <a:blip cstate="print" r:embed="rId391"/>
        <a:stretch>
          <a:fillRect/>
        </a:stretch>
      </xdr:blipFill>
      <xdr:spPr>
        <a:prstGeom prst="rect">
          <a:avLst/>
        </a:prstGeom>
        <a:noFill/>
      </xdr:spPr>
    </xdr:pic>
    <xdr:clientData fLocksWithSheet="0"/>
  </xdr:oneCellAnchor>
  <xdr:oneCellAnchor>
    <xdr:from>
      <xdr:col>1</xdr:col>
      <xdr:colOff>0</xdr:colOff>
      <xdr:row>856</xdr:row>
      <xdr:rowOff>0</xdr:rowOff>
    </xdr:from>
    <xdr:ext cx="400050" cy="400050"/>
    <xdr:pic>
      <xdr:nvPicPr>
        <xdr:cNvPr id="0" name="image571.png"/>
        <xdr:cNvPicPr preferRelativeResize="0"/>
      </xdr:nvPicPr>
      <xdr:blipFill>
        <a:blip cstate="print" r:embed="rId392"/>
        <a:stretch>
          <a:fillRect/>
        </a:stretch>
      </xdr:blipFill>
      <xdr:spPr>
        <a:prstGeom prst="rect">
          <a:avLst/>
        </a:prstGeom>
        <a:noFill/>
      </xdr:spPr>
    </xdr:pic>
    <xdr:clientData fLocksWithSheet="0"/>
  </xdr:oneCellAnchor>
  <xdr:oneCellAnchor>
    <xdr:from>
      <xdr:col>1</xdr:col>
      <xdr:colOff>0</xdr:colOff>
      <xdr:row>857</xdr:row>
      <xdr:rowOff>0</xdr:rowOff>
    </xdr:from>
    <xdr:ext cx="400050" cy="400050"/>
    <xdr:pic>
      <xdr:nvPicPr>
        <xdr:cNvPr id="0" name="image487.png"/>
        <xdr:cNvPicPr preferRelativeResize="0"/>
      </xdr:nvPicPr>
      <xdr:blipFill>
        <a:blip cstate="print" r:embed="rId393"/>
        <a:stretch>
          <a:fillRect/>
        </a:stretch>
      </xdr:blipFill>
      <xdr:spPr>
        <a:prstGeom prst="rect">
          <a:avLst/>
        </a:prstGeom>
        <a:noFill/>
      </xdr:spPr>
    </xdr:pic>
    <xdr:clientData fLocksWithSheet="0"/>
  </xdr:oneCellAnchor>
  <xdr:oneCellAnchor>
    <xdr:from>
      <xdr:col>1</xdr:col>
      <xdr:colOff>0</xdr:colOff>
      <xdr:row>858</xdr:row>
      <xdr:rowOff>0</xdr:rowOff>
    </xdr:from>
    <xdr:ext cx="400050" cy="400050"/>
    <xdr:pic>
      <xdr:nvPicPr>
        <xdr:cNvPr id="0" name="image524.png"/>
        <xdr:cNvPicPr preferRelativeResize="0"/>
      </xdr:nvPicPr>
      <xdr:blipFill>
        <a:blip cstate="print" r:embed="rId394"/>
        <a:stretch>
          <a:fillRect/>
        </a:stretch>
      </xdr:blipFill>
      <xdr:spPr>
        <a:prstGeom prst="rect">
          <a:avLst/>
        </a:prstGeom>
        <a:noFill/>
      </xdr:spPr>
    </xdr:pic>
    <xdr:clientData fLocksWithSheet="0"/>
  </xdr:oneCellAnchor>
  <xdr:oneCellAnchor>
    <xdr:from>
      <xdr:col>1</xdr:col>
      <xdr:colOff>0</xdr:colOff>
      <xdr:row>859</xdr:row>
      <xdr:rowOff>0</xdr:rowOff>
    </xdr:from>
    <xdr:ext cx="400050" cy="400050"/>
    <xdr:pic>
      <xdr:nvPicPr>
        <xdr:cNvPr id="0" name="image515.png"/>
        <xdr:cNvPicPr preferRelativeResize="0"/>
      </xdr:nvPicPr>
      <xdr:blipFill>
        <a:blip cstate="print" r:embed="rId395"/>
        <a:stretch>
          <a:fillRect/>
        </a:stretch>
      </xdr:blipFill>
      <xdr:spPr>
        <a:prstGeom prst="rect">
          <a:avLst/>
        </a:prstGeom>
        <a:noFill/>
      </xdr:spPr>
    </xdr:pic>
    <xdr:clientData fLocksWithSheet="0"/>
  </xdr:oneCellAnchor>
  <xdr:oneCellAnchor>
    <xdr:from>
      <xdr:col>1</xdr:col>
      <xdr:colOff>0</xdr:colOff>
      <xdr:row>860</xdr:row>
      <xdr:rowOff>0</xdr:rowOff>
    </xdr:from>
    <xdr:ext cx="400050" cy="400050"/>
    <xdr:pic>
      <xdr:nvPicPr>
        <xdr:cNvPr id="0" name="image522.png"/>
        <xdr:cNvPicPr preferRelativeResize="0"/>
      </xdr:nvPicPr>
      <xdr:blipFill>
        <a:blip cstate="print" r:embed="rId396"/>
        <a:stretch>
          <a:fillRect/>
        </a:stretch>
      </xdr:blipFill>
      <xdr:spPr>
        <a:prstGeom prst="rect">
          <a:avLst/>
        </a:prstGeom>
        <a:noFill/>
      </xdr:spPr>
    </xdr:pic>
    <xdr:clientData fLocksWithSheet="0"/>
  </xdr:oneCellAnchor>
  <xdr:oneCellAnchor>
    <xdr:from>
      <xdr:col>1</xdr:col>
      <xdr:colOff>0</xdr:colOff>
      <xdr:row>861</xdr:row>
      <xdr:rowOff>0</xdr:rowOff>
    </xdr:from>
    <xdr:ext cx="400050" cy="400050"/>
    <xdr:pic>
      <xdr:nvPicPr>
        <xdr:cNvPr id="0" name="image516.png"/>
        <xdr:cNvPicPr preferRelativeResize="0"/>
      </xdr:nvPicPr>
      <xdr:blipFill>
        <a:blip cstate="print" r:embed="rId397"/>
        <a:stretch>
          <a:fillRect/>
        </a:stretch>
      </xdr:blipFill>
      <xdr:spPr>
        <a:prstGeom prst="rect">
          <a:avLst/>
        </a:prstGeom>
        <a:noFill/>
      </xdr:spPr>
    </xdr:pic>
    <xdr:clientData fLocksWithSheet="0"/>
  </xdr:oneCellAnchor>
  <xdr:oneCellAnchor>
    <xdr:from>
      <xdr:col>1</xdr:col>
      <xdr:colOff>0</xdr:colOff>
      <xdr:row>862</xdr:row>
      <xdr:rowOff>0</xdr:rowOff>
    </xdr:from>
    <xdr:ext cx="400050" cy="400050"/>
    <xdr:pic>
      <xdr:nvPicPr>
        <xdr:cNvPr id="0" name="image546.png"/>
        <xdr:cNvPicPr preferRelativeResize="0"/>
      </xdr:nvPicPr>
      <xdr:blipFill>
        <a:blip cstate="print" r:embed="rId398"/>
        <a:stretch>
          <a:fillRect/>
        </a:stretch>
      </xdr:blipFill>
      <xdr:spPr>
        <a:prstGeom prst="rect">
          <a:avLst/>
        </a:prstGeom>
        <a:noFill/>
      </xdr:spPr>
    </xdr:pic>
    <xdr:clientData fLocksWithSheet="0"/>
  </xdr:oneCellAnchor>
  <xdr:oneCellAnchor>
    <xdr:from>
      <xdr:col>1</xdr:col>
      <xdr:colOff>0</xdr:colOff>
      <xdr:row>863</xdr:row>
      <xdr:rowOff>0</xdr:rowOff>
    </xdr:from>
    <xdr:ext cx="400050" cy="400050"/>
    <xdr:pic>
      <xdr:nvPicPr>
        <xdr:cNvPr id="0" name="image519.png"/>
        <xdr:cNvPicPr preferRelativeResize="0"/>
      </xdr:nvPicPr>
      <xdr:blipFill>
        <a:blip cstate="print" r:embed="rId399"/>
        <a:stretch>
          <a:fillRect/>
        </a:stretch>
      </xdr:blipFill>
      <xdr:spPr>
        <a:prstGeom prst="rect">
          <a:avLst/>
        </a:prstGeom>
        <a:noFill/>
      </xdr:spPr>
    </xdr:pic>
    <xdr:clientData fLocksWithSheet="0"/>
  </xdr:oneCellAnchor>
  <xdr:oneCellAnchor>
    <xdr:from>
      <xdr:col>1</xdr:col>
      <xdr:colOff>0</xdr:colOff>
      <xdr:row>864</xdr:row>
      <xdr:rowOff>0</xdr:rowOff>
    </xdr:from>
    <xdr:ext cx="400050" cy="400050"/>
    <xdr:pic>
      <xdr:nvPicPr>
        <xdr:cNvPr id="0" name="image493.png"/>
        <xdr:cNvPicPr preferRelativeResize="0"/>
      </xdr:nvPicPr>
      <xdr:blipFill>
        <a:blip cstate="print" r:embed="rId400"/>
        <a:stretch>
          <a:fillRect/>
        </a:stretch>
      </xdr:blipFill>
      <xdr:spPr>
        <a:prstGeom prst="rect">
          <a:avLst/>
        </a:prstGeom>
        <a:noFill/>
      </xdr:spPr>
    </xdr:pic>
    <xdr:clientData fLocksWithSheet="0"/>
  </xdr:oneCellAnchor>
  <xdr:oneCellAnchor>
    <xdr:from>
      <xdr:col>1</xdr:col>
      <xdr:colOff>0</xdr:colOff>
      <xdr:row>865</xdr:row>
      <xdr:rowOff>0</xdr:rowOff>
    </xdr:from>
    <xdr:ext cx="400050" cy="400050"/>
    <xdr:pic>
      <xdr:nvPicPr>
        <xdr:cNvPr id="0" name="image580.png"/>
        <xdr:cNvPicPr preferRelativeResize="0"/>
      </xdr:nvPicPr>
      <xdr:blipFill>
        <a:blip cstate="print" r:embed="rId401"/>
        <a:stretch>
          <a:fillRect/>
        </a:stretch>
      </xdr:blipFill>
      <xdr:spPr>
        <a:prstGeom prst="rect">
          <a:avLst/>
        </a:prstGeom>
        <a:noFill/>
      </xdr:spPr>
    </xdr:pic>
    <xdr:clientData fLocksWithSheet="0"/>
  </xdr:oneCellAnchor>
  <xdr:oneCellAnchor>
    <xdr:from>
      <xdr:col>1</xdr:col>
      <xdr:colOff>0</xdr:colOff>
      <xdr:row>866</xdr:row>
      <xdr:rowOff>0</xdr:rowOff>
    </xdr:from>
    <xdr:ext cx="400050" cy="400050"/>
    <xdr:pic>
      <xdr:nvPicPr>
        <xdr:cNvPr id="0" name="image521.png"/>
        <xdr:cNvPicPr preferRelativeResize="0"/>
      </xdr:nvPicPr>
      <xdr:blipFill>
        <a:blip cstate="print" r:embed="rId402"/>
        <a:stretch>
          <a:fillRect/>
        </a:stretch>
      </xdr:blipFill>
      <xdr:spPr>
        <a:prstGeom prst="rect">
          <a:avLst/>
        </a:prstGeom>
        <a:noFill/>
      </xdr:spPr>
    </xdr:pic>
    <xdr:clientData fLocksWithSheet="0"/>
  </xdr:oneCellAnchor>
  <xdr:oneCellAnchor>
    <xdr:from>
      <xdr:col>1</xdr:col>
      <xdr:colOff>0</xdr:colOff>
      <xdr:row>867</xdr:row>
      <xdr:rowOff>0</xdr:rowOff>
    </xdr:from>
    <xdr:ext cx="400050" cy="400050"/>
    <xdr:pic>
      <xdr:nvPicPr>
        <xdr:cNvPr id="0" name="image525.png"/>
        <xdr:cNvPicPr preferRelativeResize="0"/>
      </xdr:nvPicPr>
      <xdr:blipFill>
        <a:blip cstate="print" r:embed="rId403"/>
        <a:stretch>
          <a:fillRect/>
        </a:stretch>
      </xdr:blipFill>
      <xdr:spPr>
        <a:prstGeom prst="rect">
          <a:avLst/>
        </a:prstGeom>
        <a:noFill/>
      </xdr:spPr>
    </xdr:pic>
    <xdr:clientData fLocksWithSheet="0"/>
  </xdr:oneCellAnchor>
  <xdr:oneCellAnchor>
    <xdr:from>
      <xdr:col>1</xdr:col>
      <xdr:colOff>0</xdr:colOff>
      <xdr:row>868</xdr:row>
      <xdr:rowOff>0</xdr:rowOff>
    </xdr:from>
    <xdr:ext cx="400050" cy="400050"/>
    <xdr:pic>
      <xdr:nvPicPr>
        <xdr:cNvPr id="0" name="image529.png"/>
        <xdr:cNvPicPr preferRelativeResize="0"/>
      </xdr:nvPicPr>
      <xdr:blipFill>
        <a:blip cstate="print" r:embed="rId404"/>
        <a:stretch>
          <a:fillRect/>
        </a:stretch>
      </xdr:blipFill>
      <xdr:spPr>
        <a:prstGeom prst="rect">
          <a:avLst/>
        </a:prstGeom>
        <a:noFill/>
      </xdr:spPr>
    </xdr:pic>
    <xdr:clientData fLocksWithSheet="0"/>
  </xdr:oneCellAnchor>
  <xdr:oneCellAnchor>
    <xdr:from>
      <xdr:col>1</xdr:col>
      <xdr:colOff>0</xdr:colOff>
      <xdr:row>869</xdr:row>
      <xdr:rowOff>0</xdr:rowOff>
    </xdr:from>
    <xdr:ext cx="400050" cy="400050"/>
    <xdr:pic>
      <xdr:nvPicPr>
        <xdr:cNvPr id="0" name="image520.png"/>
        <xdr:cNvPicPr preferRelativeResize="0"/>
      </xdr:nvPicPr>
      <xdr:blipFill>
        <a:blip cstate="print" r:embed="rId405"/>
        <a:stretch>
          <a:fillRect/>
        </a:stretch>
      </xdr:blipFill>
      <xdr:spPr>
        <a:prstGeom prst="rect">
          <a:avLst/>
        </a:prstGeom>
        <a:noFill/>
      </xdr:spPr>
    </xdr:pic>
    <xdr:clientData fLocksWithSheet="0"/>
  </xdr:oneCellAnchor>
  <xdr:oneCellAnchor>
    <xdr:from>
      <xdr:col>1</xdr:col>
      <xdr:colOff>0</xdr:colOff>
      <xdr:row>870</xdr:row>
      <xdr:rowOff>0</xdr:rowOff>
    </xdr:from>
    <xdr:ext cx="400050" cy="400050"/>
    <xdr:pic>
      <xdr:nvPicPr>
        <xdr:cNvPr id="0" name="image535.png"/>
        <xdr:cNvPicPr preferRelativeResize="0"/>
      </xdr:nvPicPr>
      <xdr:blipFill>
        <a:blip cstate="print" r:embed="rId406"/>
        <a:stretch>
          <a:fillRect/>
        </a:stretch>
      </xdr:blipFill>
      <xdr:spPr>
        <a:prstGeom prst="rect">
          <a:avLst/>
        </a:prstGeom>
        <a:noFill/>
      </xdr:spPr>
    </xdr:pic>
    <xdr:clientData fLocksWithSheet="0"/>
  </xdr:oneCellAnchor>
  <xdr:oneCellAnchor>
    <xdr:from>
      <xdr:col>1</xdr:col>
      <xdr:colOff>0</xdr:colOff>
      <xdr:row>871</xdr:row>
      <xdr:rowOff>0</xdr:rowOff>
    </xdr:from>
    <xdr:ext cx="400050" cy="400050"/>
    <xdr:pic>
      <xdr:nvPicPr>
        <xdr:cNvPr id="0" name="image497.png"/>
        <xdr:cNvPicPr preferRelativeResize="0"/>
      </xdr:nvPicPr>
      <xdr:blipFill>
        <a:blip cstate="print" r:embed="rId407"/>
        <a:stretch>
          <a:fillRect/>
        </a:stretch>
      </xdr:blipFill>
      <xdr:spPr>
        <a:prstGeom prst="rect">
          <a:avLst/>
        </a:prstGeom>
        <a:noFill/>
      </xdr:spPr>
    </xdr:pic>
    <xdr:clientData fLocksWithSheet="0"/>
  </xdr:oneCellAnchor>
  <xdr:oneCellAnchor>
    <xdr:from>
      <xdr:col>1</xdr:col>
      <xdr:colOff>0</xdr:colOff>
      <xdr:row>872</xdr:row>
      <xdr:rowOff>0</xdr:rowOff>
    </xdr:from>
    <xdr:ext cx="400050" cy="400050"/>
    <xdr:pic>
      <xdr:nvPicPr>
        <xdr:cNvPr id="0" name="image552.png"/>
        <xdr:cNvPicPr preferRelativeResize="0"/>
      </xdr:nvPicPr>
      <xdr:blipFill>
        <a:blip cstate="print" r:embed="rId408"/>
        <a:stretch>
          <a:fillRect/>
        </a:stretch>
      </xdr:blipFill>
      <xdr:spPr>
        <a:prstGeom prst="rect">
          <a:avLst/>
        </a:prstGeom>
        <a:noFill/>
      </xdr:spPr>
    </xdr:pic>
    <xdr:clientData fLocksWithSheet="0"/>
  </xdr:oneCellAnchor>
  <xdr:oneCellAnchor>
    <xdr:from>
      <xdr:col>1</xdr:col>
      <xdr:colOff>0</xdr:colOff>
      <xdr:row>873</xdr:row>
      <xdr:rowOff>0</xdr:rowOff>
    </xdr:from>
    <xdr:ext cx="400050" cy="400050"/>
    <xdr:pic>
      <xdr:nvPicPr>
        <xdr:cNvPr id="0" name="image496.png"/>
        <xdr:cNvPicPr preferRelativeResize="0"/>
      </xdr:nvPicPr>
      <xdr:blipFill>
        <a:blip cstate="print" r:embed="rId409"/>
        <a:stretch>
          <a:fillRect/>
        </a:stretch>
      </xdr:blipFill>
      <xdr:spPr>
        <a:prstGeom prst="rect">
          <a:avLst/>
        </a:prstGeom>
        <a:noFill/>
      </xdr:spPr>
    </xdr:pic>
    <xdr:clientData fLocksWithSheet="0"/>
  </xdr:oneCellAnchor>
  <xdr:oneCellAnchor>
    <xdr:from>
      <xdr:col>1</xdr:col>
      <xdr:colOff>0</xdr:colOff>
      <xdr:row>874</xdr:row>
      <xdr:rowOff>0</xdr:rowOff>
    </xdr:from>
    <xdr:ext cx="400050" cy="400050"/>
    <xdr:pic>
      <xdr:nvPicPr>
        <xdr:cNvPr id="0" name="image538.png"/>
        <xdr:cNvPicPr preferRelativeResize="0"/>
      </xdr:nvPicPr>
      <xdr:blipFill>
        <a:blip cstate="print" r:embed="rId410"/>
        <a:stretch>
          <a:fillRect/>
        </a:stretch>
      </xdr:blipFill>
      <xdr:spPr>
        <a:prstGeom prst="rect">
          <a:avLst/>
        </a:prstGeom>
        <a:noFill/>
      </xdr:spPr>
    </xdr:pic>
    <xdr:clientData fLocksWithSheet="0"/>
  </xdr:oneCellAnchor>
  <xdr:oneCellAnchor>
    <xdr:from>
      <xdr:col>1</xdr:col>
      <xdr:colOff>0</xdr:colOff>
      <xdr:row>875</xdr:row>
      <xdr:rowOff>0</xdr:rowOff>
    </xdr:from>
    <xdr:ext cx="400050" cy="400050"/>
    <xdr:pic>
      <xdr:nvPicPr>
        <xdr:cNvPr id="0" name="image556.png"/>
        <xdr:cNvPicPr preferRelativeResize="0"/>
      </xdr:nvPicPr>
      <xdr:blipFill>
        <a:blip cstate="print" r:embed="rId411"/>
        <a:stretch>
          <a:fillRect/>
        </a:stretch>
      </xdr:blipFill>
      <xdr:spPr>
        <a:prstGeom prst="rect">
          <a:avLst/>
        </a:prstGeom>
        <a:noFill/>
      </xdr:spPr>
    </xdr:pic>
    <xdr:clientData fLocksWithSheet="0"/>
  </xdr:oneCellAnchor>
  <xdr:oneCellAnchor>
    <xdr:from>
      <xdr:col>1</xdr:col>
      <xdr:colOff>0</xdr:colOff>
      <xdr:row>876</xdr:row>
      <xdr:rowOff>0</xdr:rowOff>
    </xdr:from>
    <xdr:ext cx="400050" cy="400050"/>
    <xdr:pic>
      <xdr:nvPicPr>
        <xdr:cNvPr id="0" name="image576.png"/>
        <xdr:cNvPicPr preferRelativeResize="0"/>
      </xdr:nvPicPr>
      <xdr:blipFill>
        <a:blip cstate="print" r:embed="rId412"/>
        <a:stretch>
          <a:fillRect/>
        </a:stretch>
      </xdr:blipFill>
      <xdr:spPr>
        <a:prstGeom prst="rect">
          <a:avLst/>
        </a:prstGeom>
        <a:noFill/>
      </xdr:spPr>
    </xdr:pic>
    <xdr:clientData fLocksWithSheet="0"/>
  </xdr:oneCellAnchor>
  <xdr:oneCellAnchor>
    <xdr:from>
      <xdr:col>1</xdr:col>
      <xdr:colOff>0</xdr:colOff>
      <xdr:row>877</xdr:row>
      <xdr:rowOff>0</xdr:rowOff>
    </xdr:from>
    <xdr:ext cx="400050" cy="400050"/>
    <xdr:pic>
      <xdr:nvPicPr>
        <xdr:cNvPr id="0" name="image505.png"/>
        <xdr:cNvPicPr preferRelativeResize="0"/>
      </xdr:nvPicPr>
      <xdr:blipFill>
        <a:blip cstate="print" r:embed="rId413"/>
        <a:stretch>
          <a:fillRect/>
        </a:stretch>
      </xdr:blipFill>
      <xdr:spPr>
        <a:prstGeom prst="rect">
          <a:avLst/>
        </a:prstGeom>
        <a:noFill/>
      </xdr:spPr>
    </xdr:pic>
    <xdr:clientData fLocksWithSheet="0"/>
  </xdr:oneCellAnchor>
  <xdr:oneCellAnchor>
    <xdr:from>
      <xdr:col>1</xdr:col>
      <xdr:colOff>0</xdr:colOff>
      <xdr:row>878</xdr:row>
      <xdr:rowOff>0</xdr:rowOff>
    </xdr:from>
    <xdr:ext cx="400050" cy="400050"/>
    <xdr:pic>
      <xdr:nvPicPr>
        <xdr:cNvPr id="0" name="image518.png"/>
        <xdr:cNvPicPr preferRelativeResize="0"/>
      </xdr:nvPicPr>
      <xdr:blipFill>
        <a:blip cstate="print" r:embed="rId414"/>
        <a:stretch>
          <a:fillRect/>
        </a:stretch>
      </xdr:blipFill>
      <xdr:spPr>
        <a:prstGeom prst="rect">
          <a:avLst/>
        </a:prstGeom>
        <a:noFill/>
      </xdr:spPr>
    </xdr:pic>
    <xdr:clientData fLocksWithSheet="0"/>
  </xdr:oneCellAnchor>
  <xdr:oneCellAnchor>
    <xdr:from>
      <xdr:col>1</xdr:col>
      <xdr:colOff>0</xdr:colOff>
      <xdr:row>879</xdr:row>
      <xdr:rowOff>0</xdr:rowOff>
    </xdr:from>
    <xdr:ext cx="400050" cy="400050"/>
    <xdr:pic>
      <xdr:nvPicPr>
        <xdr:cNvPr id="0" name="image537.png"/>
        <xdr:cNvPicPr preferRelativeResize="0"/>
      </xdr:nvPicPr>
      <xdr:blipFill>
        <a:blip cstate="print" r:embed="rId415"/>
        <a:stretch>
          <a:fillRect/>
        </a:stretch>
      </xdr:blipFill>
      <xdr:spPr>
        <a:prstGeom prst="rect">
          <a:avLst/>
        </a:prstGeom>
        <a:noFill/>
      </xdr:spPr>
    </xdr:pic>
    <xdr:clientData fLocksWithSheet="0"/>
  </xdr:oneCellAnchor>
  <xdr:oneCellAnchor>
    <xdr:from>
      <xdr:col>1</xdr:col>
      <xdr:colOff>0</xdr:colOff>
      <xdr:row>880</xdr:row>
      <xdr:rowOff>0</xdr:rowOff>
    </xdr:from>
    <xdr:ext cx="400050" cy="400050"/>
    <xdr:pic>
      <xdr:nvPicPr>
        <xdr:cNvPr id="0" name="image526.png"/>
        <xdr:cNvPicPr preferRelativeResize="0"/>
      </xdr:nvPicPr>
      <xdr:blipFill>
        <a:blip cstate="print" r:embed="rId416"/>
        <a:stretch>
          <a:fillRect/>
        </a:stretch>
      </xdr:blipFill>
      <xdr:spPr>
        <a:prstGeom prst="rect">
          <a:avLst/>
        </a:prstGeom>
        <a:noFill/>
      </xdr:spPr>
    </xdr:pic>
    <xdr:clientData fLocksWithSheet="0"/>
  </xdr:oneCellAnchor>
  <xdr:oneCellAnchor>
    <xdr:from>
      <xdr:col>1</xdr:col>
      <xdr:colOff>0</xdr:colOff>
      <xdr:row>881</xdr:row>
      <xdr:rowOff>0</xdr:rowOff>
    </xdr:from>
    <xdr:ext cx="400050" cy="400050"/>
    <xdr:pic>
      <xdr:nvPicPr>
        <xdr:cNvPr id="0" name="image536.png"/>
        <xdr:cNvPicPr preferRelativeResize="0"/>
      </xdr:nvPicPr>
      <xdr:blipFill>
        <a:blip cstate="print" r:embed="rId402"/>
        <a:stretch>
          <a:fillRect/>
        </a:stretch>
      </xdr:blipFill>
      <xdr:spPr>
        <a:prstGeom prst="rect">
          <a:avLst/>
        </a:prstGeom>
        <a:noFill/>
      </xdr:spPr>
    </xdr:pic>
    <xdr:clientData fLocksWithSheet="0"/>
  </xdr:oneCellAnchor>
  <xdr:oneCellAnchor>
    <xdr:from>
      <xdr:col>1</xdr:col>
      <xdr:colOff>0</xdr:colOff>
      <xdr:row>882</xdr:row>
      <xdr:rowOff>0</xdr:rowOff>
    </xdr:from>
    <xdr:ext cx="400050" cy="400050"/>
    <xdr:pic>
      <xdr:nvPicPr>
        <xdr:cNvPr id="0" name="image533.png"/>
        <xdr:cNvPicPr preferRelativeResize="0"/>
      </xdr:nvPicPr>
      <xdr:blipFill>
        <a:blip cstate="print" r:embed="rId417"/>
        <a:stretch>
          <a:fillRect/>
        </a:stretch>
      </xdr:blipFill>
      <xdr:spPr>
        <a:prstGeom prst="rect">
          <a:avLst/>
        </a:prstGeom>
        <a:noFill/>
      </xdr:spPr>
    </xdr:pic>
    <xdr:clientData fLocksWithSheet="0"/>
  </xdr:oneCellAnchor>
  <xdr:oneCellAnchor>
    <xdr:from>
      <xdr:col>1</xdr:col>
      <xdr:colOff>0</xdr:colOff>
      <xdr:row>883</xdr:row>
      <xdr:rowOff>0</xdr:rowOff>
    </xdr:from>
    <xdr:ext cx="400050" cy="400050"/>
    <xdr:pic>
      <xdr:nvPicPr>
        <xdr:cNvPr id="0" name="image509.png"/>
        <xdr:cNvPicPr preferRelativeResize="0"/>
      </xdr:nvPicPr>
      <xdr:blipFill>
        <a:blip cstate="print" r:embed="rId418"/>
        <a:stretch>
          <a:fillRect/>
        </a:stretch>
      </xdr:blipFill>
      <xdr:spPr>
        <a:prstGeom prst="rect">
          <a:avLst/>
        </a:prstGeom>
        <a:noFill/>
      </xdr:spPr>
    </xdr:pic>
    <xdr:clientData fLocksWithSheet="0"/>
  </xdr:oneCellAnchor>
  <xdr:oneCellAnchor>
    <xdr:from>
      <xdr:col>1</xdr:col>
      <xdr:colOff>0</xdr:colOff>
      <xdr:row>884</xdr:row>
      <xdr:rowOff>0</xdr:rowOff>
    </xdr:from>
    <xdr:ext cx="400050" cy="400050"/>
    <xdr:pic>
      <xdr:nvPicPr>
        <xdr:cNvPr id="0" name="image514.png"/>
        <xdr:cNvPicPr preferRelativeResize="0"/>
      </xdr:nvPicPr>
      <xdr:blipFill>
        <a:blip cstate="print" r:embed="rId419"/>
        <a:stretch>
          <a:fillRect/>
        </a:stretch>
      </xdr:blipFill>
      <xdr:spPr>
        <a:prstGeom prst="rect">
          <a:avLst/>
        </a:prstGeom>
        <a:noFill/>
      </xdr:spPr>
    </xdr:pic>
    <xdr:clientData fLocksWithSheet="0"/>
  </xdr:oneCellAnchor>
  <xdr:oneCellAnchor>
    <xdr:from>
      <xdr:col>1</xdr:col>
      <xdr:colOff>0</xdr:colOff>
      <xdr:row>900</xdr:row>
      <xdr:rowOff>0</xdr:rowOff>
    </xdr:from>
    <xdr:ext cx="400050" cy="400050"/>
    <xdr:pic>
      <xdr:nvPicPr>
        <xdr:cNvPr id="0" name="image553.png"/>
        <xdr:cNvPicPr preferRelativeResize="0"/>
      </xdr:nvPicPr>
      <xdr:blipFill>
        <a:blip cstate="print" r:embed="rId420"/>
        <a:stretch>
          <a:fillRect/>
        </a:stretch>
      </xdr:blipFill>
      <xdr:spPr>
        <a:prstGeom prst="rect">
          <a:avLst/>
        </a:prstGeom>
        <a:noFill/>
      </xdr:spPr>
    </xdr:pic>
    <xdr:clientData fLocksWithSheet="0"/>
  </xdr:oneCellAnchor>
  <xdr:oneCellAnchor>
    <xdr:from>
      <xdr:col>1</xdr:col>
      <xdr:colOff>0</xdr:colOff>
      <xdr:row>901</xdr:row>
      <xdr:rowOff>0</xdr:rowOff>
    </xdr:from>
    <xdr:ext cx="400050" cy="400050"/>
    <xdr:pic>
      <xdr:nvPicPr>
        <xdr:cNvPr id="0" name="image499.png"/>
        <xdr:cNvPicPr preferRelativeResize="0"/>
      </xdr:nvPicPr>
      <xdr:blipFill>
        <a:blip cstate="print" r:embed="rId273"/>
        <a:stretch>
          <a:fillRect/>
        </a:stretch>
      </xdr:blipFill>
      <xdr:spPr>
        <a:prstGeom prst="rect">
          <a:avLst/>
        </a:prstGeom>
        <a:noFill/>
      </xdr:spPr>
    </xdr:pic>
    <xdr:clientData fLocksWithSheet="0"/>
  </xdr:oneCellAnchor>
  <xdr:oneCellAnchor>
    <xdr:from>
      <xdr:col>1</xdr:col>
      <xdr:colOff>0</xdr:colOff>
      <xdr:row>902</xdr:row>
      <xdr:rowOff>0</xdr:rowOff>
    </xdr:from>
    <xdr:ext cx="400050" cy="400050"/>
    <xdr:pic>
      <xdr:nvPicPr>
        <xdr:cNvPr id="0" name="image544.png"/>
        <xdr:cNvPicPr preferRelativeResize="0"/>
      </xdr:nvPicPr>
      <xdr:blipFill>
        <a:blip cstate="print" r:embed="rId421"/>
        <a:stretch>
          <a:fillRect/>
        </a:stretch>
      </xdr:blipFill>
      <xdr:spPr>
        <a:prstGeom prst="rect">
          <a:avLst/>
        </a:prstGeom>
        <a:noFill/>
      </xdr:spPr>
    </xdr:pic>
    <xdr:clientData fLocksWithSheet="0"/>
  </xdr:oneCellAnchor>
  <xdr:oneCellAnchor>
    <xdr:from>
      <xdr:col>1</xdr:col>
      <xdr:colOff>0</xdr:colOff>
      <xdr:row>903</xdr:row>
      <xdr:rowOff>0</xdr:rowOff>
    </xdr:from>
    <xdr:ext cx="400050" cy="400050"/>
    <xdr:pic>
      <xdr:nvPicPr>
        <xdr:cNvPr id="0" name="image500.png"/>
        <xdr:cNvPicPr preferRelativeResize="0"/>
      </xdr:nvPicPr>
      <xdr:blipFill>
        <a:blip cstate="print" r:embed="rId422"/>
        <a:stretch>
          <a:fillRect/>
        </a:stretch>
      </xdr:blipFill>
      <xdr:spPr>
        <a:prstGeom prst="rect">
          <a:avLst/>
        </a:prstGeom>
        <a:noFill/>
      </xdr:spPr>
    </xdr:pic>
    <xdr:clientData fLocksWithSheet="0"/>
  </xdr:oneCellAnchor>
  <xdr:oneCellAnchor>
    <xdr:from>
      <xdr:col>1</xdr:col>
      <xdr:colOff>0</xdr:colOff>
      <xdr:row>904</xdr:row>
      <xdr:rowOff>0</xdr:rowOff>
    </xdr:from>
    <xdr:ext cx="400050" cy="400050"/>
    <xdr:pic>
      <xdr:nvPicPr>
        <xdr:cNvPr id="0" name="image507.png"/>
        <xdr:cNvPicPr preferRelativeResize="0"/>
      </xdr:nvPicPr>
      <xdr:blipFill>
        <a:blip cstate="print" r:embed="rId423"/>
        <a:stretch>
          <a:fillRect/>
        </a:stretch>
      </xdr:blipFill>
      <xdr:spPr>
        <a:prstGeom prst="rect">
          <a:avLst/>
        </a:prstGeom>
        <a:noFill/>
      </xdr:spPr>
    </xdr:pic>
    <xdr:clientData fLocksWithSheet="0"/>
  </xdr:oneCellAnchor>
  <xdr:oneCellAnchor>
    <xdr:from>
      <xdr:col>1</xdr:col>
      <xdr:colOff>0</xdr:colOff>
      <xdr:row>905</xdr:row>
      <xdr:rowOff>0</xdr:rowOff>
    </xdr:from>
    <xdr:ext cx="400050" cy="400050"/>
    <xdr:pic>
      <xdr:nvPicPr>
        <xdr:cNvPr id="0" name="image501.png"/>
        <xdr:cNvPicPr preferRelativeResize="0"/>
      </xdr:nvPicPr>
      <xdr:blipFill>
        <a:blip cstate="print" r:embed="rId424"/>
        <a:stretch>
          <a:fillRect/>
        </a:stretch>
      </xdr:blipFill>
      <xdr:spPr>
        <a:prstGeom prst="rect">
          <a:avLst/>
        </a:prstGeom>
        <a:noFill/>
      </xdr:spPr>
    </xdr:pic>
    <xdr:clientData fLocksWithSheet="0"/>
  </xdr:oneCellAnchor>
  <xdr:oneCellAnchor>
    <xdr:from>
      <xdr:col>1</xdr:col>
      <xdr:colOff>0</xdr:colOff>
      <xdr:row>906</xdr:row>
      <xdr:rowOff>0</xdr:rowOff>
    </xdr:from>
    <xdr:ext cx="400050" cy="400050"/>
    <xdr:pic>
      <xdr:nvPicPr>
        <xdr:cNvPr id="0" name="image504.png"/>
        <xdr:cNvPicPr preferRelativeResize="0"/>
      </xdr:nvPicPr>
      <xdr:blipFill>
        <a:blip cstate="print" r:embed="rId425"/>
        <a:stretch>
          <a:fillRect/>
        </a:stretch>
      </xdr:blipFill>
      <xdr:spPr>
        <a:prstGeom prst="rect">
          <a:avLst/>
        </a:prstGeom>
        <a:noFill/>
      </xdr:spPr>
    </xdr:pic>
    <xdr:clientData fLocksWithSheet="0"/>
  </xdr:oneCellAnchor>
  <xdr:oneCellAnchor>
    <xdr:from>
      <xdr:col>1</xdr:col>
      <xdr:colOff>0</xdr:colOff>
      <xdr:row>907</xdr:row>
      <xdr:rowOff>0</xdr:rowOff>
    </xdr:from>
    <xdr:ext cx="400050" cy="400050"/>
    <xdr:pic>
      <xdr:nvPicPr>
        <xdr:cNvPr id="0" name="image506.png"/>
        <xdr:cNvPicPr preferRelativeResize="0"/>
      </xdr:nvPicPr>
      <xdr:blipFill>
        <a:blip cstate="print" r:embed="rId426"/>
        <a:stretch>
          <a:fillRect/>
        </a:stretch>
      </xdr:blipFill>
      <xdr:spPr>
        <a:prstGeom prst="rect">
          <a:avLst/>
        </a:prstGeom>
        <a:noFill/>
      </xdr:spPr>
    </xdr:pic>
    <xdr:clientData fLocksWithSheet="0"/>
  </xdr:oneCellAnchor>
  <xdr:oneCellAnchor>
    <xdr:from>
      <xdr:col>1</xdr:col>
      <xdr:colOff>0</xdr:colOff>
      <xdr:row>908</xdr:row>
      <xdr:rowOff>0</xdr:rowOff>
    </xdr:from>
    <xdr:ext cx="400050" cy="400050"/>
    <xdr:pic>
      <xdr:nvPicPr>
        <xdr:cNvPr id="0" name="image568.png"/>
        <xdr:cNvPicPr preferRelativeResize="0"/>
      </xdr:nvPicPr>
      <xdr:blipFill>
        <a:blip cstate="print" r:embed="rId427"/>
        <a:stretch>
          <a:fillRect/>
        </a:stretch>
      </xdr:blipFill>
      <xdr:spPr>
        <a:prstGeom prst="rect">
          <a:avLst/>
        </a:prstGeom>
        <a:noFill/>
      </xdr:spPr>
    </xdr:pic>
    <xdr:clientData fLocksWithSheet="0"/>
  </xdr:oneCellAnchor>
  <xdr:oneCellAnchor>
    <xdr:from>
      <xdr:col>1</xdr:col>
      <xdr:colOff>0</xdr:colOff>
      <xdr:row>909</xdr:row>
      <xdr:rowOff>0</xdr:rowOff>
    </xdr:from>
    <xdr:ext cx="400050" cy="400050"/>
    <xdr:pic>
      <xdr:nvPicPr>
        <xdr:cNvPr id="0" name="image513.png"/>
        <xdr:cNvPicPr preferRelativeResize="0"/>
      </xdr:nvPicPr>
      <xdr:blipFill>
        <a:blip cstate="print" r:embed="rId428"/>
        <a:stretch>
          <a:fillRect/>
        </a:stretch>
      </xdr:blipFill>
      <xdr:spPr>
        <a:prstGeom prst="rect">
          <a:avLst/>
        </a:prstGeom>
        <a:noFill/>
      </xdr:spPr>
    </xdr:pic>
    <xdr:clientData fLocksWithSheet="0"/>
  </xdr:oneCellAnchor>
  <xdr:oneCellAnchor>
    <xdr:from>
      <xdr:col>1</xdr:col>
      <xdr:colOff>0</xdr:colOff>
      <xdr:row>910</xdr:row>
      <xdr:rowOff>0</xdr:rowOff>
    </xdr:from>
    <xdr:ext cx="400050" cy="400050"/>
    <xdr:pic>
      <xdr:nvPicPr>
        <xdr:cNvPr id="0" name="image503.png"/>
        <xdr:cNvPicPr preferRelativeResize="0"/>
      </xdr:nvPicPr>
      <xdr:blipFill>
        <a:blip cstate="print" r:embed="rId429"/>
        <a:stretch>
          <a:fillRect/>
        </a:stretch>
      </xdr:blipFill>
      <xdr:spPr>
        <a:prstGeom prst="rect">
          <a:avLst/>
        </a:prstGeom>
        <a:noFill/>
      </xdr:spPr>
    </xdr:pic>
    <xdr:clientData fLocksWithSheet="0"/>
  </xdr:oneCellAnchor>
  <xdr:oneCellAnchor>
    <xdr:from>
      <xdr:col>1</xdr:col>
      <xdr:colOff>0</xdr:colOff>
      <xdr:row>911</xdr:row>
      <xdr:rowOff>0</xdr:rowOff>
    </xdr:from>
    <xdr:ext cx="400050" cy="400050"/>
    <xdr:pic>
      <xdr:nvPicPr>
        <xdr:cNvPr id="0" name="image587.png"/>
        <xdr:cNvPicPr preferRelativeResize="0"/>
      </xdr:nvPicPr>
      <xdr:blipFill>
        <a:blip cstate="print" r:embed="rId430"/>
        <a:stretch>
          <a:fillRect/>
        </a:stretch>
      </xdr:blipFill>
      <xdr:spPr>
        <a:prstGeom prst="rect">
          <a:avLst/>
        </a:prstGeom>
        <a:noFill/>
      </xdr:spPr>
    </xdr:pic>
    <xdr:clientData fLocksWithSheet="0"/>
  </xdr:oneCellAnchor>
  <xdr:oneCellAnchor>
    <xdr:from>
      <xdr:col>1</xdr:col>
      <xdr:colOff>0</xdr:colOff>
      <xdr:row>912</xdr:row>
      <xdr:rowOff>0</xdr:rowOff>
    </xdr:from>
    <xdr:ext cx="400050" cy="400050"/>
    <xdr:pic>
      <xdr:nvPicPr>
        <xdr:cNvPr id="0" name="image554.png"/>
        <xdr:cNvPicPr preferRelativeResize="0"/>
      </xdr:nvPicPr>
      <xdr:blipFill>
        <a:blip cstate="print" r:embed="rId431"/>
        <a:stretch>
          <a:fillRect/>
        </a:stretch>
      </xdr:blipFill>
      <xdr:spPr>
        <a:prstGeom prst="rect">
          <a:avLst/>
        </a:prstGeom>
        <a:noFill/>
      </xdr:spPr>
    </xdr:pic>
    <xdr:clientData fLocksWithSheet="0"/>
  </xdr:oneCellAnchor>
  <xdr:oneCellAnchor>
    <xdr:from>
      <xdr:col>1</xdr:col>
      <xdr:colOff>0</xdr:colOff>
      <xdr:row>913</xdr:row>
      <xdr:rowOff>0</xdr:rowOff>
    </xdr:from>
    <xdr:ext cx="400050" cy="400050"/>
    <xdr:pic>
      <xdr:nvPicPr>
        <xdr:cNvPr id="0" name="image548.png"/>
        <xdr:cNvPicPr preferRelativeResize="0"/>
      </xdr:nvPicPr>
      <xdr:blipFill>
        <a:blip cstate="print" r:embed="rId432"/>
        <a:stretch>
          <a:fillRect/>
        </a:stretch>
      </xdr:blipFill>
      <xdr:spPr>
        <a:prstGeom prst="rect">
          <a:avLst/>
        </a:prstGeom>
        <a:noFill/>
      </xdr:spPr>
    </xdr:pic>
    <xdr:clientData fLocksWithSheet="0"/>
  </xdr:oneCellAnchor>
  <xdr:oneCellAnchor>
    <xdr:from>
      <xdr:col>1</xdr:col>
      <xdr:colOff>0</xdr:colOff>
      <xdr:row>914</xdr:row>
      <xdr:rowOff>0</xdr:rowOff>
    </xdr:from>
    <xdr:ext cx="400050" cy="400050"/>
    <xdr:pic>
      <xdr:nvPicPr>
        <xdr:cNvPr id="0" name="image511.png"/>
        <xdr:cNvPicPr preferRelativeResize="0"/>
      </xdr:nvPicPr>
      <xdr:blipFill>
        <a:blip cstate="print" r:embed="rId433"/>
        <a:stretch>
          <a:fillRect/>
        </a:stretch>
      </xdr:blipFill>
      <xdr:spPr>
        <a:prstGeom prst="rect">
          <a:avLst/>
        </a:prstGeom>
        <a:noFill/>
      </xdr:spPr>
    </xdr:pic>
    <xdr:clientData fLocksWithSheet="0"/>
  </xdr:oneCellAnchor>
  <xdr:oneCellAnchor>
    <xdr:from>
      <xdr:col>1</xdr:col>
      <xdr:colOff>0</xdr:colOff>
      <xdr:row>915</xdr:row>
      <xdr:rowOff>0</xdr:rowOff>
    </xdr:from>
    <xdr:ext cx="400050" cy="400050"/>
    <xdr:pic>
      <xdr:nvPicPr>
        <xdr:cNvPr id="0" name="image558.png"/>
        <xdr:cNvPicPr preferRelativeResize="0"/>
      </xdr:nvPicPr>
      <xdr:blipFill>
        <a:blip cstate="print" r:embed="rId434"/>
        <a:stretch>
          <a:fillRect/>
        </a:stretch>
      </xdr:blipFill>
      <xdr:spPr>
        <a:prstGeom prst="rect">
          <a:avLst/>
        </a:prstGeom>
        <a:noFill/>
      </xdr:spPr>
    </xdr:pic>
    <xdr:clientData fLocksWithSheet="0"/>
  </xdr:oneCellAnchor>
  <xdr:oneCellAnchor>
    <xdr:from>
      <xdr:col>1</xdr:col>
      <xdr:colOff>0</xdr:colOff>
      <xdr:row>916</xdr:row>
      <xdr:rowOff>0</xdr:rowOff>
    </xdr:from>
    <xdr:ext cx="400050" cy="400050"/>
    <xdr:pic>
      <xdr:nvPicPr>
        <xdr:cNvPr id="0" name="image604.png"/>
        <xdr:cNvPicPr preferRelativeResize="0"/>
      </xdr:nvPicPr>
      <xdr:blipFill>
        <a:blip cstate="print" r:embed="rId435"/>
        <a:stretch>
          <a:fillRect/>
        </a:stretch>
      </xdr:blipFill>
      <xdr:spPr>
        <a:prstGeom prst="rect">
          <a:avLst/>
        </a:prstGeom>
        <a:noFill/>
      </xdr:spPr>
    </xdr:pic>
    <xdr:clientData fLocksWithSheet="0"/>
  </xdr:oneCellAnchor>
  <xdr:oneCellAnchor>
    <xdr:from>
      <xdr:col>1</xdr:col>
      <xdr:colOff>0</xdr:colOff>
      <xdr:row>917</xdr:row>
      <xdr:rowOff>0</xdr:rowOff>
    </xdr:from>
    <xdr:ext cx="400050" cy="400050"/>
    <xdr:pic>
      <xdr:nvPicPr>
        <xdr:cNvPr id="0" name="image512.png"/>
        <xdr:cNvPicPr preferRelativeResize="0"/>
      </xdr:nvPicPr>
      <xdr:blipFill>
        <a:blip cstate="print" r:embed="rId436"/>
        <a:stretch>
          <a:fillRect/>
        </a:stretch>
      </xdr:blipFill>
      <xdr:spPr>
        <a:prstGeom prst="rect">
          <a:avLst/>
        </a:prstGeom>
        <a:noFill/>
      </xdr:spPr>
    </xdr:pic>
    <xdr:clientData fLocksWithSheet="0"/>
  </xdr:oneCellAnchor>
  <xdr:oneCellAnchor>
    <xdr:from>
      <xdr:col>1</xdr:col>
      <xdr:colOff>0</xdr:colOff>
      <xdr:row>918</xdr:row>
      <xdr:rowOff>0</xdr:rowOff>
    </xdr:from>
    <xdr:ext cx="400050" cy="400050"/>
    <xdr:pic>
      <xdr:nvPicPr>
        <xdr:cNvPr id="0" name="image599.png"/>
        <xdr:cNvPicPr preferRelativeResize="0"/>
      </xdr:nvPicPr>
      <xdr:blipFill>
        <a:blip cstate="print" r:embed="rId437"/>
        <a:stretch>
          <a:fillRect/>
        </a:stretch>
      </xdr:blipFill>
      <xdr:spPr>
        <a:prstGeom prst="rect">
          <a:avLst/>
        </a:prstGeom>
        <a:noFill/>
      </xdr:spPr>
    </xdr:pic>
    <xdr:clientData fLocksWithSheet="0"/>
  </xdr:oneCellAnchor>
  <xdr:oneCellAnchor>
    <xdr:from>
      <xdr:col>1</xdr:col>
      <xdr:colOff>0</xdr:colOff>
      <xdr:row>919</xdr:row>
      <xdr:rowOff>0</xdr:rowOff>
    </xdr:from>
    <xdr:ext cx="400050" cy="400050"/>
    <xdr:pic>
      <xdr:nvPicPr>
        <xdr:cNvPr id="0" name="image563.png"/>
        <xdr:cNvPicPr preferRelativeResize="0"/>
      </xdr:nvPicPr>
      <xdr:blipFill>
        <a:blip cstate="print" r:embed="rId438"/>
        <a:stretch>
          <a:fillRect/>
        </a:stretch>
      </xdr:blipFill>
      <xdr:spPr>
        <a:prstGeom prst="rect">
          <a:avLst/>
        </a:prstGeom>
        <a:noFill/>
      </xdr:spPr>
    </xdr:pic>
    <xdr:clientData fLocksWithSheet="0"/>
  </xdr:oneCellAnchor>
  <xdr:oneCellAnchor>
    <xdr:from>
      <xdr:col>1</xdr:col>
      <xdr:colOff>0</xdr:colOff>
      <xdr:row>920</xdr:row>
      <xdr:rowOff>0</xdr:rowOff>
    </xdr:from>
    <xdr:ext cx="400050" cy="400050"/>
    <xdr:pic>
      <xdr:nvPicPr>
        <xdr:cNvPr id="0" name="image551.png"/>
        <xdr:cNvPicPr preferRelativeResize="0"/>
      </xdr:nvPicPr>
      <xdr:blipFill>
        <a:blip cstate="print" r:embed="rId439"/>
        <a:stretch>
          <a:fillRect/>
        </a:stretch>
      </xdr:blipFill>
      <xdr:spPr>
        <a:prstGeom prst="rect">
          <a:avLst/>
        </a:prstGeom>
        <a:noFill/>
      </xdr:spPr>
    </xdr:pic>
    <xdr:clientData fLocksWithSheet="0"/>
  </xdr:oneCellAnchor>
  <xdr:oneCellAnchor>
    <xdr:from>
      <xdr:col>1</xdr:col>
      <xdr:colOff>0</xdr:colOff>
      <xdr:row>921</xdr:row>
      <xdr:rowOff>0</xdr:rowOff>
    </xdr:from>
    <xdr:ext cx="400050" cy="400050"/>
    <xdr:pic>
      <xdr:nvPicPr>
        <xdr:cNvPr id="0" name="image532.png"/>
        <xdr:cNvPicPr preferRelativeResize="0"/>
      </xdr:nvPicPr>
      <xdr:blipFill>
        <a:blip cstate="print" r:embed="rId440"/>
        <a:stretch>
          <a:fillRect/>
        </a:stretch>
      </xdr:blipFill>
      <xdr:spPr>
        <a:prstGeom prst="rect">
          <a:avLst/>
        </a:prstGeom>
        <a:noFill/>
      </xdr:spPr>
    </xdr:pic>
    <xdr:clientData fLocksWithSheet="0"/>
  </xdr:oneCellAnchor>
  <xdr:oneCellAnchor>
    <xdr:from>
      <xdr:col>1</xdr:col>
      <xdr:colOff>0</xdr:colOff>
      <xdr:row>922</xdr:row>
      <xdr:rowOff>0</xdr:rowOff>
    </xdr:from>
    <xdr:ext cx="400050" cy="400050"/>
    <xdr:pic>
      <xdr:nvPicPr>
        <xdr:cNvPr id="0" name="image540.png"/>
        <xdr:cNvPicPr preferRelativeResize="0"/>
      </xdr:nvPicPr>
      <xdr:blipFill>
        <a:blip cstate="print" r:embed="rId441"/>
        <a:stretch>
          <a:fillRect/>
        </a:stretch>
      </xdr:blipFill>
      <xdr:spPr>
        <a:prstGeom prst="rect">
          <a:avLst/>
        </a:prstGeom>
        <a:noFill/>
      </xdr:spPr>
    </xdr:pic>
    <xdr:clientData fLocksWithSheet="0"/>
  </xdr:oneCellAnchor>
  <xdr:oneCellAnchor>
    <xdr:from>
      <xdr:col>1</xdr:col>
      <xdr:colOff>0</xdr:colOff>
      <xdr:row>923</xdr:row>
      <xdr:rowOff>0</xdr:rowOff>
    </xdr:from>
    <xdr:ext cx="400050" cy="400050"/>
    <xdr:pic>
      <xdr:nvPicPr>
        <xdr:cNvPr id="0" name="image517.png"/>
        <xdr:cNvPicPr preferRelativeResize="0"/>
      </xdr:nvPicPr>
      <xdr:blipFill>
        <a:blip cstate="print" r:embed="rId442"/>
        <a:stretch>
          <a:fillRect/>
        </a:stretch>
      </xdr:blipFill>
      <xdr:spPr>
        <a:prstGeom prst="rect">
          <a:avLst/>
        </a:prstGeom>
        <a:noFill/>
      </xdr:spPr>
    </xdr:pic>
    <xdr:clientData fLocksWithSheet="0"/>
  </xdr:oneCellAnchor>
  <xdr:oneCellAnchor>
    <xdr:from>
      <xdr:col>1</xdr:col>
      <xdr:colOff>0</xdr:colOff>
      <xdr:row>924</xdr:row>
      <xdr:rowOff>0</xdr:rowOff>
    </xdr:from>
    <xdr:ext cx="400050" cy="400050"/>
    <xdr:pic>
      <xdr:nvPicPr>
        <xdr:cNvPr id="0" name="image598.png"/>
        <xdr:cNvPicPr preferRelativeResize="0"/>
      </xdr:nvPicPr>
      <xdr:blipFill>
        <a:blip cstate="print" r:embed="rId443"/>
        <a:stretch>
          <a:fillRect/>
        </a:stretch>
      </xdr:blipFill>
      <xdr:spPr>
        <a:prstGeom prst="rect">
          <a:avLst/>
        </a:prstGeom>
        <a:noFill/>
      </xdr:spPr>
    </xdr:pic>
    <xdr:clientData fLocksWithSheet="0"/>
  </xdr:oneCellAnchor>
  <xdr:oneCellAnchor>
    <xdr:from>
      <xdr:col>1</xdr:col>
      <xdr:colOff>0</xdr:colOff>
      <xdr:row>925</xdr:row>
      <xdr:rowOff>0</xdr:rowOff>
    </xdr:from>
    <xdr:ext cx="400050" cy="400050"/>
    <xdr:pic>
      <xdr:nvPicPr>
        <xdr:cNvPr id="0" name="image560.png"/>
        <xdr:cNvPicPr preferRelativeResize="0"/>
      </xdr:nvPicPr>
      <xdr:blipFill>
        <a:blip cstate="print" r:embed="rId444"/>
        <a:stretch>
          <a:fillRect/>
        </a:stretch>
      </xdr:blipFill>
      <xdr:spPr>
        <a:prstGeom prst="rect">
          <a:avLst/>
        </a:prstGeom>
        <a:noFill/>
      </xdr:spPr>
    </xdr:pic>
    <xdr:clientData fLocksWithSheet="0"/>
  </xdr:oneCellAnchor>
  <xdr:oneCellAnchor>
    <xdr:from>
      <xdr:col>1</xdr:col>
      <xdr:colOff>0</xdr:colOff>
      <xdr:row>926</xdr:row>
      <xdr:rowOff>0</xdr:rowOff>
    </xdr:from>
    <xdr:ext cx="400050" cy="400050"/>
    <xdr:pic>
      <xdr:nvPicPr>
        <xdr:cNvPr id="0" name="image564.png"/>
        <xdr:cNvPicPr preferRelativeResize="0"/>
      </xdr:nvPicPr>
      <xdr:blipFill>
        <a:blip cstate="print" r:embed="rId445"/>
        <a:stretch>
          <a:fillRect/>
        </a:stretch>
      </xdr:blipFill>
      <xdr:spPr>
        <a:prstGeom prst="rect">
          <a:avLst/>
        </a:prstGeom>
        <a:noFill/>
      </xdr:spPr>
    </xdr:pic>
    <xdr:clientData fLocksWithSheet="0"/>
  </xdr:oneCellAnchor>
  <xdr:oneCellAnchor>
    <xdr:from>
      <xdr:col>1</xdr:col>
      <xdr:colOff>0</xdr:colOff>
      <xdr:row>927</xdr:row>
      <xdr:rowOff>0</xdr:rowOff>
    </xdr:from>
    <xdr:ext cx="400050" cy="400050"/>
    <xdr:pic>
      <xdr:nvPicPr>
        <xdr:cNvPr id="0" name="image549.png"/>
        <xdr:cNvPicPr preferRelativeResize="0"/>
      </xdr:nvPicPr>
      <xdr:blipFill>
        <a:blip cstate="print" r:embed="rId446"/>
        <a:stretch>
          <a:fillRect/>
        </a:stretch>
      </xdr:blipFill>
      <xdr:spPr>
        <a:prstGeom prst="rect">
          <a:avLst/>
        </a:prstGeom>
        <a:noFill/>
      </xdr:spPr>
    </xdr:pic>
    <xdr:clientData fLocksWithSheet="0"/>
  </xdr:oneCellAnchor>
  <xdr:oneCellAnchor>
    <xdr:from>
      <xdr:col>1</xdr:col>
      <xdr:colOff>0</xdr:colOff>
      <xdr:row>928</xdr:row>
      <xdr:rowOff>0</xdr:rowOff>
    </xdr:from>
    <xdr:ext cx="400050" cy="400050"/>
    <xdr:pic>
      <xdr:nvPicPr>
        <xdr:cNvPr id="0" name="image550.png"/>
        <xdr:cNvPicPr preferRelativeResize="0"/>
      </xdr:nvPicPr>
      <xdr:blipFill>
        <a:blip cstate="print" r:embed="rId447"/>
        <a:stretch>
          <a:fillRect/>
        </a:stretch>
      </xdr:blipFill>
      <xdr:spPr>
        <a:prstGeom prst="rect">
          <a:avLst/>
        </a:prstGeom>
        <a:noFill/>
      </xdr:spPr>
    </xdr:pic>
    <xdr:clientData fLocksWithSheet="0"/>
  </xdr:oneCellAnchor>
  <xdr:oneCellAnchor>
    <xdr:from>
      <xdr:col>1</xdr:col>
      <xdr:colOff>0</xdr:colOff>
      <xdr:row>929</xdr:row>
      <xdr:rowOff>0</xdr:rowOff>
    </xdr:from>
    <xdr:ext cx="400050" cy="400050"/>
    <xdr:pic>
      <xdr:nvPicPr>
        <xdr:cNvPr id="0" name="image523.png"/>
        <xdr:cNvPicPr preferRelativeResize="0"/>
      </xdr:nvPicPr>
      <xdr:blipFill>
        <a:blip cstate="print" r:embed="rId448"/>
        <a:stretch>
          <a:fillRect/>
        </a:stretch>
      </xdr:blipFill>
      <xdr:spPr>
        <a:prstGeom prst="rect">
          <a:avLst/>
        </a:prstGeom>
        <a:noFill/>
      </xdr:spPr>
    </xdr:pic>
    <xdr:clientData fLocksWithSheet="0"/>
  </xdr:oneCellAnchor>
  <xdr:oneCellAnchor>
    <xdr:from>
      <xdr:col>1</xdr:col>
      <xdr:colOff>0</xdr:colOff>
      <xdr:row>930</xdr:row>
      <xdr:rowOff>0</xdr:rowOff>
    </xdr:from>
    <xdr:ext cx="400050" cy="400050"/>
    <xdr:pic>
      <xdr:nvPicPr>
        <xdr:cNvPr id="0" name="image527.png"/>
        <xdr:cNvPicPr preferRelativeResize="0"/>
      </xdr:nvPicPr>
      <xdr:blipFill>
        <a:blip cstate="print" r:embed="rId449"/>
        <a:stretch>
          <a:fillRect/>
        </a:stretch>
      </xdr:blipFill>
      <xdr:spPr>
        <a:prstGeom prst="rect">
          <a:avLst/>
        </a:prstGeom>
        <a:noFill/>
      </xdr:spPr>
    </xdr:pic>
    <xdr:clientData fLocksWithSheet="0"/>
  </xdr:oneCellAnchor>
  <xdr:oneCellAnchor>
    <xdr:from>
      <xdr:col>1</xdr:col>
      <xdr:colOff>0</xdr:colOff>
      <xdr:row>931</xdr:row>
      <xdr:rowOff>0</xdr:rowOff>
    </xdr:from>
    <xdr:ext cx="400050" cy="400050"/>
    <xdr:pic>
      <xdr:nvPicPr>
        <xdr:cNvPr id="0" name="image582.png"/>
        <xdr:cNvPicPr preferRelativeResize="0"/>
      </xdr:nvPicPr>
      <xdr:blipFill>
        <a:blip cstate="print" r:embed="rId450"/>
        <a:stretch>
          <a:fillRect/>
        </a:stretch>
      </xdr:blipFill>
      <xdr:spPr>
        <a:prstGeom prst="rect">
          <a:avLst/>
        </a:prstGeom>
        <a:noFill/>
      </xdr:spPr>
    </xdr:pic>
    <xdr:clientData fLocksWithSheet="0"/>
  </xdr:oneCellAnchor>
  <xdr:oneCellAnchor>
    <xdr:from>
      <xdr:col>1</xdr:col>
      <xdr:colOff>0</xdr:colOff>
      <xdr:row>932</xdr:row>
      <xdr:rowOff>0</xdr:rowOff>
    </xdr:from>
    <xdr:ext cx="400050" cy="400050"/>
    <xdr:pic>
      <xdr:nvPicPr>
        <xdr:cNvPr id="0" name="image545.png"/>
        <xdr:cNvPicPr preferRelativeResize="0"/>
      </xdr:nvPicPr>
      <xdr:blipFill>
        <a:blip cstate="print" r:embed="rId451"/>
        <a:stretch>
          <a:fillRect/>
        </a:stretch>
      </xdr:blipFill>
      <xdr:spPr>
        <a:prstGeom prst="rect">
          <a:avLst/>
        </a:prstGeom>
        <a:noFill/>
      </xdr:spPr>
    </xdr:pic>
    <xdr:clientData fLocksWithSheet="0"/>
  </xdr:oneCellAnchor>
  <xdr:oneCellAnchor>
    <xdr:from>
      <xdr:col>1</xdr:col>
      <xdr:colOff>0</xdr:colOff>
      <xdr:row>933</xdr:row>
      <xdr:rowOff>0</xdr:rowOff>
    </xdr:from>
    <xdr:ext cx="400050" cy="400050"/>
    <xdr:pic>
      <xdr:nvPicPr>
        <xdr:cNvPr id="0" name="image530.png"/>
        <xdr:cNvPicPr preferRelativeResize="0"/>
      </xdr:nvPicPr>
      <xdr:blipFill>
        <a:blip cstate="print" r:embed="rId452"/>
        <a:stretch>
          <a:fillRect/>
        </a:stretch>
      </xdr:blipFill>
      <xdr:spPr>
        <a:prstGeom prst="rect">
          <a:avLst/>
        </a:prstGeom>
        <a:noFill/>
      </xdr:spPr>
    </xdr:pic>
    <xdr:clientData fLocksWithSheet="0"/>
  </xdr:oneCellAnchor>
  <xdr:oneCellAnchor>
    <xdr:from>
      <xdr:col>1</xdr:col>
      <xdr:colOff>0</xdr:colOff>
      <xdr:row>934</xdr:row>
      <xdr:rowOff>0</xdr:rowOff>
    </xdr:from>
    <xdr:ext cx="400050" cy="400050"/>
    <xdr:pic>
      <xdr:nvPicPr>
        <xdr:cNvPr id="0" name="image539.png"/>
        <xdr:cNvPicPr preferRelativeResize="0"/>
      </xdr:nvPicPr>
      <xdr:blipFill>
        <a:blip cstate="print" r:embed="rId453"/>
        <a:stretch>
          <a:fillRect/>
        </a:stretch>
      </xdr:blipFill>
      <xdr:spPr>
        <a:prstGeom prst="rect">
          <a:avLst/>
        </a:prstGeom>
        <a:noFill/>
      </xdr:spPr>
    </xdr:pic>
    <xdr:clientData fLocksWithSheet="0"/>
  </xdr:oneCellAnchor>
  <xdr:oneCellAnchor>
    <xdr:from>
      <xdr:col>1</xdr:col>
      <xdr:colOff>0</xdr:colOff>
      <xdr:row>950</xdr:row>
      <xdr:rowOff>0</xdr:rowOff>
    </xdr:from>
    <xdr:ext cx="400050" cy="400050"/>
    <xdr:pic>
      <xdr:nvPicPr>
        <xdr:cNvPr id="0" name="image602.png"/>
        <xdr:cNvPicPr preferRelativeResize="0"/>
      </xdr:nvPicPr>
      <xdr:blipFill>
        <a:blip cstate="print" r:embed="rId454"/>
        <a:stretch>
          <a:fillRect/>
        </a:stretch>
      </xdr:blipFill>
      <xdr:spPr>
        <a:prstGeom prst="rect">
          <a:avLst/>
        </a:prstGeom>
        <a:noFill/>
      </xdr:spPr>
    </xdr:pic>
    <xdr:clientData fLocksWithSheet="0"/>
  </xdr:oneCellAnchor>
  <xdr:oneCellAnchor>
    <xdr:from>
      <xdr:col>1</xdr:col>
      <xdr:colOff>0</xdr:colOff>
      <xdr:row>951</xdr:row>
      <xdr:rowOff>0</xdr:rowOff>
    </xdr:from>
    <xdr:ext cx="400050" cy="400050"/>
    <xdr:pic>
      <xdr:nvPicPr>
        <xdr:cNvPr id="0" name="image572.png"/>
        <xdr:cNvPicPr preferRelativeResize="0"/>
      </xdr:nvPicPr>
      <xdr:blipFill>
        <a:blip cstate="print" r:embed="rId455"/>
        <a:stretch>
          <a:fillRect/>
        </a:stretch>
      </xdr:blipFill>
      <xdr:spPr>
        <a:prstGeom prst="rect">
          <a:avLst/>
        </a:prstGeom>
        <a:noFill/>
      </xdr:spPr>
    </xdr:pic>
    <xdr:clientData fLocksWithSheet="0"/>
  </xdr:oneCellAnchor>
  <xdr:oneCellAnchor>
    <xdr:from>
      <xdr:col>1</xdr:col>
      <xdr:colOff>0</xdr:colOff>
      <xdr:row>952</xdr:row>
      <xdr:rowOff>0</xdr:rowOff>
    </xdr:from>
    <xdr:ext cx="400050" cy="400050"/>
    <xdr:pic>
      <xdr:nvPicPr>
        <xdr:cNvPr id="0" name="image590.png"/>
        <xdr:cNvPicPr preferRelativeResize="0"/>
      </xdr:nvPicPr>
      <xdr:blipFill>
        <a:blip cstate="print" r:embed="rId456"/>
        <a:stretch>
          <a:fillRect/>
        </a:stretch>
      </xdr:blipFill>
      <xdr:spPr>
        <a:prstGeom prst="rect">
          <a:avLst/>
        </a:prstGeom>
        <a:noFill/>
      </xdr:spPr>
    </xdr:pic>
    <xdr:clientData fLocksWithSheet="0"/>
  </xdr:oneCellAnchor>
  <xdr:oneCellAnchor>
    <xdr:from>
      <xdr:col>1</xdr:col>
      <xdr:colOff>0</xdr:colOff>
      <xdr:row>953</xdr:row>
      <xdr:rowOff>0</xdr:rowOff>
    </xdr:from>
    <xdr:ext cx="400050" cy="400050"/>
    <xdr:pic>
      <xdr:nvPicPr>
        <xdr:cNvPr id="0" name="image593.png"/>
        <xdr:cNvPicPr preferRelativeResize="0"/>
      </xdr:nvPicPr>
      <xdr:blipFill>
        <a:blip cstate="print" r:embed="rId457"/>
        <a:stretch>
          <a:fillRect/>
        </a:stretch>
      </xdr:blipFill>
      <xdr:spPr>
        <a:prstGeom prst="rect">
          <a:avLst/>
        </a:prstGeom>
        <a:noFill/>
      </xdr:spPr>
    </xdr:pic>
    <xdr:clientData fLocksWithSheet="0"/>
  </xdr:oneCellAnchor>
  <xdr:oneCellAnchor>
    <xdr:from>
      <xdr:col>1</xdr:col>
      <xdr:colOff>0</xdr:colOff>
      <xdr:row>954</xdr:row>
      <xdr:rowOff>0</xdr:rowOff>
    </xdr:from>
    <xdr:ext cx="400050" cy="400050"/>
    <xdr:pic>
      <xdr:nvPicPr>
        <xdr:cNvPr id="0" name="image603.png"/>
        <xdr:cNvPicPr preferRelativeResize="0"/>
      </xdr:nvPicPr>
      <xdr:blipFill>
        <a:blip cstate="print" r:embed="rId458"/>
        <a:stretch>
          <a:fillRect/>
        </a:stretch>
      </xdr:blipFill>
      <xdr:spPr>
        <a:prstGeom prst="rect">
          <a:avLst/>
        </a:prstGeom>
        <a:noFill/>
      </xdr:spPr>
    </xdr:pic>
    <xdr:clientData fLocksWithSheet="0"/>
  </xdr:oneCellAnchor>
  <xdr:oneCellAnchor>
    <xdr:from>
      <xdr:col>1</xdr:col>
      <xdr:colOff>0</xdr:colOff>
      <xdr:row>955</xdr:row>
      <xdr:rowOff>0</xdr:rowOff>
    </xdr:from>
    <xdr:ext cx="400050" cy="400050"/>
    <xdr:pic>
      <xdr:nvPicPr>
        <xdr:cNvPr id="0" name="image569.png"/>
        <xdr:cNvPicPr preferRelativeResize="0"/>
      </xdr:nvPicPr>
      <xdr:blipFill>
        <a:blip cstate="print" r:embed="rId459"/>
        <a:stretch>
          <a:fillRect/>
        </a:stretch>
      </xdr:blipFill>
      <xdr:spPr>
        <a:prstGeom prst="rect">
          <a:avLst/>
        </a:prstGeom>
        <a:noFill/>
      </xdr:spPr>
    </xdr:pic>
    <xdr:clientData fLocksWithSheet="0"/>
  </xdr:oneCellAnchor>
  <xdr:oneCellAnchor>
    <xdr:from>
      <xdr:col>1</xdr:col>
      <xdr:colOff>0</xdr:colOff>
      <xdr:row>956</xdr:row>
      <xdr:rowOff>0</xdr:rowOff>
    </xdr:from>
    <xdr:ext cx="400050" cy="400050"/>
    <xdr:pic>
      <xdr:nvPicPr>
        <xdr:cNvPr id="0" name="image581.png"/>
        <xdr:cNvPicPr preferRelativeResize="0"/>
      </xdr:nvPicPr>
      <xdr:blipFill>
        <a:blip cstate="print" r:embed="rId252"/>
        <a:stretch>
          <a:fillRect/>
        </a:stretch>
      </xdr:blipFill>
      <xdr:spPr>
        <a:prstGeom prst="rect">
          <a:avLst/>
        </a:prstGeom>
        <a:noFill/>
      </xdr:spPr>
    </xdr:pic>
    <xdr:clientData fLocksWithSheet="0"/>
  </xdr:oneCellAnchor>
  <xdr:oneCellAnchor>
    <xdr:from>
      <xdr:col>1</xdr:col>
      <xdr:colOff>0</xdr:colOff>
      <xdr:row>957</xdr:row>
      <xdr:rowOff>0</xdr:rowOff>
    </xdr:from>
    <xdr:ext cx="400050" cy="400050"/>
    <xdr:pic>
      <xdr:nvPicPr>
        <xdr:cNvPr id="0" name="image541.png"/>
        <xdr:cNvPicPr preferRelativeResize="0"/>
      </xdr:nvPicPr>
      <xdr:blipFill>
        <a:blip cstate="print" r:embed="rId460"/>
        <a:stretch>
          <a:fillRect/>
        </a:stretch>
      </xdr:blipFill>
      <xdr:spPr>
        <a:prstGeom prst="rect">
          <a:avLst/>
        </a:prstGeom>
        <a:noFill/>
      </xdr:spPr>
    </xdr:pic>
    <xdr:clientData fLocksWithSheet="0"/>
  </xdr:oneCellAnchor>
  <xdr:oneCellAnchor>
    <xdr:from>
      <xdr:col>1</xdr:col>
      <xdr:colOff>0</xdr:colOff>
      <xdr:row>958</xdr:row>
      <xdr:rowOff>0</xdr:rowOff>
    </xdr:from>
    <xdr:ext cx="400050" cy="400050"/>
    <xdr:pic>
      <xdr:nvPicPr>
        <xdr:cNvPr id="0" name="image579.png"/>
        <xdr:cNvPicPr preferRelativeResize="0"/>
      </xdr:nvPicPr>
      <xdr:blipFill>
        <a:blip cstate="print" r:embed="rId461"/>
        <a:stretch>
          <a:fillRect/>
        </a:stretch>
      </xdr:blipFill>
      <xdr:spPr>
        <a:prstGeom prst="rect">
          <a:avLst/>
        </a:prstGeom>
        <a:noFill/>
      </xdr:spPr>
    </xdr:pic>
    <xdr:clientData fLocksWithSheet="0"/>
  </xdr:oneCellAnchor>
  <xdr:oneCellAnchor>
    <xdr:from>
      <xdr:col>1</xdr:col>
      <xdr:colOff>0</xdr:colOff>
      <xdr:row>959</xdr:row>
      <xdr:rowOff>0</xdr:rowOff>
    </xdr:from>
    <xdr:ext cx="400050" cy="400050"/>
    <xdr:pic>
      <xdr:nvPicPr>
        <xdr:cNvPr id="0" name="image585.png"/>
        <xdr:cNvPicPr preferRelativeResize="0"/>
      </xdr:nvPicPr>
      <xdr:blipFill>
        <a:blip cstate="print" r:embed="rId462"/>
        <a:stretch>
          <a:fillRect/>
        </a:stretch>
      </xdr:blipFill>
      <xdr:spPr>
        <a:prstGeom prst="rect">
          <a:avLst/>
        </a:prstGeom>
        <a:noFill/>
      </xdr:spPr>
    </xdr:pic>
    <xdr:clientData fLocksWithSheet="0"/>
  </xdr:oneCellAnchor>
  <xdr:oneCellAnchor>
    <xdr:from>
      <xdr:col>1</xdr:col>
      <xdr:colOff>0</xdr:colOff>
      <xdr:row>960</xdr:row>
      <xdr:rowOff>0</xdr:rowOff>
    </xdr:from>
    <xdr:ext cx="400050" cy="400050"/>
    <xdr:pic>
      <xdr:nvPicPr>
        <xdr:cNvPr id="0" name="image578.png"/>
        <xdr:cNvPicPr preferRelativeResize="0"/>
      </xdr:nvPicPr>
      <xdr:blipFill>
        <a:blip cstate="print" r:embed="rId463"/>
        <a:stretch>
          <a:fillRect/>
        </a:stretch>
      </xdr:blipFill>
      <xdr:spPr>
        <a:prstGeom prst="rect">
          <a:avLst/>
        </a:prstGeom>
        <a:noFill/>
      </xdr:spPr>
    </xdr:pic>
    <xdr:clientData fLocksWithSheet="0"/>
  </xdr:oneCellAnchor>
  <xdr:oneCellAnchor>
    <xdr:from>
      <xdr:col>1</xdr:col>
      <xdr:colOff>0</xdr:colOff>
      <xdr:row>961</xdr:row>
      <xdr:rowOff>0</xdr:rowOff>
    </xdr:from>
    <xdr:ext cx="400050" cy="400050"/>
    <xdr:pic>
      <xdr:nvPicPr>
        <xdr:cNvPr id="0" name="image574.png"/>
        <xdr:cNvPicPr preferRelativeResize="0"/>
      </xdr:nvPicPr>
      <xdr:blipFill>
        <a:blip cstate="print" r:embed="rId464"/>
        <a:stretch>
          <a:fillRect/>
        </a:stretch>
      </xdr:blipFill>
      <xdr:spPr>
        <a:prstGeom prst="rect">
          <a:avLst/>
        </a:prstGeom>
        <a:noFill/>
      </xdr:spPr>
    </xdr:pic>
    <xdr:clientData fLocksWithSheet="0"/>
  </xdr:oneCellAnchor>
  <xdr:oneCellAnchor>
    <xdr:from>
      <xdr:col>1</xdr:col>
      <xdr:colOff>0</xdr:colOff>
      <xdr:row>962</xdr:row>
      <xdr:rowOff>0</xdr:rowOff>
    </xdr:from>
    <xdr:ext cx="400050" cy="400050"/>
    <xdr:pic>
      <xdr:nvPicPr>
        <xdr:cNvPr id="0" name="image547.png"/>
        <xdr:cNvPicPr preferRelativeResize="0"/>
      </xdr:nvPicPr>
      <xdr:blipFill>
        <a:blip cstate="print" r:embed="rId465"/>
        <a:stretch>
          <a:fillRect/>
        </a:stretch>
      </xdr:blipFill>
      <xdr:spPr>
        <a:prstGeom prst="rect">
          <a:avLst/>
        </a:prstGeom>
        <a:noFill/>
      </xdr:spPr>
    </xdr:pic>
    <xdr:clientData fLocksWithSheet="0"/>
  </xdr:oneCellAnchor>
  <xdr:oneCellAnchor>
    <xdr:from>
      <xdr:col>1</xdr:col>
      <xdr:colOff>0</xdr:colOff>
      <xdr:row>963</xdr:row>
      <xdr:rowOff>0</xdr:rowOff>
    </xdr:from>
    <xdr:ext cx="400050" cy="400050"/>
    <xdr:pic>
      <xdr:nvPicPr>
        <xdr:cNvPr id="0" name="image573.png"/>
        <xdr:cNvPicPr preferRelativeResize="0"/>
      </xdr:nvPicPr>
      <xdr:blipFill>
        <a:blip cstate="print" r:embed="rId466"/>
        <a:stretch>
          <a:fillRect/>
        </a:stretch>
      </xdr:blipFill>
      <xdr:spPr>
        <a:prstGeom prst="rect">
          <a:avLst/>
        </a:prstGeom>
        <a:noFill/>
      </xdr:spPr>
    </xdr:pic>
    <xdr:clientData fLocksWithSheet="0"/>
  </xdr:oneCellAnchor>
  <xdr:oneCellAnchor>
    <xdr:from>
      <xdr:col>1</xdr:col>
      <xdr:colOff>0</xdr:colOff>
      <xdr:row>964</xdr:row>
      <xdr:rowOff>0</xdr:rowOff>
    </xdr:from>
    <xdr:ext cx="400050" cy="400050"/>
    <xdr:pic>
      <xdr:nvPicPr>
        <xdr:cNvPr id="0" name="image542.png"/>
        <xdr:cNvPicPr preferRelativeResize="0"/>
      </xdr:nvPicPr>
      <xdr:blipFill>
        <a:blip cstate="print" r:embed="rId467"/>
        <a:stretch>
          <a:fillRect/>
        </a:stretch>
      </xdr:blipFill>
      <xdr:spPr>
        <a:prstGeom prst="rect">
          <a:avLst/>
        </a:prstGeom>
        <a:noFill/>
      </xdr:spPr>
    </xdr:pic>
    <xdr:clientData fLocksWithSheet="0"/>
  </xdr:oneCellAnchor>
  <xdr:oneCellAnchor>
    <xdr:from>
      <xdr:col>1</xdr:col>
      <xdr:colOff>0</xdr:colOff>
      <xdr:row>965</xdr:row>
      <xdr:rowOff>0</xdr:rowOff>
    </xdr:from>
    <xdr:ext cx="400050" cy="400050"/>
    <xdr:pic>
      <xdr:nvPicPr>
        <xdr:cNvPr id="0" name="image567.png"/>
        <xdr:cNvPicPr preferRelativeResize="0"/>
      </xdr:nvPicPr>
      <xdr:blipFill>
        <a:blip cstate="print" r:embed="rId468"/>
        <a:stretch>
          <a:fillRect/>
        </a:stretch>
      </xdr:blipFill>
      <xdr:spPr>
        <a:prstGeom prst="rect">
          <a:avLst/>
        </a:prstGeom>
        <a:noFill/>
      </xdr:spPr>
    </xdr:pic>
    <xdr:clientData fLocksWithSheet="0"/>
  </xdr:oneCellAnchor>
  <xdr:oneCellAnchor>
    <xdr:from>
      <xdr:col>1</xdr:col>
      <xdr:colOff>0</xdr:colOff>
      <xdr:row>966</xdr:row>
      <xdr:rowOff>0</xdr:rowOff>
    </xdr:from>
    <xdr:ext cx="400050" cy="400050"/>
    <xdr:pic>
      <xdr:nvPicPr>
        <xdr:cNvPr id="0" name="image575.png"/>
        <xdr:cNvPicPr preferRelativeResize="0"/>
      </xdr:nvPicPr>
      <xdr:blipFill>
        <a:blip cstate="print" r:embed="rId469"/>
        <a:stretch>
          <a:fillRect/>
        </a:stretch>
      </xdr:blipFill>
      <xdr:spPr>
        <a:prstGeom prst="rect">
          <a:avLst/>
        </a:prstGeom>
        <a:noFill/>
      </xdr:spPr>
    </xdr:pic>
    <xdr:clientData fLocksWithSheet="0"/>
  </xdr:oneCellAnchor>
  <xdr:oneCellAnchor>
    <xdr:from>
      <xdr:col>1</xdr:col>
      <xdr:colOff>0</xdr:colOff>
      <xdr:row>967</xdr:row>
      <xdr:rowOff>0</xdr:rowOff>
    </xdr:from>
    <xdr:ext cx="400050" cy="400050"/>
    <xdr:pic>
      <xdr:nvPicPr>
        <xdr:cNvPr id="0" name="image586.png"/>
        <xdr:cNvPicPr preferRelativeResize="0"/>
      </xdr:nvPicPr>
      <xdr:blipFill>
        <a:blip cstate="print" r:embed="rId470"/>
        <a:stretch>
          <a:fillRect/>
        </a:stretch>
      </xdr:blipFill>
      <xdr:spPr>
        <a:prstGeom prst="rect">
          <a:avLst/>
        </a:prstGeom>
        <a:noFill/>
      </xdr:spPr>
    </xdr:pic>
    <xdr:clientData fLocksWithSheet="0"/>
  </xdr:oneCellAnchor>
  <xdr:oneCellAnchor>
    <xdr:from>
      <xdr:col>1</xdr:col>
      <xdr:colOff>0</xdr:colOff>
      <xdr:row>968</xdr:row>
      <xdr:rowOff>0</xdr:rowOff>
    </xdr:from>
    <xdr:ext cx="400050" cy="400050"/>
    <xdr:pic>
      <xdr:nvPicPr>
        <xdr:cNvPr id="0" name="image562.png"/>
        <xdr:cNvPicPr preferRelativeResize="0"/>
      </xdr:nvPicPr>
      <xdr:blipFill>
        <a:blip cstate="print" r:embed="rId471"/>
        <a:stretch>
          <a:fillRect/>
        </a:stretch>
      </xdr:blipFill>
      <xdr:spPr>
        <a:prstGeom prst="rect">
          <a:avLst/>
        </a:prstGeom>
        <a:noFill/>
      </xdr:spPr>
    </xdr:pic>
    <xdr:clientData fLocksWithSheet="0"/>
  </xdr:oneCellAnchor>
  <xdr:oneCellAnchor>
    <xdr:from>
      <xdr:col>1</xdr:col>
      <xdr:colOff>0</xdr:colOff>
      <xdr:row>969</xdr:row>
      <xdr:rowOff>0</xdr:rowOff>
    </xdr:from>
    <xdr:ext cx="400050" cy="400050"/>
    <xdr:pic>
      <xdr:nvPicPr>
        <xdr:cNvPr id="0" name="image583.png"/>
        <xdr:cNvPicPr preferRelativeResize="0"/>
      </xdr:nvPicPr>
      <xdr:blipFill>
        <a:blip cstate="print" r:embed="rId472"/>
        <a:stretch>
          <a:fillRect/>
        </a:stretch>
      </xdr:blipFill>
      <xdr:spPr>
        <a:prstGeom prst="rect">
          <a:avLst/>
        </a:prstGeom>
        <a:noFill/>
      </xdr:spPr>
    </xdr:pic>
    <xdr:clientData fLocksWithSheet="0"/>
  </xdr:oneCellAnchor>
  <xdr:oneCellAnchor>
    <xdr:from>
      <xdr:col>1</xdr:col>
      <xdr:colOff>0</xdr:colOff>
      <xdr:row>970</xdr:row>
      <xdr:rowOff>0</xdr:rowOff>
    </xdr:from>
    <xdr:ext cx="400050" cy="400050"/>
    <xdr:pic>
      <xdr:nvPicPr>
        <xdr:cNvPr id="0" name="image565.png"/>
        <xdr:cNvPicPr preferRelativeResize="0"/>
      </xdr:nvPicPr>
      <xdr:blipFill>
        <a:blip cstate="print" r:embed="rId473"/>
        <a:stretch>
          <a:fillRect/>
        </a:stretch>
      </xdr:blipFill>
      <xdr:spPr>
        <a:prstGeom prst="rect">
          <a:avLst/>
        </a:prstGeom>
        <a:noFill/>
      </xdr:spPr>
    </xdr:pic>
    <xdr:clientData fLocksWithSheet="0"/>
  </xdr:oneCellAnchor>
  <xdr:oneCellAnchor>
    <xdr:from>
      <xdr:col>1</xdr:col>
      <xdr:colOff>0</xdr:colOff>
      <xdr:row>971</xdr:row>
      <xdr:rowOff>0</xdr:rowOff>
    </xdr:from>
    <xdr:ext cx="400050" cy="400050"/>
    <xdr:pic>
      <xdr:nvPicPr>
        <xdr:cNvPr id="0" name="image597.png"/>
        <xdr:cNvPicPr preferRelativeResize="0"/>
      </xdr:nvPicPr>
      <xdr:blipFill>
        <a:blip cstate="print" r:embed="rId474"/>
        <a:stretch>
          <a:fillRect/>
        </a:stretch>
      </xdr:blipFill>
      <xdr:spPr>
        <a:prstGeom prst="rect">
          <a:avLst/>
        </a:prstGeom>
        <a:noFill/>
      </xdr:spPr>
    </xdr:pic>
    <xdr:clientData fLocksWithSheet="0"/>
  </xdr:oneCellAnchor>
  <xdr:oneCellAnchor>
    <xdr:from>
      <xdr:col>1</xdr:col>
      <xdr:colOff>0</xdr:colOff>
      <xdr:row>972</xdr:row>
      <xdr:rowOff>0</xdr:rowOff>
    </xdr:from>
    <xdr:ext cx="400050" cy="400050"/>
    <xdr:pic>
      <xdr:nvPicPr>
        <xdr:cNvPr id="0" name="image577.png"/>
        <xdr:cNvPicPr preferRelativeResize="0"/>
      </xdr:nvPicPr>
      <xdr:blipFill>
        <a:blip cstate="print" r:embed="rId475"/>
        <a:stretch>
          <a:fillRect/>
        </a:stretch>
      </xdr:blipFill>
      <xdr:spPr>
        <a:prstGeom prst="rect">
          <a:avLst/>
        </a:prstGeom>
        <a:noFill/>
      </xdr:spPr>
    </xdr:pic>
    <xdr:clientData fLocksWithSheet="0"/>
  </xdr:oneCellAnchor>
  <xdr:oneCellAnchor>
    <xdr:from>
      <xdr:col>1</xdr:col>
      <xdr:colOff>0</xdr:colOff>
      <xdr:row>973</xdr:row>
      <xdr:rowOff>0</xdr:rowOff>
    </xdr:from>
    <xdr:ext cx="400050" cy="400050"/>
    <xdr:pic>
      <xdr:nvPicPr>
        <xdr:cNvPr id="0" name="image606.png"/>
        <xdr:cNvPicPr preferRelativeResize="0"/>
      </xdr:nvPicPr>
      <xdr:blipFill>
        <a:blip cstate="print" r:embed="rId476"/>
        <a:stretch>
          <a:fillRect/>
        </a:stretch>
      </xdr:blipFill>
      <xdr:spPr>
        <a:prstGeom prst="rect">
          <a:avLst/>
        </a:prstGeom>
        <a:noFill/>
      </xdr:spPr>
    </xdr:pic>
    <xdr:clientData fLocksWithSheet="0"/>
  </xdr:oneCellAnchor>
  <xdr:oneCellAnchor>
    <xdr:from>
      <xdr:col>1</xdr:col>
      <xdr:colOff>0</xdr:colOff>
      <xdr:row>974</xdr:row>
      <xdr:rowOff>0</xdr:rowOff>
    </xdr:from>
    <xdr:ext cx="400050" cy="400050"/>
    <xdr:pic>
      <xdr:nvPicPr>
        <xdr:cNvPr id="0" name="image588.png"/>
        <xdr:cNvPicPr preferRelativeResize="0"/>
      </xdr:nvPicPr>
      <xdr:blipFill>
        <a:blip cstate="print" r:embed="rId477"/>
        <a:stretch>
          <a:fillRect/>
        </a:stretch>
      </xdr:blipFill>
      <xdr:spPr>
        <a:prstGeom prst="rect">
          <a:avLst/>
        </a:prstGeom>
        <a:noFill/>
      </xdr:spPr>
    </xdr:pic>
    <xdr:clientData fLocksWithSheet="0"/>
  </xdr:oneCellAnchor>
  <xdr:oneCellAnchor>
    <xdr:from>
      <xdr:col>1</xdr:col>
      <xdr:colOff>0</xdr:colOff>
      <xdr:row>975</xdr:row>
      <xdr:rowOff>0</xdr:rowOff>
    </xdr:from>
    <xdr:ext cx="400050" cy="400050"/>
    <xdr:pic>
      <xdr:nvPicPr>
        <xdr:cNvPr id="0" name="image591.png"/>
        <xdr:cNvPicPr preferRelativeResize="0"/>
      </xdr:nvPicPr>
      <xdr:blipFill>
        <a:blip cstate="print" r:embed="rId478"/>
        <a:stretch>
          <a:fillRect/>
        </a:stretch>
      </xdr:blipFill>
      <xdr:spPr>
        <a:prstGeom prst="rect">
          <a:avLst/>
        </a:prstGeom>
        <a:noFill/>
      </xdr:spPr>
    </xdr:pic>
    <xdr:clientData fLocksWithSheet="0"/>
  </xdr:oneCellAnchor>
  <xdr:oneCellAnchor>
    <xdr:from>
      <xdr:col>1</xdr:col>
      <xdr:colOff>0</xdr:colOff>
      <xdr:row>976</xdr:row>
      <xdr:rowOff>0</xdr:rowOff>
    </xdr:from>
    <xdr:ext cx="400050" cy="400050"/>
    <xdr:pic>
      <xdr:nvPicPr>
        <xdr:cNvPr id="0" name="image570.png"/>
        <xdr:cNvPicPr preferRelativeResize="0"/>
      </xdr:nvPicPr>
      <xdr:blipFill>
        <a:blip cstate="print" r:embed="rId479"/>
        <a:stretch>
          <a:fillRect/>
        </a:stretch>
      </xdr:blipFill>
      <xdr:spPr>
        <a:prstGeom prst="rect">
          <a:avLst/>
        </a:prstGeom>
        <a:noFill/>
      </xdr:spPr>
    </xdr:pic>
    <xdr:clientData fLocksWithSheet="0"/>
  </xdr:oneCellAnchor>
  <xdr:oneCellAnchor>
    <xdr:from>
      <xdr:col>1</xdr:col>
      <xdr:colOff>0</xdr:colOff>
      <xdr:row>977</xdr:row>
      <xdr:rowOff>0</xdr:rowOff>
    </xdr:from>
    <xdr:ext cx="400050" cy="400050"/>
    <xdr:pic>
      <xdr:nvPicPr>
        <xdr:cNvPr id="0" name="image596.png"/>
        <xdr:cNvPicPr preferRelativeResize="0"/>
      </xdr:nvPicPr>
      <xdr:blipFill>
        <a:blip cstate="print" r:embed="rId480"/>
        <a:stretch>
          <a:fillRect/>
        </a:stretch>
      </xdr:blipFill>
      <xdr:spPr>
        <a:prstGeom prst="rect">
          <a:avLst/>
        </a:prstGeom>
        <a:noFill/>
      </xdr:spPr>
    </xdr:pic>
    <xdr:clientData fLocksWithSheet="0"/>
  </xdr:oneCellAnchor>
  <xdr:oneCellAnchor>
    <xdr:from>
      <xdr:col>1</xdr:col>
      <xdr:colOff>0</xdr:colOff>
      <xdr:row>978</xdr:row>
      <xdr:rowOff>0</xdr:rowOff>
    </xdr:from>
    <xdr:ext cx="400050" cy="400050"/>
    <xdr:pic>
      <xdr:nvPicPr>
        <xdr:cNvPr id="0" name="image557.png"/>
        <xdr:cNvPicPr preferRelativeResize="0"/>
      </xdr:nvPicPr>
      <xdr:blipFill>
        <a:blip cstate="print" r:embed="rId481"/>
        <a:stretch>
          <a:fillRect/>
        </a:stretch>
      </xdr:blipFill>
      <xdr:spPr>
        <a:prstGeom prst="rect">
          <a:avLst/>
        </a:prstGeom>
        <a:noFill/>
      </xdr:spPr>
    </xdr:pic>
    <xdr:clientData fLocksWithSheet="0"/>
  </xdr:oneCellAnchor>
  <xdr:oneCellAnchor>
    <xdr:from>
      <xdr:col>1</xdr:col>
      <xdr:colOff>0</xdr:colOff>
      <xdr:row>979</xdr:row>
      <xdr:rowOff>0</xdr:rowOff>
    </xdr:from>
    <xdr:ext cx="400050" cy="400050"/>
    <xdr:pic>
      <xdr:nvPicPr>
        <xdr:cNvPr id="0" name="image584.png"/>
        <xdr:cNvPicPr preferRelativeResize="0"/>
      </xdr:nvPicPr>
      <xdr:blipFill>
        <a:blip cstate="print" r:embed="rId482"/>
        <a:stretch>
          <a:fillRect/>
        </a:stretch>
      </xdr:blipFill>
      <xdr:spPr>
        <a:prstGeom prst="rect">
          <a:avLst/>
        </a:prstGeom>
        <a:noFill/>
      </xdr:spPr>
    </xdr:pic>
    <xdr:clientData fLocksWithSheet="0"/>
  </xdr:oneCellAnchor>
  <xdr:oneCellAnchor>
    <xdr:from>
      <xdr:col>1</xdr:col>
      <xdr:colOff>0</xdr:colOff>
      <xdr:row>980</xdr:row>
      <xdr:rowOff>0</xdr:rowOff>
    </xdr:from>
    <xdr:ext cx="400050" cy="400050"/>
    <xdr:pic>
      <xdr:nvPicPr>
        <xdr:cNvPr id="0" name="image592.png"/>
        <xdr:cNvPicPr preferRelativeResize="0"/>
      </xdr:nvPicPr>
      <xdr:blipFill>
        <a:blip cstate="print" r:embed="rId483"/>
        <a:stretch>
          <a:fillRect/>
        </a:stretch>
      </xdr:blipFill>
      <xdr:spPr>
        <a:prstGeom prst="rect">
          <a:avLst/>
        </a:prstGeom>
        <a:noFill/>
      </xdr:spPr>
    </xdr:pic>
    <xdr:clientData fLocksWithSheet="0"/>
  </xdr:oneCellAnchor>
  <xdr:oneCellAnchor>
    <xdr:from>
      <xdr:col>1</xdr:col>
      <xdr:colOff>0</xdr:colOff>
      <xdr:row>981</xdr:row>
      <xdr:rowOff>0</xdr:rowOff>
    </xdr:from>
    <xdr:ext cx="400050" cy="400050"/>
    <xdr:pic>
      <xdr:nvPicPr>
        <xdr:cNvPr id="0" name="image601.png"/>
        <xdr:cNvPicPr preferRelativeResize="0"/>
      </xdr:nvPicPr>
      <xdr:blipFill>
        <a:blip cstate="print" r:embed="rId484"/>
        <a:stretch>
          <a:fillRect/>
        </a:stretch>
      </xdr:blipFill>
      <xdr:spPr>
        <a:prstGeom prst="rect">
          <a:avLst/>
        </a:prstGeom>
        <a:noFill/>
      </xdr:spPr>
    </xdr:pic>
    <xdr:clientData fLocksWithSheet="0"/>
  </xdr:oneCellAnchor>
  <xdr:oneCellAnchor>
    <xdr:from>
      <xdr:col>1</xdr:col>
      <xdr:colOff>0</xdr:colOff>
      <xdr:row>982</xdr:row>
      <xdr:rowOff>0</xdr:rowOff>
    </xdr:from>
    <xdr:ext cx="400050" cy="400050"/>
    <xdr:pic>
      <xdr:nvPicPr>
        <xdr:cNvPr id="0" name="image600.png"/>
        <xdr:cNvPicPr preferRelativeResize="0"/>
      </xdr:nvPicPr>
      <xdr:blipFill>
        <a:blip cstate="print" r:embed="rId485"/>
        <a:stretch>
          <a:fillRect/>
        </a:stretch>
      </xdr:blipFill>
      <xdr:spPr>
        <a:prstGeom prst="rect">
          <a:avLst/>
        </a:prstGeom>
        <a:noFill/>
      </xdr:spPr>
    </xdr:pic>
    <xdr:clientData fLocksWithSheet="0"/>
  </xdr:oneCellAnchor>
  <xdr:oneCellAnchor>
    <xdr:from>
      <xdr:col>1</xdr:col>
      <xdr:colOff>0</xdr:colOff>
      <xdr:row>983</xdr:row>
      <xdr:rowOff>0</xdr:rowOff>
    </xdr:from>
    <xdr:ext cx="400050" cy="400050"/>
    <xdr:pic>
      <xdr:nvPicPr>
        <xdr:cNvPr id="0" name="image561.png"/>
        <xdr:cNvPicPr preferRelativeResize="0"/>
      </xdr:nvPicPr>
      <xdr:blipFill>
        <a:blip cstate="print" r:embed="rId486"/>
        <a:stretch>
          <a:fillRect/>
        </a:stretch>
      </xdr:blipFill>
      <xdr:spPr>
        <a:prstGeom prst="rect">
          <a:avLst/>
        </a:prstGeom>
        <a:noFill/>
      </xdr:spPr>
    </xdr:pic>
    <xdr:clientData fLocksWithSheet="0"/>
  </xdr:oneCellAnchor>
  <xdr:oneCellAnchor>
    <xdr:from>
      <xdr:col>1</xdr:col>
      <xdr:colOff>0</xdr:colOff>
      <xdr:row>984</xdr:row>
      <xdr:rowOff>0</xdr:rowOff>
    </xdr:from>
    <xdr:ext cx="400050" cy="400050"/>
    <xdr:pic>
      <xdr:nvPicPr>
        <xdr:cNvPr id="0" name="image605.png"/>
        <xdr:cNvPicPr preferRelativeResize="0"/>
      </xdr:nvPicPr>
      <xdr:blipFill>
        <a:blip cstate="print" r:embed="rId487"/>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102" displayName="Table_1" name="Table_1" id="1">
  <tableColumns count="20">
    <tableColumn name="The Cycler" id="1"/>
    <tableColumn name="Au-Si Jackrabbit" id="2"/>
    <tableColumn name="Swarm Launcher" id="3"/>
    <tableColumn name="DMLR" id="4"/>
    <tableColumn name="Lead Flinger" id="5"/>
    <tableColumn name="FR.15833 Plate Launcher" id="6"/>
    <tableColumn name="Gunship Cannon" id="7"/>
    <tableColumn name="Trident S2" id="8"/>
    <tableColumn name="Globbler" id="9"/>
    <tableColumn name="The Carver" id="10"/>
    <tableColumn name="Shocklance" id="11"/>
    <tableColumn name="Accelerator" id="12"/>
    <tableColumn name="Fire Grenade" id="13"/>
    <tableColumn name="Shock Grenade" id="14"/>
    <tableColumn name="Acid Grenade" id="15"/>
    <tableColumn name="General" id="16"/>
    <tableColumn name="Wrangler" id="17"/>
    <tableColumn name="Bruiser" id="18"/>
    <tableColumn name="Scrapper" id="19"/>
    <tableColumn name="Glider" id="20"/>
  </tableColumns>
  <tableStyleInfo name="Up Names-style" showColumnStripes="0" showFirstColumn="1" showLastColumn="1" showRowStripes="1"/>
</table>
</file>

<file path=xl/tables/table2.xml><?xml version="1.0" encoding="utf-8"?>
<table xmlns="http://schemas.openxmlformats.org/spreadsheetml/2006/main" headerRowCount="0" ref="A1:D950" displayName="Table_2" name="Table_2" id="2">
  <tableColumns count="4">
    <tableColumn name="Column1" id="1"/>
    <tableColumn name="Column2" id="2"/>
    <tableColumn name="Column3" id="3"/>
    <tableColumn name="Column4" id="4"/>
  </tableColumns>
  <tableStyleInfo name="Up Ref-style" showColumnStripes="0" showFirstColumn="1" showLastColumn="1" showRowStripes="1"/>
</table>
</file>

<file path=xl/tables/table3.xml><?xml version="1.0" encoding="utf-8"?>
<table xmlns="http://schemas.openxmlformats.org/spreadsheetml/2006/main" headerRowCount="0" ref="A1:B1000" displayName="Table_3" name="Table_3" id="3">
  <tableColumns count="2">
    <tableColumn name="Column1" id="1"/>
    <tableColumn name="Column2" id="2"/>
  </tableColumns>
  <tableStyleInfo name="Up Icon-style" showColumnStripes="0" showFirstColumn="1" showLastColumn="1" showRowStripes="1"/>
</table>
</file>

<file path=xl/tables/table4.xml><?xml version="1.0" encoding="utf-8"?>
<table xmlns="http://schemas.openxmlformats.org/spreadsheetml/2006/main" headerRowCount="0" ref="A1:B1000" displayName="Table_4" name="Table_4" id="4">
  <tableColumns count="2">
    <tableColumn name="Column1" id="1"/>
    <tableColumn name="Column2" id="2"/>
  </tableColumns>
  <tableStyleInfo name="Up Wiki-style" showColumnStripes="0" showFirstColumn="1" showLastColumn="1" showRowStripes="1"/>
</table>
</file>

<file path=xl/tables/table5.xml><?xml version="1.0" encoding="utf-8"?>
<table xmlns="http://schemas.openxmlformats.org/spreadsheetml/2006/main" headerRowCount="0" ref="A1:B1000" displayName="Table_5" name="Table_5" id="5">
  <tableColumns count="2">
    <tableColumn name="Column1" id="1"/>
    <tableColumn name="Column2" id="2"/>
  </tableColumns>
  <tableStyleInfo name="Up Desc-style" showColumnStripes="0" showFirstColumn="1" showLastColumn="1" showRowStripes="1"/>
</table>
</file>

<file path=xl/tables/table6.xml><?xml version="1.0" encoding="utf-8"?>
<table xmlns="http://schemas.openxmlformats.org/spreadsheetml/2006/main" headerRowCount="0" ref="A1:B1000" displayName="Table_6" name="Table_6" id="6">
  <tableColumns count="2">
    <tableColumn name="Column1" id="1"/>
    <tableColumn name="Column2" id="2"/>
  </tableColumns>
  <tableStyleInfo name="Up Turbo-style" showColumnStripes="0" showFirstColumn="1" showLastColumn="1" showRowStripes="1"/>
</table>
</file>

<file path=xl/tables/table7.xml><?xml version="1.0" encoding="utf-8"?>
<table xmlns="http://schemas.openxmlformats.org/spreadsheetml/2006/main" headerRowCount="0" ref="A1:B1000" displayName="Table_7" name="Table_7" id="7">
  <tableColumns count="2">
    <tableColumn name="Column1" id="1"/>
    <tableColumn name="Column2" id="2"/>
  </tableColumns>
  <tableStyleInfo name="Up Rarity-style" showColumnStripes="0" showFirstColumn="1" showLastColumn="1" showRowStripes="1"/>
</table>
</file>

<file path=xl/tables/table8.xml><?xml version="1.0" encoding="utf-8"?>
<table xmlns="http://schemas.openxmlformats.org/spreadsheetml/2006/main" headerRowCount="0" ref="A1:B1000" displayName="Table_8" name="Table_8" id="8">
  <tableColumns count="2">
    <tableColumn name="Column1" id="1"/>
    <tableColumn name="Column2" id="2"/>
  </tableColumns>
  <tableStyleInfo name="Up Cells-style" showColumnStripes="0" showFirstColumn="1" showLastColumn="1" showRowStripes="1"/>
</table>
</file>

<file path=xl/tables/table9.xml><?xml version="1.0" encoding="utf-8"?>
<table xmlns="http://schemas.openxmlformats.org/spreadsheetml/2006/main" headerRowCount="0" ref="A1:J1000" displayName="Table_9" name="Table_9" id="9">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Up Stats-style" showColumnStripes="0" showFirstColumn="1" showLastColumn="1" showRowStripes="1"/>
</table>
</file>

<file path=xl/tables/table10.xml><?xml version="1.0" encoding="utf-8"?>
<table xmlns="http://schemas.openxmlformats.org/spreadsheetml/2006/main" headerRowCount="0" ref="A1:J1000" displayName="Table_10" name="Table_10" id="10">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Up Min-style" showColumnStripes="0" showFirstColumn="1" showLastColumn="1" showRowStripes="1"/>
</table>
</file>

<file path=xl/tables/table11.xml><?xml version="1.0" encoding="utf-8"?>
<table xmlns="http://schemas.openxmlformats.org/spreadsheetml/2006/main" headerRowCount="0" ref="A1:J1000" displayName="Table_11" name="Table_11" id="1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Up Max-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9-tMnHu-clu2Cl1Jsmj_DZRe15F4t4ImfbwSB27JQdk/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1.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2.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3.xml"/></Relationships>
</file>

<file path=xl/worksheets/_rels/sheet28.xml.rels><?xml version="1.0" encoding="UTF-8" standalone="yes"?><Relationships xmlns="http://schemas.openxmlformats.org/package/2006/relationships"><Relationship Id="rId190" Type="http://schemas.openxmlformats.org/officeDocument/2006/relationships/hyperlink" Target="https://mycopunk.miraheze.org/wiki/Heavy_Munitions_Upgrade" TargetMode="External"/><Relationship Id="rId194" Type="http://schemas.openxmlformats.org/officeDocument/2006/relationships/hyperlink" Target="https://mycopunk.miraheze.org/wiki/Purple_Prism_Upgrade" TargetMode="External"/><Relationship Id="rId193" Type="http://schemas.openxmlformats.org/officeDocument/2006/relationships/hyperlink" Target="https://mycopunk.miraheze.org/wiki/Tinderbox_Upgrade" TargetMode="External"/><Relationship Id="rId192" Type="http://schemas.openxmlformats.org/officeDocument/2006/relationships/hyperlink" Target="https://mycopunk.miraheze.org/wiki/Missile_Bay_Upgrade" TargetMode="External"/><Relationship Id="rId191" Type="http://schemas.openxmlformats.org/officeDocument/2006/relationships/hyperlink" Target="https://mycopunk.miraheze.org/wiki/Lagrange_Halo_Upgrade" TargetMode="External"/><Relationship Id="rId187" Type="http://schemas.openxmlformats.org/officeDocument/2006/relationships/hyperlink" Target="https://mycopunk.miraheze.org/wiki/Double_A_Upgrade" TargetMode="External"/><Relationship Id="rId186" Type="http://schemas.openxmlformats.org/officeDocument/2006/relationships/hyperlink" Target="https://mycopunk.miraheze.org/wiki/Weight_Rebalanced_Upgrade" TargetMode="External"/><Relationship Id="rId185" Type="http://schemas.openxmlformats.org/officeDocument/2006/relationships/hyperlink" Target="https://mycopunk.miraheze.org/wiki/Tungsten_Cube_Upgrade" TargetMode="External"/><Relationship Id="rId184" Type="http://schemas.openxmlformats.org/officeDocument/2006/relationships/hyperlink" Target="https://mycopunk.miraheze.org/wiki/Slap-Job_Upgrade" TargetMode="External"/><Relationship Id="rId189" Type="http://schemas.openxmlformats.org/officeDocument/2006/relationships/hyperlink" Target="https://mycopunk.miraheze.org/wiki/Yellow_Prism_Upgrade" TargetMode="External"/><Relationship Id="rId188" Type="http://schemas.openxmlformats.org/officeDocument/2006/relationships/hyperlink" Target="https://mycopunk.miraheze.org/wiki/Sharper_Edges_Upgrade" TargetMode="External"/><Relationship Id="rId183" Type="http://schemas.openxmlformats.org/officeDocument/2006/relationships/hyperlink" Target="https://mycopunk.miraheze.org/wiki/Simple_Inertia_Upgrade" TargetMode="External"/><Relationship Id="rId182" Type="http://schemas.openxmlformats.org/officeDocument/2006/relationships/hyperlink" Target="https://mycopunk.miraheze.org/wiki/Shish_Kebab_Upgrade" TargetMode="External"/><Relationship Id="rId181" Type="http://schemas.openxmlformats.org/officeDocument/2006/relationships/hyperlink" Target="https://mycopunk.miraheze.org/wiki/Rail-Tuning_Upgrade" TargetMode="External"/><Relationship Id="rId180" Type="http://schemas.openxmlformats.org/officeDocument/2006/relationships/hyperlink" Target="https://mycopunk.miraheze.org/wiki/Power_Recall_Upgrade" TargetMode="External"/><Relationship Id="rId176" Type="http://schemas.openxmlformats.org/officeDocument/2006/relationships/hyperlink" Target="https://mycopunk.miraheze.org/wiki/Decay_Plates_Upgrade" TargetMode="External"/><Relationship Id="rId297" Type="http://schemas.openxmlformats.org/officeDocument/2006/relationships/hyperlink" Target="https://mycopunk.miraheze.org/wiki/Blood_Efficiency_Upgrade" TargetMode="External"/><Relationship Id="rId175" Type="http://schemas.openxmlformats.org/officeDocument/2006/relationships/hyperlink" Target="https://mycopunk.miraheze.org/wiki/Bouncy_Plates_Upgrade" TargetMode="External"/><Relationship Id="rId296" Type="http://schemas.openxmlformats.org/officeDocument/2006/relationships/hyperlink" Target="https://mycopunk.miraheze.org/wiki/Blood_Bucket_Upgrade" TargetMode="External"/><Relationship Id="rId174" Type="http://schemas.openxmlformats.org/officeDocument/2006/relationships/hyperlink" Target="https://mycopunk.miraheze.org/wiki/Auto-Demolition_Upgrade" TargetMode="External"/><Relationship Id="rId295" Type="http://schemas.openxmlformats.org/officeDocument/2006/relationships/hyperlink" Target="https://mycopunk.miraheze.org/wiki/Blade_Extenders_Upgrade" TargetMode="External"/><Relationship Id="rId173" Type="http://schemas.openxmlformats.org/officeDocument/2006/relationships/hyperlink" Target="https://mycopunk.miraheze.org/wiki/Aerodynamic_Plates_Upgrade" TargetMode="External"/><Relationship Id="rId294" Type="http://schemas.openxmlformats.org/officeDocument/2006/relationships/hyperlink" Target="https://mycopunk.miraheze.org/wiki/Additional_RAM_Stick_Upgrade" TargetMode="External"/><Relationship Id="rId179" Type="http://schemas.openxmlformats.org/officeDocument/2006/relationships/hyperlink" Target="https://mycopunk.miraheze.org/wiki/Pole_Alignment_Upgrade" TargetMode="External"/><Relationship Id="rId178" Type="http://schemas.openxmlformats.org/officeDocument/2006/relationships/hyperlink" Target="https://mycopunk.miraheze.org/wiki/Nice_Catch_Upgrade" TargetMode="External"/><Relationship Id="rId299" Type="http://schemas.openxmlformats.org/officeDocument/2006/relationships/hyperlink" Target="https://mycopunk.miraheze.org/wiki/Cluster_Bomb_Upgrade" TargetMode="External"/><Relationship Id="rId177" Type="http://schemas.openxmlformats.org/officeDocument/2006/relationships/hyperlink" Target="https://mycopunk.miraheze.org/wiki/Electrified_Plates_Upgrade" TargetMode="External"/><Relationship Id="rId298" Type="http://schemas.openxmlformats.org/officeDocument/2006/relationships/hyperlink" Target="https://mycopunk.miraheze.org/wiki/RAM_Storage_Upgrade" TargetMode="External"/><Relationship Id="rId198" Type="http://schemas.openxmlformats.org/officeDocument/2006/relationships/hyperlink" Target="https://mycopunk.miraheze.org/wiki/Frantic_Fingers_Upgrade" TargetMode="External"/><Relationship Id="rId197" Type="http://schemas.openxmlformats.org/officeDocument/2006/relationships/hyperlink" Target="https://mycopunk.miraheze.org/wiki/Firmly_Planted_Upgrade" TargetMode="External"/><Relationship Id="rId196" Type="http://schemas.openxmlformats.org/officeDocument/2006/relationships/hyperlink" Target="https://mycopunk.miraheze.org/wiki/Elemental_Munitions_Upgrade" TargetMode="External"/><Relationship Id="rId195" Type="http://schemas.openxmlformats.org/officeDocument/2006/relationships/hyperlink" Target="https://mycopunk.miraheze.org/wiki/Ballistic_Charger_Upgrade" TargetMode="External"/><Relationship Id="rId199" Type="http://schemas.openxmlformats.org/officeDocument/2006/relationships/hyperlink" Target="https://mycopunk.miraheze.org/wiki/Gunship_Upgrade" TargetMode="External"/><Relationship Id="rId150" Type="http://schemas.openxmlformats.org/officeDocument/2006/relationships/hyperlink" Target="https://mycopunk.miraheze.org/wiki/Just_Add_More_Gunpowder_Upgrade" TargetMode="External"/><Relationship Id="rId271" Type="http://schemas.openxmlformats.org/officeDocument/2006/relationships/hyperlink" Target="https://mycopunk.miraheze.org/wiki/Globblin_Upgrade" TargetMode="External"/><Relationship Id="rId392" Type="http://schemas.openxmlformats.org/officeDocument/2006/relationships/hyperlink" Target="https://mycopunk.miraheze.org/wiki/Handspring_Upgrade" TargetMode="External"/><Relationship Id="rId270" Type="http://schemas.openxmlformats.org/officeDocument/2006/relationships/hyperlink" Target="https://mycopunk.miraheze.org/wiki/Volatile_Acid_Upgrade" TargetMode="External"/><Relationship Id="rId391" Type="http://schemas.openxmlformats.org/officeDocument/2006/relationships/hyperlink" Target="https://mycopunk.miraheze.org/wiki/Eyes_Up_Here_Upgrade" TargetMode="External"/><Relationship Id="rId390" Type="http://schemas.openxmlformats.org/officeDocument/2006/relationships/hyperlink" Target="https://mycopunk.miraheze.org/wiki/Double_Dash_Upgrade" TargetMode="External"/><Relationship Id="rId1" Type="http://schemas.openxmlformats.org/officeDocument/2006/relationships/hyperlink" Target="https://mycopunk.miraheze.org/wiki/Corrode_Siphon_Upgrade" TargetMode="External"/><Relationship Id="rId2" Type="http://schemas.openxmlformats.org/officeDocument/2006/relationships/hyperlink" Target="https://mycopunk.miraheze.org/wiki/Infinity_Burn_Upgrade" TargetMode="External"/><Relationship Id="rId3" Type="http://schemas.openxmlformats.org/officeDocument/2006/relationships/hyperlink" Target="https://mycopunk.miraheze.org/wiki/Scorching_Detonation_Upgrade" TargetMode="External"/><Relationship Id="rId149" Type="http://schemas.openxmlformats.org/officeDocument/2006/relationships/hyperlink" Target="https://mycopunk.miraheze.org/wiki/Home_Cooking_Upgrade" TargetMode="External"/><Relationship Id="rId4" Type="http://schemas.openxmlformats.org/officeDocument/2006/relationships/hyperlink" Target="https://mycopunk.miraheze.org/wiki/Shock_Recursion_Upgrade" TargetMode="External"/><Relationship Id="rId148" Type="http://schemas.openxmlformats.org/officeDocument/2006/relationships/hyperlink" Target="https://mycopunk.miraheze.org/wiki/High_Caliber_Upgrade" TargetMode="External"/><Relationship Id="rId269" Type="http://schemas.openxmlformats.org/officeDocument/2006/relationships/hyperlink" Target="https://mycopunk.miraheze.org/wiki/The_Glob_Upgrade" TargetMode="External"/><Relationship Id="rId9" Type="http://schemas.openxmlformats.org/officeDocument/2006/relationships/hyperlink" Target="https://mycopunk.miraheze.org/wiki/Extralight_Frame_Upgrade" TargetMode="External"/><Relationship Id="rId143" Type="http://schemas.openxmlformats.org/officeDocument/2006/relationships/hyperlink" Target="https://mycopunk.miraheze.org/wiki/Chemical_Symbiosis_Upgrade" TargetMode="External"/><Relationship Id="rId264" Type="http://schemas.openxmlformats.org/officeDocument/2006/relationships/hyperlink" Target="https://mycopunk.miraheze.org/wiki/Gunpowder_Packing_Upgrade" TargetMode="External"/><Relationship Id="rId385" Type="http://schemas.openxmlformats.org/officeDocument/2006/relationships/hyperlink" Target="https://mycopunk.miraheze.org/wiki/Surge_Protector_Upgrade" TargetMode="External"/><Relationship Id="rId142" Type="http://schemas.openxmlformats.org/officeDocument/2006/relationships/hyperlink" Target="https://mycopunk.miraheze.org/wiki/Burning_Tips_Upgrade" TargetMode="External"/><Relationship Id="rId263" Type="http://schemas.openxmlformats.org/officeDocument/2006/relationships/hyperlink" Target="https://mycopunk.miraheze.org/wiki/Glorb_Upgrade" TargetMode="External"/><Relationship Id="rId384" Type="http://schemas.openxmlformats.org/officeDocument/2006/relationships/hyperlink" Target="https://mycopunk.miraheze.org/wiki/Slide_Buffer_Upgrade" TargetMode="External"/><Relationship Id="rId141" Type="http://schemas.openxmlformats.org/officeDocument/2006/relationships/hyperlink" Target="https://mycopunk.miraheze.org/wiki/Adrenaline_Rush_Upgrade" TargetMode="External"/><Relationship Id="rId262" Type="http://schemas.openxmlformats.org/officeDocument/2006/relationships/hyperlink" Target="https://mycopunk.miraheze.org/wiki/Globulous_Excitement_Upgrade" TargetMode="External"/><Relationship Id="rId383" Type="http://schemas.openxmlformats.org/officeDocument/2006/relationships/hyperlink" Target="https://mycopunk.miraheze.org/wiki/Shock_Affinity_Upgrade" TargetMode="External"/><Relationship Id="rId140" Type="http://schemas.openxmlformats.org/officeDocument/2006/relationships/hyperlink" Target="https://mycopunk.miraheze.org/wiki/Self_Storage_Upgrade" TargetMode="External"/><Relationship Id="rId261" Type="http://schemas.openxmlformats.org/officeDocument/2006/relationships/hyperlink" Target="https://mycopunk.miraheze.org/wiki/Forceful_Expulsion_Upgrade" TargetMode="External"/><Relationship Id="rId382" Type="http://schemas.openxmlformats.org/officeDocument/2006/relationships/hyperlink" Target="https://mycopunk.miraheze.org/wiki/Repair_Siphon_Upgrade" TargetMode="External"/><Relationship Id="rId5" Type="http://schemas.openxmlformats.org/officeDocument/2006/relationships/hyperlink" Target="https://mycopunk.miraheze.org/wiki/Violent_Ignition_Upgrade" TargetMode="External"/><Relationship Id="rId147" Type="http://schemas.openxmlformats.org/officeDocument/2006/relationships/hyperlink" Target="https://mycopunk.miraheze.org/wiki/Fresh_Bullet_Frenzy_Upgrade" TargetMode="External"/><Relationship Id="rId268" Type="http://schemas.openxmlformats.org/officeDocument/2006/relationships/hyperlink" Target="https://mycopunk.miraheze.org/wiki/Replicator_Resistance_Upgrade" TargetMode="External"/><Relationship Id="rId389" Type="http://schemas.openxmlformats.org/officeDocument/2006/relationships/hyperlink" Target="https://mycopunk.miraheze.org/wiki/Blood,_Sweat,_Tears_Upgrade" TargetMode="External"/><Relationship Id="rId6" Type="http://schemas.openxmlformats.org/officeDocument/2006/relationships/hyperlink" Target="https://mycopunk.miraheze.org/wiki/Cycling_Repairs_Upgrade" TargetMode="External"/><Relationship Id="rId146" Type="http://schemas.openxmlformats.org/officeDocument/2006/relationships/hyperlink" Target="https://mycopunk.miraheze.org/wiki/Fan_Fire_Upgrade" TargetMode="External"/><Relationship Id="rId267" Type="http://schemas.openxmlformats.org/officeDocument/2006/relationships/hyperlink" Target="https://mycopunk.miraheze.org/wiki/Instant_Detonation_Upgrade" TargetMode="External"/><Relationship Id="rId388" Type="http://schemas.openxmlformats.org/officeDocument/2006/relationships/hyperlink" Target="https://mycopunk.miraheze.org/wiki/Shock_Resistance_Upgrade" TargetMode="External"/><Relationship Id="rId7" Type="http://schemas.openxmlformats.org/officeDocument/2006/relationships/hyperlink" Target="https://mycopunk.miraheze.org/wiki/Dump_Charge_Upgrade" TargetMode="External"/><Relationship Id="rId145" Type="http://schemas.openxmlformats.org/officeDocument/2006/relationships/hyperlink" Target="https://mycopunk.miraheze.org/wiki/Delirium_Upgrade" TargetMode="External"/><Relationship Id="rId266" Type="http://schemas.openxmlformats.org/officeDocument/2006/relationships/hyperlink" Target="https://mycopunk.miraheze.org/wiki/Improve_Replication_Upgrade" TargetMode="External"/><Relationship Id="rId387" Type="http://schemas.openxmlformats.org/officeDocument/2006/relationships/hyperlink" Target="https://mycopunk.miraheze.org/wiki/Fire_Resistance_Upgrade" TargetMode="External"/><Relationship Id="rId8" Type="http://schemas.openxmlformats.org/officeDocument/2006/relationships/hyperlink" Target="https://mycopunk.miraheze.org/wiki/Equipment_Siphon_Upgrade" TargetMode="External"/><Relationship Id="rId144" Type="http://schemas.openxmlformats.org/officeDocument/2006/relationships/hyperlink" Target="https://mycopunk.miraheze.org/wiki/Controlled_Substance_Upgrade" TargetMode="External"/><Relationship Id="rId265" Type="http://schemas.openxmlformats.org/officeDocument/2006/relationships/hyperlink" Target="https://mycopunk.miraheze.org/wiki/Heavy_Globs_Upgrade" TargetMode="External"/><Relationship Id="rId386" Type="http://schemas.openxmlformats.org/officeDocument/2006/relationships/hyperlink" Target="https://mycopunk.miraheze.org/wiki/Acid_Resistance_Upgrade" TargetMode="External"/><Relationship Id="rId260" Type="http://schemas.openxmlformats.org/officeDocument/2006/relationships/hyperlink" Target="https://mycopunk.miraheze.org/wiki/Flash_Flood_Upgrade" TargetMode="External"/><Relationship Id="rId381" Type="http://schemas.openxmlformats.org/officeDocument/2006/relationships/hyperlink" Target="https://mycopunk.miraheze.org/wiki/Reinforced_Plating_Upgrade" TargetMode="External"/><Relationship Id="rId380" Type="http://schemas.openxmlformats.org/officeDocument/2006/relationships/hyperlink" Target="https://mycopunk.miraheze.org/wiki/Punch_Punch_Upgrade" TargetMode="External"/><Relationship Id="rId139" Type="http://schemas.openxmlformats.org/officeDocument/2006/relationships/hyperlink" Target="https://mycopunk.miraheze.org/wiki/Ride_the_High_Upgrade" TargetMode="External"/><Relationship Id="rId138" Type="http://schemas.openxmlformats.org/officeDocument/2006/relationships/hyperlink" Target="https://mycopunk.miraheze.org/wiki/Residue_Upgrade" TargetMode="External"/><Relationship Id="rId259" Type="http://schemas.openxmlformats.org/officeDocument/2006/relationships/hyperlink" Target="https://mycopunk.miraheze.org/wiki/Auto-Replicator_Upgrade" TargetMode="External"/><Relationship Id="rId137" Type="http://schemas.openxmlformats.org/officeDocument/2006/relationships/hyperlink" Target="https://mycopunk.miraheze.org/wiki/Ralph%27s_Conundrum_Upgrade" TargetMode="External"/><Relationship Id="rId258" Type="http://schemas.openxmlformats.org/officeDocument/2006/relationships/hyperlink" Target="https://mycopunk.miraheze.org/wiki/Volatile_Element_Upgrade" TargetMode="External"/><Relationship Id="rId379" Type="http://schemas.openxmlformats.org/officeDocument/2006/relationships/hyperlink" Target="https://mycopunk.miraheze.org/wiki/Polished_Chassis_Upgrade" TargetMode="External"/><Relationship Id="rId132" Type="http://schemas.openxmlformats.org/officeDocument/2006/relationships/hyperlink" Target="https://mycopunk.miraheze.org/wiki/Double_Action_Upgrade" TargetMode="External"/><Relationship Id="rId253" Type="http://schemas.openxmlformats.org/officeDocument/2006/relationships/hyperlink" Target="https://mycopunk.miraheze.org/wiki/Full_Spectrum_Upgrade" TargetMode="External"/><Relationship Id="rId374" Type="http://schemas.openxmlformats.org/officeDocument/2006/relationships/hyperlink" Target="https://mycopunk.miraheze.org/wiki/Acid_Affinity_Upgrade" TargetMode="External"/><Relationship Id="rId495" Type="http://schemas.openxmlformats.org/officeDocument/2006/relationships/hyperlink" Target="https://mycopunk.miraheze.org/wiki/Fuel_Injection_Upgrade" TargetMode="External"/><Relationship Id="rId131" Type="http://schemas.openxmlformats.org/officeDocument/2006/relationships/hyperlink" Target="https://mycopunk.miraheze.org/wiki/Volatile_Munitions_Upgrade" TargetMode="External"/><Relationship Id="rId252" Type="http://schemas.openxmlformats.org/officeDocument/2006/relationships/hyperlink" Target="https://mycopunk.miraheze.org/wiki/Pressure_Cooker_Upgrade" TargetMode="External"/><Relationship Id="rId373" Type="http://schemas.openxmlformats.org/officeDocument/2006/relationships/hyperlink" Target="https://mycopunk.miraheze.org/wiki/Third_Arm_Upgrade" TargetMode="External"/><Relationship Id="rId494" Type="http://schemas.openxmlformats.org/officeDocument/2006/relationships/hyperlink" Target="https://mycopunk.miraheze.org/wiki/From_Down_Town_Upgrade" TargetMode="External"/><Relationship Id="rId130" Type="http://schemas.openxmlformats.org/officeDocument/2006/relationships/hyperlink" Target="https://mycopunk.miraheze.org/wiki/Lucky_Bastard_Upgrade" TargetMode="External"/><Relationship Id="rId251" Type="http://schemas.openxmlformats.org/officeDocument/2006/relationships/hyperlink" Target="https://mycopunk.miraheze.org/wiki/Impact_Funnel_Upgrade" TargetMode="External"/><Relationship Id="rId372" Type="http://schemas.openxmlformats.org/officeDocument/2006/relationships/hyperlink" Target="https://mycopunk.miraheze.org/wiki/Software_Assisted_Slide_Upgrade" TargetMode="External"/><Relationship Id="rId493" Type="http://schemas.openxmlformats.org/officeDocument/2006/relationships/hyperlink" Target="https://mycopunk.miraheze.org/wiki/Course_Correction_Upgrade" TargetMode="External"/><Relationship Id="rId250" Type="http://schemas.openxmlformats.org/officeDocument/2006/relationships/hyperlink" Target="https://mycopunk.miraheze.org/wiki/Globulous_Siphon_Upgrade" TargetMode="External"/><Relationship Id="rId371" Type="http://schemas.openxmlformats.org/officeDocument/2006/relationships/hyperlink" Target="https://mycopunk.miraheze.org/wiki/Slide_Deflector_Upgrade" TargetMode="External"/><Relationship Id="rId492" Type="http://schemas.openxmlformats.org/officeDocument/2006/relationships/hyperlink" Target="https://mycopunk.miraheze.org/wiki/M.I.R.V._Upgrade" TargetMode="External"/><Relationship Id="rId136" Type="http://schemas.openxmlformats.org/officeDocument/2006/relationships/hyperlink" Target="https://mycopunk.miraheze.org/wiki/Outlaw_Upgrade" TargetMode="External"/><Relationship Id="rId257" Type="http://schemas.openxmlformats.org/officeDocument/2006/relationships/hyperlink" Target="https://mycopunk.miraheze.org/wiki/Triagon_Upgrade" TargetMode="External"/><Relationship Id="rId378" Type="http://schemas.openxmlformats.org/officeDocument/2006/relationships/hyperlink" Target="https://mycopunk.miraheze.org/wiki/Fire_Affinity_Upgrade" TargetMode="External"/><Relationship Id="rId499" Type="http://schemas.openxmlformats.org/officeDocument/2006/relationships/hyperlink" Target="https://mycopunk.miraheze.org/wiki/Nanite_Return_Upgrade" TargetMode="External"/><Relationship Id="rId135" Type="http://schemas.openxmlformats.org/officeDocument/2006/relationships/hyperlink" Target="https://mycopunk.miraheze.org/wiki/Modded_Auto_Upgrade" TargetMode="External"/><Relationship Id="rId256" Type="http://schemas.openxmlformats.org/officeDocument/2006/relationships/hyperlink" Target="https://mycopunk.miraheze.org/wiki/Slipper_Shoes_Upgrade" TargetMode="External"/><Relationship Id="rId377" Type="http://schemas.openxmlformats.org/officeDocument/2006/relationships/hyperlink" Target="https://mycopunk.miraheze.org/wiki/Elemental_Health_Upgrade" TargetMode="External"/><Relationship Id="rId498" Type="http://schemas.openxmlformats.org/officeDocument/2006/relationships/hyperlink" Target="https://mycopunk.miraheze.org/wiki/Knee_Slide_Upgrade" TargetMode="External"/><Relationship Id="rId134" Type="http://schemas.openxmlformats.org/officeDocument/2006/relationships/hyperlink" Target="https://mycopunk.miraheze.org/wiki/Juiced_Up_Upgrade" TargetMode="External"/><Relationship Id="rId255" Type="http://schemas.openxmlformats.org/officeDocument/2006/relationships/hyperlink" Target="https://mycopunk.miraheze.org/wiki/Pocket_Replication_Upgrade" TargetMode="External"/><Relationship Id="rId376" Type="http://schemas.openxmlformats.org/officeDocument/2006/relationships/hyperlink" Target="https://mycopunk.miraheze.org/wiki/Brittle_Battery_Upgrade" TargetMode="External"/><Relationship Id="rId497" Type="http://schemas.openxmlformats.org/officeDocument/2006/relationships/hyperlink" Target="https://mycopunk.miraheze.org/wiki/Kernel_Rerouter_Upgrade" TargetMode="External"/><Relationship Id="rId133" Type="http://schemas.openxmlformats.org/officeDocument/2006/relationships/hyperlink" Target="https://mycopunk.miraheze.org/wiki/Feeling_Lucky_Upgrade" TargetMode="External"/><Relationship Id="rId254" Type="http://schemas.openxmlformats.org/officeDocument/2006/relationships/hyperlink" Target="https://mycopunk.miraheze.org/wiki/Glob_Balloons_Upgrade" TargetMode="External"/><Relationship Id="rId375" Type="http://schemas.openxmlformats.org/officeDocument/2006/relationships/hyperlink" Target="https://mycopunk.miraheze.org/wiki/Boost_Buffer_Upgrade" TargetMode="External"/><Relationship Id="rId496" Type="http://schemas.openxmlformats.org/officeDocument/2006/relationships/hyperlink" Target="https://mycopunk.miraheze.org/wiki/Heat_Exchange_Upgrade" TargetMode="External"/><Relationship Id="rId172" Type="http://schemas.openxmlformats.org/officeDocument/2006/relationships/hyperlink" Target="https://mycopunk.miraheze.org/wiki/Storage_Surplus_Upgrade" TargetMode="External"/><Relationship Id="rId293" Type="http://schemas.openxmlformats.org/officeDocument/2006/relationships/hyperlink" Target="https://mycopunk.miraheze.org/wiki/Swinging_Technique_Upgrade" TargetMode="External"/><Relationship Id="rId171" Type="http://schemas.openxmlformats.org/officeDocument/2006/relationships/hyperlink" Target="https://mycopunk.miraheze.org/wiki/Shockwave_Upgrade" TargetMode="External"/><Relationship Id="rId292" Type="http://schemas.openxmlformats.org/officeDocument/2006/relationships/hyperlink" Target="https://mycopunk.miraheze.org/wiki/Rush_Upgrade" TargetMode="External"/><Relationship Id="rId170" Type="http://schemas.openxmlformats.org/officeDocument/2006/relationships/hyperlink" Target="https://mycopunk.miraheze.org/wiki/Salad_Plates_Upgrade" TargetMode="External"/><Relationship Id="rId291" Type="http://schemas.openxmlformats.org/officeDocument/2006/relationships/hyperlink" Target="https://mycopunk.miraheze.org/wiki/Ignition_Recharge_Upgrade" TargetMode="External"/><Relationship Id="rId290" Type="http://schemas.openxmlformats.org/officeDocument/2006/relationships/hyperlink" Target="https://mycopunk.miraheze.org/wiki/Greedy_Fuck_Upgrade" TargetMode="External"/><Relationship Id="rId165" Type="http://schemas.openxmlformats.org/officeDocument/2006/relationships/hyperlink" Target="https://mycopunk.miraheze.org/wiki/Charge_Recycling_Upgrade" TargetMode="External"/><Relationship Id="rId286" Type="http://schemas.openxmlformats.org/officeDocument/2006/relationships/hyperlink" Target="https://mycopunk.miraheze.org/wiki/Slippery_Blood_Upgrade" TargetMode="External"/><Relationship Id="rId164" Type="http://schemas.openxmlformats.org/officeDocument/2006/relationships/hyperlink" Target="https://mycopunk.miraheze.org/wiki/Becall_Upgrade" TargetMode="External"/><Relationship Id="rId285" Type="http://schemas.openxmlformats.org/officeDocument/2006/relationships/hyperlink" Target="https://mycopunk.miraheze.org/wiki/Shocking_Adrenaline_Upgrade" TargetMode="External"/><Relationship Id="rId163" Type="http://schemas.openxmlformats.org/officeDocument/2006/relationships/hyperlink" Target="https://mycopunk.miraheze.org/wiki/Fencing_Construction_Upgrade" TargetMode="External"/><Relationship Id="rId284" Type="http://schemas.openxmlformats.org/officeDocument/2006/relationships/hyperlink" Target="https://mycopunk.miraheze.org/wiki/Sharing_Lunch_Upgrade" TargetMode="External"/><Relationship Id="rId162" Type="http://schemas.openxmlformats.org/officeDocument/2006/relationships/hyperlink" Target="https://mycopunk.miraheze.org/wiki/Damage_Arc_Upgrade" TargetMode="External"/><Relationship Id="rId283" Type="http://schemas.openxmlformats.org/officeDocument/2006/relationships/hyperlink" Target="https://mycopunk.miraheze.org/wiki/Repairing_Exhaust_Upgrade" TargetMode="External"/><Relationship Id="rId169" Type="http://schemas.openxmlformats.org/officeDocument/2006/relationships/hyperlink" Target="https://mycopunk.miraheze.org/wiki/Painter%27s_Attachment_Upgrade" TargetMode="External"/><Relationship Id="rId168" Type="http://schemas.openxmlformats.org/officeDocument/2006/relationships/hyperlink" Target="https://mycopunk.miraheze.org/wiki/Impulse_Redirection_Upgrade" TargetMode="External"/><Relationship Id="rId289" Type="http://schemas.openxmlformats.org/officeDocument/2006/relationships/hyperlink" Target="https://mycopunk.miraheze.org/wiki/Corrosive_Coating_Upgrade" TargetMode="External"/><Relationship Id="rId167" Type="http://schemas.openxmlformats.org/officeDocument/2006/relationships/hyperlink" Target="https://mycopunk.miraheze.org/wiki/Improvised_Explosives_Upgrade" TargetMode="External"/><Relationship Id="rId288" Type="http://schemas.openxmlformats.org/officeDocument/2006/relationships/hyperlink" Target="https://mycopunk.miraheze.org/wiki/Blood_Rampage_Upgrade" TargetMode="External"/><Relationship Id="rId166" Type="http://schemas.openxmlformats.org/officeDocument/2006/relationships/hyperlink" Target="https://mycopunk.miraheze.org/wiki/High_Ground_Upgrade" TargetMode="External"/><Relationship Id="rId287" Type="http://schemas.openxmlformats.org/officeDocument/2006/relationships/hyperlink" Target="https://mycopunk.miraheze.org/wiki/Blood_Coating_Upgrade" TargetMode="External"/><Relationship Id="rId161" Type="http://schemas.openxmlformats.org/officeDocument/2006/relationships/hyperlink" Target="https://mycopunk.miraheze.org/wiki/Compressed_Plate_Storage_Upgrade" TargetMode="External"/><Relationship Id="rId282" Type="http://schemas.openxmlformats.org/officeDocument/2006/relationships/hyperlink" Target="https://mycopunk.miraheze.org/wiki/Overheat_System_Upgrade" TargetMode="External"/><Relationship Id="rId160" Type="http://schemas.openxmlformats.org/officeDocument/2006/relationships/hyperlink" Target="https://mycopunk.miraheze.org/wiki/Clearing_Plasma_Upgrade" TargetMode="External"/><Relationship Id="rId281" Type="http://schemas.openxmlformats.org/officeDocument/2006/relationships/hyperlink" Target="https://mycopunk.miraheze.org/wiki/Heavy_Pockets_Upgrade" TargetMode="External"/><Relationship Id="rId280" Type="http://schemas.openxmlformats.org/officeDocument/2006/relationships/hyperlink" Target="https://mycopunk.miraheze.org/wiki/Bloody_Jumping_Upgrade" TargetMode="External"/><Relationship Id="rId159" Type="http://schemas.openxmlformats.org/officeDocument/2006/relationships/hyperlink" Target="https://mycopunk.miraheze.org/wiki/Return_to_Receiver_Upgrade" TargetMode="External"/><Relationship Id="rId154" Type="http://schemas.openxmlformats.org/officeDocument/2006/relationships/hyperlink" Target="https://mycopunk.miraheze.org/wiki/Unnatural_Focus_Upgrade" TargetMode="External"/><Relationship Id="rId275" Type="http://schemas.openxmlformats.org/officeDocument/2006/relationships/hyperlink" Target="https://mycopunk.miraheze.org/wiki/Nutritious_Cores_Upgrade" TargetMode="External"/><Relationship Id="rId396" Type="http://schemas.openxmlformats.org/officeDocument/2006/relationships/hyperlink" Target="https://mycopunk.miraheze.org/wiki/Dynamite_on_a_String_Upgrade" TargetMode="External"/><Relationship Id="rId153" Type="http://schemas.openxmlformats.org/officeDocument/2006/relationships/hyperlink" Target="https://mycopunk.miraheze.org/wiki/Shrapnel_Loading_Upgrade" TargetMode="External"/><Relationship Id="rId274" Type="http://schemas.openxmlformats.org/officeDocument/2006/relationships/hyperlink" Target="https://mycopunk.miraheze.org/wiki/Deflector_Upgrade" TargetMode="External"/><Relationship Id="rId395" Type="http://schemas.openxmlformats.org/officeDocument/2006/relationships/hyperlink" Target="https://mycopunk.miraheze.org/wiki/Double_Lasso_Upgrade" TargetMode="External"/><Relationship Id="rId152" Type="http://schemas.openxmlformats.org/officeDocument/2006/relationships/hyperlink" Target="https://mycopunk.miraheze.org/wiki/Practice_Makes_Perfect_Upgrade" TargetMode="External"/><Relationship Id="rId273" Type="http://schemas.openxmlformats.org/officeDocument/2006/relationships/hyperlink" Target="https://mycopunk.miraheze.org/wiki/Shrunken_Container_Upgrade" TargetMode="External"/><Relationship Id="rId394" Type="http://schemas.openxmlformats.org/officeDocument/2006/relationships/hyperlink" Target="https://mycopunk.miraheze.org/wiki/Dash_Immunity_Upgrade" TargetMode="External"/><Relationship Id="rId151" Type="http://schemas.openxmlformats.org/officeDocument/2006/relationships/hyperlink" Target="https://mycopunk.miraheze.org/wiki/Lucky_Last_Upgrade" TargetMode="External"/><Relationship Id="rId272" Type="http://schemas.openxmlformats.org/officeDocument/2006/relationships/hyperlink" Target="https://mycopunk.miraheze.org/wiki/Pack_Eater_Upgrade" TargetMode="External"/><Relationship Id="rId393" Type="http://schemas.openxmlformats.org/officeDocument/2006/relationships/hyperlink" Target="https://mycopunk.miraheze.org/wiki/Through_Hell_Upgrade" TargetMode="External"/><Relationship Id="rId158" Type="http://schemas.openxmlformats.org/officeDocument/2006/relationships/hyperlink" Target="https://mycopunk.miraheze.org/wiki/Lead_Poisoning_Upgrade" TargetMode="External"/><Relationship Id="rId279" Type="http://schemas.openxmlformats.org/officeDocument/2006/relationships/hyperlink" Target="https://mycopunk.miraheze.org/wiki/Blood_Lightning_Upgrade" TargetMode="External"/><Relationship Id="rId157" Type="http://schemas.openxmlformats.org/officeDocument/2006/relationships/hyperlink" Target="https://mycopunk.miraheze.org/wiki/Hallucinated_Space_Upgrade" TargetMode="External"/><Relationship Id="rId278" Type="http://schemas.openxmlformats.org/officeDocument/2006/relationships/hyperlink" Target="https://mycopunk.miraheze.org/wiki/Big_Deflector_Upgrade" TargetMode="External"/><Relationship Id="rId399" Type="http://schemas.openxmlformats.org/officeDocument/2006/relationships/hyperlink" Target="https://mycopunk.miraheze.org/wiki/Momentum_Transfer_Upgrade" TargetMode="External"/><Relationship Id="rId156" Type="http://schemas.openxmlformats.org/officeDocument/2006/relationships/hyperlink" Target="https://mycopunk.miraheze.org/wiki/Breathe_Deep_Upgrade" TargetMode="External"/><Relationship Id="rId277" Type="http://schemas.openxmlformats.org/officeDocument/2006/relationships/hyperlink" Target="https://mycopunk.miraheze.org/wiki/Super_Magnet_Upgrade" TargetMode="External"/><Relationship Id="rId398" Type="http://schemas.openxmlformats.org/officeDocument/2006/relationships/hyperlink" Target="https://mycopunk.miraheze.org/wiki/Hold_Onto_Your_Hats_Upgrade" TargetMode="External"/><Relationship Id="rId155" Type="http://schemas.openxmlformats.org/officeDocument/2006/relationships/hyperlink" Target="https://mycopunk.miraheze.org/wiki/Bandolier_Upgrade" TargetMode="External"/><Relationship Id="rId276" Type="http://schemas.openxmlformats.org/officeDocument/2006/relationships/hyperlink" Target="https://mycopunk.miraheze.org/wiki/Rage_Upgrade" TargetMode="External"/><Relationship Id="rId397" Type="http://schemas.openxmlformats.org/officeDocument/2006/relationships/hyperlink" Target="https://mycopunk.miraheze.org/wiki/Gust_Upgrade" TargetMode="External"/><Relationship Id="rId40" Type="http://schemas.openxmlformats.org/officeDocument/2006/relationships/hyperlink" Target="https://mycopunk.miraheze.org/wiki/Pummeler_Upgrade" TargetMode="External"/><Relationship Id="rId42" Type="http://schemas.openxmlformats.org/officeDocument/2006/relationships/hyperlink" Target="https://mycopunk.miraheze.org/wiki/Fire_In_My_Heart_Upgrade" TargetMode="External"/><Relationship Id="rId41" Type="http://schemas.openxmlformats.org/officeDocument/2006/relationships/hyperlink" Target="https://mycopunk.miraheze.org/wiki/Delicious_Cores_Upgrade" TargetMode="External"/><Relationship Id="rId44" Type="http://schemas.openxmlformats.org/officeDocument/2006/relationships/hyperlink" Target="https://mycopunk.miraheze.org/wiki/Molotov_Upgrade" TargetMode="External"/><Relationship Id="rId43" Type="http://schemas.openxmlformats.org/officeDocument/2006/relationships/hyperlink" Target="https://mycopunk.miraheze.org/wiki/Friction_Compensators_Upgrade" TargetMode="External"/><Relationship Id="rId46" Type="http://schemas.openxmlformats.org/officeDocument/2006/relationships/hyperlink" Target="https://mycopunk.miraheze.org/wiki/Power_Ricochet_Upgrade" TargetMode="External"/><Relationship Id="rId45" Type="http://schemas.openxmlformats.org/officeDocument/2006/relationships/hyperlink" Target="https://mycopunk.miraheze.org/wiki/Opening_Charge_Upgrade" TargetMode="External"/><Relationship Id="rId509" Type="http://schemas.openxmlformats.org/officeDocument/2006/relationships/hyperlink" Target="https://mycopunk.miraheze.org/wiki/Hover_Precision_Upgrade" TargetMode="External"/><Relationship Id="rId508" Type="http://schemas.openxmlformats.org/officeDocument/2006/relationships/hyperlink" Target="https://mycopunk.miraheze.org/wiki/High-Velocity_Targeting_Upgrade" TargetMode="External"/><Relationship Id="rId503" Type="http://schemas.openxmlformats.org/officeDocument/2006/relationships/hyperlink" Target="https://mycopunk.miraheze.org/wiki/Thermal_Vent_Override_Upgrade" TargetMode="External"/><Relationship Id="rId502" Type="http://schemas.openxmlformats.org/officeDocument/2006/relationships/hyperlink" Target="https://mycopunk.miraheze.org/wiki/Star_Fuel_Upgrade" TargetMode="External"/><Relationship Id="rId501" Type="http://schemas.openxmlformats.org/officeDocument/2006/relationships/hyperlink" Target="https://mycopunk.miraheze.org/wiki/Reserve_Material_Upgrade" TargetMode="External"/><Relationship Id="rId500" Type="http://schemas.openxmlformats.org/officeDocument/2006/relationships/hyperlink" Target="https://mycopunk.miraheze.org/wiki/Quickfire_Upgrade" TargetMode="External"/><Relationship Id="rId507" Type="http://schemas.openxmlformats.org/officeDocument/2006/relationships/hyperlink" Target="https://mycopunk.miraheze.org/wiki/Energy_Injection_Upgrade" TargetMode="External"/><Relationship Id="rId506" Type="http://schemas.openxmlformats.org/officeDocument/2006/relationships/hyperlink" Target="https://mycopunk.miraheze.org/wiki/Elemental_Tips_Upgrade" TargetMode="External"/><Relationship Id="rId505" Type="http://schemas.openxmlformats.org/officeDocument/2006/relationships/hyperlink" Target="https://mycopunk.miraheze.org/wiki/Charge_Rerouting_Upgrade" TargetMode="External"/><Relationship Id="rId504" Type="http://schemas.openxmlformats.org/officeDocument/2006/relationships/hyperlink" Target="https://mycopunk.miraheze.org/wiki/Battery_Siphon_Upgrade" TargetMode="External"/><Relationship Id="rId48" Type="http://schemas.openxmlformats.org/officeDocument/2006/relationships/hyperlink" Target="https://mycopunk.miraheze.org/wiki/Shell_Packer_Upgrade" TargetMode="External"/><Relationship Id="rId47" Type="http://schemas.openxmlformats.org/officeDocument/2006/relationships/hyperlink" Target="https://mycopunk.miraheze.org/wiki/Reactive_Coating_Upgrade" TargetMode="External"/><Relationship Id="rId49" Type="http://schemas.openxmlformats.org/officeDocument/2006/relationships/hyperlink" Target="https://mycopunk.miraheze.org/wiki/Stand_the_Heat_Upgrade" TargetMode="External"/><Relationship Id="rId31" Type="http://schemas.openxmlformats.org/officeDocument/2006/relationships/hyperlink" Target="https://mycopunk.miraheze.org/wiki/Compact_Cartridge_Upgrade" TargetMode="External"/><Relationship Id="rId30" Type="http://schemas.openxmlformats.org/officeDocument/2006/relationships/hyperlink" Target="https://mycopunk.miraheze.org/wiki/Bulging_Cartridge_Upgrade" TargetMode="External"/><Relationship Id="rId33" Type="http://schemas.openxmlformats.org/officeDocument/2006/relationships/hyperlink" Target="https://mycopunk.miraheze.org/wiki/Focused_Lenses_Upgrade" TargetMode="External"/><Relationship Id="rId32" Type="http://schemas.openxmlformats.org/officeDocument/2006/relationships/hyperlink" Target="https://mycopunk.miraheze.org/wiki/Doublestack_Cartridge_Upgrade" TargetMode="External"/><Relationship Id="rId35" Type="http://schemas.openxmlformats.org/officeDocument/2006/relationships/hyperlink" Target="https://mycopunk.miraheze.org/wiki/Ricochet_Upgrade" TargetMode="External"/><Relationship Id="rId34" Type="http://schemas.openxmlformats.org/officeDocument/2006/relationships/hyperlink" Target="https://mycopunk.miraheze.org/wiki/Precision_Fire_Upgrade" TargetMode="External"/><Relationship Id="rId37" Type="http://schemas.openxmlformats.org/officeDocument/2006/relationships/hyperlink" Target="https://mycopunk.miraheze.org/wiki/All_Powdered_Up_Upgrade" TargetMode="External"/><Relationship Id="rId36" Type="http://schemas.openxmlformats.org/officeDocument/2006/relationships/hyperlink" Target="https://mycopunk.miraheze.org/wiki/Stability_Module_Upgrade" TargetMode="External"/><Relationship Id="rId39" Type="http://schemas.openxmlformats.org/officeDocument/2006/relationships/hyperlink" Target="https://mycopunk.miraheze.org/wiki/Pesticide_Upgrade" TargetMode="External"/><Relationship Id="rId38" Type="http://schemas.openxmlformats.org/officeDocument/2006/relationships/hyperlink" Target="https://mycopunk.miraheze.org/wiki/Immolator_Upgrade" TargetMode="External"/><Relationship Id="rId20" Type="http://schemas.openxmlformats.org/officeDocument/2006/relationships/hyperlink" Target="https://mycopunk.miraheze.org/wiki/Double_Shot_Upgrade" TargetMode="External"/><Relationship Id="rId22" Type="http://schemas.openxmlformats.org/officeDocument/2006/relationships/hyperlink" Target="https://mycopunk.miraheze.org/wiki/Energy_Convergence_Upgrade" TargetMode="External"/><Relationship Id="rId21" Type="http://schemas.openxmlformats.org/officeDocument/2006/relationships/hyperlink" Target="https://mycopunk.miraheze.org/wiki/Elemental_Discharge_Upgrade" TargetMode="External"/><Relationship Id="rId24" Type="http://schemas.openxmlformats.org/officeDocument/2006/relationships/hyperlink" Target="https://mycopunk.miraheze.org/wiki/Heated_Battery_Upgrade" TargetMode="External"/><Relationship Id="rId23" Type="http://schemas.openxmlformats.org/officeDocument/2006/relationships/hyperlink" Target="https://mycopunk.miraheze.org/wiki/Full_Range_Upgrade" TargetMode="External"/><Relationship Id="rId409" Type="http://schemas.openxmlformats.org/officeDocument/2006/relationships/hyperlink" Target="https://mycopunk.miraheze.org/wiki/Hornet_Interference_Upgrade" TargetMode="External"/><Relationship Id="rId404" Type="http://schemas.openxmlformats.org/officeDocument/2006/relationships/hyperlink" Target="https://mycopunk.miraheze.org/wiki/Ammo_Continuity_Upgrade" TargetMode="External"/><Relationship Id="rId403" Type="http://schemas.openxmlformats.org/officeDocument/2006/relationships/hyperlink" Target="https://mycopunk.miraheze.org/wiki/Second_Wind_Upgrade" TargetMode="External"/><Relationship Id="rId402" Type="http://schemas.openxmlformats.org/officeDocument/2006/relationships/hyperlink" Target="https://mycopunk.miraheze.org/wiki/Pseudo_Science_Upgrade" TargetMode="External"/><Relationship Id="rId523" Type="http://schemas.openxmlformats.org/officeDocument/2006/relationships/table" Target="../tables/table4.xml"/><Relationship Id="rId401" Type="http://schemas.openxmlformats.org/officeDocument/2006/relationships/hyperlink" Target="https://mycopunk.miraheze.org/wiki/Powder_Player_Upgrade" TargetMode="External"/><Relationship Id="rId408" Type="http://schemas.openxmlformats.org/officeDocument/2006/relationships/hyperlink" Target="https://mycopunk.miraheze.org/wiki/Hometown_Hero_Upgrade" TargetMode="External"/><Relationship Id="rId407" Type="http://schemas.openxmlformats.org/officeDocument/2006/relationships/hyperlink" Target="https://mycopunk.miraheze.org/wiki/Extra_Rope_Upgrade" TargetMode="External"/><Relationship Id="rId406" Type="http://schemas.openxmlformats.org/officeDocument/2006/relationships/hyperlink" Target="https://mycopunk.miraheze.org/wiki/Dust_Kick_Upgrade" TargetMode="External"/><Relationship Id="rId405" Type="http://schemas.openxmlformats.org/officeDocument/2006/relationships/hyperlink" Target="https://mycopunk.miraheze.org/wiki/Charge_Thief_Upgrade" TargetMode="External"/><Relationship Id="rId26" Type="http://schemas.openxmlformats.org/officeDocument/2006/relationships/hyperlink" Target="https://mycopunk.miraheze.org/wiki/Rocket_Burst_Upgrade" TargetMode="External"/><Relationship Id="rId25" Type="http://schemas.openxmlformats.org/officeDocument/2006/relationships/hyperlink" Target="https://mycopunk.miraheze.org/wiki/Overclocked_Firing_Mechanism_Upgrade" TargetMode="External"/><Relationship Id="rId28" Type="http://schemas.openxmlformats.org/officeDocument/2006/relationships/hyperlink" Target="https://mycopunk.miraheze.org/wiki/Adrenaline_Reload_Upgrade" TargetMode="External"/><Relationship Id="rId27" Type="http://schemas.openxmlformats.org/officeDocument/2006/relationships/hyperlink" Target="https://mycopunk.miraheze.org/wiki/Smart_Slide_Upgrade" TargetMode="External"/><Relationship Id="rId400" Type="http://schemas.openxmlformats.org/officeDocument/2006/relationships/hyperlink" Target="https://mycopunk.miraheze.org/wiki/One-Liner_Upgrade" TargetMode="External"/><Relationship Id="rId521" Type="http://schemas.openxmlformats.org/officeDocument/2006/relationships/drawing" Target="../drawings/drawing28.xml"/><Relationship Id="rId29" Type="http://schemas.openxmlformats.org/officeDocument/2006/relationships/hyperlink" Target="https://mycopunk.miraheze.org/wiki/Bigazine_Upgrade" TargetMode="External"/><Relationship Id="rId520" Type="http://schemas.openxmlformats.org/officeDocument/2006/relationships/hyperlink" Target="https://mycopunk.miraheze.org/wiki/Streamlined_Upgrade" TargetMode="External"/><Relationship Id="rId11" Type="http://schemas.openxmlformats.org/officeDocument/2006/relationships/hyperlink" Target="https://mycopunk.miraheze.org/wiki/Mass_Acceleration_Upgrade" TargetMode="External"/><Relationship Id="rId10" Type="http://schemas.openxmlformats.org/officeDocument/2006/relationships/hyperlink" Target="https://mycopunk.miraheze.org/wiki/Intense_Reaction_Upgrade" TargetMode="External"/><Relationship Id="rId13" Type="http://schemas.openxmlformats.org/officeDocument/2006/relationships/hyperlink" Target="https://mycopunk.miraheze.org/wiki/Superheat_Reaction_Upgrade" TargetMode="External"/><Relationship Id="rId12" Type="http://schemas.openxmlformats.org/officeDocument/2006/relationships/hyperlink" Target="https://mycopunk.miraheze.org/wiki/Momentum_Overload_Upgrade" TargetMode="External"/><Relationship Id="rId519" Type="http://schemas.openxmlformats.org/officeDocument/2006/relationships/hyperlink" Target="https://mycopunk.miraheze.org/wiki/Rearm_Mechanism_Upgrade" TargetMode="External"/><Relationship Id="rId514" Type="http://schemas.openxmlformats.org/officeDocument/2006/relationships/hyperlink" Target="https://mycopunk.miraheze.org/wiki/Proprietary_Packing_Algorithm_Upgrade" TargetMode="External"/><Relationship Id="rId513" Type="http://schemas.openxmlformats.org/officeDocument/2006/relationships/hyperlink" Target="https://mycopunk.miraheze.org/wiki/Point_Detonators_Upgrade" TargetMode="External"/><Relationship Id="rId512" Type="http://schemas.openxmlformats.org/officeDocument/2006/relationships/hyperlink" Target="https://mycopunk.miraheze.org/wiki/Pocket_Rocket_Upgrade" TargetMode="External"/><Relationship Id="rId511" Type="http://schemas.openxmlformats.org/officeDocument/2006/relationships/hyperlink" Target="https://mycopunk.miraheze.org/wiki/Panic_Systems_Upgrade" TargetMode="External"/><Relationship Id="rId518" Type="http://schemas.openxmlformats.org/officeDocument/2006/relationships/hyperlink" Target="https://mycopunk.miraheze.org/wiki/Nanite_Breeding_Upgrade" TargetMode="External"/><Relationship Id="rId517" Type="http://schemas.openxmlformats.org/officeDocument/2006/relationships/hyperlink" Target="https://mycopunk.miraheze.org/wiki/Fuel_Reserves_Upgrade" TargetMode="External"/><Relationship Id="rId516" Type="http://schemas.openxmlformats.org/officeDocument/2006/relationships/hyperlink" Target="https://mycopunk.miraheze.org/wiki/Efficient_Storage_Upgrade" TargetMode="External"/><Relationship Id="rId515" Type="http://schemas.openxmlformats.org/officeDocument/2006/relationships/hyperlink" Target="https://mycopunk.miraheze.org/wiki/Weight_Reduction_Upgrade" TargetMode="External"/><Relationship Id="rId15" Type="http://schemas.openxmlformats.org/officeDocument/2006/relationships/hyperlink" Target="https://mycopunk.miraheze.org/wiki/Charge_Shield_Upgrade" TargetMode="External"/><Relationship Id="rId14" Type="http://schemas.openxmlformats.org/officeDocument/2006/relationships/hyperlink" Target="https://mycopunk.miraheze.org/wiki/Toxin_Recycling_Upgrade" TargetMode="External"/><Relationship Id="rId17" Type="http://schemas.openxmlformats.org/officeDocument/2006/relationships/hyperlink" Target="https://mycopunk.miraheze.org/wiki/Condensed_Ejection_Upgrade" TargetMode="External"/><Relationship Id="rId16" Type="http://schemas.openxmlformats.org/officeDocument/2006/relationships/hyperlink" Target="https://mycopunk.miraheze.org/wiki/Charged_Cartridges_Upgrade" TargetMode="External"/><Relationship Id="rId19" Type="http://schemas.openxmlformats.org/officeDocument/2006/relationships/hyperlink" Target="https://mycopunk.miraheze.org/wiki/Decay_Energy_Upgrade" TargetMode="External"/><Relationship Id="rId510" Type="http://schemas.openxmlformats.org/officeDocument/2006/relationships/hyperlink" Target="https://mycopunk.miraheze.org/wiki/Lateral_Thrusters_Upgrade" TargetMode="External"/><Relationship Id="rId18" Type="http://schemas.openxmlformats.org/officeDocument/2006/relationships/hyperlink" Target="https://mycopunk.miraheze.org/wiki/Corrosive_Plasma_Upgrade" TargetMode="External"/><Relationship Id="rId84" Type="http://schemas.openxmlformats.org/officeDocument/2006/relationships/hyperlink" Target="https://mycopunk.miraheze.org/wiki/Electrified_Pellets_Upgrade" TargetMode="External"/><Relationship Id="rId83" Type="http://schemas.openxmlformats.org/officeDocument/2006/relationships/hyperlink" Target="https://mycopunk.miraheze.org/wiki/Blitz_Planting_Upgrade" TargetMode="External"/><Relationship Id="rId86" Type="http://schemas.openxmlformats.org/officeDocument/2006/relationships/hyperlink" Target="https://mycopunk.miraheze.org/wiki/Over_Extended_Upgrade" TargetMode="External"/><Relationship Id="rId85" Type="http://schemas.openxmlformats.org/officeDocument/2006/relationships/hyperlink" Target="https://mycopunk.miraheze.org/wiki/High_Caliber_Pellets_Upgrade" TargetMode="External"/><Relationship Id="rId88" Type="http://schemas.openxmlformats.org/officeDocument/2006/relationships/hyperlink" Target="https://mycopunk.miraheze.org/wiki/Quick_Release_Upgrade" TargetMode="External"/><Relationship Id="rId87" Type="http://schemas.openxmlformats.org/officeDocument/2006/relationships/hyperlink" Target="https://mycopunk.miraheze.org/wiki/Quick_Grouping_Upgrade" TargetMode="External"/><Relationship Id="rId89" Type="http://schemas.openxmlformats.org/officeDocument/2006/relationships/hyperlink" Target="https://mycopunk.miraheze.org/wiki/Sprinkler_Upgrade" TargetMode="External"/><Relationship Id="rId80" Type="http://schemas.openxmlformats.org/officeDocument/2006/relationships/hyperlink" Target="https://mycopunk.miraheze.org/wiki/Wait_Charging_Upgrade" TargetMode="External"/><Relationship Id="rId82" Type="http://schemas.openxmlformats.org/officeDocument/2006/relationships/hyperlink" Target="https://mycopunk.miraheze.org/wiki/Autoswarm_Upgrade" TargetMode="External"/><Relationship Id="rId81" Type="http://schemas.openxmlformats.org/officeDocument/2006/relationships/hyperlink" Target="https://mycopunk.miraheze.org/wiki/Atmospheric_Energizers_Upgrade" TargetMode="External"/><Relationship Id="rId73" Type="http://schemas.openxmlformats.org/officeDocument/2006/relationships/hyperlink" Target="https://mycopunk.miraheze.org/wiki/Migration_Upgrade" TargetMode="External"/><Relationship Id="rId72" Type="http://schemas.openxmlformats.org/officeDocument/2006/relationships/hyperlink" Target="https://mycopunk.miraheze.org/wiki/Cross_Pollination_Upgrade" TargetMode="External"/><Relationship Id="rId75" Type="http://schemas.openxmlformats.org/officeDocument/2006/relationships/hyperlink" Target="https://mycopunk.miraheze.org/wiki/Portable_Solar_Array_Upgrade" TargetMode="External"/><Relationship Id="rId74" Type="http://schemas.openxmlformats.org/officeDocument/2006/relationships/hyperlink" Target="https://mycopunk.miraheze.org/wiki/Overload_Contingency_Upgrade" TargetMode="External"/><Relationship Id="rId77" Type="http://schemas.openxmlformats.org/officeDocument/2006/relationships/hyperlink" Target="https://mycopunk.miraheze.org/wiki/Remote_Control_Upgrade" TargetMode="External"/><Relationship Id="rId76" Type="http://schemas.openxmlformats.org/officeDocument/2006/relationships/hyperlink" Target="https://mycopunk.miraheze.org/wiki/Power_Redistribution_Upgrade" TargetMode="External"/><Relationship Id="rId79" Type="http://schemas.openxmlformats.org/officeDocument/2006/relationships/hyperlink" Target="https://mycopunk.miraheze.org/wiki/The_Hive_Must_Grow_Upgrade" TargetMode="External"/><Relationship Id="rId78" Type="http://schemas.openxmlformats.org/officeDocument/2006/relationships/hyperlink" Target="https://mycopunk.miraheze.org/wiki/Scatterburst_Upgrade" TargetMode="External"/><Relationship Id="rId71" Type="http://schemas.openxmlformats.org/officeDocument/2006/relationships/hyperlink" Target="https://mycopunk.miraheze.org/wiki/Crop_Duster_Upgrade" TargetMode="External"/><Relationship Id="rId70" Type="http://schemas.openxmlformats.org/officeDocument/2006/relationships/hyperlink" Target="https://mycopunk.miraheze.org/wiki/Munition_Siphon_Upgrade" TargetMode="External"/><Relationship Id="rId62" Type="http://schemas.openxmlformats.org/officeDocument/2006/relationships/hyperlink" Target="https://mycopunk.miraheze.org/wiki/Melting_Point_Upgrade" TargetMode="External"/><Relationship Id="rId61" Type="http://schemas.openxmlformats.org/officeDocument/2006/relationships/hyperlink" Target="https://mycopunk.miraheze.org/wiki/Mag_Extender_Upgrade" TargetMode="External"/><Relationship Id="rId64" Type="http://schemas.openxmlformats.org/officeDocument/2006/relationships/hyperlink" Target="https://mycopunk.miraheze.org/wiki/Stable_Grip_Upgrade" TargetMode="External"/><Relationship Id="rId63" Type="http://schemas.openxmlformats.org/officeDocument/2006/relationships/hyperlink" Target="https://mycopunk.miraheze.org/wiki/Reinforced_Coating_Upgrade" TargetMode="External"/><Relationship Id="rId66" Type="http://schemas.openxmlformats.org/officeDocument/2006/relationships/hyperlink" Target="https://mycopunk.miraheze.org/wiki/Steady_Aim_Upgrade" TargetMode="External"/><Relationship Id="rId65" Type="http://schemas.openxmlformats.org/officeDocument/2006/relationships/hyperlink" Target="https://mycopunk.miraheze.org/wiki/Steadier_Aim_Upgrade" TargetMode="External"/><Relationship Id="rId68" Type="http://schemas.openxmlformats.org/officeDocument/2006/relationships/hyperlink" Target="https://mycopunk.miraheze.org/wiki/Explosive_Pellets_Upgrade" TargetMode="External"/><Relationship Id="rId67" Type="http://schemas.openxmlformats.org/officeDocument/2006/relationships/hyperlink" Target="https://mycopunk.miraheze.org/wiki/Breeding_Season_Upgrade" TargetMode="External"/><Relationship Id="rId60" Type="http://schemas.openxmlformats.org/officeDocument/2006/relationships/hyperlink" Target="https://mycopunk.miraheze.org/wiki/Wild_Fire_Upgrade" TargetMode="External"/><Relationship Id="rId69" Type="http://schemas.openxmlformats.org/officeDocument/2006/relationships/hyperlink" Target="https://mycopunk.miraheze.org/wiki/Mitosis_Upgrade" TargetMode="External"/><Relationship Id="rId51" Type="http://schemas.openxmlformats.org/officeDocument/2006/relationships/hyperlink" Target="https://mycopunk.miraheze.org/wiki/Double_Time_Upgrade" TargetMode="External"/><Relationship Id="rId50" Type="http://schemas.openxmlformats.org/officeDocument/2006/relationships/hyperlink" Target="https://mycopunk.miraheze.org/wiki/Double_Barrel_Upgrade" TargetMode="External"/><Relationship Id="rId53" Type="http://schemas.openxmlformats.org/officeDocument/2006/relationships/hyperlink" Target="https://mycopunk.miraheze.org/wiki/Ghosting_Upgrade" TargetMode="External"/><Relationship Id="rId52" Type="http://schemas.openxmlformats.org/officeDocument/2006/relationships/hyperlink" Target="https://mycopunk.miraheze.org/wiki/Focus_Spread_Upgrade" TargetMode="External"/><Relationship Id="rId55" Type="http://schemas.openxmlformats.org/officeDocument/2006/relationships/hyperlink" Target="https://mycopunk.miraheze.org/wiki/Hot_Potato_Upgrade" TargetMode="External"/><Relationship Id="rId54" Type="http://schemas.openxmlformats.org/officeDocument/2006/relationships/hyperlink" Target="https://mycopunk.miraheze.org/wiki/Heavy_Upgrade" TargetMode="External"/><Relationship Id="rId57" Type="http://schemas.openxmlformats.org/officeDocument/2006/relationships/hyperlink" Target="https://mycopunk.miraheze.org/wiki/Simplest_Solution_Upgrade" TargetMode="External"/><Relationship Id="rId56" Type="http://schemas.openxmlformats.org/officeDocument/2006/relationships/hyperlink" Target="https://mycopunk.miraheze.org/wiki/Hot_Reload_Upgrade" TargetMode="External"/><Relationship Id="rId59" Type="http://schemas.openxmlformats.org/officeDocument/2006/relationships/hyperlink" Target="https://mycopunk.miraheze.org/wiki/Slideshot_Upgrade" TargetMode="External"/><Relationship Id="rId58" Type="http://schemas.openxmlformats.org/officeDocument/2006/relationships/hyperlink" Target="https://mycopunk.miraheze.org/wiki/Slam_Fire_Upgrade" TargetMode="External"/><Relationship Id="rId107" Type="http://schemas.openxmlformats.org/officeDocument/2006/relationships/hyperlink" Target="https://mycopunk.miraheze.org/wiki/Assist_Charge_Upgrade" TargetMode="External"/><Relationship Id="rId228" Type="http://schemas.openxmlformats.org/officeDocument/2006/relationships/hyperlink" Target="https://mycopunk.miraheze.org/wiki/Hornet_Hunting_Upgrade" TargetMode="External"/><Relationship Id="rId349" Type="http://schemas.openxmlformats.org/officeDocument/2006/relationships/hyperlink" Target="https://mycopunk.miraheze.org/wiki/Gas_Valves_Upgrade" TargetMode="External"/><Relationship Id="rId106" Type="http://schemas.openxmlformats.org/officeDocument/2006/relationships/hyperlink" Target="https://mycopunk.miraheze.org/wiki/Two_Way_Charging_Upgrade" TargetMode="External"/><Relationship Id="rId227" Type="http://schemas.openxmlformats.org/officeDocument/2006/relationships/hyperlink" Target="https://mycopunk.miraheze.org/wiki/Fire_Shot_Upgrade" TargetMode="External"/><Relationship Id="rId348" Type="http://schemas.openxmlformats.org/officeDocument/2006/relationships/hyperlink" Target="https://mycopunk.miraheze.org/wiki/Vacuum_Tube_Upgrade" TargetMode="External"/><Relationship Id="rId469" Type="http://schemas.openxmlformats.org/officeDocument/2006/relationships/hyperlink" Target="https://mycopunk.miraheze.org/wiki/Upset_Stomach_Upgrade" TargetMode="External"/><Relationship Id="rId105" Type="http://schemas.openxmlformats.org/officeDocument/2006/relationships/hyperlink" Target="https://mycopunk.miraheze.org/wiki/Photon_Surge_Upgrade" TargetMode="External"/><Relationship Id="rId226" Type="http://schemas.openxmlformats.org/officeDocument/2006/relationships/hyperlink" Target="https://mycopunk.miraheze.org/wiki/Fire_in_the_Hold_Upgrade" TargetMode="External"/><Relationship Id="rId347" Type="http://schemas.openxmlformats.org/officeDocument/2006/relationships/hyperlink" Target="https://mycopunk.miraheze.org/wiki/Sloth%27s_Day_Out_Upgrade" TargetMode="External"/><Relationship Id="rId468" Type="http://schemas.openxmlformats.org/officeDocument/2006/relationships/hyperlink" Target="https://mycopunk.miraheze.org/wiki/Scrap_Funnel_Upgrade" TargetMode="External"/><Relationship Id="rId104" Type="http://schemas.openxmlformats.org/officeDocument/2006/relationships/hyperlink" Target="https://mycopunk.miraheze.org/wiki/Overcharge_Cycling_Upgrade" TargetMode="External"/><Relationship Id="rId225" Type="http://schemas.openxmlformats.org/officeDocument/2006/relationships/hyperlink" Target="https://mycopunk.miraheze.org/wiki/Cross-Deck_Upgrade" TargetMode="External"/><Relationship Id="rId346" Type="http://schemas.openxmlformats.org/officeDocument/2006/relationships/hyperlink" Target="https://mycopunk.miraheze.org/wiki/Lightspeed_Material_Transfer_Upgrade" TargetMode="External"/><Relationship Id="rId467" Type="http://schemas.openxmlformats.org/officeDocument/2006/relationships/hyperlink" Target="https://mycopunk.miraheze.org/wiki/Saxonite_Power_Cell_Upgrade" TargetMode="External"/><Relationship Id="rId109" Type="http://schemas.openxmlformats.org/officeDocument/2006/relationships/hyperlink" Target="https://mycopunk.miraheze.org/wiki/Corrosive_Laser_Upgrade" TargetMode="External"/><Relationship Id="rId108" Type="http://schemas.openxmlformats.org/officeDocument/2006/relationships/hyperlink" Target="https://mycopunk.miraheze.org/wiki/Coronal_Ejection_Upgrade" TargetMode="External"/><Relationship Id="rId229" Type="http://schemas.openxmlformats.org/officeDocument/2006/relationships/hyperlink" Target="https://mycopunk.miraheze.org/wiki/Plunder_Upgrade" TargetMode="External"/><Relationship Id="rId220" Type="http://schemas.openxmlformats.org/officeDocument/2006/relationships/hyperlink" Target="https://mycopunk.miraheze.org/wiki/Heaven%27s_Fury_Upgrade" TargetMode="External"/><Relationship Id="rId341" Type="http://schemas.openxmlformats.org/officeDocument/2006/relationships/hyperlink" Target="https://mycopunk.miraheze.org/wiki/Turbocharge_Upgrade" TargetMode="External"/><Relationship Id="rId462" Type="http://schemas.openxmlformats.org/officeDocument/2006/relationships/hyperlink" Target="https://mycopunk.miraheze.org/wiki/Elemental_Overheat_Upgrade" TargetMode="External"/><Relationship Id="rId340" Type="http://schemas.openxmlformats.org/officeDocument/2006/relationships/hyperlink" Target="https://mycopunk.miraheze.org/wiki/Heavy_Support_Upgrade" TargetMode="External"/><Relationship Id="rId461" Type="http://schemas.openxmlformats.org/officeDocument/2006/relationships/hyperlink" Target="https://mycopunk.miraheze.org/wiki/Dynamite_Deployment_Upgrade" TargetMode="External"/><Relationship Id="rId460" Type="http://schemas.openxmlformats.org/officeDocument/2006/relationships/hyperlink" Target="https://mycopunk.miraheze.org/wiki/Stream_Jets_Upgrade" TargetMode="External"/><Relationship Id="rId103" Type="http://schemas.openxmlformats.org/officeDocument/2006/relationships/hyperlink" Target="https://mycopunk.miraheze.org/wiki/Hazard_Recycling_Upgrade" TargetMode="External"/><Relationship Id="rId224" Type="http://schemas.openxmlformats.org/officeDocument/2006/relationships/hyperlink" Target="https://mycopunk.miraheze.org/wiki/Corrosive_Reaction_Upgrade" TargetMode="External"/><Relationship Id="rId345" Type="http://schemas.openxmlformats.org/officeDocument/2006/relationships/hyperlink" Target="https://mycopunk.miraheze.org/wiki/Gas_Puddle_Upgrade" TargetMode="External"/><Relationship Id="rId466" Type="http://schemas.openxmlformats.org/officeDocument/2006/relationships/hyperlink" Target="https://mycopunk.miraheze.org/wiki/Parallel_Wiring_Upgrade" TargetMode="External"/><Relationship Id="rId102" Type="http://schemas.openxmlformats.org/officeDocument/2006/relationships/hyperlink" Target="https://mycopunk.miraheze.org/wiki/Engineering_Nanites_Upgrade" TargetMode="External"/><Relationship Id="rId223" Type="http://schemas.openxmlformats.org/officeDocument/2006/relationships/hyperlink" Target="https://mycopunk.miraheze.org/wiki/Acid_Shot_Upgrade" TargetMode="External"/><Relationship Id="rId344" Type="http://schemas.openxmlformats.org/officeDocument/2006/relationships/hyperlink" Target="https://mycopunk.miraheze.org/wiki/Exothermic_Reaction_Upgrade" TargetMode="External"/><Relationship Id="rId465" Type="http://schemas.openxmlformats.org/officeDocument/2006/relationships/hyperlink" Target="https://mycopunk.miraheze.org/wiki/Fulmination_Core_Upgrade" TargetMode="External"/><Relationship Id="rId101" Type="http://schemas.openxmlformats.org/officeDocument/2006/relationships/hyperlink" Target="https://mycopunk.miraheze.org/wiki/Demonstrator%27s_Trick_Upgrade" TargetMode="External"/><Relationship Id="rId222" Type="http://schemas.openxmlformats.org/officeDocument/2006/relationships/hyperlink" Target="https://mycopunk.miraheze.org/wiki/Thrill_of_the_Fight_Upgrade" TargetMode="External"/><Relationship Id="rId343" Type="http://schemas.openxmlformats.org/officeDocument/2006/relationships/hyperlink" Target="https://mycopunk.miraheze.org/wiki/Deteriorate_Upgrade" TargetMode="External"/><Relationship Id="rId464" Type="http://schemas.openxmlformats.org/officeDocument/2006/relationships/hyperlink" Target="https://mycopunk.miraheze.org/wiki/Fueling_Station_Upgrade" TargetMode="External"/><Relationship Id="rId100" Type="http://schemas.openxmlformats.org/officeDocument/2006/relationships/hyperlink" Target="https://mycopunk.miraheze.org/wiki/Voltaic_Battery_Upgrade" TargetMode="External"/><Relationship Id="rId221" Type="http://schemas.openxmlformats.org/officeDocument/2006/relationships/hyperlink" Target="https://mycopunk.miraheze.org/wiki/Shredify_Upgrade" TargetMode="External"/><Relationship Id="rId342" Type="http://schemas.openxmlformats.org/officeDocument/2006/relationships/hyperlink" Target="https://mycopunk.miraheze.org/wiki/Defensive_Spurt_Upgrade" TargetMode="External"/><Relationship Id="rId463" Type="http://schemas.openxmlformats.org/officeDocument/2006/relationships/hyperlink" Target="https://mycopunk.miraheze.org/wiki/Frantic_Mechanism_Upgrade" TargetMode="External"/><Relationship Id="rId217" Type="http://schemas.openxmlformats.org/officeDocument/2006/relationships/hyperlink" Target="https://mycopunk.miraheze.org/wiki/Magnetic_Loader_Upgrade" TargetMode="External"/><Relationship Id="rId338" Type="http://schemas.openxmlformats.org/officeDocument/2006/relationships/hyperlink" Target="https://mycopunk.miraheze.org/wiki/Insulated_Gloves_Upgrade" TargetMode="External"/><Relationship Id="rId459" Type="http://schemas.openxmlformats.org/officeDocument/2006/relationships/hyperlink" Target="https://mycopunk.miraheze.org/wiki/On_The_Go_Upgrade" TargetMode="External"/><Relationship Id="rId216" Type="http://schemas.openxmlformats.org/officeDocument/2006/relationships/hyperlink" Target="https://mycopunk.miraheze.org/wiki/Drag_Caps_Upgrade" TargetMode="External"/><Relationship Id="rId337" Type="http://schemas.openxmlformats.org/officeDocument/2006/relationships/hyperlink" Target="https://mycopunk.miraheze.org/wiki/Fastball_Upgrade" TargetMode="External"/><Relationship Id="rId458" Type="http://schemas.openxmlformats.org/officeDocument/2006/relationships/hyperlink" Target="https://mycopunk.miraheze.org/wiki/Jungle_Jim_Upgrade" TargetMode="External"/><Relationship Id="rId215" Type="http://schemas.openxmlformats.org/officeDocument/2006/relationships/hyperlink" Target="https://mycopunk.miraheze.org/wiki/Cargo_Storage_Upgrade" TargetMode="External"/><Relationship Id="rId336" Type="http://schemas.openxmlformats.org/officeDocument/2006/relationships/hyperlink" Target="https://mycopunk.miraheze.org/wiki/Engorge_Upgrade" TargetMode="External"/><Relationship Id="rId457" Type="http://schemas.openxmlformats.org/officeDocument/2006/relationships/hyperlink" Target="https://mycopunk.miraheze.org/wiki/Eye_in_the_Sky_Upgrade" TargetMode="External"/><Relationship Id="rId214" Type="http://schemas.openxmlformats.org/officeDocument/2006/relationships/hyperlink" Target="https://mycopunk.miraheze.org/wiki/Blowback_Redirect_Upgrade" TargetMode="External"/><Relationship Id="rId335" Type="http://schemas.openxmlformats.org/officeDocument/2006/relationships/hyperlink" Target="https://mycopunk.miraheze.org/wiki/System_Overload_Upgrade" TargetMode="External"/><Relationship Id="rId456" Type="http://schemas.openxmlformats.org/officeDocument/2006/relationships/hyperlink" Target="https://mycopunk.miraheze.org/wiki/Beehive!_Upgrade" TargetMode="External"/><Relationship Id="rId219" Type="http://schemas.openxmlformats.org/officeDocument/2006/relationships/hyperlink" Target="https://mycopunk.miraheze.org/wiki/Bailing_Water_Upgrade" TargetMode="External"/><Relationship Id="rId218" Type="http://schemas.openxmlformats.org/officeDocument/2006/relationships/hyperlink" Target="https://mycopunk.miraheze.org/wiki/Stabilizers_Upgrade" TargetMode="External"/><Relationship Id="rId339" Type="http://schemas.openxmlformats.org/officeDocument/2006/relationships/hyperlink" Target="https://mycopunk.miraheze.org/wiki/Connected_Systems_Upgrade" TargetMode="External"/><Relationship Id="rId330" Type="http://schemas.openxmlformats.org/officeDocument/2006/relationships/hyperlink" Target="https://mycopunk.miraheze.org/wiki/Higher_Voltage_Upgrade" TargetMode="External"/><Relationship Id="rId451" Type="http://schemas.openxmlformats.org/officeDocument/2006/relationships/hyperlink" Target="https://mycopunk.miraheze.org/wiki/Frog_Legs_Upgrade" TargetMode="External"/><Relationship Id="rId450" Type="http://schemas.openxmlformats.org/officeDocument/2006/relationships/hyperlink" Target="https://mycopunk.miraheze.org/wiki/Force_Redistribution_Upgrade" TargetMode="External"/><Relationship Id="rId213" Type="http://schemas.openxmlformats.org/officeDocument/2006/relationships/hyperlink" Target="https://mycopunk.miraheze.org/wiki/Green_Prism_Upgrade" TargetMode="External"/><Relationship Id="rId334" Type="http://schemas.openxmlformats.org/officeDocument/2006/relationships/hyperlink" Target="https://mycopunk.miraheze.org/wiki/Stun_Upgrade" TargetMode="External"/><Relationship Id="rId455" Type="http://schemas.openxmlformats.org/officeDocument/2006/relationships/hyperlink" Target="https://mycopunk.miraheze.org/wiki/Upside_Down_Upgrade" TargetMode="External"/><Relationship Id="rId212" Type="http://schemas.openxmlformats.org/officeDocument/2006/relationships/hyperlink" Target="https://mycopunk.miraheze.org/wiki/Thumper_Upgrade" TargetMode="External"/><Relationship Id="rId333" Type="http://schemas.openxmlformats.org/officeDocument/2006/relationships/hyperlink" Target="https://mycopunk.miraheze.org/wiki/Static_Charge_Upgrade" TargetMode="External"/><Relationship Id="rId454" Type="http://schemas.openxmlformats.org/officeDocument/2006/relationships/hyperlink" Target="https://mycopunk.miraheze.org/wiki/Thermal_Paste_Upgrade" TargetMode="External"/><Relationship Id="rId211" Type="http://schemas.openxmlformats.org/officeDocument/2006/relationships/hyperlink" Target="https://mycopunk.miraheze.org/wiki/Sawed_Off_Upgrade" TargetMode="External"/><Relationship Id="rId332" Type="http://schemas.openxmlformats.org/officeDocument/2006/relationships/hyperlink" Target="https://mycopunk.miraheze.org/wiki/Phase_Housing_Upgrade" TargetMode="External"/><Relationship Id="rId453" Type="http://schemas.openxmlformats.org/officeDocument/2006/relationships/hyperlink" Target="https://mycopunk.miraheze.org/wiki/Sophisticated_Task_Manager_Upgrade" TargetMode="External"/><Relationship Id="rId210" Type="http://schemas.openxmlformats.org/officeDocument/2006/relationships/hyperlink" Target="https://mycopunk.miraheze.org/wiki/Overclocked_Firing_Chamber_Upgrade" TargetMode="External"/><Relationship Id="rId331" Type="http://schemas.openxmlformats.org/officeDocument/2006/relationships/hyperlink" Target="https://mycopunk.miraheze.org/wiki/Marathon_Upgrade" TargetMode="External"/><Relationship Id="rId452" Type="http://schemas.openxmlformats.org/officeDocument/2006/relationships/hyperlink" Target="https://mycopunk.miraheze.org/wiki/Get_Off_Me_Upgrade" TargetMode="External"/><Relationship Id="rId370" Type="http://schemas.openxmlformats.org/officeDocument/2006/relationships/hyperlink" Target="https://mycopunk.miraheze.org/wiki/Scrap_Repurposing_Upgrade" TargetMode="External"/><Relationship Id="rId491" Type="http://schemas.openxmlformats.org/officeDocument/2006/relationships/hyperlink" Target="https://mycopunk.miraheze.org/wiki/Eye_on_You_Upgrade" TargetMode="External"/><Relationship Id="rId490" Type="http://schemas.openxmlformats.org/officeDocument/2006/relationships/hyperlink" Target="https://mycopunk.miraheze.org/wiki/Clearing_Charge_Upgrade" TargetMode="External"/><Relationship Id="rId129" Type="http://schemas.openxmlformats.org/officeDocument/2006/relationships/hyperlink" Target="https://mycopunk.miraheze.org/wiki/Blood-Rush_Upgrade" TargetMode="External"/><Relationship Id="rId128" Type="http://schemas.openxmlformats.org/officeDocument/2006/relationships/hyperlink" Target="https://mycopunk.miraheze.org/wiki/Big_Fat_Doobie_Upgrade" TargetMode="External"/><Relationship Id="rId249" Type="http://schemas.openxmlformats.org/officeDocument/2006/relationships/hyperlink" Target="https://mycopunk.miraheze.org/wiki/Flood_Upgrade" TargetMode="External"/><Relationship Id="rId127" Type="http://schemas.openxmlformats.org/officeDocument/2006/relationships/hyperlink" Target="https://mycopunk.miraheze.org/wiki/Pulverizer_Upgrade" TargetMode="External"/><Relationship Id="rId248" Type="http://schemas.openxmlformats.org/officeDocument/2006/relationships/hyperlink" Target="https://mycopunk.miraheze.org/wiki/Line_er%27_Up_Upgrade" TargetMode="External"/><Relationship Id="rId369" Type="http://schemas.openxmlformats.org/officeDocument/2006/relationships/hyperlink" Target="https://mycopunk.miraheze.org/wiki/Kinetic_Effect_Upgrade" TargetMode="External"/><Relationship Id="rId126" Type="http://schemas.openxmlformats.org/officeDocument/2006/relationships/hyperlink" Target="https://mycopunk.miraheze.org/wiki/Reorganized_Reserves_Upgrade" TargetMode="External"/><Relationship Id="rId247" Type="http://schemas.openxmlformats.org/officeDocument/2006/relationships/hyperlink" Target="https://mycopunk.miraheze.org/wiki/Discount_Marksman_Upgrade" TargetMode="External"/><Relationship Id="rId368" Type="http://schemas.openxmlformats.org/officeDocument/2006/relationships/hyperlink" Target="https://mycopunk.miraheze.org/wiki/Inertial_Conductors_Upgrade" TargetMode="External"/><Relationship Id="rId489" Type="http://schemas.openxmlformats.org/officeDocument/2006/relationships/hyperlink" Target="https://mycopunk.miraheze.org/wiki/Biofuel_Upgrade" TargetMode="External"/><Relationship Id="rId121" Type="http://schemas.openxmlformats.org/officeDocument/2006/relationships/hyperlink" Target="https://mycopunk.miraheze.org/wiki/Triple_Upgrade" TargetMode="External"/><Relationship Id="rId242" Type="http://schemas.openxmlformats.org/officeDocument/2006/relationships/hyperlink" Target="https://mycopunk.miraheze.org/wiki/Squadron_Upgrade" TargetMode="External"/><Relationship Id="rId363" Type="http://schemas.openxmlformats.org/officeDocument/2006/relationships/hyperlink" Target="https://mycopunk.miraheze.org/wiki/Elemental_Cocktail_Upgrade" TargetMode="External"/><Relationship Id="rId484" Type="http://schemas.openxmlformats.org/officeDocument/2006/relationships/hyperlink" Target="https://mycopunk.miraheze.org/wiki/Fuel_Rations_Upgrade" TargetMode="External"/><Relationship Id="rId120" Type="http://schemas.openxmlformats.org/officeDocument/2006/relationships/hyperlink" Target="https://mycopunk.miraheze.org/wiki/Trifecta_Upgrade" TargetMode="External"/><Relationship Id="rId241" Type="http://schemas.openxmlformats.org/officeDocument/2006/relationships/hyperlink" Target="https://mycopunk.miraheze.org/wiki/Spyglass_Upgrade" TargetMode="External"/><Relationship Id="rId362" Type="http://schemas.openxmlformats.org/officeDocument/2006/relationships/hyperlink" Target="https://mycopunk.miraheze.org/wiki/Core_Repurposing_Upgrade" TargetMode="External"/><Relationship Id="rId483" Type="http://schemas.openxmlformats.org/officeDocument/2006/relationships/hyperlink" Target="https://mycopunk.miraheze.org/wiki/Cooling_Vents_Upgrade" TargetMode="External"/><Relationship Id="rId240" Type="http://schemas.openxmlformats.org/officeDocument/2006/relationships/hyperlink" Target="https://mycopunk.miraheze.org/wiki/Lone_Canoneer_Upgrade" TargetMode="External"/><Relationship Id="rId361" Type="http://schemas.openxmlformats.org/officeDocument/2006/relationships/hyperlink" Target="https://mycopunk.miraheze.org/wiki/Blink_Upgrade" TargetMode="External"/><Relationship Id="rId482" Type="http://schemas.openxmlformats.org/officeDocument/2006/relationships/hyperlink" Target="https://mycopunk.miraheze.org/wiki/Stolen_Nanites_Upgrade" TargetMode="External"/><Relationship Id="rId360" Type="http://schemas.openxmlformats.org/officeDocument/2006/relationships/hyperlink" Target="https://mycopunk.miraheze.org/wiki/Ammo_Processor_Upgrade" TargetMode="External"/><Relationship Id="rId481" Type="http://schemas.openxmlformats.org/officeDocument/2006/relationships/hyperlink" Target="https://mycopunk.miraheze.org/wiki/Spare_Cable_Upgrade" TargetMode="External"/><Relationship Id="rId125" Type="http://schemas.openxmlformats.org/officeDocument/2006/relationships/hyperlink" Target="https://mycopunk.miraheze.org/wiki/Quickswap_Cartridge_Upgrade" TargetMode="External"/><Relationship Id="rId246" Type="http://schemas.openxmlformats.org/officeDocument/2006/relationships/hyperlink" Target="https://mycopunk.miraheze.org/wiki/Compressed_Ammunition_Upgrade" TargetMode="External"/><Relationship Id="rId367" Type="http://schemas.openxmlformats.org/officeDocument/2006/relationships/hyperlink" Target="https://mycopunk.miraheze.org/wiki/Grenade_Recycling_Upgrade" TargetMode="External"/><Relationship Id="rId488" Type="http://schemas.openxmlformats.org/officeDocument/2006/relationships/hyperlink" Target="https://mycopunk.miraheze.org/wiki/Attrition_Supply_Upgrade" TargetMode="External"/><Relationship Id="rId124" Type="http://schemas.openxmlformats.org/officeDocument/2006/relationships/hyperlink" Target="https://mycopunk.miraheze.org/wiki/Long_Scope_Upgrade" TargetMode="External"/><Relationship Id="rId245" Type="http://schemas.openxmlformats.org/officeDocument/2006/relationships/hyperlink" Target="https://mycopunk.miraheze.org/wiki/Cargo_Hold_Upgrade" TargetMode="External"/><Relationship Id="rId366" Type="http://schemas.openxmlformats.org/officeDocument/2006/relationships/hyperlink" Target="https://mycopunk.miraheze.org/wiki/Frantic_Greed_Upgrade" TargetMode="External"/><Relationship Id="rId487" Type="http://schemas.openxmlformats.org/officeDocument/2006/relationships/hyperlink" Target="https://mycopunk.miraheze.org/wiki/Wireless_Extenders_Upgrade" TargetMode="External"/><Relationship Id="rId123" Type="http://schemas.openxmlformats.org/officeDocument/2006/relationships/hyperlink" Target="https://mycopunk.miraheze.org/wiki/Feedback_Amplifier_Upgrade" TargetMode="External"/><Relationship Id="rId244" Type="http://schemas.openxmlformats.org/officeDocument/2006/relationships/hyperlink" Target="https://mycopunk.miraheze.org/wiki/Ungovernable_Upgrade" TargetMode="External"/><Relationship Id="rId365" Type="http://schemas.openxmlformats.org/officeDocument/2006/relationships/hyperlink" Target="https://mycopunk.miraheze.org/wiki/Focus_Prism_Upgrade" TargetMode="External"/><Relationship Id="rId486" Type="http://schemas.openxmlformats.org/officeDocument/2006/relationships/hyperlink" Target="https://mycopunk.miraheze.org/wiki/Tether_Battery_Upgrade" TargetMode="External"/><Relationship Id="rId122" Type="http://schemas.openxmlformats.org/officeDocument/2006/relationships/hyperlink" Target="https://mycopunk.miraheze.org/wiki/Aux_Reserves_Upgrade" TargetMode="External"/><Relationship Id="rId243" Type="http://schemas.openxmlformats.org/officeDocument/2006/relationships/hyperlink" Target="https://mycopunk.miraheze.org/wiki/Top_Deck_Storage_Upgrade" TargetMode="External"/><Relationship Id="rId364" Type="http://schemas.openxmlformats.org/officeDocument/2006/relationships/hyperlink" Target="https://mycopunk.miraheze.org/wiki/Elemental_Regeneration_Upgrade" TargetMode="External"/><Relationship Id="rId485" Type="http://schemas.openxmlformats.org/officeDocument/2006/relationships/hyperlink" Target="https://mycopunk.miraheze.org/wiki/Pressure_Increase_Upgrade" TargetMode="External"/><Relationship Id="rId95" Type="http://schemas.openxmlformats.org/officeDocument/2006/relationships/hyperlink" Target="https://mycopunk.miraheze.org/wiki/Swarm_Reserves_Upgrade" TargetMode="External"/><Relationship Id="rId94" Type="http://schemas.openxmlformats.org/officeDocument/2006/relationships/hyperlink" Target="https://mycopunk.miraheze.org/wiki/Rapid_Pollination_Upgrade" TargetMode="External"/><Relationship Id="rId97" Type="http://schemas.openxmlformats.org/officeDocument/2006/relationships/hyperlink" Target="https://mycopunk.miraheze.org/wiki/Arc_Lightning_Upgrade" TargetMode="External"/><Relationship Id="rId96" Type="http://schemas.openxmlformats.org/officeDocument/2006/relationships/hyperlink" Target="https://mycopunk.miraheze.org/wiki/Tight_Planting_Upgrade" TargetMode="External"/><Relationship Id="rId99" Type="http://schemas.openxmlformats.org/officeDocument/2006/relationships/hyperlink" Target="https://mycopunk.miraheze.org/wiki/Hot_Swap_Upgrade" TargetMode="External"/><Relationship Id="rId480" Type="http://schemas.openxmlformats.org/officeDocument/2006/relationships/hyperlink" Target="https://mycopunk.miraheze.org/wiki/Solar_Panel_Upgrade" TargetMode="External"/><Relationship Id="rId98" Type="http://schemas.openxmlformats.org/officeDocument/2006/relationships/hyperlink" Target="https://mycopunk.miraheze.org/wiki/Autocycler_Upgrade" TargetMode="External"/><Relationship Id="rId91" Type="http://schemas.openxmlformats.org/officeDocument/2006/relationships/hyperlink" Target="https://mycopunk.miraheze.org/wiki/Tool_for_the_Job_Upgrade" TargetMode="External"/><Relationship Id="rId90" Type="http://schemas.openxmlformats.org/officeDocument/2006/relationships/hyperlink" Target="https://mycopunk.miraheze.org/wiki/Static_Reload_Upgrade" TargetMode="External"/><Relationship Id="rId93" Type="http://schemas.openxmlformats.org/officeDocument/2006/relationships/hyperlink" Target="https://mycopunk.miraheze.org/wiki/Precise_Targeting_Upgrade" TargetMode="External"/><Relationship Id="rId92" Type="http://schemas.openxmlformats.org/officeDocument/2006/relationships/hyperlink" Target="https://mycopunk.miraheze.org/wiki/Large_Energy_Storage_Upgrade" TargetMode="External"/><Relationship Id="rId118" Type="http://schemas.openxmlformats.org/officeDocument/2006/relationships/hyperlink" Target="https://mycopunk.miraheze.org/wiki/Sturdy_Upgrade" TargetMode="External"/><Relationship Id="rId239" Type="http://schemas.openxmlformats.org/officeDocument/2006/relationships/hyperlink" Target="https://mycopunk.miraheze.org/wiki/Increased_Load_Upgrade" TargetMode="External"/><Relationship Id="rId117" Type="http://schemas.openxmlformats.org/officeDocument/2006/relationships/hyperlink" Target="https://mycopunk.miraheze.org/wiki/Shredder_Upgrade" TargetMode="External"/><Relationship Id="rId238" Type="http://schemas.openxmlformats.org/officeDocument/2006/relationships/hyperlink" Target="https://mycopunk.miraheze.org/wiki/Gunpowder_Finale_Upgrade" TargetMode="External"/><Relationship Id="rId359" Type="http://schemas.openxmlformats.org/officeDocument/2006/relationships/hyperlink" Target="https://mycopunk.miraheze.org/wiki/Magboots_Upgrade" TargetMode="External"/><Relationship Id="rId116" Type="http://schemas.openxmlformats.org/officeDocument/2006/relationships/hyperlink" Target="https://mycopunk.miraheze.org/wiki/Shocking_Laser_Upgrade" TargetMode="External"/><Relationship Id="rId237" Type="http://schemas.openxmlformats.org/officeDocument/2006/relationships/hyperlink" Target="https://mycopunk.miraheze.org/wiki/Gunner%27s_Precision_Upgrade" TargetMode="External"/><Relationship Id="rId358" Type="http://schemas.openxmlformats.org/officeDocument/2006/relationships/hyperlink" Target="https://mycopunk.miraheze.org/wiki/Overcharge_Upgrade" TargetMode="External"/><Relationship Id="rId479" Type="http://schemas.openxmlformats.org/officeDocument/2006/relationships/hyperlink" Target="https://mycopunk.miraheze.org/wiki/Recycled_Fuel_Upgrade" TargetMode="External"/><Relationship Id="rId115" Type="http://schemas.openxmlformats.org/officeDocument/2006/relationships/hyperlink" Target="https://mycopunk.miraheze.org/wiki/Rapid_Charge_Upgrade" TargetMode="External"/><Relationship Id="rId236" Type="http://schemas.openxmlformats.org/officeDocument/2006/relationships/hyperlink" Target="https://mycopunk.miraheze.org/wiki/Energy_Condenser_Upgrade" TargetMode="External"/><Relationship Id="rId357" Type="http://schemas.openxmlformats.org/officeDocument/2006/relationships/hyperlink" Target="https://mycopunk.miraheze.org/wiki/Cooling_System_Upgrade" TargetMode="External"/><Relationship Id="rId478" Type="http://schemas.openxmlformats.org/officeDocument/2006/relationships/hyperlink" Target="https://mycopunk.miraheze.org/wiki/Multithread_Upgrade" TargetMode="External"/><Relationship Id="rId119" Type="http://schemas.openxmlformats.org/officeDocument/2006/relationships/hyperlink" Target="https://mycopunk.miraheze.org/wiki/Tainted_Exhaust_Upgrade" TargetMode="External"/><Relationship Id="rId110" Type="http://schemas.openxmlformats.org/officeDocument/2006/relationships/hyperlink" Target="https://mycopunk.miraheze.org/wiki/Hard-Light_Bypass_Upgrade" TargetMode="External"/><Relationship Id="rId231" Type="http://schemas.openxmlformats.org/officeDocument/2006/relationships/hyperlink" Target="https://mycopunk.miraheze.org/wiki/Tailwind_Upgrade" TargetMode="External"/><Relationship Id="rId352" Type="http://schemas.openxmlformats.org/officeDocument/2006/relationships/hyperlink" Target="https://mycopunk.miraheze.org/wiki/Odd_Cocktail_Upgrade" TargetMode="External"/><Relationship Id="rId473" Type="http://schemas.openxmlformats.org/officeDocument/2006/relationships/hyperlink" Target="https://mycopunk.miraheze.org/wiki/Coil_Springs_Upgrade" TargetMode="External"/><Relationship Id="rId230" Type="http://schemas.openxmlformats.org/officeDocument/2006/relationships/hyperlink" Target="https://mycopunk.miraheze.org/wiki/Rot_Advantage_Upgrade" TargetMode="External"/><Relationship Id="rId351" Type="http://schemas.openxmlformats.org/officeDocument/2006/relationships/hyperlink" Target="https://mycopunk.miraheze.org/wiki/Greased_Mixture_Upgrade" TargetMode="External"/><Relationship Id="rId472" Type="http://schemas.openxmlformats.org/officeDocument/2006/relationships/hyperlink" Target="https://mycopunk.miraheze.org/wiki/Burst_Release_Upgrade" TargetMode="External"/><Relationship Id="rId350" Type="http://schemas.openxmlformats.org/officeDocument/2006/relationships/hyperlink" Target="https://mycopunk.miraheze.org/wiki/Glub_Glub_Upgrade" TargetMode="External"/><Relationship Id="rId471" Type="http://schemas.openxmlformats.org/officeDocument/2006/relationships/hyperlink" Target="https://mycopunk.miraheze.org/wiki/Aft_Thrusters_Upgrade" TargetMode="External"/><Relationship Id="rId470" Type="http://schemas.openxmlformats.org/officeDocument/2006/relationships/hyperlink" Target="https://mycopunk.miraheze.org/wiki/Wrecking_Ball_Upgrade" TargetMode="External"/><Relationship Id="rId114" Type="http://schemas.openxmlformats.org/officeDocument/2006/relationships/hyperlink" Target="https://mycopunk.miraheze.org/wiki/Power_Core_Upgrade" TargetMode="External"/><Relationship Id="rId235" Type="http://schemas.openxmlformats.org/officeDocument/2006/relationships/hyperlink" Target="https://mycopunk.miraheze.org/wiki/Compatible_Ammunition_Upgrade" TargetMode="External"/><Relationship Id="rId356" Type="http://schemas.openxmlformats.org/officeDocument/2006/relationships/hyperlink" Target="https://mycopunk.miraheze.org/wiki/Base_Coating_Upgrade" TargetMode="External"/><Relationship Id="rId477" Type="http://schemas.openxmlformats.org/officeDocument/2006/relationships/hyperlink" Target="https://mycopunk.miraheze.org/wiki/Impulse_Vault_Upgrade" TargetMode="External"/><Relationship Id="rId113" Type="http://schemas.openxmlformats.org/officeDocument/2006/relationships/hyperlink" Target="https://mycopunk.miraheze.org/wiki/Kinetic_Impossibility_Upgrade" TargetMode="External"/><Relationship Id="rId234" Type="http://schemas.openxmlformats.org/officeDocument/2006/relationships/hyperlink" Target="https://mycopunk.miraheze.org/wiki/Broadside_Upgrade" TargetMode="External"/><Relationship Id="rId355" Type="http://schemas.openxmlformats.org/officeDocument/2006/relationships/hyperlink" Target="https://mycopunk.miraheze.org/wiki/Universal_Solvent_Upgrade" TargetMode="External"/><Relationship Id="rId476" Type="http://schemas.openxmlformats.org/officeDocument/2006/relationships/hyperlink" Target="https://mycopunk.miraheze.org/wiki/Ideal_Conditions_Upgrade" TargetMode="External"/><Relationship Id="rId112" Type="http://schemas.openxmlformats.org/officeDocument/2006/relationships/hyperlink" Target="https://mycopunk.miraheze.org/wiki/Incendiary_Laser_Upgrade" TargetMode="External"/><Relationship Id="rId233" Type="http://schemas.openxmlformats.org/officeDocument/2006/relationships/hyperlink" Target="https://mycopunk.miraheze.org/wiki/Bottom_Heavy_Upgrade" TargetMode="External"/><Relationship Id="rId354" Type="http://schemas.openxmlformats.org/officeDocument/2006/relationships/hyperlink" Target="https://mycopunk.miraheze.org/wiki/Saxonite_Coating_Upgrade" TargetMode="External"/><Relationship Id="rId475" Type="http://schemas.openxmlformats.org/officeDocument/2006/relationships/hyperlink" Target="https://mycopunk.miraheze.org/wiki/Feedback_Relay_Upgrade" TargetMode="External"/><Relationship Id="rId111" Type="http://schemas.openxmlformats.org/officeDocument/2006/relationships/hyperlink" Target="https://mycopunk.miraheze.org/wiki/Heavy_Hitting_Upgrade" TargetMode="External"/><Relationship Id="rId232" Type="http://schemas.openxmlformats.org/officeDocument/2006/relationships/hyperlink" Target="https://mycopunk.miraheze.org/wiki/Tread_the_Line_Upgrade" TargetMode="External"/><Relationship Id="rId353" Type="http://schemas.openxmlformats.org/officeDocument/2006/relationships/hyperlink" Target="https://mycopunk.miraheze.org/wiki/Polymer_Coating_Upgrade" TargetMode="External"/><Relationship Id="rId474" Type="http://schemas.openxmlformats.org/officeDocument/2006/relationships/hyperlink" Target="https://mycopunk.miraheze.org/wiki/Deliberate_Mistake_Upgrade" TargetMode="External"/><Relationship Id="rId305" Type="http://schemas.openxmlformats.org/officeDocument/2006/relationships/hyperlink" Target="https://mycopunk.miraheze.org/wiki/Impact_Cascade_Upgrade" TargetMode="External"/><Relationship Id="rId426" Type="http://schemas.openxmlformats.org/officeDocument/2006/relationships/hyperlink" Target="https://mycopunk.miraheze.org/wiki/Lightning_Dive_Upgrade" TargetMode="External"/><Relationship Id="rId304" Type="http://schemas.openxmlformats.org/officeDocument/2006/relationships/hyperlink" Target="https://mycopunk.miraheze.org/wiki/Heat_Sink_Upgrade" TargetMode="External"/><Relationship Id="rId425" Type="http://schemas.openxmlformats.org/officeDocument/2006/relationships/hyperlink" Target="https://mycopunk.miraheze.org/wiki/Hold_the_Line_Upgrade" TargetMode="External"/><Relationship Id="rId303" Type="http://schemas.openxmlformats.org/officeDocument/2006/relationships/hyperlink" Target="https://mycopunk.miraheze.org/wiki/Give_and_Take_Upgrade" TargetMode="External"/><Relationship Id="rId424" Type="http://schemas.openxmlformats.org/officeDocument/2006/relationships/hyperlink" Target="https://mycopunk.miraheze.org/wiki/Hard-Light_Prison_Upgrade" TargetMode="External"/><Relationship Id="rId302" Type="http://schemas.openxmlformats.org/officeDocument/2006/relationships/hyperlink" Target="https://mycopunk.miraheze.org/wiki/Gambler%27s_Bargain_Upgrade" TargetMode="External"/><Relationship Id="rId423" Type="http://schemas.openxmlformats.org/officeDocument/2006/relationships/hyperlink" Target="https://mycopunk.miraheze.org/wiki/For_Good_Measure_Upgrade" TargetMode="External"/><Relationship Id="rId309" Type="http://schemas.openxmlformats.org/officeDocument/2006/relationships/hyperlink" Target="https://mycopunk.miraheze.org/wiki/Cheap_Material_Upgrade" TargetMode="External"/><Relationship Id="rId308" Type="http://schemas.openxmlformats.org/officeDocument/2006/relationships/hyperlink" Target="https://mycopunk.miraheze.org/wiki/Violent_Reaction_Upgrade" TargetMode="External"/><Relationship Id="rId429" Type="http://schemas.openxmlformats.org/officeDocument/2006/relationships/hyperlink" Target="https://mycopunk.miraheze.org/wiki/Domed_Upgrade" TargetMode="External"/><Relationship Id="rId307" Type="http://schemas.openxmlformats.org/officeDocument/2006/relationships/hyperlink" Target="https://mycopunk.miraheze.org/wiki/Two%27s_Company_Upgrade" TargetMode="External"/><Relationship Id="rId428" Type="http://schemas.openxmlformats.org/officeDocument/2006/relationships/hyperlink" Target="https://mycopunk.miraheze.org/wiki/Comet_Splash_Upgrade" TargetMode="External"/><Relationship Id="rId306" Type="http://schemas.openxmlformats.org/officeDocument/2006/relationships/hyperlink" Target="https://mycopunk.miraheze.org/wiki/Maniac_Maneuver_Upgrade" TargetMode="External"/><Relationship Id="rId427" Type="http://schemas.openxmlformats.org/officeDocument/2006/relationships/hyperlink" Target="https://mycopunk.miraheze.org/wiki/Optical_Attraction_Upgrade" TargetMode="External"/><Relationship Id="rId301" Type="http://schemas.openxmlformats.org/officeDocument/2006/relationships/hyperlink" Target="https://mycopunk.miraheze.org/wiki/Internal_Combustion_Upgrade" TargetMode="External"/><Relationship Id="rId422" Type="http://schemas.openxmlformats.org/officeDocument/2006/relationships/hyperlink" Target="https://mycopunk.miraheze.org/wiki/Modular_Construction_Upgrade" TargetMode="External"/><Relationship Id="rId300" Type="http://schemas.openxmlformats.org/officeDocument/2006/relationships/hyperlink" Target="https://mycopunk.miraheze.org/wiki/Hearth_%26_Home_Upgrade" TargetMode="External"/><Relationship Id="rId421" Type="http://schemas.openxmlformats.org/officeDocument/2006/relationships/hyperlink" Target="https://mycopunk.miraheze.org/wiki/Yank_em!_Upgrade" TargetMode="External"/><Relationship Id="rId420" Type="http://schemas.openxmlformats.org/officeDocument/2006/relationships/hyperlink" Target="https://mycopunk.miraheze.org/wiki/Tumbleweed_Upgrade" TargetMode="External"/><Relationship Id="rId415" Type="http://schemas.openxmlformats.org/officeDocument/2006/relationships/hyperlink" Target="https://mycopunk.miraheze.org/wiki/Unchained_Upgrade" TargetMode="External"/><Relationship Id="rId414" Type="http://schemas.openxmlformats.org/officeDocument/2006/relationships/hyperlink" Target="https://mycopunk.miraheze.org/wiki/Tuck%27n%27Roll_Upgrade" TargetMode="External"/><Relationship Id="rId413" Type="http://schemas.openxmlformats.org/officeDocument/2006/relationships/hyperlink" Target="https://mycopunk.miraheze.org/wiki/The_Ole_One-Two_Upgrade" TargetMode="External"/><Relationship Id="rId412" Type="http://schemas.openxmlformats.org/officeDocument/2006/relationships/hyperlink" Target="https://mycopunk.miraheze.org/wiki/Slingshot_Upgrade" TargetMode="External"/><Relationship Id="rId419" Type="http://schemas.openxmlformats.org/officeDocument/2006/relationships/hyperlink" Target="https://mycopunk.miraheze.org/wiki/Loose_Rope_Upgrade" TargetMode="External"/><Relationship Id="rId418" Type="http://schemas.openxmlformats.org/officeDocument/2006/relationships/hyperlink" Target="https://mycopunk.miraheze.org/wiki/Leap_the_Gap_Upgrade" TargetMode="External"/><Relationship Id="rId417" Type="http://schemas.openxmlformats.org/officeDocument/2006/relationships/hyperlink" Target="https://mycopunk.miraheze.org/wiki/Landing_Roll_Upgrade" TargetMode="External"/><Relationship Id="rId416" Type="http://schemas.openxmlformats.org/officeDocument/2006/relationships/hyperlink" Target="https://mycopunk.miraheze.org/wiki/Deadeye_Upgrade" TargetMode="External"/><Relationship Id="rId411" Type="http://schemas.openxmlformats.org/officeDocument/2006/relationships/hyperlink" Target="https://mycopunk.miraheze.org/wiki/Rocket_Jump_Upgrade" TargetMode="External"/><Relationship Id="rId410" Type="http://schemas.openxmlformats.org/officeDocument/2006/relationships/hyperlink" Target="https://mycopunk.miraheze.org/wiki/Quick_Knot_Upgrade" TargetMode="External"/><Relationship Id="rId206" Type="http://schemas.openxmlformats.org/officeDocument/2006/relationships/hyperlink" Target="https://mycopunk.miraheze.org/wiki/Hard_Ricochet_Upgrade" TargetMode="External"/><Relationship Id="rId327" Type="http://schemas.openxmlformats.org/officeDocument/2006/relationships/hyperlink" Target="https://mycopunk.miraheze.org/wiki/Livelier_Upgrade" TargetMode="External"/><Relationship Id="rId448" Type="http://schemas.openxmlformats.org/officeDocument/2006/relationships/hyperlink" Target="https://mycopunk.miraheze.org/wiki/Dive_Interrupt_Upgrade" TargetMode="External"/><Relationship Id="rId205" Type="http://schemas.openxmlformats.org/officeDocument/2006/relationships/hyperlink" Target="https://mycopunk.miraheze.org/wiki/Adaptive_Stabilizers_Upgrade" TargetMode="External"/><Relationship Id="rId326" Type="http://schemas.openxmlformats.org/officeDocument/2006/relationships/hyperlink" Target="https://mycopunk.miraheze.org/wiki/Launch_Charge_Upgrade" TargetMode="External"/><Relationship Id="rId447" Type="http://schemas.openxmlformats.org/officeDocument/2006/relationships/hyperlink" Target="https://mycopunk.miraheze.org/wiki/With_You_Upgrade" TargetMode="External"/><Relationship Id="rId204" Type="http://schemas.openxmlformats.org/officeDocument/2006/relationships/hyperlink" Target="https://mycopunk.miraheze.org/wiki/Blue_Prism_Upgrade" TargetMode="External"/><Relationship Id="rId325" Type="http://schemas.openxmlformats.org/officeDocument/2006/relationships/hyperlink" Target="https://mycopunk.miraheze.org/wiki/Excited_Plasma_Upgrade" TargetMode="External"/><Relationship Id="rId446" Type="http://schemas.openxmlformats.org/officeDocument/2006/relationships/hyperlink" Target="https://mycopunk.miraheze.org/wiki/With_Me_Upgrade" TargetMode="External"/><Relationship Id="rId203" Type="http://schemas.openxmlformats.org/officeDocument/2006/relationships/hyperlink" Target="https://mycopunk.miraheze.org/wiki/Unarmored_Upgrade" TargetMode="External"/><Relationship Id="rId324" Type="http://schemas.openxmlformats.org/officeDocument/2006/relationships/hyperlink" Target="https://mycopunk.miraheze.org/wiki/Emergency_Evac_Upgrade" TargetMode="External"/><Relationship Id="rId445" Type="http://schemas.openxmlformats.org/officeDocument/2006/relationships/hyperlink" Target="https://mycopunk.miraheze.org/wiki/Striking_Distance_Upgrade" TargetMode="External"/><Relationship Id="rId209" Type="http://schemas.openxmlformats.org/officeDocument/2006/relationships/hyperlink" Target="https://mycopunk.miraheze.org/wiki/Industrial_Feed_Mechanism_Upgrade" TargetMode="External"/><Relationship Id="rId208" Type="http://schemas.openxmlformats.org/officeDocument/2006/relationships/hyperlink" Target="https://mycopunk.miraheze.org/wiki/Hold-Plating_Upgrade" TargetMode="External"/><Relationship Id="rId329" Type="http://schemas.openxmlformats.org/officeDocument/2006/relationships/hyperlink" Target="https://mycopunk.miraheze.org/wiki/Thunder_Pressure_Upgrade" TargetMode="External"/><Relationship Id="rId207" Type="http://schemas.openxmlformats.org/officeDocument/2006/relationships/hyperlink" Target="https://mycopunk.miraheze.org/wiki/Higher_Caliber_Upgrade" TargetMode="External"/><Relationship Id="rId328" Type="http://schemas.openxmlformats.org/officeDocument/2006/relationships/hyperlink" Target="https://mycopunk.miraheze.org/wiki/Shock_Funnel_Upgrade" TargetMode="External"/><Relationship Id="rId449" Type="http://schemas.openxmlformats.org/officeDocument/2006/relationships/hyperlink" Target="https://mycopunk.miraheze.org/wiki/Force_Projection_Upgrade" TargetMode="External"/><Relationship Id="rId440" Type="http://schemas.openxmlformats.org/officeDocument/2006/relationships/hyperlink" Target="https://mycopunk.miraheze.org/wiki/Knee-Dive_Upgrade" TargetMode="External"/><Relationship Id="rId202" Type="http://schemas.openxmlformats.org/officeDocument/2006/relationships/hyperlink" Target="https://mycopunk.miraheze.org/wiki/Safety_%22Regulations%22_Upgrade" TargetMode="External"/><Relationship Id="rId323" Type="http://schemas.openxmlformats.org/officeDocument/2006/relationships/hyperlink" Target="https://mycopunk.miraheze.org/wiki/Electromagnet_Upgrade" TargetMode="External"/><Relationship Id="rId444" Type="http://schemas.openxmlformats.org/officeDocument/2006/relationships/hyperlink" Target="https://mycopunk.miraheze.org/wiki/Springboard_Upgrade" TargetMode="External"/><Relationship Id="rId201" Type="http://schemas.openxmlformats.org/officeDocument/2006/relationships/hyperlink" Target="https://mycopunk.miraheze.org/wiki/Point_Demolition_Upgrade" TargetMode="External"/><Relationship Id="rId322" Type="http://schemas.openxmlformats.org/officeDocument/2006/relationships/hyperlink" Target="https://mycopunk.miraheze.org/wiki/Cloud_Skip_Upgrade" TargetMode="External"/><Relationship Id="rId443" Type="http://schemas.openxmlformats.org/officeDocument/2006/relationships/hyperlink" Target="https://mycopunk.miraheze.org/wiki/One_For_All_Upgrade" TargetMode="External"/><Relationship Id="rId200" Type="http://schemas.openxmlformats.org/officeDocument/2006/relationships/hyperlink" Target="https://mycopunk.miraheze.org/wiki/Hull_Piercer_Upgrade" TargetMode="External"/><Relationship Id="rId321" Type="http://schemas.openxmlformats.org/officeDocument/2006/relationships/hyperlink" Target="https://mycopunk.miraheze.org/wiki/Live_Wire_Upgrade" TargetMode="External"/><Relationship Id="rId442" Type="http://schemas.openxmlformats.org/officeDocument/2006/relationships/hyperlink" Target="https://mycopunk.miraheze.org/wiki/Liquid_Cooling_Upgrade" TargetMode="External"/><Relationship Id="rId320" Type="http://schemas.openxmlformats.org/officeDocument/2006/relationships/hyperlink" Target="https://mycopunk.miraheze.org/wiki/Illegal_Pocket_Grenade_Upgrade" TargetMode="External"/><Relationship Id="rId441" Type="http://schemas.openxmlformats.org/officeDocument/2006/relationships/hyperlink" Target="https://mycopunk.miraheze.org/wiki/Launch_Reserves_Upgrade" TargetMode="External"/><Relationship Id="rId316" Type="http://schemas.openxmlformats.org/officeDocument/2006/relationships/hyperlink" Target="https://mycopunk.miraheze.org/wiki/Fire_Gel_Upgrade" TargetMode="External"/><Relationship Id="rId437" Type="http://schemas.openxmlformats.org/officeDocument/2006/relationships/hyperlink" Target="https://mycopunk.miraheze.org/wiki/Bruise_Protection_Upgrade" TargetMode="External"/><Relationship Id="rId315" Type="http://schemas.openxmlformats.org/officeDocument/2006/relationships/hyperlink" Target="https://mycopunk.miraheze.org/wiki/Welding_Heat_Upgrade" TargetMode="External"/><Relationship Id="rId436" Type="http://schemas.openxmlformats.org/officeDocument/2006/relationships/hyperlink" Target="https://mycopunk.miraheze.org/wiki/Blast_Chamber_Upgrade" TargetMode="External"/><Relationship Id="rId314" Type="http://schemas.openxmlformats.org/officeDocument/2006/relationships/hyperlink" Target="https://mycopunk.miraheze.org/wiki/Volatile_Explosives_Upgrade" TargetMode="External"/><Relationship Id="rId435" Type="http://schemas.openxmlformats.org/officeDocument/2006/relationships/hyperlink" Target="https://mycopunk.miraheze.org/wiki/Backboost_Upgrade" TargetMode="External"/><Relationship Id="rId313" Type="http://schemas.openxmlformats.org/officeDocument/2006/relationships/hyperlink" Target="https://mycopunk.miraheze.org/wiki/Restoration_Protocol_Upgrade" TargetMode="External"/><Relationship Id="rId434" Type="http://schemas.openxmlformats.org/officeDocument/2006/relationships/hyperlink" Target="https://mycopunk.miraheze.org/wiki/Unconditional_Protector_Upgrade" TargetMode="External"/><Relationship Id="rId319" Type="http://schemas.openxmlformats.org/officeDocument/2006/relationships/hyperlink" Target="https://mycopunk.miraheze.org/wiki/Flash_Storm_Upgrade" TargetMode="External"/><Relationship Id="rId318" Type="http://schemas.openxmlformats.org/officeDocument/2006/relationships/hyperlink" Target="https://mycopunk.miraheze.org/wiki/Large_Ignition_Upgrade" TargetMode="External"/><Relationship Id="rId439" Type="http://schemas.openxmlformats.org/officeDocument/2006/relationships/hyperlink" Target="https://mycopunk.miraheze.org/wiki/Killcode_Upgrade" TargetMode="External"/><Relationship Id="rId317" Type="http://schemas.openxmlformats.org/officeDocument/2006/relationships/hyperlink" Target="https://mycopunk.miraheze.org/wiki/Heated_Charge_Upgrade" TargetMode="External"/><Relationship Id="rId438" Type="http://schemas.openxmlformats.org/officeDocument/2006/relationships/hyperlink" Target="https://mycopunk.miraheze.org/wiki/Improved_Refueling_Upgrade" TargetMode="External"/><Relationship Id="rId312" Type="http://schemas.openxmlformats.org/officeDocument/2006/relationships/hyperlink" Target="https://mycopunk.miraheze.org/wiki/Napalm_Upgrade" TargetMode="External"/><Relationship Id="rId433" Type="http://schemas.openxmlformats.org/officeDocument/2006/relationships/hyperlink" Target="https://mycopunk.miraheze.org/wiki/To_Dust_Upgrade" TargetMode="External"/><Relationship Id="rId311" Type="http://schemas.openxmlformats.org/officeDocument/2006/relationships/hyperlink" Target="https://mycopunk.miraheze.org/wiki/Hot_Boxing_Upgrade" TargetMode="External"/><Relationship Id="rId432" Type="http://schemas.openxmlformats.org/officeDocument/2006/relationships/hyperlink" Target="https://mycopunk.miraheze.org/wiki/Splash_Zone_Upgrade" TargetMode="External"/><Relationship Id="rId310" Type="http://schemas.openxmlformats.org/officeDocument/2006/relationships/hyperlink" Target="https://mycopunk.miraheze.org/wiki/Home_Brew_Combustion_Upgrade" TargetMode="External"/><Relationship Id="rId431" Type="http://schemas.openxmlformats.org/officeDocument/2006/relationships/hyperlink" Target="https://mycopunk.miraheze.org/wiki/Nose_Bounce_Upgrade" TargetMode="External"/><Relationship Id="rId430" Type="http://schemas.openxmlformats.org/officeDocument/2006/relationships/hyperlink" Target="https://mycopunk.miraheze.org/wiki/Hard-Light_Coating_Upgrade"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3" Type="http://schemas.openxmlformats.org/officeDocument/2006/relationships/table" Target="../tables/table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3" Type="http://schemas.openxmlformats.org/officeDocument/2006/relationships/table" Target="../tables/table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3" Type="http://schemas.openxmlformats.org/officeDocument/2006/relationships/table" Target="../tables/table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 Id="rId3" Type="http://schemas.openxmlformats.org/officeDocument/2006/relationships/table" Target="../tables/table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3" Type="http://schemas.openxmlformats.org/officeDocument/2006/relationships/table" Target="../tables/table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3" Type="http://schemas.openxmlformats.org/officeDocument/2006/relationships/table" Target="../tables/table1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 Id="rId3"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showGridLines="0" workbookViewId="0"/>
  </sheetViews>
  <sheetFormatPr customHeight="1" defaultColWidth="12.63" defaultRowHeight="15.75"/>
  <sheetData>
    <row r="1">
      <c r="A1" s="1" t="s">
        <v>0</v>
      </c>
      <c r="B1" s="2"/>
      <c r="C1" s="2"/>
      <c r="D1" s="2"/>
      <c r="E1" s="4"/>
    </row>
    <row r="2">
      <c r="A2" s="5"/>
      <c r="E2" s="6"/>
    </row>
    <row r="3">
      <c r="A3" s="7"/>
      <c r="B3" s="8"/>
      <c r="C3" s="8"/>
      <c r="D3" s="8"/>
      <c r="E3" s="10"/>
    </row>
    <row r="4">
      <c r="A4" s="12"/>
      <c r="B4" s="2"/>
      <c r="C4" s="2"/>
      <c r="D4" s="2"/>
      <c r="E4" s="2"/>
    </row>
    <row r="5">
      <c r="A5" s="14" t="s">
        <v>5</v>
      </c>
      <c r="B5" s="2"/>
      <c r="C5" s="2"/>
      <c r="D5" s="2"/>
      <c r="E5" s="4"/>
    </row>
    <row r="6">
      <c r="A6" s="23" t="str">
        <f>HYPERLINK("https://coloronx.github.io/Mycopunk_UpgradeSolver/", "Grid Solver")</f>
        <v>Grid Solver</v>
      </c>
      <c r="E6" s="6"/>
    </row>
    <row r="7">
      <c r="A7" s="24" t="str">
        <f>HYPERLINK("https://shnst.github.io/mycopunk_find_upgrade_layout/", "Original Grid Solver")</f>
        <v>Original Grid Solver</v>
      </c>
      <c r="B7" s="8"/>
      <c r="C7" s="8"/>
      <c r="D7" s="8"/>
      <c r="E7" s="10"/>
    </row>
    <row r="8">
      <c r="A8" s="26" t="s">
        <v>10</v>
      </c>
      <c r="B8" s="2"/>
      <c r="C8" s="2"/>
      <c r="D8" s="2"/>
      <c r="E8" s="4"/>
    </row>
    <row r="9">
      <c r="A9" s="27" t="s">
        <v>11</v>
      </c>
      <c r="E9" s="6"/>
    </row>
    <row r="10">
      <c r="A10" s="30" t="str">
        <f>HYPERLINK("https://docs.google.com/spreadsheets/d/1m_Ry_CtkGlNhcsrz4S3AEApCHfT3CU2LwpbUTRCUVMk/edit?usp=sharing", "Amalgam Builds")</f>
        <v>Amalgam Builds</v>
      </c>
      <c r="E10" s="6"/>
    </row>
    <row r="11">
      <c r="A11" s="32" t="s">
        <v>14</v>
      </c>
      <c r="E11" s="6"/>
    </row>
    <row r="12">
      <c r="A12" s="33" t="str">
        <f>HYPERLINK("https://docs.google.com/spreadsheets/d/16D7SskcxR_eVl4gwiiJHAC6Uj51Nqve1ip5ZPJP40NQ/edit?gid=1719030345#gid=1719030345", "Practical Builds"
)</f>
        <v>Practical Builds</v>
      </c>
      <c r="E12" s="6"/>
    </row>
    <row r="13">
      <c r="A13" s="35" t="s">
        <v>15</v>
      </c>
      <c r="B13" s="2"/>
      <c r="C13" s="2"/>
      <c r="D13" s="2"/>
      <c r="E13" s="4"/>
    </row>
    <row r="14">
      <c r="A14" s="36" t="s">
        <v>16</v>
      </c>
      <c r="E14" s="6"/>
    </row>
    <row r="15">
      <c r="A15" s="38" t="str">
        <f>HYPERLINK("https://tiermaker.com/create/mycopunk-weapon-tier-list-18711617", "Weapon Tierlist"
)</f>
        <v>Weapon Tierlist</v>
      </c>
      <c r="E15" s="6"/>
    </row>
    <row r="16">
      <c r="A16" s="32" t="s">
        <v>17</v>
      </c>
      <c r="E16" s="6"/>
    </row>
    <row r="17">
      <c r="A17" s="24" t="str">
        <f>HYPERLINK("https://tiermaker.com/user/18796434", "Templates")</f>
        <v>Templates</v>
      </c>
      <c r="B17" s="8"/>
      <c r="C17" s="8"/>
      <c r="D17" s="8"/>
      <c r="E17" s="10"/>
    </row>
    <row r="18">
      <c r="A18" s="26" t="s">
        <v>18</v>
      </c>
      <c r="B18" s="2"/>
      <c r="C18" s="2"/>
      <c r="D18" s="2"/>
      <c r="E18" s="4"/>
    </row>
    <row r="19">
      <c r="A19" s="32" t="s">
        <v>19</v>
      </c>
      <c r="E19" s="6"/>
    </row>
    <row r="20">
      <c r="A20" s="43" t="str">
        <f>HYPERLINK("https://docs.google.com/document/d/1x74JSPX16Tbw6qlqWw2fUTEz1NspO3EHgY0snxRjL-A/edit?usp=sharing", "Autumnation Skin")</f>
        <v>Autumnation Skin</v>
      </c>
      <c r="E20" s="6"/>
    </row>
    <row r="21">
      <c r="A21" s="44" t="s">
        <v>20</v>
      </c>
      <c r="E21" s="6"/>
    </row>
    <row r="22">
      <c r="A22" s="33" t="str">
        <f>HYPERLINK("https://docs.google.com/document/d/1an_F7QhSnxwrNWj1CdlosIHsWi7uj63JofsUJjiHK90/edit?usp=sharing", "Pumpkin Guncrab")</f>
        <v>Pumpkin Guncrab</v>
      </c>
      <c r="E22" s="6"/>
    </row>
    <row r="23">
      <c r="A23" s="46" t="s">
        <v>21</v>
      </c>
      <c r="E23" s="6"/>
    </row>
    <row r="24">
      <c r="A24" s="47" t="str">
        <f>HYPERLINK("https://steamcommunity.com/sharedfiles/filedetails/?id=3523968444", "Globbler")
</f>
        <v>Globbler</v>
      </c>
      <c r="E24" s="6"/>
    </row>
    <row r="25">
      <c r="A25" s="46" t="s">
        <v>22</v>
      </c>
      <c r="E25" s="6"/>
    </row>
    <row r="26">
      <c r="A26" s="47" t="str">
        <f>HYPERLINK("https://steamcommunity.com/sharedfiles/filedetails/?id=3523943228", "Carver")
</f>
        <v>Carver</v>
      </c>
      <c r="E26" s="6"/>
    </row>
    <row r="27">
      <c r="A27" s="46" t="s">
        <v>23</v>
      </c>
      <c r="E27" s="6"/>
    </row>
    <row r="28">
      <c r="A28" s="46" t="s">
        <v>24</v>
      </c>
      <c r="E28" s="6"/>
    </row>
    <row r="29">
      <c r="A29" s="47" t="str">
        <f>HYPERLINK("https://steamcommunity.com/sharedfiles/filedetails/?id=3523943228", "ERROR REDACTED")
</f>
        <v>ERROR REDACTED</v>
      </c>
      <c r="E29" s="6"/>
    </row>
    <row r="30">
      <c r="A30" s="46" t="s">
        <v>25</v>
      </c>
      <c r="E30" s="6"/>
    </row>
    <row r="31">
      <c r="A31" s="46" t="s">
        <v>26</v>
      </c>
      <c r="E31" s="6"/>
    </row>
    <row r="32">
      <c r="A32" s="49" t="s">
        <v>27</v>
      </c>
      <c r="B32" s="8"/>
      <c r="C32" s="8"/>
      <c r="D32" s="8"/>
      <c r="E32" s="10"/>
    </row>
    <row r="33">
      <c r="A33" s="50" t="s">
        <v>28</v>
      </c>
      <c r="B33" s="8"/>
      <c r="C33" s="8"/>
      <c r="D33" s="8"/>
      <c r="E33" s="10"/>
    </row>
  </sheetData>
  <mergeCells count="31">
    <mergeCell ref="A1:E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E23"/>
    <mergeCell ref="A31:E31"/>
    <mergeCell ref="A32:E32"/>
    <mergeCell ref="A33:E33"/>
    <mergeCell ref="A24:E24"/>
    <mergeCell ref="A25:E25"/>
    <mergeCell ref="A26:E26"/>
    <mergeCell ref="A27:E27"/>
    <mergeCell ref="A28:E28"/>
    <mergeCell ref="A29:E29"/>
    <mergeCell ref="A30:E30"/>
  </mergeCells>
  <hyperlinks>
    <hyperlink r:id="rId1" ref="A3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2.63" defaultRowHeight="15.75"/>
  <sheetData>
    <row r="1">
      <c r="A1" s="13"/>
      <c r="B1" s="15"/>
      <c r="C1" s="15"/>
      <c r="D1" s="15"/>
      <c r="E1" s="15"/>
    </row>
    <row r="2">
      <c r="A2" s="17"/>
    </row>
    <row r="3">
      <c r="A3" s="18"/>
    </row>
    <row r="4">
      <c r="A4" s="17"/>
    </row>
    <row r="5">
      <c r="A5" s="18"/>
    </row>
    <row r="6">
      <c r="A6" s="17"/>
    </row>
    <row r="7">
      <c r="A7" s="18"/>
    </row>
    <row r="8">
      <c r="A8" s="17"/>
    </row>
    <row r="9">
      <c r="A9" s="18"/>
    </row>
    <row r="10">
      <c r="A10" s="17"/>
    </row>
    <row r="11">
      <c r="A11" s="18"/>
    </row>
    <row r="12">
      <c r="A12" s="17"/>
    </row>
    <row r="13">
      <c r="A13" s="18"/>
    </row>
    <row r="14">
      <c r="A14" s="17"/>
    </row>
    <row r="15">
      <c r="A15" s="18"/>
    </row>
    <row r="16">
      <c r="A16" s="17"/>
    </row>
    <row r="17">
      <c r="A17" s="18"/>
    </row>
    <row r="18">
      <c r="A18" s="17"/>
    </row>
    <row r="19">
      <c r="A19" s="18"/>
    </row>
    <row r="20">
      <c r="A20" s="17"/>
    </row>
    <row r="21">
      <c r="A21" s="18"/>
    </row>
    <row r="22">
      <c r="A22" s="17"/>
    </row>
    <row r="23">
      <c r="A23" s="18"/>
    </row>
    <row r="24">
      <c r="A24" s="17"/>
    </row>
    <row r="25">
      <c r="A25" s="18"/>
    </row>
    <row r="26">
      <c r="A26" s="17"/>
    </row>
    <row r="27">
      <c r="A27" s="18"/>
    </row>
    <row r="28">
      <c r="A28" s="17"/>
    </row>
    <row r="29">
      <c r="A29" s="18"/>
    </row>
    <row r="30">
      <c r="A30" s="17"/>
    </row>
  </sheetData>
  <mergeCells count="1">
    <mergeCell ref="A1:E3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12.63"/>
    <col customWidth="1" min="3" max="4" width="31.38"/>
    <col customWidth="1" min="5" max="6" width="12.63"/>
    <col customWidth="1" hidden="1" min="7" max="8" width="12.63"/>
    <col customWidth="1" min="9" max="10" width="12.63"/>
    <col customWidth="1" hidden="1" min="11" max="12" width="12.63"/>
    <col customWidth="1" min="13" max="14" width="12.63"/>
    <col customWidth="1" hidden="1" min="15" max="16" width="12.63"/>
    <col customWidth="1" min="17" max="18" width="12.63"/>
    <col customWidth="1" hidden="1" min="19" max="20" width="12.63"/>
    <col customWidth="1" min="21" max="22" width="12.63"/>
    <col customWidth="1" hidden="1" min="23" max="24" width="12.63"/>
    <col customWidth="1" min="25" max="26" width="12.63"/>
    <col customWidth="1" hidden="1" min="27" max="28" width="12.63"/>
    <col customWidth="1" min="29" max="30" width="12.63"/>
    <col customWidth="1" hidden="1" min="31" max="32" width="12.63"/>
    <col customWidth="1" min="33" max="34" width="12.63"/>
    <col customWidth="1" hidden="1" min="35" max="36" width="12.63"/>
    <col customWidth="1" min="37" max="38" width="12.63"/>
    <col customWidth="1" hidden="1" min="39" max="40" width="12.63"/>
    <col customWidth="1" min="41" max="42" width="8.25"/>
  </cols>
  <sheetData>
    <row r="1">
      <c r="A1" s="3" t="s">
        <v>1</v>
      </c>
      <c r="B1" s="9" t="s">
        <v>2</v>
      </c>
      <c r="C1" s="9" t="s">
        <v>3</v>
      </c>
      <c r="D1" s="11" t="s">
        <v>4</v>
      </c>
      <c r="E1" s="16" t="s">
        <v>6</v>
      </c>
      <c r="F1" s="19" t="s">
        <v>7</v>
      </c>
      <c r="G1" s="20" t="s">
        <v>8</v>
      </c>
      <c r="H1" s="22" t="s">
        <v>9</v>
      </c>
      <c r="I1" s="16" t="s">
        <v>6</v>
      </c>
      <c r="J1" s="21" t="s">
        <v>7</v>
      </c>
      <c r="K1" s="22" t="s">
        <v>8</v>
      </c>
      <c r="L1" s="22" t="s">
        <v>9</v>
      </c>
      <c r="M1" s="16" t="s">
        <v>6</v>
      </c>
      <c r="N1" s="21" t="s">
        <v>7</v>
      </c>
      <c r="O1" s="22" t="s">
        <v>8</v>
      </c>
      <c r="P1" s="22" t="s">
        <v>9</v>
      </c>
      <c r="Q1" s="16" t="s">
        <v>6</v>
      </c>
      <c r="R1" s="21" t="s">
        <v>7</v>
      </c>
      <c r="S1" s="22" t="s">
        <v>8</v>
      </c>
      <c r="T1" s="22" t="s">
        <v>9</v>
      </c>
      <c r="U1" s="16" t="s">
        <v>6</v>
      </c>
      <c r="V1" s="21" t="s">
        <v>7</v>
      </c>
      <c r="W1" s="22" t="s">
        <v>8</v>
      </c>
      <c r="X1" s="22" t="s">
        <v>9</v>
      </c>
      <c r="Y1" s="16" t="s">
        <v>6</v>
      </c>
      <c r="Z1" s="21" t="s">
        <v>7</v>
      </c>
      <c r="AA1" s="22" t="s">
        <v>8</v>
      </c>
      <c r="AB1" s="22" t="s">
        <v>9</v>
      </c>
      <c r="AC1" s="16" t="s">
        <v>6</v>
      </c>
      <c r="AD1" s="21" t="s">
        <v>7</v>
      </c>
      <c r="AE1" s="22" t="s">
        <v>8</v>
      </c>
      <c r="AF1" s="22" t="s">
        <v>9</v>
      </c>
      <c r="AG1" s="16" t="s">
        <v>6</v>
      </c>
      <c r="AH1" s="21" t="s">
        <v>7</v>
      </c>
      <c r="AI1" s="22" t="s">
        <v>8</v>
      </c>
      <c r="AJ1" s="22" t="s">
        <v>9</v>
      </c>
      <c r="AK1" s="16" t="s">
        <v>6</v>
      </c>
      <c r="AL1" s="21" t="s">
        <v>7</v>
      </c>
      <c r="AM1" s="22" t="s">
        <v>8</v>
      </c>
      <c r="AN1" s="22" t="s">
        <v>9</v>
      </c>
      <c r="AO1" s="11" t="s">
        <v>12</v>
      </c>
      <c r="AP1" s="22" t="s">
        <v>13</v>
      </c>
    </row>
    <row r="2">
      <c r="A2" s="31" t="str">
        <f t="array" ref="A2">_xlfn.XLOOKUP(B2,'Up Icon'!A:A,'Up Icon'!B:B,)</f>
        <v/>
      </c>
      <c r="B2" s="34" t="str">
        <f t="array" ref="B2">HYPERLINK(_xlfn.XLOOKUP('Up Names'!A38,'Up Wiki'!A:A,'Up Wiki'!B:B,),'Up Names'!A38)</f>
        <v>Edge Fault</v>
      </c>
      <c r="C2" s="37" t="str">
        <f t="array" ref="C2">_xlfn.XLOOKUP(B2,'Up Desc'!A:A,'Up Desc'!B:B,)</f>
        <v>Increases the size of your upgrade grid.</v>
      </c>
      <c r="D2" s="37" t="str">
        <f t="array" ref="D2">_xlfn.XLOOKUP(B2,'Up Turbo'!A:A,'Up Turbo'!B:B,)</f>
        <v>n/a</v>
      </c>
      <c r="E2" s="39" t="str">
        <f t="array" ref="E2">_xlfn.XLOOKUP(B2,'Up Stats'!A:A,'Up Stats'!B:B,)</f>
        <v/>
      </c>
      <c r="F2" s="40" t="str">
        <f>IFERROR(__xludf.DUMMYFUNCTION("if(AND(G2=FALSE,H2=FALSE),,if(G2=H2,JOIN("""",""Static: "",G2),JOIN("""",""Min:  "",G2, CHAR(10),""Max: "",H2)))"),"")</f>
        <v/>
      </c>
      <c r="G2" s="41" t="str">
        <f t="array" ref="G2">_xlfn.XLOOKUP(B2,'Up Min'!A:A,'Up Min'!B:B,)</f>
        <v/>
      </c>
      <c r="H2" s="41" t="str">
        <f t="array" ref="H2">_xlfn.XLOOKUP(B2,'Up Max'!A:A,'Up Max'!B:B,)</f>
        <v/>
      </c>
      <c r="I2" s="39" t="str">
        <f t="array" ref="I2">_xlfn.XLOOKUP(B2,'Up Stats'!A:A,'Up Stats'!C:C,)</f>
        <v/>
      </c>
      <c r="J2" s="40" t="str">
        <f>IFERROR(__xludf.DUMMYFUNCTION("if(AND(K2=FALSE,L2=FALSE),,if(K2=L2,JOIN("""",""Static: "",K2),JOIN("""",""Min:  "",K2, CHAR(10),""Max: "",L2)))"),"")</f>
        <v/>
      </c>
      <c r="K2" s="42" t="str">
        <f t="array" ref="K2">_xlfn.XLOOKUP(B2,'Up Min'!A:A,'Up Min'!C:C,)</f>
        <v/>
      </c>
      <c r="L2" s="42" t="str">
        <f t="array" ref="L2">_xlfn.XLOOKUP(B2,'Up Max'!A:A,'Up Max'!C:C,)</f>
        <v/>
      </c>
      <c r="M2" s="48" t="str">
        <f t="array" ref="M2">_xlfn.XLOOKUP(B2,'Up Stats'!A:A,'Up Stats'!D:D,)</f>
        <v/>
      </c>
      <c r="N2" s="40" t="str">
        <f>IFERROR(__xludf.DUMMYFUNCTION("if(AND(O2=FALSE,P2=FALSE),,if(O2=P2,JOIN("""",""Static: "",O2),JOIN("""",""Min:  "",O2, CHAR(10),""Max: "",P2)))"),"")</f>
        <v/>
      </c>
      <c r="O2" s="42" t="str">
        <f t="array" ref="O2">_xlfn.XLOOKUP(B2,'Up Min'!A:A,'Up Min'!D:D,)</f>
        <v/>
      </c>
      <c r="P2" s="42" t="str">
        <f t="array" ref="P2">_xlfn.XLOOKUP(B2,'Up Max'!A:A,'Up Max'!D:D,)</f>
        <v/>
      </c>
      <c r="Q2" s="48" t="str">
        <f t="array" ref="Q2">_xlfn.XLOOKUP(B2,'Up Stats'!A:A,'Up Stats'!E:E,)</f>
        <v/>
      </c>
      <c r="R2" s="40" t="str">
        <f>IFERROR(__xludf.DUMMYFUNCTION("if(AND(S2=FALSE,T2=FALSE),,if(S2=T2,JOIN("""",""Static: "",S2),JOIN("""",""Min:  "",S2, CHAR(10),""Max: "",T2)))"),"")</f>
        <v/>
      </c>
      <c r="S2" s="42" t="str">
        <f t="array" ref="S2">_xlfn.XLOOKUP(B2,'Up Min'!A:A,'Up Min'!E:E,)</f>
        <v/>
      </c>
      <c r="T2" s="42" t="str">
        <f t="array" ref="T2">_xlfn.XLOOKUP(B2,'Up Max'!A:A,'Up Max'!E:E,)</f>
        <v/>
      </c>
      <c r="U2" s="48" t="str">
        <f t="array" ref="U2">_xlfn.XLOOKUP(B2,'Up Stats'!A:A,'Up Stats'!F:F,)</f>
        <v/>
      </c>
      <c r="V2" s="40" t="str">
        <f>IFERROR(__xludf.DUMMYFUNCTION("if(AND(W2=FALSE,X2=FALSE),,if(W2=X2,JOIN("""",""Static: "",W2),JOIN("""",""Min:  "",W2, CHAR(10),""Max: "",X2)))"),"")</f>
        <v/>
      </c>
      <c r="W2" s="42" t="str">
        <f t="array" ref="W2">_xlfn.XLOOKUP(B2,'Up Min'!A:A,'Up Min'!F:F,)</f>
        <v/>
      </c>
      <c r="X2" s="42" t="str">
        <f t="array" ref="X2">_xlfn.XLOOKUP(B2,'Up Max'!A:A,'Up Max'!F:F,)</f>
        <v/>
      </c>
      <c r="Y2" s="48" t="str">
        <f t="array" ref="Y2">_xlfn.XLOOKUP(B2,'Up Stats'!A:A,'Up Stats'!G:G,)</f>
        <v/>
      </c>
      <c r="Z2" s="40" t="str">
        <f>IFERROR(__xludf.DUMMYFUNCTION("if(AND(AA2=FALSE,AB2=FALSE),,if(AA2=AB2,JOIN("""",""Static: "",AA2),JOIN("""",""Min:  "",AA2, CHAR(10),""Max: "",AB2)))"),"")</f>
        <v/>
      </c>
      <c r="AA2" s="42" t="str">
        <f t="array" ref="AA2">_xlfn.XLOOKUP(B2,'Up Min'!A:A,'Up Min'!G:G,)</f>
        <v/>
      </c>
      <c r="AB2" s="42" t="str">
        <f t="array" ref="AB2">_xlfn.XLOOKUP(B2,'Up Max'!A:A,'Up Max'!G:G,)</f>
        <v/>
      </c>
      <c r="AC2" s="48" t="str">
        <f t="array" ref="AC2">_xlfn.XLOOKUP(B2,'Up Stats'!A:A,'Up Stats'!H:H,)</f>
        <v/>
      </c>
      <c r="AD2" s="40" t="str">
        <f>IFERROR(__xludf.DUMMYFUNCTION("if(AND(AE2=FALSE,AF2=FALSE),,if(AE2=AF2,JOIN("""",""Static: "",AE2),JOIN("""",""Min:  "",AE2, CHAR(10),""Max: "",AF2)))"),"")</f>
        <v/>
      </c>
      <c r="AE2" s="42" t="str">
        <f t="array" ref="AE2">_xlfn.XLOOKUP(B2,'Up Min'!A:A,'Up Min'!H:H,)</f>
        <v/>
      </c>
      <c r="AF2" s="42" t="str">
        <f t="array" ref="AF2">_xlfn.XLOOKUP(B2,'Up Max'!A:A,'Up Max'!H:H,)</f>
        <v/>
      </c>
      <c r="AG2" s="48" t="str">
        <f t="array" ref="AG2">_xlfn.XLOOKUP(B2,'Up Stats'!A:A,'Up Stats'!I:I,)</f>
        <v/>
      </c>
      <c r="AH2" s="40" t="str">
        <f>IFERROR(__xludf.DUMMYFUNCTION("if(AND(AI2=FALSE,AJ2=FALSE),,if(AI2=AJ2,JOIN("""",""Static: "",AI2),JOIN("""",""Min:  "",AI2, CHAR(10),""Max: "",AJ2)))"),"")</f>
        <v/>
      </c>
      <c r="AI2" s="42" t="str">
        <f t="array" ref="AI2">_xlfn.XLOOKUP(B2,'Up Min'!A:A,'Up Min'!I:I,)</f>
        <v/>
      </c>
      <c r="AJ2" s="42" t="str">
        <f t="array" ref="AJ2">_xlfn.XLOOKUP(B2,'Up Max'!A:A,'Up Max'!I:I,)</f>
        <v/>
      </c>
      <c r="AK2" s="48" t="str">
        <f t="array" ref="AK2">_xlfn.XLOOKUP(B2,'Up Stats'!A:A,'Up Stats'!J:J,)</f>
        <v/>
      </c>
      <c r="AL2" s="40" t="str">
        <f>IFERROR(__xludf.DUMMYFUNCTION("if(AND(AM2=FALSE,AN2=FALSE),,if(AM2=AN2,JOIN("""",""Static: "",AM2),JOIN("""",""Min:  "",AM2, CHAR(10),""Max: "",AN2)))"),"")</f>
        <v/>
      </c>
      <c r="AM2" s="42" t="str">
        <f t="array" ref="AM2">_xlfn.XLOOKUP(B2,'Up Min'!A:A,'Up Min'!J:J,)</f>
        <v/>
      </c>
      <c r="AN2" s="42" t="str">
        <f t="array" ref="AN2">_xlfn.XLOOKUP(B2,'Up Max'!A:A,'Up Max'!J:J,)</f>
        <v/>
      </c>
      <c r="AO2" s="34" t="str">
        <f t="array" ref="AO2">CONCATENATE(_xlfn.XLOOKUP(B2,'Up Cells'!A:A,'Up Cells'!B:B,))</f>
        <v>1</v>
      </c>
      <c r="AP2" s="34" t="str">
        <f t="array" ref="AP2">CONCATENATE(_xlfn.XLOOKUP(B2,'Up Rarity'!A:A,'Up Rarity'!B:B,),CHAR(10),"-")</f>
        <v>Contraband
-</v>
      </c>
    </row>
    <row r="3">
      <c r="A3" s="31" t="str">
        <f t="array" ref="A3">_xlfn.XLOOKUP(B3,'Up Icon'!A:A,'Up Icon'!B:B,)</f>
        <v/>
      </c>
      <c r="B3" s="51" t="str">
        <f t="array" ref="B3">HYPERLINK(_xlfn.XLOOKUP('Up Names'!A39,'Up Wiki'!A:A,'Up Wiki'!B:B,),'Up Names'!A39)</f>
        <v>Multiversal Thievery</v>
      </c>
      <c r="C3" s="52" t="str">
        <f t="array" ref="C3">_xlfn.XLOOKUP(B3,'Up Desc'!A:A,'Up Desc'!B:B,)</f>
        <v>Commandeers 1 column from each of your other upgrade grids.</v>
      </c>
      <c r="D3" s="52" t="str">
        <f t="array" ref="D3">_xlfn.XLOOKUP(B3,'Up Turbo'!A:A,'Up Turbo'!B:B,)</f>
        <v>n/a</v>
      </c>
      <c r="E3" s="53" t="str">
        <f t="array" ref="E3">_xlfn.XLOOKUP(B3,'Up Stats'!A:A,'Up Stats'!B:B,)</f>
        <v/>
      </c>
      <c r="F3" s="54" t="str">
        <f>IFERROR(__xludf.DUMMYFUNCTION("if(AND(G3=FALSE,H3=FALSE),,if(G3=H3,JOIN("""",""Static: "",G3),JOIN("""",""Min:  "",G3, CHAR(10),""Max: "",H3)))"),"")</f>
        <v/>
      </c>
      <c r="G3" s="59" t="str">
        <f t="array" ref="G3">_xlfn.XLOOKUP(B3,'Up Min'!A:A,'Up Min'!B:B,)</f>
        <v/>
      </c>
      <c r="H3" s="59" t="str">
        <f t="array" ref="H3">_xlfn.XLOOKUP(B3,'Up Max'!A:A,'Up Max'!B:B,)</f>
        <v/>
      </c>
      <c r="I3" s="53" t="str">
        <f t="array" ref="I3">_xlfn.XLOOKUP(B3,'Up Stats'!A:A,'Up Stats'!C:C,)</f>
        <v/>
      </c>
      <c r="J3" s="54" t="str">
        <f>IFERROR(__xludf.DUMMYFUNCTION("if(AND(K3=FALSE,L3=FALSE),,if(K3=L3,JOIN("""",""Static: "",K3),JOIN("""",""Min:  "",K3, CHAR(10),""Max: "",L3)))"),"")</f>
        <v/>
      </c>
      <c r="K3" s="55" t="str">
        <f t="array" ref="K3">_xlfn.XLOOKUP(B3,'Up Min'!A:A,'Up Min'!C:C,)</f>
        <v/>
      </c>
      <c r="L3" s="55" t="str">
        <f t="array" ref="L3">_xlfn.XLOOKUP(B3,'Up Max'!A:A,'Up Max'!C:C,)</f>
        <v/>
      </c>
      <c r="M3" s="57" t="str">
        <f t="array" ref="M3">_xlfn.XLOOKUP(B3,'Up Stats'!A:A,'Up Stats'!D:D,)</f>
        <v/>
      </c>
      <c r="N3" s="54" t="str">
        <f>IFERROR(__xludf.DUMMYFUNCTION("if(AND(O3=FALSE,P3=FALSE),,if(O3=P3,JOIN("""",""Static: "",O3),JOIN("""",""Min:  "",O3, CHAR(10),""Max: "",P3)))"),"")</f>
        <v/>
      </c>
      <c r="O3" s="55" t="str">
        <f t="array" ref="O3">_xlfn.XLOOKUP(B3,'Up Min'!A:A,'Up Min'!D:D,)</f>
        <v/>
      </c>
      <c r="P3" s="55" t="str">
        <f t="array" ref="P3">_xlfn.XLOOKUP(B3,'Up Max'!A:A,'Up Max'!D:D,)</f>
        <v/>
      </c>
      <c r="Q3" s="57" t="str">
        <f t="array" ref="Q3">_xlfn.XLOOKUP(B3,'Up Stats'!A:A,'Up Stats'!E:E,)</f>
        <v/>
      </c>
      <c r="R3" s="54" t="str">
        <f>IFERROR(__xludf.DUMMYFUNCTION("if(AND(S3=FALSE,T3=FALSE),,if(S3=T3,JOIN("""",""Static: "",S3),JOIN("""",""Min:  "",S3, CHAR(10),""Max: "",T3)))"),"")</f>
        <v/>
      </c>
      <c r="S3" s="55" t="str">
        <f t="array" ref="S3">_xlfn.XLOOKUP(B3,'Up Min'!A:A,'Up Min'!E:E,)</f>
        <v/>
      </c>
      <c r="T3" s="55" t="str">
        <f t="array" ref="T3">_xlfn.XLOOKUP(B3,'Up Max'!A:A,'Up Max'!E:E,)</f>
        <v/>
      </c>
      <c r="U3" s="57" t="str">
        <f t="array" ref="U3">_xlfn.XLOOKUP(B3,'Up Stats'!A:A,'Up Stats'!F:F,)</f>
        <v/>
      </c>
      <c r="V3" s="54" t="str">
        <f>IFERROR(__xludf.DUMMYFUNCTION("if(AND(W3=FALSE,X3=FALSE),,if(W3=X3,JOIN("""",""Static: "",W3),JOIN("""",""Min:  "",W3, CHAR(10),""Max: "",X3)))"),"")</f>
        <v/>
      </c>
      <c r="W3" s="55" t="str">
        <f t="array" ref="W3">_xlfn.XLOOKUP(B3,'Up Min'!A:A,'Up Min'!F:F,)</f>
        <v/>
      </c>
      <c r="X3" s="55" t="str">
        <f t="array" ref="X3">_xlfn.XLOOKUP(B3,'Up Max'!A:A,'Up Max'!F:F,)</f>
        <v/>
      </c>
      <c r="Y3" s="57" t="str">
        <f t="array" ref="Y3">_xlfn.XLOOKUP(B3,'Up Stats'!A:A,'Up Stats'!G:G,)</f>
        <v/>
      </c>
      <c r="Z3" s="54" t="str">
        <f>IFERROR(__xludf.DUMMYFUNCTION("if(AND(AA3=FALSE,AB3=FALSE),,if(AA3=AB3,JOIN("""",""Static: "",AA3),JOIN("""",""Min:  "",AA3, CHAR(10),""Max: "",AB3)))"),"")</f>
        <v/>
      </c>
      <c r="AA3" s="55" t="str">
        <f t="array" ref="AA3">_xlfn.XLOOKUP(B3,'Up Min'!A:A,'Up Min'!G:G,)</f>
        <v/>
      </c>
      <c r="AB3" s="55" t="str">
        <f t="array" ref="AB3">_xlfn.XLOOKUP(B3,'Up Max'!A:A,'Up Max'!G:G,)</f>
        <v/>
      </c>
      <c r="AC3" s="57" t="str">
        <f t="array" ref="AC3">_xlfn.XLOOKUP(B3,'Up Stats'!A:A,'Up Stats'!H:H,)</f>
        <v/>
      </c>
      <c r="AD3" s="54" t="str">
        <f>IFERROR(__xludf.DUMMYFUNCTION("if(AND(AE3=FALSE,AF3=FALSE),,if(AE3=AF3,JOIN("""",""Static: "",AE3),JOIN("""",""Min:  "",AE3, CHAR(10),""Max: "",AF3)))"),"")</f>
        <v/>
      </c>
      <c r="AE3" s="55" t="str">
        <f t="array" ref="AE3">_xlfn.XLOOKUP(B3,'Up Min'!A:A,'Up Min'!H:H,)</f>
        <v/>
      </c>
      <c r="AF3" s="55" t="str">
        <f t="array" ref="AF3">_xlfn.XLOOKUP(B3,'Up Max'!A:A,'Up Max'!H:H,)</f>
        <v/>
      </c>
      <c r="AG3" s="57" t="str">
        <f t="array" ref="AG3">_xlfn.XLOOKUP(B3,'Up Stats'!A:A,'Up Stats'!I:I,)</f>
        <v/>
      </c>
      <c r="AH3" s="54" t="str">
        <f>IFERROR(__xludf.DUMMYFUNCTION("if(AND(AI3=FALSE,AJ3=FALSE),,if(AI3=AJ3,JOIN("""",""Static: "",AI3),JOIN("""",""Min:  "",AI3, CHAR(10),""Max: "",AJ3)))"),"")</f>
        <v/>
      </c>
      <c r="AI3" s="55" t="str">
        <f t="array" ref="AI3">_xlfn.XLOOKUP(B3,'Up Min'!A:A,'Up Min'!I:I,)</f>
        <v/>
      </c>
      <c r="AJ3" s="55" t="str">
        <f t="array" ref="AJ3">_xlfn.XLOOKUP(B3,'Up Max'!A:A,'Up Max'!I:I,)</f>
        <v/>
      </c>
      <c r="AK3" s="57" t="str">
        <f t="array" ref="AK3">_xlfn.XLOOKUP(B3,'Up Stats'!A:A,'Up Stats'!J:J,)</f>
        <v/>
      </c>
      <c r="AL3" s="54" t="str">
        <f>IFERROR(__xludf.DUMMYFUNCTION("if(AND(AM3=FALSE,AN3=FALSE),,if(AM3=AN3,JOIN("""",""Static: "",AM3),JOIN("""",""Min:  "",AM3, CHAR(10),""Max: "",AN3)))"),"")</f>
        <v/>
      </c>
      <c r="AM3" s="55" t="str">
        <f t="array" ref="AM3">_xlfn.XLOOKUP(B3,'Up Min'!A:A,'Up Min'!J:J,)</f>
        <v/>
      </c>
      <c r="AN3" s="55" t="str">
        <f t="array" ref="AN3">_xlfn.XLOOKUP(B3,'Up Max'!A:A,'Up Max'!J:J,)</f>
        <v/>
      </c>
      <c r="AO3" s="51" t="str">
        <f t="array" ref="AO3">CONCATENATE(_xlfn.XLOOKUP(B3,'Up Cells'!A:A,'Up Cells'!B:B,))</f>
        <v>1</v>
      </c>
      <c r="AP3" s="51" t="str">
        <f t="array" ref="AP3">CONCATENATE(_xlfn.XLOOKUP(B3,'Up Rarity'!A:A,'Up Rarity'!B:B,),CHAR(10),"-")</f>
        <v>Contraband
-</v>
      </c>
    </row>
    <row r="4">
      <c r="A4" s="60" t="str">
        <f t="array" ref="A4">_xlfn.XLOOKUP(B4,'Up Icon'!A:A,'Up Icon'!B:B,)</f>
        <v/>
      </c>
      <c r="B4" s="34" t="str">
        <f t="array" ref="B4">HYPERLINK(_xlfn.XLOOKUP('Up Names'!A40,'Up Wiki'!A:A,'Up Wiki'!B:B,),'Up Names'!A40)</f>
        <v>Boundary Incursion</v>
      </c>
      <c r="C4" s="37" t="str">
        <f t="array" ref="C4">_xlfn.XLOOKUP(B4,'Up Desc'!A:A,'Up Desc'!B:B,)</f>
        <v>Increases the size of your upgrade grid.</v>
      </c>
      <c r="D4" s="37" t="str">
        <f t="array" ref="D4">_xlfn.XLOOKUP(B4,'Up Turbo'!A:A,'Up Turbo'!B:B,)</f>
        <v>n/a</v>
      </c>
      <c r="E4" s="39" t="str">
        <f t="array" ref="E4">_xlfn.XLOOKUP(B4,'Up Stats'!A:A,'Up Stats'!B:B,)</f>
        <v/>
      </c>
      <c r="F4" s="40" t="str">
        <f>IFERROR(__xludf.DUMMYFUNCTION("if(AND(G4=FALSE,H4=FALSE),,if(G4=H4,JOIN("""",""Static: "",G4),JOIN("""",""Min:  "",G4, CHAR(10),""Max: "",H4)))"),"")</f>
        <v/>
      </c>
      <c r="G4" s="41" t="str">
        <f t="array" ref="G4">_xlfn.XLOOKUP(B4,'Up Min'!A:A,'Up Min'!B:B,)</f>
        <v/>
      </c>
      <c r="H4" s="41" t="str">
        <f t="array" ref="H4">_xlfn.XLOOKUP(B4,'Up Max'!A:A,'Up Max'!B:B,)</f>
        <v/>
      </c>
      <c r="I4" s="39" t="str">
        <f t="array" ref="I4">_xlfn.XLOOKUP(B4,'Up Stats'!A:A,'Up Stats'!C:C,)</f>
        <v/>
      </c>
      <c r="J4" s="40" t="str">
        <f>IFERROR(__xludf.DUMMYFUNCTION("if(AND(K4=FALSE,L4=FALSE),,if(K4=L4,JOIN("""",""Static: "",K4),JOIN("""",""Min:  "",K4, CHAR(10),""Max: "",L4)))"),"")</f>
        <v/>
      </c>
      <c r="K4" s="42" t="str">
        <f t="array" ref="K4">_xlfn.XLOOKUP(B4,'Up Min'!A:A,'Up Min'!C:C,)</f>
        <v/>
      </c>
      <c r="L4" s="42" t="str">
        <f t="array" ref="L4">_xlfn.XLOOKUP(B4,'Up Max'!A:A,'Up Max'!C:C,)</f>
        <v/>
      </c>
      <c r="M4" s="48" t="str">
        <f t="array" ref="M4">_xlfn.XLOOKUP(B4,'Up Stats'!A:A,'Up Stats'!D:D,)</f>
        <v/>
      </c>
      <c r="N4" s="40" t="str">
        <f>IFERROR(__xludf.DUMMYFUNCTION("if(AND(O4=FALSE,P4=FALSE),,if(O4=P4,JOIN("""",""Static: "",O4),JOIN("""",""Min:  "",O4, CHAR(10),""Max: "",P4)))"),"")</f>
        <v/>
      </c>
      <c r="O4" s="42" t="str">
        <f t="array" ref="O4">_xlfn.XLOOKUP(B4,'Up Min'!A:A,'Up Min'!D:D,)</f>
        <v/>
      </c>
      <c r="P4" s="42" t="str">
        <f t="array" ref="P4">_xlfn.XLOOKUP(B4,'Up Max'!A:A,'Up Max'!D:D,)</f>
        <v/>
      </c>
      <c r="Q4" s="48" t="str">
        <f t="array" ref="Q4">_xlfn.XLOOKUP(B4,'Up Stats'!A:A,'Up Stats'!E:E,)</f>
        <v/>
      </c>
      <c r="R4" s="40" t="str">
        <f>IFERROR(__xludf.DUMMYFUNCTION("if(AND(S4=FALSE,T4=FALSE),,if(S4=T4,JOIN("""",""Static: "",S4),JOIN("""",""Min:  "",S4, CHAR(10),""Max: "",T4)))"),"")</f>
        <v/>
      </c>
      <c r="S4" s="42" t="str">
        <f t="array" ref="S4">_xlfn.XLOOKUP(B4,'Up Min'!A:A,'Up Min'!E:E,)</f>
        <v/>
      </c>
      <c r="T4" s="42" t="str">
        <f t="array" ref="T4">_xlfn.XLOOKUP(B4,'Up Max'!A:A,'Up Max'!E:E,)</f>
        <v/>
      </c>
      <c r="U4" s="48" t="str">
        <f t="array" ref="U4">_xlfn.XLOOKUP(B4,'Up Stats'!A:A,'Up Stats'!F:F,)</f>
        <v/>
      </c>
      <c r="V4" s="40" t="str">
        <f>IFERROR(__xludf.DUMMYFUNCTION("if(AND(W4=FALSE,X4=FALSE),,if(W4=X4,JOIN("""",""Static: "",W4),JOIN("""",""Min:  "",W4, CHAR(10),""Max: "",X4)))"),"")</f>
        <v/>
      </c>
      <c r="W4" s="42" t="str">
        <f t="array" ref="W4">_xlfn.XLOOKUP(B4,'Up Min'!A:A,'Up Min'!F:F,)</f>
        <v/>
      </c>
      <c r="X4" s="42" t="str">
        <f t="array" ref="X4">_xlfn.XLOOKUP(B4,'Up Max'!A:A,'Up Max'!F:F,)</f>
        <v/>
      </c>
      <c r="Y4" s="48" t="str">
        <f t="array" ref="Y4">_xlfn.XLOOKUP(B4,'Up Stats'!A:A,'Up Stats'!G:G,)</f>
        <v/>
      </c>
      <c r="Z4" s="40" t="str">
        <f>IFERROR(__xludf.DUMMYFUNCTION("if(AND(AA4=FALSE,AB4=FALSE),,if(AA4=AB4,JOIN("""",""Static: "",AA4),JOIN("""",""Min:  "",AA4, CHAR(10),""Max: "",AB4)))"),"")</f>
        <v/>
      </c>
      <c r="AA4" s="42" t="str">
        <f t="array" ref="AA4">_xlfn.XLOOKUP(B4,'Up Min'!A:A,'Up Min'!G:G,)</f>
        <v/>
      </c>
      <c r="AB4" s="42" t="str">
        <f t="array" ref="AB4">_xlfn.XLOOKUP(B4,'Up Max'!A:A,'Up Max'!G:G,)</f>
        <v/>
      </c>
      <c r="AC4" s="48" t="str">
        <f t="array" ref="AC4">_xlfn.XLOOKUP(B4,'Up Stats'!A:A,'Up Stats'!H:H,)</f>
        <v/>
      </c>
      <c r="AD4" s="40" t="str">
        <f>IFERROR(__xludf.DUMMYFUNCTION("if(AND(AE4=FALSE,AF4=FALSE),,if(AE4=AF4,JOIN("""",""Static: "",AE4),JOIN("""",""Min:  "",AE4, CHAR(10),""Max: "",AF4)))"),"")</f>
        <v/>
      </c>
      <c r="AE4" s="42" t="str">
        <f t="array" ref="AE4">_xlfn.XLOOKUP(B4,'Up Min'!A:A,'Up Min'!H:H,)</f>
        <v/>
      </c>
      <c r="AF4" s="42" t="str">
        <f t="array" ref="AF4">_xlfn.XLOOKUP(B4,'Up Max'!A:A,'Up Max'!H:H,)</f>
        <v/>
      </c>
      <c r="AG4" s="48" t="str">
        <f t="array" ref="AG4">_xlfn.XLOOKUP(B4,'Up Stats'!A:A,'Up Stats'!I:I,)</f>
        <v/>
      </c>
      <c r="AH4" s="40" t="str">
        <f>IFERROR(__xludf.DUMMYFUNCTION("if(AND(AI4=FALSE,AJ4=FALSE),,if(AI4=AJ4,JOIN("""",""Static: "",AI4),JOIN("""",""Min:  "",AI4, CHAR(10),""Max: "",AJ4)))"),"")</f>
        <v/>
      </c>
      <c r="AI4" s="42" t="str">
        <f t="array" ref="AI4">_xlfn.XLOOKUP(B4,'Up Min'!A:A,'Up Min'!I:I,)</f>
        <v/>
      </c>
      <c r="AJ4" s="42" t="str">
        <f t="array" ref="AJ4">_xlfn.XLOOKUP(B4,'Up Max'!A:A,'Up Max'!I:I,)</f>
        <v/>
      </c>
      <c r="AK4" s="48" t="str">
        <f t="array" ref="AK4">_xlfn.XLOOKUP(B4,'Up Stats'!A:A,'Up Stats'!J:J,)</f>
        <v/>
      </c>
      <c r="AL4" s="40" t="str">
        <f>IFERROR(__xludf.DUMMYFUNCTION("if(AND(AM4=FALSE,AN4=FALSE),,if(AM4=AN4,JOIN("""",""Static: "",AM4),JOIN("""",""Min:  "",AM4, CHAR(10),""Max: "",AN4)))"),"")</f>
        <v/>
      </c>
      <c r="AM4" s="42" t="str">
        <f t="array" ref="AM4">_xlfn.XLOOKUP(B4,'Up Min'!A:A,'Up Min'!J:J,)</f>
        <v/>
      </c>
      <c r="AN4" s="42" t="str">
        <f t="array" ref="AN4">_xlfn.XLOOKUP(B4,'Up Max'!A:A,'Up Max'!J:J,)</f>
        <v/>
      </c>
      <c r="AO4" s="34" t="str">
        <f t="array" ref="AO4">CONCATENATE(_xlfn.XLOOKUP(B4,'Up Cells'!A:A,'Up Cells'!B:B,))</f>
        <v>1</v>
      </c>
      <c r="AP4" s="34" t="str">
        <f t="array" ref="AP4">CONCATENATE(_xlfn.XLOOKUP(B4,'Up Rarity'!A:A,'Up Rarity'!B:B,),CHAR(10),"-")</f>
        <v>Oddity
-</v>
      </c>
    </row>
    <row r="5">
      <c r="A5" s="62" t="str">
        <f t="array" ref="A5">_xlfn.XLOOKUP(B5,'Up Icon'!A:A,'Up Icon'!B:B,)</f>
        <v/>
      </c>
      <c r="B5" s="63" t="str">
        <f t="array" ref="B5">HYPERLINK(_xlfn.XLOOKUP('Up Names'!A2,'Up Wiki'!A:A,'Up Wiki'!B:B,),'Up Names'!A2)</f>
        <v>Corrode Siphon</v>
      </c>
      <c r="C5" s="52" t="str">
        <f t="array" ref="C5">_xlfn.XLOOKUP(B5,'Up Desc'!A:A,'Up Desc'!B:B,)</f>
        <v>Enemies you corrode with any weapon have a chance to return ammo to the magazine over time.</v>
      </c>
      <c r="D5" s="52" t="str">
        <f t="array" ref="D5">_xlfn.XLOOKUP(B5,'Up Turbo'!A:A,'Up Turbo'!B:B,)</f>
        <v/>
      </c>
      <c r="E5" s="53" t="str">
        <f t="array" ref="E5">_xlfn.XLOOKUP(B5,'Up Stats'!A:A,'Up Stats'!B:B,)</f>
        <v>Chance</v>
      </c>
      <c r="F5" s="54" t="str">
        <f>IFERROR(__xludf.DUMMYFUNCTION("if(AND(G5=FALSE,H5=FALSE),,if(G5=H5,JOIN("""",""Static: "",G5),JOIN("""",""Min:  "",G5, CHAR(10),""Max: "",H5)))"),"Min:  18%
Max: 24%")</f>
        <v>Min:  18%
Max: 24%</v>
      </c>
      <c r="G5" s="59">
        <f t="array" ref="G5">_xlfn.XLOOKUP(B5,'Up Min'!A:A,'Up Min'!B:B,)</f>
        <v>0.18</v>
      </c>
      <c r="H5" s="59">
        <f t="array" ref="H5">_xlfn.XLOOKUP(B5,'Up Max'!A:A,'Up Max'!B:B,)</f>
        <v>0.24</v>
      </c>
      <c r="I5" s="53" t="str">
        <f t="array" ref="I5">_xlfn.XLOOKUP(B5,'Up Stats'!A:A,'Up Stats'!C:C,)</f>
        <v>Ammo Refunded</v>
      </c>
      <c r="J5" s="54" t="str">
        <f>IFERROR(__xludf.DUMMYFUNCTION("if(AND(K5=FALSE,L5=FALSE),,if(K5=L5,JOIN("""",""Static: "",K5),JOIN("""",""Min:  "",K5, CHAR(10),""Max: "",L5)))"),"Static: 3")</f>
        <v>Static: 3</v>
      </c>
      <c r="K5" s="65">
        <f t="array" ref="K5">_xlfn.XLOOKUP(B5,'Up Min'!A:A,'Up Min'!C:C,)</f>
        <v>3</v>
      </c>
      <c r="L5" s="64">
        <f t="array" ref="L5">_xlfn.XLOOKUP(B5,'Up Max'!A:A,'Up Max'!C:C,)</f>
        <v>3</v>
      </c>
      <c r="M5" s="53" t="str">
        <f t="array" ref="M5">_xlfn.XLOOKUP(B5,'Up Stats'!A:A,'Up Stats'!D:D,)</f>
        <v/>
      </c>
      <c r="N5" s="54" t="str">
        <f>IFERROR(__xludf.DUMMYFUNCTION("if(AND(O5=FALSE,P5=FALSE),,if(O5=P5,JOIN("""",""Static: "",O5),JOIN("""",""Min:  "",O5, CHAR(10),""Max: "",P5)))"),"")</f>
        <v/>
      </c>
      <c r="O5" s="55" t="str">
        <f t="array" ref="O5">_xlfn.XLOOKUP(B5,'Up Min'!A:A,'Up Min'!D:D,)</f>
        <v/>
      </c>
      <c r="P5" s="55" t="str">
        <f t="array" ref="P5">_xlfn.XLOOKUP(B5,'Up Max'!A:A,'Up Max'!D:D,)</f>
        <v/>
      </c>
      <c r="Q5" s="57" t="str">
        <f t="array" ref="Q5">_xlfn.XLOOKUP(B5,'Up Stats'!A:A,'Up Stats'!E:E,)</f>
        <v/>
      </c>
      <c r="R5" s="54" t="str">
        <f>IFERROR(__xludf.DUMMYFUNCTION("if(AND(S5=FALSE,T5=FALSE),,if(S5=T5,JOIN("""",""Static: "",S5),JOIN("""",""Min:  "",S5, CHAR(10),""Max: "",T5)))"),"")</f>
        <v/>
      </c>
      <c r="S5" s="55" t="str">
        <f t="array" ref="S5">_xlfn.XLOOKUP(B5,'Up Min'!A:A,'Up Min'!E:E,)</f>
        <v/>
      </c>
      <c r="T5" s="55" t="str">
        <f t="array" ref="T5">_xlfn.XLOOKUP(B5,'Up Max'!A:A,'Up Max'!E:E,)</f>
        <v/>
      </c>
      <c r="U5" s="57" t="str">
        <f t="array" ref="U5">_xlfn.XLOOKUP(B5,'Up Stats'!A:A,'Up Stats'!F:F,)</f>
        <v/>
      </c>
      <c r="V5" s="54" t="str">
        <f>IFERROR(__xludf.DUMMYFUNCTION("if(AND(W5=FALSE,X5=FALSE),,if(W5=X5,JOIN("""",""Static: "",W5),JOIN("""",""Min:  "",W5, CHAR(10),""Max: "",X5)))"),"")</f>
        <v/>
      </c>
      <c r="W5" s="55" t="str">
        <f t="array" ref="W5">_xlfn.XLOOKUP(B5,'Up Min'!A:A,'Up Min'!F:F,)</f>
        <v/>
      </c>
      <c r="X5" s="55" t="str">
        <f t="array" ref="X5">_xlfn.XLOOKUP(B5,'Up Max'!A:A,'Up Max'!F:F,)</f>
        <v/>
      </c>
      <c r="Y5" s="57" t="str">
        <f t="array" ref="Y5">_xlfn.XLOOKUP(B5,'Up Stats'!A:A,'Up Stats'!G:G,)</f>
        <v/>
      </c>
      <c r="Z5" s="54" t="str">
        <f>IFERROR(__xludf.DUMMYFUNCTION("if(AND(AA5=FALSE,AB5=FALSE),,if(AA5=AB5,JOIN("""",""Static: "",AA5),JOIN("""",""Min:  "",AA5, CHAR(10),""Max: "",AB5)))"),"")</f>
        <v/>
      </c>
      <c r="AA5" s="55" t="str">
        <f t="array" ref="AA5">_xlfn.XLOOKUP(B5,'Up Min'!A:A,'Up Min'!G:G,)</f>
        <v/>
      </c>
      <c r="AB5" s="55" t="str">
        <f t="array" ref="AB5">_xlfn.XLOOKUP(B5,'Up Max'!A:A,'Up Max'!G:G,)</f>
        <v/>
      </c>
      <c r="AC5" s="57" t="str">
        <f t="array" ref="AC5">_xlfn.XLOOKUP(B5,'Up Stats'!A:A,'Up Stats'!H:H,)</f>
        <v/>
      </c>
      <c r="AD5" s="54" t="str">
        <f>IFERROR(__xludf.DUMMYFUNCTION("if(AND(AE5=FALSE,AF5=FALSE),,if(AE5=AF5,JOIN("""",""Static: "",AE5),JOIN("""",""Min:  "",AE5, CHAR(10),""Max: "",AF5)))"),"")</f>
        <v/>
      </c>
      <c r="AE5" s="55" t="str">
        <f t="array" ref="AE5">_xlfn.XLOOKUP(B5,'Up Min'!A:A,'Up Min'!H:H,)</f>
        <v/>
      </c>
      <c r="AF5" s="55" t="str">
        <f t="array" ref="AF5">_xlfn.XLOOKUP(B5,'Up Max'!A:A,'Up Max'!H:H,)</f>
        <v/>
      </c>
      <c r="AG5" s="57" t="str">
        <f t="array" ref="AG5">_xlfn.XLOOKUP(B5,'Up Stats'!A:A,'Up Stats'!I:I,)</f>
        <v/>
      </c>
      <c r="AH5" s="54" t="str">
        <f>IFERROR(__xludf.DUMMYFUNCTION("if(AND(AI5=FALSE,AJ5=FALSE),,if(AI5=AJ5,JOIN("""",""Static: "",AI5),JOIN("""",""Min:  "",AI5, CHAR(10),""Max: "",AJ5)))"),"")</f>
        <v/>
      </c>
      <c r="AI5" s="55" t="str">
        <f t="array" ref="AI5">_xlfn.XLOOKUP(B5,'Up Min'!A:A,'Up Min'!I:I,)</f>
        <v/>
      </c>
      <c r="AJ5" s="55" t="str">
        <f t="array" ref="AJ5">_xlfn.XLOOKUP(B5,'Up Max'!A:A,'Up Max'!I:I,)</f>
        <v/>
      </c>
      <c r="AK5" s="57" t="str">
        <f t="array" ref="AK5">_xlfn.XLOOKUP(B5,'Up Stats'!A:A,'Up Stats'!J:J,)</f>
        <v/>
      </c>
      <c r="AL5" s="54" t="str">
        <f>IFERROR(__xludf.DUMMYFUNCTION("if(AND(AM5=FALSE,AN5=FALSE),,if(AM5=AN5,JOIN("""",""Static: "",AM5),JOIN("""",""Min:  "",AM5, CHAR(10),""Max: "",AN5)))"),"")</f>
        <v/>
      </c>
      <c r="AM5" s="55" t="str">
        <f t="array" ref="AM5">_xlfn.XLOOKUP(B5,'Up Min'!A:A,'Up Min'!J:J,)</f>
        <v/>
      </c>
      <c r="AN5" s="55" t="str">
        <f t="array" ref="AN5">_xlfn.XLOOKUP(B5,'Up Max'!A:A,'Up Max'!J:J,)</f>
        <v/>
      </c>
      <c r="AO5" s="51" t="str">
        <f t="array" ref="AO5">CONCATENATE(_xlfn.XLOOKUP(B5,'Up Cells'!A:A,'Up Cells'!B:B,))</f>
        <v>6</v>
      </c>
      <c r="AP5" s="51" t="str">
        <f t="array" ref="AP5">CONCATENATE(_xlfn.XLOOKUP(B5,'Up Rarity'!A:A,'Up Rarity'!B:B,),CHAR(10),"-")</f>
        <v>Exotic
-</v>
      </c>
    </row>
    <row r="6">
      <c r="A6" s="62" t="str">
        <f t="array" ref="A6">_xlfn.XLOOKUP(B6,'Up Icon'!A:A,'Up Icon'!B:B,)</f>
        <v/>
      </c>
      <c r="B6" s="66" t="str">
        <f t="array" ref="B6">HYPERLINK(_xlfn.XLOOKUP('Up Names'!A3,'Up Wiki'!A:A,'Up Wiki'!B:B,),'Up Names'!A3)</f>
        <v>Infinity Burn</v>
      </c>
      <c r="C6" s="37" t="str">
        <f t="array" ref="C6">_xlfn.XLOOKUP(B6,'Up Desc'!A:A,'Up Desc'!B:B,)</f>
        <v>Gain infinite ammo. Sustained fire damages you according to this gun's element.</v>
      </c>
      <c r="D6" s="37" t="str">
        <f t="array" ref="D6">_xlfn.XLOOKUP(B6,'Up Turbo'!A:A,'Up Turbo'!B:B,)</f>
        <v/>
      </c>
      <c r="E6" s="39" t="str">
        <f t="array" ref="E6">_xlfn.XLOOKUP(B6,'Up Stats'!A:A,'Up Stats'!B:B,)</f>
        <v>Damage Threshold</v>
      </c>
      <c r="F6" s="40" t="str">
        <f>IFERROR(__xludf.DUMMYFUNCTION("if(AND(G6=FALSE,H6=FALSE),,if(G6=H6,JOIN("""",""Static: "",G6),JOIN("""",""Min:  "",G6, CHAR(10),""Max: "",H6)))"),"Min:  32
Max: 45")</f>
        <v>Min:  32
Max: 45</v>
      </c>
      <c r="G6" s="40">
        <f t="array" ref="G6">_xlfn.XLOOKUP(B6,'Up Min'!A:A,'Up Min'!B:B,)</f>
        <v>32</v>
      </c>
      <c r="H6" s="68">
        <f t="array" ref="H6">_xlfn.XLOOKUP(B6,'Up Max'!A:A,'Up Max'!B:B,)</f>
        <v>45</v>
      </c>
      <c r="I6" s="39" t="str">
        <f t="array" ref="I6">_xlfn.XLOOKUP(B6,'Up Stats'!A:A,'Up Stats'!C:C,)</f>
        <v>Damage</v>
      </c>
      <c r="J6" s="40" t="str">
        <f>IFERROR(__xludf.DUMMYFUNCTION("if(AND(K6=FALSE,L6=FALSE),,if(K6=L6,JOIN("""",""Static: "",K6),JOIN("""",""Min:  "",K6, CHAR(10),""Max: "",L6)))"),"Min:  1.76
Max: 2.24")</f>
        <v>Min:  1.76
Max: 2.24</v>
      </c>
      <c r="K6" s="69">
        <f t="array" ref="K6">_xlfn.XLOOKUP(B6,'Up Min'!A:A,'Up Min'!C:C,)</f>
        <v>1.76</v>
      </c>
      <c r="L6" s="69">
        <f t="array" ref="L6">_xlfn.XLOOKUP(B6,'Up Max'!A:A,'Up Max'!C:C,)</f>
        <v>2.24</v>
      </c>
      <c r="M6" s="39" t="str">
        <f t="array" ref="M6">_xlfn.XLOOKUP(B6,'Up Stats'!A:A,'Up Stats'!D:D,)</f>
        <v>Element</v>
      </c>
      <c r="N6" s="40" t="str">
        <f>IFERROR(__xludf.DUMMYFUNCTION("if(AND(O6=FALSE,P6=FALSE),,if(O6=P6,JOIN("""",""Static: "",O6),JOIN("""",""Min:  "",O6, CHAR(10),""Max: "",P6)))"),"Min:  0.44
Max: 0.8")</f>
        <v>Min:  0.44
Max: 0.8</v>
      </c>
      <c r="O6" s="68">
        <f t="array" ref="O6">_xlfn.XLOOKUP(B6,'Up Min'!A:A,'Up Min'!D:D,)</f>
        <v>0.44</v>
      </c>
      <c r="P6" s="69">
        <f t="array" ref="P6">_xlfn.XLOOKUP(B6,'Up Max'!A:A,'Up Max'!D:D,)</f>
        <v>0.8</v>
      </c>
      <c r="Q6" s="48" t="str">
        <f t="array" ref="Q6">_xlfn.XLOOKUP(B6,'Up Stats'!A:A,'Up Stats'!E:E,)</f>
        <v/>
      </c>
      <c r="R6" s="40" t="str">
        <f>IFERROR(__xludf.DUMMYFUNCTION("if(AND(S6=FALSE,T6=FALSE),,if(S6=T6,JOIN("""",""Static: "",S6),JOIN("""",""Min:  "",S6, CHAR(10),""Max: "",T6)))"),"")</f>
        <v/>
      </c>
      <c r="S6" s="45" t="str">
        <f t="array" ref="S6">_xlfn.XLOOKUP(B6,'Up Min'!A:A,'Up Min'!E:E,)</f>
        <v/>
      </c>
      <c r="T6" s="42" t="str">
        <f t="array" ref="T6">_xlfn.XLOOKUP(B6,'Up Max'!A:A,'Up Max'!E:E,)</f>
        <v/>
      </c>
      <c r="U6" s="48" t="str">
        <f t="array" ref="U6">_xlfn.XLOOKUP(B6,'Up Stats'!A:A,'Up Stats'!F:F,)</f>
        <v/>
      </c>
      <c r="V6" s="40" t="str">
        <f>IFERROR(__xludf.DUMMYFUNCTION("if(AND(W6=FALSE,X6=FALSE),,if(W6=X6,JOIN("""",""Static: "",W6),JOIN("""",""Min:  "",W6, CHAR(10),""Max: "",X6)))"),"")</f>
        <v/>
      </c>
      <c r="W6" s="42" t="str">
        <f t="array" ref="W6">_xlfn.XLOOKUP(B6,'Up Min'!A:A,'Up Min'!F:F,)</f>
        <v/>
      </c>
      <c r="X6" s="42" t="str">
        <f t="array" ref="X6">_xlfn.XLOOKUP(B6,'Up Max'!A:A,'Up Max'!F:F,)</f>
        <v/>
      </c>
      <c r="Y6" s="48" t="str">
        <f t="array" ref="Y6">_xlfn.XLOOKUP(B6,'Up Stats'!A:A,'Up Stats'!G:G,)</f>
        <v/>
      </c>
      <c r="Z6" s="40" t="str">
        <f>IFERROR(__xludf.DUMMYFUNCTION("if(AND(AA6=FALSE,AB6=FALSE),,if(AA6=AB6,JOIN("""",""Static: "",AA6),JOIN("""",""Min:  "",AA6, CHAR(10),""Max: "",AB6)))"),"")</f>
        <v/>
      </c>
      <c r="AA6" s="42" t="str">
        <f t="array" ref="AA6">_xlfn.XLOOKUP(B6,'Up Min'!A:A,'Up Min'!G:G,)</f>
        <v/>
      </c>
      <c r="AB6" s="42" t="str">
        <f t="array" ref="AB6">_xlfn.XLOOKUP(B6,'Up Max'!A:A,'Up Max'!G:G,)</f>
        <v/>
      </c>
      <c r="AC6" s="48" t="str">
        <f t="array" ref="AC6">_xlfn.XLOOKUP(B6,'Up Stats'!A:A,'Up Stats'!H:H,)</f>
        <v/>
      </c>
      <c r="AD6" s="40" t="str">
        <f>IFERROR(__xludf.DUMMYFUNCTION("if(AND(AE6=FALSE,AF6=FALSE),,if(AE6=AF6,JOIN("""",""Static: "",AE6),JOIN("""",""Min:  "",AE6, CHAR(10),""Max: "",AF6)))"),"")</f>
        <v/>
      </c>
      <c r="AE6" s="42" t="str">
        <f t="array" ref="AE6">_xlfn.XLOOKUP(B6,'Up Min'!A:A,'Up Min'!H:H,)</f>
        <v/>
      </c>
      <c r="AF6" s="42" t="str">
        <f t="array" ref="AF6">_xlfn.XLOOKUP(B6,'Up Max'!A:A,'Up Max'!H:H,)</f>
        <v/>
      </c>
      <c r="AG6" s="48" t="str">
        <f t="array" ref="AG6">_xlfn.XLOOKUP(B6,'Up Stats'!A:A,'Up Stats'!I:I,)</f>
        <v/>
      </c>
      <c r="AH6" s="40" t="str">
        <f>IFERROR(__xludf.DUMMYFUNCTION("if(AND(AI6=FALSE,AJ6=FALSE),,if(AI6=AJ6,JOIN("""",""Static: "",AI6),JOIN("""",""Min:  "",AI6, CHAR(10),""Max: "",AJ6)))"),"")</f>
        <v/>
      </c>
      <c r="AI6" s="42" t="str">
        <f t="array" ref="AI6">_xlfn.XLOOKUP(B6,'Up Min'!A:A,'Up Min'!I:I,)</f>
        <v/>
      </c>
      <c r="AJ6" s="42" t="str">
        <f t="array" ref="AJ6">_xlfn.XLOOKUP(B6,'Up Max'!A:A,'Up Max'!I:I,)</f>
        <v/>
      </c>
      <c r="AK6" s="48" t="str">
        <f t="array" ref="AK6">_xlfn.XLOOKUP(B6,'Up Stats'!A:A,'Up Stats'!J:J,)</f>
        <v/>
      </c>
      <c r="AL6" s="40" t="str">
        <f>IFERROR(__xludf.DUMMYFUNCTION("if(AND(AM6=FALSE,AN6=FALSE),,if(AM6=AN6,JOIN("""",""Static: "",AM6),JOIN("""",""Min:  "",AM6, CHAR(10),""Max: "",AN6)))"),"")</f>
        <v/>
      </c>
      <c r="AM6" s="42" t="str">
        <f t="array" ref="AM6">_xlfn.XLOOKUP(B6,'Up Min'!A:A,'Up Min'!J:J,)</f>
        <v/>
      </c>
      <c r="AN6" s="42" t="str">
        <f t="array" ref="AN6">_xlfn.XLOOKUP(B6,'Up Max'!A:A,'Up Max'!J:J,)</f>
        <v/>
      </c>
      <c r="AO6" s="34" t="str">
        <f t="array" ref="AO6">CONCATENATE(_xlfn.XLOOKUP(B6,'Up Cells'!A:A,'Up Cells'!B:B,))</f>
        <v>10</v>
      </c>
      <c r="AP6" s="34" t="str">
        <f t="array" ref="AP6">CONCATENATE(_xlfn.XLOOKUP(B6,'Up Rarity'!A:A,'Up Rarity'!B:B,),CHAR(10),"-")</f>
        <v>Exotic
-</v>
      </c>
    </row>
    <row r="7">
      <c r="A7" s="62" t="str">
        <f t="array" ref="A7">_xlfn.XLOOKUP(B7,'Up Icon'!A:A,'Up Icon'!B:B,)</f>
        <v/>
      </c>
      <c r="B7" s="63" t="str">
        <f t="array" ref="B7">HYPERLINK(_xlfn.XLOOKUP('Up Names'!A4,'Up Wiki'!A:A,'Up Wiki'!B:B,),'Up Names'!A4)</f>
        <v>Scorching Detonation</v>
      </c>
      <c r="C7" s="52" t="str">
        <f t="array" ref="C7">_xlfn.XLOOKUP(B7,'Up Desc'!A:A,'Up Desc'!B:B,)</f>
        <v>Killing an ignited target causes it to explode.</v>
      </c>
      <c r="D7" s="52" t="str">
        <f t="array" ref="D7">_xlfn.XLOOKUP(B7,'Up Turbo'!A:A,'Up Turbo'!B:B,)</f>
        <v/>
      </c>
      <c r="E7" s="53" t="str">
        <f t="array" ref="E7">_xlfn.XLOOKUP(B7,'Up Stats'!A:A,'Up Stats'!B:B,)</f>
        <v>Size</v>
      </c>
      <c r="F7" s="54" t="str">
        <f>IFERROR(__xludf.DUMMYFUNCTION("if(AND(G7=FALSE,H7=FALSE),,if(G7=H7,JOIN("""",""Static: "",G7),JOIN("""",""Min:  "",G7, CHAR(10),""Max: "",H7)))"),"Min:  3.6
Max: 4.22")</f>
        <v>Min:  3.6
Max: 4.22</v>
      </c>
      <c r="G7" s="54">
        <f t="array" ref="G7">_xlfn.XLOOKUP(B7,'Up Min'!A:A,'Up Min'!B:B,)</f>
        <v>3.6</v>
      </c>
      <c r="H7" s="65">
        <f t="array" ref="H7">_xlfn.XLOOKUP(B7,'Up Max'!A:A,'Up Max'!B:B,)</f>
        <v>4.22</v>
      </c>
      <c r="I7" s="53" t="str">
        <f t="array" ref="I7">_xlfn.XLOOKUP(B7,'Up Stats'!A:A,'Up Stats'!C:C,)</f>
        <v>Damage</v>
      </c>
      <c r="J7" s="54" t="str">
        <f>IFERROR(__xludf.DUMMYFUNCTION("if(AND(K7=FALSE,L7=FALSE),,if(K7=L7,JOIN("""",""Static: "",K7),JOIN("""",""Min:  "",K7, CHAR(10),""Max: "",L7)))"),"Min:  37.5
Max: 49.5")</f>
        <v>Min:  37.5
Max: 49.5</v>
      </c>
      <c r="K7" s="65">
        <f t="array" ref="K7">_xlfn.XLOOKUP(B7,'Up Min'!A:A,'Up Min'!C:C,)</f>
        <v>37.5</v>
      </c>
      <c r="L7" s="64">
        <f t="array" ref="L7">_xlfn.XLOOKUP(B7,'Up Max'!A:A,'Up Max'!C:C,)</f>
        <v>49.5</v>
      </c>
      <c r="M7" s="53" t="str">
        <f t="array" ref="M7">_xlfn.XLOOKUP(B7,'Up Stats'!A:A,'Up Stats'!D:D,)</f>
        <v/>
      </c>
      <c r="N7" s="54" t="str">
        <f>IFERROR(__xludf.DUMMYFUNCTION("if(AND(O7=FALSE,P7=FALSE),,if(O7=P7,JOIN("""",""Static: "",O7),JOIN("""",""Min:  "",O7, CHAR(10),""Max: "",P7)))"),"")</f>
        <v/>
      </c>
      <c r="O7" s="55" t="str">
        <f t="array" ref="O7">_xlfn.XLOOKUP(B7,'Up Min'!A:A,'Up Min'!D:D,)</f>
        <v/>
      </c>
      <c r="P7" s="55" t="str">
        <f t="array" ref="P7">_xlfn.XLOOKUP(B7,'Up Max'!A:A,'Up Max'!D:D,)</f>
        <v/>
      </c>
      <c r="Q7" s="57" t="str">
        <f t="array" ref="Q7">_xlfn.XLOOKUP(B7,'Up Stats'!A:A,'Up Stats'!E:E,)</f>
        <v/>
      </c>
      <c r="R7" s="54" t="str">
        <f>IFERROR(__xludf.DUMMYFUNCTION("if(AND(S7=FALSE,T7=FALSE),,if(S7=T7,JOIN("""",""Static: "",S7),JOIN("""",""Min:  "",S7, CHAR(10),""Max: "",T7)))"),"")</f>
        <v/>
      </c>
      <c r="S7" s="55" t="str">
        <f t="array" ref="S7">_xlfn.XLOOKUP(B7,'Up Min'!A:A,'Up Min'!E:E,)</f>
        <v/>
      </c>
      <c r="T7" s="55" t="str">
        <f t="array" ref="T7">_xlfn.XLOOKUP(B7,'Up Max'!A:A,'Up Max'!E:E,)</f>
        <v/>
      </c>
      <c r="U7" s="57" t="str">
        <f t="array" ref="U7">_xlfn.XLOOKUP(B7,'Up Stats'!A:A,'Up Stats'!F:F,)</f>
        <v/>
      </c>
      <c r="V7" s="54" t="str">
        <f>IFERROR(__xludf.DUMMYFUNCTION("if(AND(W7=FALSE,X7=FALSE),,if(W7=X7,JOIN("""",""Static: "",W7),JOIN("""",""Min:  "",W7, CHAR(10),""Max: "",X7)))"),"")</f>
        <v/>
      </c>
      <c r="W7" s="55" t="str">
        <f t="array" ref="W7">_xlfn.XLOOKUP(B7,'Up Min'!A:A,'Up Min'!F:F,)</f>
        <v/>
      </c>
      <c r="X7" s="55" t="str">
        <f t="array" ref="X7">_xlfn.XLOOKUP(B7,'Up Max'!A:A,'Up Max'!F:F,)</f>
        <v/>
      </c>
      <c r="Y7" s="57" t="str">
        <f t="array" ref="Y7">_xlfn.XLOOKUP(B7,'Up Stats'!A:A,'Up Stats'!G:G,)</f>
        <v/>
      </c>
      <c r="Z7" s="54" t="str">
        <f>IFERROR(__xludf.DUMMYFUNCTION("if(AND(AA7=FALSE,AB7=FALSE),,if(AA7=AB7,JOIN("""",""Static: "",AA7),JOIN("""",""Min:  "",AA7, CHAR(10),""Max: "",AB7)))"),"")</f>
        <v/>
      </c>
      <c r="AA7" s="55" t="str">
        <f t="array" ref="AA7">_xlfn.XLOOKUP(B7,'Up Min'!A:A,'Up Min'!G:G,)</f>
        <v/>
      </c>
      <c r="AB7" s="55" t="str">
        <f t="array" ref="AB7">_xlfn.XLOOKUP(B7,'Up Max'!A:A,'Up Max'!G:G,)</f>
        <v/>
      </c>
      <c r="AC7" s="57" t="str">
        <f t="array" ref="AC7">_xlfn.XLOOKUP(B7,'Up Stats'!A:A,'Up Stats'!H:H,)</f>
        <v/>
      </c>
      <c r="AD7" s="54" t="str">
        <f>IFERROR(__xludf.DUMMYFUNCTION("if(AND(AE7=FALSE,AF7=FALSE),,if(AE7=AF7,JOIN("""",""Static: "",AE7),JOIN("""",""Min:  "",AE7, CHAR(10),""Max: "",AF7)))"),"")</f>
        <v/>
      </c>
      <c r="AE7" s="55" t="str">
        <f t="array" ref="AE7">_xlfn.XLOOKUP(B7,'Up Min'!A:A,'Up Min'!H:H,)</f>
        <v/>
      </c>
      <c r="AF7" s="55" t="str">
        <f t="array" ref="AF7">_xlfn.XLOOKUP(B7,'Up Max'!A:A,'Up Max'!H:H,)</f>
        <v/>
      </c>
      <c r="AG7" s="57" t="str">
        <f t="array" ref="AG7">_xlfn.XLOOKUP(B7,'Up Stats'!A:A,'Up Stats'!I:I,)</f>
        <v/>
      </c>
      <c r="AH7" s="54" t="str">
        <f>IFERROR(__xludf.DUMMYFUNCTION("if(AND(AI7=FALSE,AJ7=FALSE),,if(AI7=AJ7,JOIN("""",""Static: "",AI7),JOIN("""",""Min:  "",AI7, CHAR(10),""Max: "",AJ7)))"),"")</f>
        <v/>
      </c>
      <c r="AI7" s="55" t="str">
        <f t="array" ref="AI7">_xlfn.XLOOKUP(B7,'Up Min'!A:A,'Up Min'!I:I,)</f>
        <v/>
      </c>
      <c r="AJ7" s="55" t="str">
        <f t="array" ref="AJ7">_xlfn.XLOOKUP(B7,'Up Max'!A:A,'Up Max'!I:I,)</f>
        <v/>
      </c>
      <c r="AK7" s="57" t="str">
        <f t="array" ref="AK7">_xlfn.XLOOKUP(B7,'Up Stats'!A:A,'Up Stats'!J:J,)</f>
        <v/>
      </c>
      <c r="AL7" s="54" t="str">
        <f>IFERROR(__xludf.DUMMYFUNCTION("if(AND(AM7=FALSE,AN7=FALSE),,if(AM7=AN7,JOIN("""",""Static: "",AM7),JOIN("""",""Min:  "",AM7, CHAR(10),""Max: "",AN7)))"),"")</f>
        <v/>
      </c>
      <c r="AM7" s="55" t="str">
        <f t="array" ref="AM7">_xlfn.XLOOKUP(B7,'Up Min'!A:A,'Up Min'!J:J,)</f>
        <v/>
      </c>
      <c r="AN7" s="55" t="str">
        <f t="array" ref="AN7">_xlfn.XLOOKUP(B7,'Up Max'!A:A,'Up Max'!J:J,)</f>
        <v/>
      </c>
      <c r="AO7" s="51" t="str">
        <f t="array" ref="AO7">CONCATENATE(_xlfn.XLOOKUP(B7,'Up Cells'!A:A,'Up Cells'!B:B,))</f>
        <v>7</v>
      </c>
      <c r="AP7" s="51" t="str">
        <f t="array" ref="AP7">CONCATENATE(_xlfn.XLOOKUP(B7,'Up Rarity'!A:A,'Up Rarity'!B:B,),CHAR(10),"-")</f>
        <v>Exotic
-</v>
      </c>
    </row>
    <row r="8">
      <c r="A8" s="62" t="str">
        <f t="array" ref="A8">_xlfn.XLOOKUP(B8,'Up Icon'!A:A,'Up Icon'!B:B,)</f>
        <v/>
      </c>
      <c r="B8" s="66" t="str">
        <f t="array" ref="B8">HYPERLINK(_xlfn.XLOOKUP('Up Names'!A5,'Up Wiki'!A:A,'Up Wiki'!B:B,),'Up Names'!A5)</f>
        <v>Shock Recursion</v>
      </c>
      <c r="C8" s="37" t="str">
        <f t="array" ref="C8">_xlfn.XLOOKUP(B8,'Up Desc'!A:A,'Up Desc'!B:B,)</f>
        <v>Electrocuting a target returns ammo to the magazine.</v>
      </c>
      <c r="D8" s="37" t="str">
        <f t="array" ref="D8">_xlfn.XLOOKUP(B8,'Up Turbo'!A:A,'Up Turbo'!B:B,)</f>
        <v/>
      </c>
      <c r="E8" s="39" t="str">
        <f t="array" ref="E8">_xlfn.XLOOKUP(B8,'Up Stats'!A:A,'Up Stats'!B:B,)</f>
        <v>Ammo Refunded</v>
      </c>
      <c r="F8" s="40" t="str">
        <f>IFERROR(__xludf.DUMMYFUNCTION("if(AND(G8=FALSE,H8=FALSE),,if(G8=H8,JOIN("""",""Static: "",G8),JOIN("""",""Min:  "",G8, CHAR(10),""Max: "",H8)))"),"Min:  8
Max: 23")</f>
        <v>Min:  8
Max: 23</v>
      </c>
      <c r="G8" s="40">
        <f t="array" ref="G8">_xlfn.XLOOKUP(B8,'Up Min'!A:A,'Up Min'!B:B,)</f>
        <v>8</v>
      </c>
      <c r="H8" s="68">
        <f t="array" ref="H8">_xlfn.XLOOKUP(B8,'Up Max'!A:A,'Up Max'!B:B,)</f>
        <v>23</v>
      </c>
      <c r="I8" s="39" t="str">
        <f t="array" ref="I8">_xlfn.XLOOKUP(B8,'Up Stats'!A:A,'Up Stats'!C:C,)</f>
        <v/>
      </c>
      <c r="J8" s="40" t="str">
        <f>IFERROR(__xludf.DUMMYFUNCTION("if(AND(K8=FALSE,L8=FALSE),,if(K8=L8,JOIN("""",""Static: "",K8),JOIN("""",""Min:  "",K8, CHAR(10),""Max: "",L8)))"),"")</f>
        <v/>
      </c>
      <c r="K8" s="42" t="str">
        <f t="array" ref="K8">_xlfn.XLOOKUP(B8,'Up Min'!A:A,'Up Min'!C:C,)</f>
        <v/>
      </c>
      <c r="L8" s="42" t="str">
        <f t="array" ref="L8">_xlfn.XLOOKUP(B8,'Up Max'!A:A,'Up Max'!C:C,)</f>
        <v/>
      </c>
      <c r="M8" s="48" t="str">
        <f t="array" ref="M8">_xlfn.XLOOKUP(B8,'Up Stats'!A:A,'Up Stats'!D:D,)</f>
        <v/>
      </c>
      <c r="N8" s="40" t="str">
        <f>IFERROR(__xludf.DUMMYFUNCTION("if(AND(O8=FALSE,P8=FALSE),,if(O8=P8,JOIN("""",""Static: "",O8),JOIN("""",""Min:  "",O8, CHAR(10),""Max: "",P8)))"),"")</f>
        <v/>
      </c>
      <c r="O8" s="42" t="str">
        <f t="array" ref="O8">_xlfn.XLOOKUP(B8,'Up Min'!A:A,'Up Min'!D:D,)</f>
        <v/>
      </c>
      <c r="P8" s="42" t="str">
        <f t="array" ref="P8">_xlfn.XLOOKUP(B8,'Up Max'!A:A,'Up Max'!D:D,)</f>
        <v/>
      </c>
      <c r="Q8" s="48" t="str">
        <f t="array" ref="Q8">_xlfn.XLOOKUP(B8,'Up Stats'!A:A,'Up Stats'!E:E,)</f>
        <v/>
      </c>
      <c r="R8" s="40" t="str">
        <f>IFERROR(__xludf.DUMMYFUNCTION("if(AND(S8=FALSE,T8=FALSE),,if(S8=T8,JOIN("""",""Static: "",S8),JOIN("""",""Min:  "",S8, CHAR(10),""Max: "",T8)))"),"")</f>
        <v/>
      </c>
      <c r="S8" s="42" t="str">
        <f t="array" ref="S8">_xlfn.XLOOKUP(B8,'Up Min'!A:A,'Up Min'!E:E,)</f>
        <v/>
      </c>
      <c r="T8" s="42" t="str">
        <f t="array" ref="T8">_xlfn.XLOOKUP(B8,'Up Max'!A:A,'Up Max'!E:E,)</f>
        <v/>
      </c>
      <c r="U8" s="48" t="str">
        <f t="array" ref="U8">_xlfn.XLOOKUP(B8,'Up Stats'!A:A,'Up Stats'!F:F,)</f>
        <v/>
      </c>
      <c r="V8" s="40" t="str">
        <f>IFERROR(__xludf.DUMMYFUNCTION("if(AND(W8=FALSE,X8=FALSE),,if(W8=X8,JOIN("""",""Static: "",W8),JOIN("""",""Min:  "",W8, CHAR(10),""Max: "",X8)))"),"")</f>
        <v/>
      </c>
      <c r="W8" s="42" t="str">
        <f t="array" ref="W8">_xlfn.XLOOKUP(B8,'Up Min'!A:A,'Up Min'!F:F,)</f>
        <v/>
      </c>
      <c r="X8" s="42" t="str">
        <f t="array" ref="X8">_xlfn.XLOOKUP(B8,'Up Max'!A:A,'Up Max'!F:F,)</f>
        <v/>
      </c>
      <c r="Y8" s="48" t="str">
        <f t="array" ref="Y8">_xlfn.XLOOKUP(B8,'Up Stats'!A:A,'Up Stats'!G:G,)</f>
        <v/>
      </c>
      <c r="Z8" s="40" t="str">
        <f>IFERROR(__xludf.DUMMYFUNCTION("if(AND(AA8=FALSE,AB8=FALSE),,if(AA8=AB8,JOIN("""",""Static: "",AA8),JOIN("""",""Min:  "",AA8, CHAR(10),""Max: "",AB8)))"),"")</f>
        <v/>
      </c>
      <c r="AA8" s="42" t="str">
        <f t="array" ref="AA8">_xlfn.XLOOKUP(B8,'Up Min'!A:A,'Up Min'!G:G,)</f>
        <v/>
      </c>
      <c r="AB8" s="42" t="str">
        <f t="array" ref="AB8">_xlfn.XLOOKUP(B8,'Up Max'!A:A,'Up Max'!G:G,)</f>
        <v/>
      </c>
      <c r="AC8" s="48" t="str">
        <f t="array" ref="AC8">_xlfn.XLOOKUP(B8,'Up Stats'!A:A,'Up Stats'!H:H,)</f>
        <v/>
      </c>
      <c r="AD8" s="40" t="str">
        <f>IFERROR(__xludf.DUMMYFUNCTION("if(AND(AE8=FALSE,AF8=FALSE),,if(AE8=AF8,JOIN("""",""Static: "",AE8),JOIN("""",""Min:  "",AE8, CHAR(10),""Max: "",AF8)))"),"")</f>
        <v/>
      </c>
      <c r="AE8" s="42" t="str">
        <f t="array" ref="AE8">_xlfn.XLOOKUP(B8,'Up Min'!A:A,'Up Min'!H:H,)</f>
        <v/>
      </c>
      <c r="AF8" s="42" t="str">
        <f t="array" ref="AF8">_xlfn.XLOOKUP(B8,'Up Max'!A:A,'Up Max'!H:H,)</f>
        <v/>
      </c>
      <c r="AG8" s="48" t="str">
        <f t="array" ref="AG8">_xlfn.XLOOKUP(B8,'Up Stats'!A:A,'Up Stats'!I:I,)</f>
        <v/>
      </c>
      <c r="AH8" s="40" t="str">
        <f>IFERROR(__xludf.DUMMYFUNCTION("if(AND(AI8=FALSE,AJ8=FALSE),,if(AI8=AJ8,JOIN("""",""Static: "",AI8),JOIN("""",""Min:  "",AI8, CHAR(10),""Max: "",AJ8)))"),"")</f>
        <v/>
      </c>
      <c r="AI8" s="42" t="str">
        <f t="array" ref="AI8">_xlfn.XLOOKUP(B8,'Up Min'!A:A,'Up Min'!I:I,)</f>
        <v/>
      </c>
      <c r="AJ8" s="42" t="str">
        <f t="array" ref="AJ8">_xlfn.XLOOKUP(B8,'Up Max'!A:A,'Up Max'!I:I,)</f>
        <v/>
      </c>
      <c r="AK8" s="48" t="str">
        <f t="array" ref="AK8">_xlfn.XLOOKUP(B8,'Up Stats'!A:A,'Up Stats'!J:J,)</f>
        <v/>
      </c>
      <c r="AL8" s="40" t="str">
        <f>IFERROR(__xludf.DUMMYFUNCTION("if(AND(AM8=FALSE,AN8=FALSE),,if(AM8=AN8,JOIN("""",""Static: "",AM8),JOIN("""",""Min:  "",AM8, CHAR(10),""Max: "",AN8)))"),"")</f>
        <v/>
      </c>
      <c r="AM8" s="42" t="str">
        <f t="array" ref="AM8">_xlfn.XLOOKUP(B8,'Up Min'!A:A,'Up Min'!J:J,)</f>
        <v/>
      </c>
      <c r="AN8" s="42" t="str">
        <f t="array" ref="AN8">_xlfn.XLOOKUP(B8,'Up Max'!A:A,'Up Max'!J:J,)</f>
        <v/>
      </c>
      <c r="AO8" s="34" t="str">
        <f t="array" ref="AO8">CONCATENATE(_xlfn.XLOOKUP(B8,'Up Cells'!A:A,'Up Cells'!B:B,))</f>
        <v>7</v>
      </c>
      <c r="AP8" s="34" t="str">
        <f t="array" ref="AP8">CONCATENATE(_xlfn.XLOOKUP(B8,'Up Rarity'!A:A,'Up Rarity'!B:B,),CHAR(10),"-")</f>
        <v>Exotic
-</v>
      </c>
    </row>
    <row r="9">
      <c r="A9" s="62" t="str">
        <f t="array" ref="A9">_xlfn.XLOOKUP(B9,'Up Icon'!A:A,'Up Icon'!B:B,)</f>
        <v/>
      </c>
      <c r="B9" s="63" t="str">
        <f t="array" ref="B9">HYPERLINK(_xlfn.XLOOKUP('Up Names'!A6,'Up Wiki'!A:A,'Up Wiki'!B:B,),'Up Names'!A6)</f>
        <v>Violent Ignition</v>
      </c>
      <c r="C9" s="70" t="str">
        <f t="array" ref="C9">_xlfn.XLOOKUP(B9,'Up Desc'!A:A,'Up Desc'!B:B,)</f>
        <v>Igniting a target applies a +5 fire to nearby targets.</v>
      </c>
      <c r="D9" s="52" t="str">
        <f t="array" ref="D9">_xlfn.XLOOKUP(B9,'Up Turbo'!A:A,'Up Turbo'!B:B,)</f>
        <v/>
      </c>
      <c r="E9" s="53" t="str">
        <f t="array" ref="E9">_xlfn.XLOOKUP(B9,'Up Stats'!A:A,'Up Stats'!B:B,)</f>
        <v>Fire Radius</v>
      </c>
      <c r="F9" s="54" t="str">
        <f>IFERROR(__xludf.DUMMYFUNCTION("if(AND(G9=FALSE,H9=FALSE),,if(G9=H9,JOIN("""",""Static: "",G9),JOIN("""",""Min:  "",G9, CHAR(10),""Max: "",H9)))"),"Min:  3.12
Max: 3.39")</f>
        <v>Min:  3.12
Max: 3.39</v>
      </c>
      <c r="G9" s="54">
        <f t="array" ref="G9">_xlfn.XLOOKUP(B9,'Up Min'!A:A,'Up Min'!B:B,)</f>
        <v>3.12</v>
      </c>
      <c r="H9" s="65">
        <f t="array" ref="H9">_xlfn.XLOOKUP(B9,'Up Max'!A:A,'Up Max'!B:B,)</f>
        <v>3.39</v>
      </c>
      <c r="I9" s="53" t="str">
        <f t="array" ref="I9">_xlfn.XLOOKUP(B9,'Up Stats'!A:A,'Up Stats'!C:C,)</f>
        <v>Fire Amount</v>
      </c>
      <c r="J9" s="54" t="str">
        <f>IFERROR(__xludf.DUMMYFUNCTION("if(AND(K9=FALSE,L9=FALSE),,if(K9=L9,JOIN("""",""Static: "",K9),JOIN("""",""Min:  "",K9, CHAR(10),""Max: "",L9)))"),"Min:  1.8
Max: 2.19")</f>
        <v>Min:  1.8
Max: 2.19</v>
      </c>
      <c r="K9" s="65">
        <f t="array" ref="K9">_xlfn.XLOOKUP(B9,'Up Min'!A:A,'Up Min'!C:C,)</f>
        <v>1.8</v>
      </c>
      <c r="L9" s="64">
        <f t="array" ref="L9">_xlfn.XLOOKUP(B9,'Up Max'!A:A,'Up Max'!C:C,)</f>
        <v>2.19</v>
      </c>
      <c r="M9" s="53" t="str">
        <f t="array" ref="M9">_xlfn.XLOOKUP(B9,'Up Stats'!A:A,'Up Stats'!D:D,)</f>
        <v/>
      </c>
      <c r="N9" s="54" t="str">
        <f>IFERROR(__xludf.DUMMYFUNCTION("if(AND(O9=FALSE,P9=FALSE),,if(O9=P9,JOIN("""",""Static: "",O9),JOIN("""",""Min:  "",O9, CHAR(10),""Max: "",P9)))"),"")</f>
        <v/>
      </c>
      <c r="O9" s="55" t="str">
        <f t="array" ref="O9">_xlfn.XLOOKUP(B9,'Up Min'!A:A,'Up Min'!D:D,)</f>
        <v/>
      </c>
      <c r="P9" s="55" t="str">
        <f t="array" ref="P9">_xlfn.XLOOKUP(B9,'Up Max'!A:A,'Up Max'!D:D,)</f>
        <v/>
      </c>
      <c r="Q9" s="57" t="str">
        <f t="array" ref="Q9">_xlfn.XLOOKUP(B9,'Up Stats'!A:A,'Up Stats'!E:E,)</f>
        <v/>
      </c>
      <c r="R9" s="54" t="str">
        <f>IFERROR(__xludf.DUMMYFUNCTION("if(AND(S9=FALSE,T9=FALSE),,if(S9=T9,JOIN("""",""Static: "",S9),JOIN("""",""Min:  "",S9, CHAR(10),""Max: "",T9)))"),"")</f>
        <v/>
      </c>
      <c r="S9" s="55" t="str">
        <f t="array" ref="S9">_xlfn.XLOOKUP(B9,'Up Min'!A:A,'Up Min'!E:E,)</f>
        <v/>
      </c>
      <c r="T9" s="55" t="str">
        <f t="array" ref="T9">_xlfn.XLOOKUP(B9,'Up Max'!A:A,'Up Max'!E:E,)</f>
        <v/>
      </c>
      <c r="U9" s="57" t="str">
        <f t="array" ref="U9">_xlfn.XLOOKUP(B9,'Up Stats'!A:A,'Up Stats'!F:F,)</f>
        <v/>
      </c>
      <c r="V9" s="54" t="str">
        <f>IFERROR(__xludf.DUMMYFUNCTION("if(AND(W9=FALSE,X9=FALSE),,if(W9=X9,JOIN("""",""Static: "",W9),JOIN("""",""Min:  "",W9, CHAR(10),""Max: "",X9)))"),"")</f>
        <v/>
      </c>
      <c r="W9" s="55" t="str">
        <f t="array" ref="W9">_xlfn.XLOOKUP(B9,'Up Min'!A:A,'Up Min'!F:F,)</f>
        <v/>
      </c>
      <c r="X9" s="55" t="str">
        <f t="array" ref="X9">_xlfn.XLOOKUP(B9,'Up Max'!A:A,'Up Max'!F:F,)</f>
        <v/>
      </c>
      <c r="Y9" s="57" t="str">
        <f t="array" ref="Y9">_xlfn.XLOOKUP(B9,'Up Stats'!A:A,'Up Stats'!G:G,)</f>
        <v/>
      </c>
      <c r="Z9" s="54" t="str">
        <f>IFERROR(__xludf.DUMMYFUNCTION("if(AND(AA9=FALSE,AB9=FALSE),,if(AA9=AB9,JOIN("""",""Static: "",AA9),JOIN("""",""Min:  "",AA9, CHAR(10),""Max: "",AB9)))"),"")</f>
        <v/>
      </c>
      <c r="AA9" s="55" t="str">
        <f t="array" ref="AA9">_xlfn.XLOOKUP(B9,'Up Min'!A:A,'Up Min'!G:G,)</f>
        <v/>
      </c>
      <c r="AB9" s="55" t="str">
        <f t="array" ref="AB9">_xlfn.XLOOKUP(B9,'Up Max'!A:A,'Up Max'!G:G,)</f>
        <v/>
      </c>
      <c r="AC9" s="57" t="str">
        <f t="array" ref="AC9">_xlfn.XLOOKUP(B9,'Up Stats'!A:A,'Up Stats'!H:H,)</f>
        <v/>
      </c>
      <c r="AD9" s="54" t="str">
        <f>IFERROR(__xludf.DUMMYFUNCTION("if(AND(AE9=FALSE,AF9=FALSE),,if(AE9=AF9,JOIN("""",""Static: "",AE9),JOIN("""",""Min:  "",AE9, CHAR(10),""Max: "",AF9)))"),"")</f>
        <v/>
      </c>
      <c r="AE9" s="55" t="str">
        <f t="array" ref="AE9">_xlfn.XLOOKUP(B9,'Up Min'!A:A,'Up Min'!H:H,)</f>
        <v/>
      </c>
      <c r="AF9" s="55" t="str">
        <f t="array" ref="AF9">_xlfn.XLOOKUP(B9,'Up Max'!A:A,'Up Max'!H:H,)</f>
        <v/>
      </c>
      <c r="AG9" s="57" t="str">
        <f t="array" ref="AG9">_xlfn.XLOOKUP(B9,'Up Stats'!A:A,'Up Stats'!I:I,)</f>
        <v/>
      </c>
      <c r="AH9" s="54" t="str">
        <f>IFERROR(__xludf.DUMMYFUNCTION("if(AND(AI9=FALSE,AJ9=FALSE),,if(AI9=AJ9,JOIN("""",""Static: "",AI9),JOIN("""",""Min:  "",AI9, CHAR(10),""Max: "",AJ9)))"),"")</f>
        <v/>
      </c>
      <c r="AI9" s="55" t="str">
        <f t="array" ref="AI9">_xlfn.XLOOKUP(B9,'Up Min'!A:A,'Up Min'!I:I,)</f>
        <v/>
      </c>
      <c r="AJ9" s="55" t="str">
        <f t="array" ref="AJ9">_xlfn.XLOOKUP(B9,'Up Max'!A:A,'Up Max'!I:I,)</f>
        <v/>
      </c>
      <c r="AK9" s="57" t="str">
        <f t="array" ref="AK9">_xlfn.XLOOKUP(B9,'Up Stats'!A:A,'Up Stats'!J:J,)</f>
        <v/>
      </c>
      <c r="AL9" s="54" t="str">
        <f>IFERROR(__xludf.DUMMYFUNCTION("if(AND(AM9=FALSE,AN9=FALSE),,if(AM9=AN9,JOIN("""",""Static: "",AM9),JOIN("""",""Min:  "",AM9, CHAR(10),""Max: "",AN9)))"),"")</f>
        <v/>
      </c>
      <c r="AM9" s="55" t="str">
        <f t="array" ref="AM9">_xlfn.XLOOKUP(B9,'Up Min'!A:A,'Up Min'!J:J,)</f>
        <v/>
      </c>
      <c r="AN9" s="55" t="str">
        <f t="array" ref="AN9">_xlfn.XLOOKUP(B9,'Up Max'!A:A,'Up Max'!J:J,)</f>
        <v/>
      </c>
      <c r="AO9" s="51" t="str">
        <f t="array" ref="AO9">CONCATENATE(_xlfn.XLOOKUP(B9,'Up Cells'!A:A,'Up Cells'!B:B,))</f>
        <v>7</v>
      </c>
      <c r="AP9" s="51" t="str">
        <f t="array" ref="AP9">CONCATENATE(_xlfn.XLOOKUP(B9,'Up Rarity'!A:A,'Up Rarity'!B:B,),CHAR(10),"-")</f>
        <v>Exotic
-</v>
      </c>
    </row>
    <row r="10">
      <c r="A10" s="75" t="str">
        <f t="array" ref="A10">_xlfn.XLOOKUP(B10,'Up Icon'!A:A,'Up Icon'!B:B,)</f>
        <v/>
      </c>
      <c r="B10" s="66" t="str">
        <f t="array" ref="B10">HYPERLINK(_xlfn.XLOOKUP('Up Names'!A7,'Up Wiki'!A:A,'Up Wiki'!B:B,),'Up Names'!A7)</f>
        <v>Cycling Repairs</v>
      </c>
      <c r="C10" s="37" t="str">
        <f t="array" ref="C10">_xlfn.XLOOKUP(B10,'Up Desc'!A:A,'Up Desc'!B:B,)</f>
        <v>While constantly shooting, every 15th bullet fired will heal you.</v>
      </c>
      <c r="D10" s="37" t="str">
        <f t="array" ref="D10">_xlfn.XLOOKUP(B10,'Up Turbo'!A:A,'Up Turbo'!B:B,)</f>
        <v>n/a</v>
      </c>
      <c r="E10" s="39" t="str">
        <f t="array" ref="E10">_xlfn.XLOOKUP(B10,'Up Stats'!A:A,'Up Stats'!B:B,)</f>
        <v>Health</v>
      </c>
      <c r="F10" s="40" t="str">
        <f>IFERROR(__xludf.DUMMYFUNCTION("if(AND(G10=FALSE,H10=FALSE),,if(G10=H10,JOIN("""",""Static: "",G10),JOIN("""",""Min:  "",G10, CHAR(10),""Max: "",H10)))"),"Min:  0.8
Max: 1.2")</f>
        <v>Min:  0.8
Max: 1.2</v>
      </c>
      <c r="G10" s="40">
        <f t="array" ref="G10">_xlfn.XLOOKUP(B10,'Up Min'!A:A,'Up Min'!B:B,)</f>
        <v>0.8</v>
      </c>
      <c r="H10" s="68">
        <f t="array" ref="H10">_xlfn.XLOOKUP(B10,'Up Max'!A:A,'Up Max'!B:B,)</f>
        <v>1.2</v>
      </c>
      <c r="I10" s="39" t="str">
        <f t="array" ref="I10">_xlfn.XLOOKUP(B10,'Up Stats'!A:A,'Up Stats'!C:C,)</f>
        <v/>
      </c>
      <c r="J10" s="40" t="str">
        <f>IFERROR(__xludf.DUMMYFUNCTION("if(AND(K10=FALSE,L10=FALSE),,if(K10=L10,JOIN("""",""Static: "",K10),JOIN("""",""Min:  "",K10, CHAR(10),""Max: "",L10)))"),"")</f>
        <v/>
      </c>
      <c r="K10" s="42" t="str">
        <f t="array" ref="K10">_xlfn.XLOOKUP(B10,'Up Min'!A:A,'Up Min'!C:C,)</f>
        <v/>
      </c>
      <c r="L10" s="42" t="str">
        <f t="array" ref="L10">_xlfn.XLOOKUP(B10,'Up Max'!A:A,'Up Max'!C:C,)</f>
        <v/>
      </c>
      <c r="M10" s="48" t="str">
        <f t="array" ref="M10">_xlfn.XLOOKUP(B10,'Up Stats'!A:A,'Up Stats'!D:D,)</f>
        <v/>
      </c>
      <c r="N10" s="40" t="str">
        <f>IFERROR(__xludf.DUMMYFUNCTION("if(AND(O10=FALSE,P10=FALSE),,if(O10=P10,JOIN("""",""Static: "",O10),JOIN("""",""Min:  "",O10, CHAR(10),""Max: "",P10)))"),"")</f>
        <v/>
      </c>
      <c r="O10" s="42" t="str">
        <f t="array" ref="O10">_xlfn.XLOOKUP(B10,'Up Min'!A:A,'Up Min'!D:D,)</f>
        <v/>
      </c>
      <c r="P10" s="42" t="str">
        <f t="array" ref="P10">_xlfn.XLOOKUP(B10,'Up Max'!A:A,'Up Max'!D:D,)</f>
        <v/>
      </c>
      <c r="Q10" s="48" t="str">
        <f t="array" ref="Q10">_xlfn.XLOOKUP(B10,'Up Stats'!A:A,'Up Stats'!E:E,)</f>
        <v/>
      </c>
      <c r="R10" s="40" t="str">
        <f>IFERROR(__xludf.DUMMYFUNCTION("if(AND(S10=FALSE,T10=FALSE),,if(S10=T10,JOIN("""",""Static: "",S10),JOIN("""",""Min:  "",S10, CHAR(10),""Max: "",T10)))"),"")</f>
        <v/>
      </c>
      <c r="S10" s="42" t="str">
        <f t="array" ref="S10">_xlfn.XLOOKUP(B10,'Up Min'!A:A,'Up Min'!E:E,)</f>
        <v/>
      </c>
      <c r="T10" s="42" t="str">
        <f t="array" ref="T10">_xlfn.XLOOKUP(B10,'Up Max'!A:A,'Up Max'!E:E,)</f>
        <v/>
      </c>
      <c r="U10" s="48" t="str">
        <f t="array" ref="U10">_xlfn.XLOOKUP(B10,'Up Stats'!A:A,'Up Stats'!F:F,)</f>
        <v/>
      </c>
      <c r="V10" s="40" t="str">
        <f>IFERROR(__xludf.DUMMYFUNCTION("if(AND(W10=FALSE,X10=FALSE),,if(W10=X10,JOIN("""",""Static: "",W10),JOIN("""",""Min:  "",W10, CHAR(10),""Max: "",X10)))"),"")</f>
        <v/>
      </c>
      <c r="W10" s="42" t="str">
        <f t="array" ref="W10">_xlfn.XLOOKUP(B10,'Up Min'!A:A,'Up Min'!F:F,)</f>
        <v/>
      </c>
      <c r="X10" s="42" t="str">
        <f t="array" ref="X10">_xlfn.XLOOKUP(B10,'Up Max'!A:A,'Up Max'!F:F,)</f>
        <v/>
      </c>
      <c r="Y10" s="48" t="str">
        <f t="array" ref="Y10">_xlfn.XLOOKUP(B10,'Up Stats'!A:A,'Up Stats'!G:G,)</f>
        <v/>
      </c>
      <c r="Z10" s="40" t="str">
        <f>IFERROR(__xludf.DUMMYFUNCTION("if(AND(AA10=FALSE,AB10=FALSE),,if(AA10=AB10,JOIN("""",""Static: "",AA10),JOIN("""",""Min:  "",AA10, CHAR(10),""Max: "",AB10)))"),"")</f>
        <v/>
      </c>
      <c r="AA10" s="42" t="str">
        <f t="array" ref="AA10">_xlfn.XLOOKUP(B10,'Up Min'!A:A,'Up Min'!G:G,)</f>
        <v/>
      </c>
      <c r="AB10" s="42" t="str">
        <f t="array" ref="AB10">_xlfn.XLOOKUP(B10,'Up Max'!A:A,'Up Max'!G:G,)</f>
        <v/>
      </c>
      <c r="AC10" s="48" t="str">
        <f t="array" ref="AC10">_xlfn.XLOOKUP(B10,'Up Stats'!A:A,'Up Stats'!H:H,)</f>
        <v/>
      </c>
      <c r="AD10" s="40" t="str">
        <f>IFERROR(__xludf.DUMMYFUNCTION("if(AND(AE10=FALSE,AF10=FALSE),,if(AE10=AF10,JOIN("""",""Static: "",AE10),JOIN("""",""Min:  "",AE10, CHAR(10),""Max: "",AF10)))"),"")</f>
        <v/>
      </c>
      <c r="AE10" s="42" t="str">
        <f t="array" ref="AE10">_xlfn.XLOOKUP(B10,'Up Min'!A:A,'Up Min'!H:H,)</f>
        <v/>
      </c>
      <c r="AF10" s="42" t="str">
        <f t="array" ref="AF10">_xlfn.XLOOKUP(B10,'Up Max'!A:A,'Up Max'!H:H,)</f>
        <v/>
      </c>
      <c r="AG10" s="48" t="str">
        <f t="array" ref="AG10">_xlfn.XLOOKUP(B10,'Up Stats'!A:A,'Up Stats'!I:I,)</f>
        <v/>
      </c>
      <c r="AH10" s="40" t="str">
        <f>IFERROR(__xludf.DUMMYFUNCTION("if(AND(AI10=FALSE,AJ10=FALSE),,if(AI10=AJ10,JOIN("""",""Static: "",AI10),JOIN("""",""Min:  "",AI10, CHAR(10),""Max: "",AJ10)))"),"")</f>
        <v/>
      </c>
      <c r="AI10" s="42" t="str">
        <f t="array" ref="AI10">_xlfn.XLOOKUP(B10,'Up Min'!A:A,'Up Min'!I:I,)</f>
        <v/>
      </c>
      <c r="AJ10" s="42" t="str">
        <f t="array" ref="AJ10">_xlfn.XLOOKUP(B10,'Up Max'!A:A,'Up Max'!I:I,)</f>
        <v/>
      </c>
      <c r="AK10" s="48" t="str">
        <f t="array" ref="AK10">_xlfn.XLOOKUP(B10,'Up Stats'!A:A,'Up Stats'!J:J,)</f>
        <v/>
      </c>
      <c r="AL10" s="40" t="str">
        <f>IFERROR(__xludf.DUMMYFUNCTION("if(AND(AM10=FALSE,AN10=FALSE),,if(AM10=AN10,JOIN("""",""Static: "",AM10),JOIN("""",""Min:  "",AM10, CHAR(10),""Max: "",AN10)))"),"")</f>
        <v/>
      </c>
      <c r="AM10" s="42" t="str">
        <f t="array" ref="AM10">_xlfn.XLOOKUP(B10,'Up Min'!A:A,'Up Min'!J:J,)</f>
        <v/>
      </c>
      <c r="AN10" s="42" t="str">
        <f t="array" ref="AN10">_xlfn.XLOOKUP(B10,'Up Max'!A:A,'Up Max'!J:J,)</f>
        <v/>
      </c>
      <c r="AO10" s="34" t="str">
        <f t="array" ref="AO10">CONCATENATE(_xlfn.XLOOKUP(B10,'Up Cells'!A:A,'Up Cells'!B:B,))</f>
        <v>6</v>
      </c>
      <c r="AP10" s="34" t="str">
        <f t="array" ref="AP10">CONCATENATE(_xlfn.XLOOKUP(B10,'Up Rarity'!A:A,'Up Rarity'!B:B,),CHAR(10),"-")</f>
        <v>Epic
-</v>
      </c>
    </row>
    <row r="11">
      <c r="A11" s="75" t="str">
        <f t="array" ref="A11">_xlfn.XLOOKUP(B11,'Up Icon'!A:A,'Up Icon'!B:B,)</f>
        <v/>
      </c>
      <c r="B11" s="63" t="str">
        <f t="array" ref="B11">HYPERLINK(_xlfn.XLOOKUP('Up Names'!A8,'Up Wiki'!A:A,'Up Wiki'!B:B,),'Up Names'!A8)</f>
        <v>Dump Charge</v>
      </c>
      <c r="C11" s="52" t="str">
        <f t="array" ref="C11">_xlfn.XLOOKUP(B11,'Up Desc'!A:A,'Up Desc'!B:B,)</f>
        <v>Hold the trigger to build charge. Upon release, all prepared ammo is fired very quickly.</v>
      </c>
      <c r="D11" s="52" t="str">
        <f t="array" ref="D11">_xlfn.XLOOKUP(B11,'Up Turbo'!A:A,'Up Turbo'!B:B,)</f>
        <v>n/a</v>
      </c>
      <c r="E11" s="53" t="str">
        <f t="array" ref="E11">_xlfn.XLOOKUP(B11,'Up Stats'!A:A,'Up Stats'!B:B,)</f>
        <v>Fire Rate</v>
      </c>
      <c r="F11" s="54" t="str">
        <f>IFERROR(__xludf.DUMMYFUNCTION("if(AND(G11=FALSE,H11=FALSE),,if(G11=H11,JOIN("""",""Static: "",G11),JOIN("""",""Min:  "",G11, CHAR(10),""Max: "",H11)))"),"Min:  150%
Max: 92.30%")</f>
        <v>Min:  150%
Max: 92.30%</v>
      </c>
      <c r="G11" s="59">
        <f t="array" ref="G11">_xlfn.XLOOKUP(B11,'Up Min'!A:A,'Up Min'!B:B,)</f>
        <v>1.5</v>
      </c>
      <c r="H11" s="71">
        <f t="array" ref="H11">_xlfn.XLOOKUP(B11,'Up Max'!A:A,'Up Max'!B:B,)</f>
        <v>0.923</v>
      </c>
      <c r="I11" s="53" t="str">
        <f t="array" ref="I11">_xlfn.XLOOKUP(B11,'Up Stats'!A:A,'Up Stats'!C:C,)</f>
        <v>Charge Time</v>
      </c>
      <c r="J11" s="54" t="str">
        <f>IFERROR(__xludf.DUMMYFUNCTION("if(AND(K11=FALSE,L11=FALSE),,if(K11=L11,JOIN("""",""Static: "",K11),JOIN("""",""Min:  "",K11, CHAR(10),""Max: "",L11)))"),"Min:  1.35
Max: 1.65")</f>
        <v>Min:  1.35
Max: 1.65</v>
      </c>
      <c r="K11" s="65">
        <f t="array" ref="K11">_xlfn.XLOOKUP(B11,'Up Min'!A:A,'Up Min'!C:C,)</f>
        <v>1.35</v>
      </c>
      <c r="L11" s="64">
        <f t="array" ref="L11">_xlfn.XLOOKUP(B11,'Up Max'!A:A,'Up Max'!C:C,)</f>
        <v>1.65</v>
      </c>
      <c r="M11" s="53" t="str">
        <f t="array" ref="M11">_xlfn.XLOOKUP(B11,'Up Stats'!A:A,'Up Stats'!D:D,)</f>
        <v>Horizontal Recoil</v>
      </c>
      <c r="N11" s="54" t="str">
        <f>IFERROR(__xludf.DUMMYFUNCTION("if(AND(O11=FALSE,P11=FALSE),,if(O11=P11,JOIN("""",""Static: "",O11),JOIN("""",""Min:  "",O11, CHAR(10),""Max: "",P11)))"),"Min:  0.75
Max: 0.85")</f>
        <v>Min:  0.75
Max: 0.85</v>
      </c>
      <c r="O11" s="65">
        <f t="array" ref="O11">_xlfn.XLOOKUP(B11,'Up Min'!A:A,'Up Min'!D:D,)</f>
        <v>0.75</v>
      </c>
      <c r="P11" s="65">
        <f t="array" ref="P11">_xlfn.XLOOKUP(B11,'Up Max'!A:A,'Up Max'!D:D,)</f>
        <v>0.85</v>
      </c>
      <c r="Q11" s="57" t="str">
        <f t="array" ref="Q11">_xlfn.XLOOKUP(B11,'Up Stats'!A:A,'Up Stats'!E:E,)</f>
        <v>Vertical Recoil</v>
      </c>
      <c r="R11" s="54" t="str">
        <f>IFERROR(__xludf.DUMMYFUNCTION("if(AND(S11=FALSE,T11=FALSE),,if(S11=T11,JOIN("""",""Static: "",S11),JOIN("""",""Min:  "",S11, CHAR(10),""Max: "",T11)))"),"Min:  -55%
Max: -45%")</f>
        <v>Min:  -55%
Max: -45%</v>
      </c>
      <c r="S11" s="59">
        <f t="array" ref="S11">_xlfn.XLOOKUP(B11,'Up Min'!A:A,'Up Min'!E:E,)</f>
        <v>-0.55</v>
      </c>
      <c r="T11" s="59">
        <f t="array" ref="T11">_xlfn.XLOOKUP(B11,'Up Max'!A:A,'Up Max'!E:E,)</f>
        <v>-0.45</v>
      </c>
      <c r="U11" s="53" t="str">
        <f t="array" ref="U11">_xlfn.XLOOKUP(B11,'Up Stats'!A:A,'Up Stats'!F:F,)</f>
        <v/>
      </c>
      <c r="V11" s="54" t="str">
        <f>IFERROR(__xludf.DUMMYFUNCTION("if(AND(W11=FALSE,X11=FALSE),,if(W11=X11,JOIN("""",""Static: "",W11),JOIN("""",""Min:  "",W11, CHAR(10),""Max: "",X11)))"),"")</f>
        <v/>
      </c>
      <c r="W11" s="56" t="str">
        <f t="array" ref="W11">_xlfn.XLOOKUP(B11,'Up Min'!A:A,'Up Min'!F:F,)</f>
        <v/>
      </c>
      <c r="X11" s="56" t="str">
        <f t="array" ref="X11">_xlfn.XLOOKUP(B11,'Up Max'!A:A,'Up Max'!F:F,)</f>
        <v/>
      </c>
      <c r="Y11" s="53" t="str">
        <f t="array" ref="Y11">_xlfn.XLOOKUP(B11,'Up Stats'!A:A,'Up Stats'!G:G,)</f>
        <v/>
      </c>
      <c r="Z11" s="54" t="str">
        <f>IFERROR(__xludf.DUMMYFUNCTION("if(AND(AA11=FALSE,AB11=FALSE),,if(AA11=AB11,JOIN("""",""Static: "",AA11),JOIN("""",""Min:  "",AA11, CHAR(10),""Max: "",AB11)))"),"")</f>
        <v/>
      </c>
      <c r="AA11" s="55" t="str">
        <f t="array" ref="AA11">_xlfn.XLOOKUP(B11,'Up Min'!A:A,'Up Min'!G:G,)</f>
        <v/>
      </c>
      <c r="AB11" s="56" t="str">
        <f t="array" ref="AB11">_xlfn.XLOOKUP(B11,'Up Max'!A:A,'Up Max'!G:G,)</f>
        <v/>
      </c>
      <c r="AC11" s="53" t="str">
        <f t="array" ref="AC11">_xlfn.XLOOKUP(B11,'Up Stats'!A:A,'Up Stats'!H:H,)</f>
        <v/>
      </c>
      <c r="AD11" s="54" t="str">
        <f>IFERROR(__xludf.DUMMYFUNCTION("if(AND(AE11=FALSE,AF11=FALSE),,if(AE11=AF11,JOIN("""",""Static: "",AE11),JOIN("""",""Min:  "",AE11, CHAR(10),""Max: "",AF11)))"),"")</f>
        <v/>
      </c>
      <c r="AE11" s="55" t="str">
        <f t="array" ref="AE11">_xlfn.XLOOKUP(B11,'Up Min'!A:A,'Up Min'!H:H,)</f>
        <v/>
      </c>
      <c r="AF11" s="55" t="str">
        <f t="array" ref="AF11">_xlfn.XLOOKUP(B11,'Up Max'!A:A,'Up Max'!H:H,)</f>
        <v/>
      </c>
      <c r="AG11" s="57" t="str">
        <f t="array" ref="AG11">_xlfn.XLOOKUP(B11,'Up Stats'!A:A,'Up Stats'!I:I,)</f>
        <v/>
      </c>
      <c r="AH11" s="54" t="str">
        <f>IFERROR(__xludf.DUMMYFUNCTION("if(AND(AI11=FALSE,AJ11=FALSE),,if(AI11=AJ11,JOIN("""",""Static: "",AI11),JOIN("""",""Min:  "",AI11, CHAR(10),""Max: "",AJ11)))"),"")</f>
        <v/>
      </c>
      <c r="AI11" s="55" t="str">
        <f t="array" ref="AI11">_xlfn.XLOOKUP(B11,'Up Min'!A:A,'Up Min'!I:I,)</f>
        <v/>
      </c>
      <c r="AJ11" s="55" t="str">
        <f t="array" ref="AJ11">_xlfn.XLOOKUP(B11,'Up Max'!A:A,'Up Max'!I:I,)</f>
        <v/>
      </c>
      <c r="AK11" s="57" t="str">
        <f t="array" ref="AK11">_xlfn.XLOOKUP(B11,'Up Stats'!A:A,'Up Stats'!J:J,)</f>
        <v/>
      </c>
      <c r="AL11" s="54" t="str">
        <f>IFERROR(__xludf.DUMMYFUNCTION("if(AND(AM11=FALSE,AN11=FALSE),,if(AM11=AN11,JOIN("""",""Static: "",AM11),JOIN("""",""Min:  "",AM11, CHAR(10),""Max: "",AN11)))"),"")</f>
        <v/>
      </c>
      <c r="AM11" s="55" t="str">
        <f t="array" ref="AM11">_xlfn.XLOOKUP(B11,'Up Min'!A:A,'Up Min'!J:J,)</f>
        <v/>
      </c>
      <c r="AN11" s="55" t="str">
        <f t="array" ref="AN11">_xlfn.XLOOKUP(B11,'Up Max'!A:A,'Up Max'!J:J,)</f>
        <v/>
      </c>
      <c r="AO11" s="51" t="str">
        <f t="array" ref="AO11">CONCATENATE(_xlfn.XLOOKUP(B11,'Up Cells'!A:A,'Up Cells'!B:B,))</f>
        <v>5</v>
      </c>
      <c r="AP11" s="51" t="str">
        <f t="array" ref="AP11">CONCATENATE(_xlfn.XLOOKUP(B11,'Up Rarity'!A:A,'Up Rarity'!B:B,),CHAR(10),"-")</f>
        <v>Epic
-</v>
      </c>
    </row>
    <row r="12">
      <c r="A12" s="75" t="str">
        <f t="array" ref="A12">_xlfn.XLOOKUP(B12,'Up Icon'!A:A,'Up Icon'!B:B,)</f>
        <v/>
      </c>
      <c r="B12" s="66" t="str">
        <f t="array" ref="B12">HYPERLINK(_xlfn.XLOOKUP('Up Names'!A9,'Up Wiki'!A:A,'Up Wiki'!B:B,),'Up Names'!A9)</f>
        <v>Equipment Siphon</v>
      </c>
      <c r="C12" s="37" t="str">
        <f t="array" ref="C12">_xlfn.XLOOKUP(B12,'Up Desc'!A:A,'Up Desc'!B:B,)</f>
        <v>Dealing damage with other gear returns ammo to the magazine. Reload speed is slightly decreased.</v>
      </c>
      <c r="D12" s="37" t="str">
        <f t="array" ref="D12">_xlfn.XLOOKUP(B12,'Up Turbo'!A:A,'Up Turbo'!B:B,)</f>
        <v>n/a</v>
      </c>
      <c r="E12" s="39" t="str">
        <f t="array" ref="E12">_xlfn.XLOOKUP(B12,'Up Stats'!A:A,'Up Stats'!B:B,)</f>
        <v>Ammo Efficiency</v>
      </c>
      <c r="F12" s="40" t="str">
        <f>IFERROR(__xludf.DUMMYFUNCTION("if(AND(G12=FALSE,H12=FALSE),,if(G12=H12,JOIN("""",""Static: "",G12),JOIN("""",""Min:  "",G12, CHAR(10),""Max: "",H12)))"),"Min:  1.06
Max: 1.5")</f>
        <v>Min:  1.06
Max: 1.5</v>
      </c>
      <c r="G12" s="40">
        <f t="array" ref="G12">_xlfn.XLOOKUP(B12,'Up Min'!A:A,'Up Min'!B:B,)</f>
        <v>1.06</v>
      </c>
      <c r="H12" s="68">
        <f t="array" ref="H12">_xlfn.XLOOKUP(B12,'Up Max'!A:A,'Up Max'!B:B,)</f>
        <v>1.5</v>
      </c>
      <c r="I12" s="39" t="str">
        <f t="array" ref="I12">_xlfn.XLOOKUP(B12,'Up Stats'!A:A,'Up Stats'!C:C,)</f>
        <v>Reload Speed</v>
      </c>
      <c r="J12" s="40" t="str">
        <f>IFERROR(__xludf.DUMMYFUNCTION("if(AND(K12=FALSE,L12=FALSE),,if(K12=L12,JOIN("""",""Static: "",K12),JOIN("""",""Min:  "",K12, CHAR(10),""Max: "",L12)))"),"Min:  -8.26%
Max: -16.67%")</f>
        <v>Min:  -8.26%
Max: -16.67%</v>
      </c>
      <c r="K12" s="78">
        <f t="array" ref="K12">_xlfn.XLOOKUP(B12,'Up Min'!A:A,'Up Min'!C:C,)</f>
        <v>-0.0826</v>
      </c>
      <c r="L12" s="78">
        <f t="array" ref="L12">_xlfn.XLOOKUP(B12,'Up Max'!A:A,'Up Max'!C:C,)</f>
        <v>-0.1667</v>
      </c>
      <c r="M12" s="39" t="str">
        <f t="array" ref="M12">_xlfn.XLOOKUP(B12,'Up Stats'!A:A,'Up Stats'!D:D,)</f>
        <v/>
      </c>
      <c r="N12" s="40" t="str">
        <f>IFERROR(__xludf.DUMMYFUNCTION("if(AND(O12=FALSE,P12=FALSE),,if(O12=P12,JOIN("""",""Static: "",O12),JOIN("""",""Min:  "",O12, CHAR(10),""Max: "",P12)))"),"")</f>
        <v/>
      </c>
      <c r="O12" s="42" t="str">
        <f t="array" ref="O12">_xlfn.XLOOKUP(B12,'Up Min'!A:A,'Up Min'!D:D,)</f>
        <v/>
      </c>
      <c r="P12" s="42" t="str">
        <f t="array" ref="P12">_xlfn.XLOOKUP(B12,'Up Max'!A:A,'Up Max'!D:D,)</f>
        <v/>
      </c>
      <c r="Q12" s="48" t="str">
        <f t="array" ref="Q12">_xlfn.XLOOKUP(B12,'Up Stats'!A:A,'Up Stats'!E:E,)</f>
        <v/>
      </c>
      <c r="R12" s="40" t="str">
        <f>IFERROR(__xludf.DUMMYFUNCTION("if(AND(S12=FALSE,T12=FALSE),,if(S12=T12,JOIN("""",""Static: "",S12),JOIN("""",""Min:  "",S12, CHAR(10),""Max: "",T12)))"),"")</f>
        <v/>
      </c>
      <c r="S12" s="42" t="str">
        <f t="array" ref="S12">_xlfn.XLOOKUP(B12,'Up Min'!A:A,'Up Min'!E:E,)</f>
        <v/>
      </c>
      <c r="T12" s="42" t="str">
        <f t="array" ref="T12">_xlfn.XLOOKUP(B12,'Up Max'!A:A,'Up Max'!E:E,)</f>
        <v/>
      </c>
      <c r="U12" s="48" t="str">
        <f t="array" ref="U12">_xlfn.XLOOKUP(B12,'Up Stats'!A:A,'Up Stats'!F:F,)</f>
        <v/>
      </c>
      <c r="V12" s="40" t="str">
        <f>IFERROR(__xludf.DUMMYFUNCTION("if(AND(W12=FALSE,X12=FALSE),,if(W12=X12,JOIN("""",""Static: "",W12),JOIN("""",""Min:  "",W12, CHAR(10),""Max: "",X12)))"),"")</f>
        <v/>
      </c>
      <c r="W12" s="42" t="str">
        <f t="array" ref="W12">_xlfn.XLOOKUP(B12,'Up Min'!A:A,'Up Min'!F:F,)</f>
        <v/>
      </c>
      <c r="X12" s="42" t="str">
        <f t="array" ref="X12">_xlfn.XLOOKUP(B12,'Up Max'!A:A,'Up Max'!F:F,)</f>
        <v/>
      </c>
      <c r="Y12" s="48" t="str">
        <f t="array" ref="Y12">_xlfn.XLOOKUP(B12,'Up Stats'!A:A,'Up Stats'!G:G,)</f>
        <v/>
      </c>
      <c r="Z12" s="40" t="str">
        <f>IFERROR(__xludf.DUMMYFUNCTION("if(AND(AA12=FALSE,AB12=FALSE),,if(AA12=AB12,JOIN("""",""Static: "",AA12),JOIN("""",""Min:  "",AA12, CHAR(10),""Max: "",AB12)))"),"")</f>
        <v/>
      </c>
      <c r="AA12" s="42" t="str">
        <f t="array" ref="AA12">_xlfn.XLOOKUP(B12,'Up Min'!A:A,'Up Min'!G:G,)</f>
        <v/>
      </c>
      <c r="AB12" s="42" t="str">
        <f t="array" ref="AB12">_xlfn.XLOOKUP(B12,'Up Max'!A:A,'Up Max'!G:G,)</f>
        <v/>
      </c>
      <c r="AC12" s="48" t="str">
        <f t="array" ref="AC12">_xlfn.XLOOKUP(B12,'Up Stats'!A:A,'Up Stats'!H:H,)</f>
        <v/>
      </c>
      <c r="AD12" s="40" t="str">
        <f>IFERROR(__xludf.DUMMYFUNCTION("if(AND(AE12=FALSE,AF12=FALSE),,if(AE12=AF12,JOIN("""",""Static: "",AE12),JOIN("""",""Min:  "",AE12, CHAR(10),""Max: "",AF12)))"),"")</f>
        <v/>
      </c>
      <c r="AE12" s="42" t="str">
        <f t="array" ref="AE12">_xlfn.XLOOKUP(B12,'Up Min'!A:A,'Up Min'!H:H,)</f>
        <v/>
      </c>
      <c r="AF12" s="42" t="str">
        <f t="array" ref="AF12">_xlfn.XLOOKUP(B12,'Up Max'!A:A,'Up Max'!H:H,)</f>
        <v/>
      </c>
      <c r="AG12" s="48" t="str">
        <f t="array" ref="AG12">_xlfn.XLOOKUP(B12,'Up Stats'!A:A,'Up Stats'!I:I,)</f>
        <v/>
      </c>
      <c r="AH12" s="40" t="str">
        <f>IFERROR(__xludf.DUMMYFUNCTION("if(AND(AI12=FALSE,AJ12=FALSE),,if(AI12=AJ12,JOIN("""",""Static: "",AI12),JOIN("""",""Min:  "",AI12, CHAR(10),""Max: "",AJ12)))"),"")</f>
        <v/>
      </c>
      <c r="AI12" s="42" t="str">
        <f t="array" ref="AI12">_xlfn.XLOOKUP(B12,'Up Min'!A:A,'Up Min'!I:I,)</f>
        <v/>
      </c>
      <c r="AJ12" s="42" t="str">
        <f t="array" ref="AJ12">_xlfn.XLOOKUP(B12,'Up Max'!A:A,'Up Max'!I:I,)</f>
        <v/>
      </c>
      <c r="AK12" s="48" t="str">
        <f t="array" ref="AK12">_xlfn.XLOOKUP(B12,'Up Stats'!A:A,'Up Stats'!J:J,)</f>
        <v/>
      </c>
      <c r="AL12" s="40" t="str">
        <f>IFERROR(__xludf.DUMMYFUNCTION("if(AND(AM12=FALSE,AN12=FALSE),,if(AM12=AN12,JOIN("""",""Static: "",AM12),JOIN("""",""Min:  "",AM12, CHAR(10),""Max: "",AN12)))"),"")</f>
        <v/>
      </c>
      <c r="AM12" s="42" t="str">
        <f t="array" ref="AM12">_xlfn.XLOOKUP(B12,'Up Min'!A:A,'Up Min'!J:J,)</f>
        <v/>
      </c>
      <c r="AN12" s="42" t="str">
        <f t="array" ref="AN12">_xlfn.XLOOKUP(B12,'Up Max'!A:A,'Up Max'!J:J,)</f>
        <v/>
      </c>
      <c r="AO12" s="34" t="str">
        <f t="array" ref="AO12">CONCATENATE(_xlfn.XLOOKUP(B12,'Up Cells'!A:A,'Up Cells'!B:B,))</f>
        <v>4</v>
      </c>
      <c r="AP12" s="34" t="str">
        <f t="array" ref="AP12">CONCATENATE(_xlfn.XLOOKUP(B12,'Up Rarity'!A:A,'Up Rarity'!B:B,),CHAR(10),"-")</f>
        <v>Epic
-</v>
      </c>
    </row>
    <row r="13">
      <c r="A13" s="75" t="str">
        <f t="array" ref="A13">_xlfn.XLOOKUP(B13,'Up Icon'!A:A,'Up Icon'!B:B,)</f>
        <v/>
      </c>
      <c r="B13" s="63" t="str">
        <f t="array" ref="B13">HYPERLINK(_xlfn.XLOOKUP('Up Names'!A10,'Up Wiki'!A:A,'Up Wiki'!B:B,),'Up Names'!A10)</f>
        <v>Extralight Frame</v>
      </c>
      <c r="C13" s="70" t="str">
        <f t="array" ref="C13">_xlfn.XLOOKUP(B13,'Up Desc'!A:A,'Up Desc'!B:B,)</f>
        <v>Fire while sprinting.</v>
      </c>
      <c r="D13" s="52" t="str">
        <f t="array" ref="D13">_xlfn.XLOOKUP(B13,'Up Turbo'!A:A,'Up Turbo'!B:B,)</f>
        <v>n/a</v>
      </c>
      <c r="E13" s="57" t="str">
        <f t="array" ref="E13">_xlfn.XLOOKUP(B13,'Up Stats'!A:A,'Up Stats'!B:B,)</f>
        <v/>
      </c>
      <c r="F13" s="54" t="str">
        <f>IFERROR(__xludf.DUMMYFUNCTION("if(AND(G13=FALSE,H13=FALSE),,if(G13=H13,JOIN("""",""Static: "",G13),JOIN("""",""Min:  "",G13, CHAR(10),""Max: "",H13)))"),"")</f>
        <v/>
      </c>
      <c r="G13" s="81" t="str">
        <f t="array" ref="G13">_xlfn.XLOOKUP(B13,'Up Min'!A:A,'Up Min'!B:B,)</f>
        <v/>
      </c>
      <c r="H13" s="55" t="str">
        <f t="array" ref="H13">_xlfn.XLOOKUP(B13,'Up Max'!A:A,'Up Max'!B:B,)</f>
        <v/>
      </c>
      <c r="I13" s="57" t="str">
        <f t="array" ref="I13">_xlfn.XLOOKUP(B13,'Up Stats'!A:A,'Up Stats'!C:C,)</f>
        <v/>
      </c>
      <c r="J13" s="54" t="str">
        <f>IFERROR(__xludf.DUMMYFUNCTION("if(AND(K13=FALSE,L13=FALSE),,if(K13=L13,JOIN("""",""Static: "",K13),JOIN("""",""Min:  "",K13, CHAR(10),""Max: "",L13)))"),"")</f>
        <v/>
      </c>
      <c r="K13" s="55" t="str">
        <f t="array" ref="K13">_xlfn.XLOOKUP(B13,'Up Min'!A:A,'Up Min'!C:C,)</f>
        <v/>
      </c>
      <c r="L13" s="55" t="str">
        <f t="array" ref="L13">_xlfn.XLOOKUP(B13,'Up Max'!A:A,'Up Max'!C:C,)</f>
        <v/>
      </c>
      <c r="M13" s="57" t="str">
        <f t="array" ref="M13">_xlfn.XLOOKUP(B13,'Up Stats'!A:A,'Up Stats'!D:D,)</f>
        <v/>
      </c>
      <c r="N13" s="54" t="str">
        <f>IFERROR(__xludf.DUMMYFUNCTION("if(AND(O13=FALSE,P13=FALSE),,if(O13=P13,JOIN("""",""Static: "",O13),JOIN("""",""Min:  "",O13, CHAR(10),""Max: "",P13)))"),"")</f>
        <v/>
      </c>
      <c r="O13" s="55" t="str">
        <f t="array" ref="O13">_xlfn.XLOOKUP(B13,'Up Min'!A:A,'Up Min'!D:D,)</f>
        <v/>
      </c>
      <c r="P13" s="55" t="str">
        <f t="array" ref="P13">_xlfn.XLOOKUP(B13,'Up Max'!A:A,'Up Max'!D:D,)</f>
        <v/>
      </c>
      <c r="Q13" s="57" t="str">
        <f t="array" ref="Q13">_xlfn.XLOOKUP(B13,'Up Stats'!A:A,'Up Stats'!E:E,)</f>
        <v/>
      </c>
      <c r="R13" s="54" t="str">
        <f>IFERROR(__xludf.DUMMYFUNCTION("if(AND(S13=FALSE,T13=FALSE),,if(S13=T13,JOIN("""",""Static: "",S13),JOIN("""",""Min:  "",S13, CHAR(10),""Max: "",T13)))"),"")</f>
        <v/>
      </c>
      <c r="S13" s="55" t="str">
        <f t="array" ref="S13">_xlfn.XLOOKUP(B13,'Up Min'!A:A,'Up Min'!E:E,)</f>
        <v/>
      </c>
      <c r="T13" s="55" t="str">
        <f t="array" ref="T13">_xlfn.XLOOKUP(B13,'Up Max'!A:A,'Up Max'!E:E,)</f>
        <v/>
      </c>
      <c r="U13" s="57" t="str">
        <f t="array" ref="U13">_xlfn.XLOOKUP(B13,'Up Stats'!A:A,'Up Stats'!F:F,)</f>
        <v/>
      </c>
      <c r="V13" s="54" t="str">
        <f>IFERROR(__xludf.DUMMYFUNCTION("if(AND(W13=FALSE,X13=FALSE),,if(W13=X13,JOIN("""",""Static: "",W13),JOIN("""",""Min:  "",W13, CHAR(10),""Max: "",X13)))"),"")</f>
        <v/>
      </c>
      <c r="W13" s="55" t="str">
        <f t="array" ref="W13">_xlfn.XLOOKUP(B13,'Up Min'!A:A,'Up Min'!F:F,)</f>
        <v/>
      </c>
      <c r="X13" s="55" t="str">
        <f t="array" ref="X13">_xlfn.XLOOKUP(B13,'Up Max'!A:A,'Up Max'!F:F,)</f>
        <v/>
      </c>
      <c r="Y13" s="57" t="str">
        <f t="array" ref="Y13">_xlfn.XLOOKUP(B13,'Up Stats'!A:A,'Up Stats'!G:G,)</f>
        <v/>
      </c>
      <c r="Z13" s="54" t="str">
        <f>IFERROR(__xludf.DUMMYFUNCTION("if(AND(AA13=FALSE,AB13=FALSE),,if(AA13=AB13,JOIN("""",""Static: "",AA13),JOIN("""",""Min:  "",AA13, CHAR(10),""Max: "",AB13)))"),"")</f>
        <v/>
      </c>
      <c r="AA13" s="55" t="str">
        <f t="array" ref="AA13">_xlfn.XLOOKUP(B13,'Up Min'!A:A,'Up Min'!G:G,)</f>
        <v/>
      </c>
      <c r="AB13" s="55" t="str">
        <f t="array" ref="AB13">_xlfn.XLOOKUP(B13,'Up Max'!A:A,'Up Max'!G:G,)</f>
        <v/>
      </c>
      <c r="AC13" s="57" t="str">
        <f t="array" ref="AC13">_xlfn.XLOOKUP(B13,'Up Stats'!A:A,'Up Stats'!H:H,)</f>
        <v/>
      </c>
      <c r="AD13" s="54" t="str">
        <f>IFERROR(__xludf.DUMMYFUNCTION("if(AND(AE13=FALSE,AF13=FALSE),,if(AE13=AF13,JOIN("""",""Static: "",AE13),JOIN("""",""Min:  "",AE13, CHAR(10),""Max: "",AF13)))"),"")</f>
        <v/>
      </c>
      <c r="AE13" s="55" t="str">
        <f t="array" ref="AE13">_xlfn.XLOOKUP(B13,'Up Min'!A:A,'Up Min'!H:H,)</f>
        <v/>
      </c>
      <c r="AF13" s="55" t="str">
        <f t="array" ref="AF13">_xlfn.XLOOKUP(B13,'Up Max'!A:A,'Up Max'!H:H,)</f>
        <v/>
      </c>
      <c r="AG13" s="57" t="str">
        <f t="array" ref="AG13">_xlfn.XLOOKUP(B13,'Up Stats'!A:A,'Up Stats'!I:I,)</f>
        <v/>
      </c>
      <c r="AH13" s="54" t="str">
        <f>IFERROR(__xludf.DUMMYFUNCTION("if(AND(AI13=FALSE,AJ13=FALSE),,if(AI13=AJ13,JOIN("""",""Static: "",AI13),JOIN("""",""Min:  "",AI13, CHAR(10),""Max: "",AJ13)))"),"")</f>
        <v/>
      </c>
      <c r="AI13" s="55" t="str">
        <f t="array" ref="AI13">_xlfn.XLOOKUP(B13,'Up Min'!A:A,'Up Min'!I:I,)</f>
        <v/>
      </c>
      <c r="AJ13" s="55" t="str">
        <f t="array" ref="AJ13">_xlfn.XLOOKUP(B13,'Up Max'!A:A,'Up Max'!I:I,)</f>
        <v/>
      </c>
      <c r="AK13" s="57" t="str">
        <f t="array" ref="AK13">_xlfn.XLOOKUP(B13,'Up Stats'!A:A,'Up Stats'!J:J,)</f>
        <v/>
      </c>
      <c r="AL13" s="54" t="str">
        <f>IFERROR(__xludf.DUMMYFUNCTION("if(AND(AM13=FALSE,AN13=FALSE),,if(AM13=AN13,JOIN("""",""Static: "",AM13),JOIN("""",""Min:  "",AM13, CHAR(10),""Max: "",AN13)))"),"")</f>
        <v/>
      </c>
      <c r="AM13" s="55" t="str">
        <f t="array" ref="AM13">_xlfn.XLOOKUP(B13,'Up Min'!A:A,'Up Min'!J:J,)</f>
        <v/>
      </c>
      <c r="AN13" s="55" t="str">
        <f t="array" ref="AN13">_xlfn.XLOOKUP(B13,'Up Max'!A:A,'Up Max'!J:J,)</f>
        <v/>
      </c>
      <c r="AO13" s="51" t="str">
        <f t="array" ref="AO13">CONCATENATE(_xlfn.XLOOKUP(B13,'Up Cells'!A:A,'Up Cells'!B:B,))</f>
        <v>5</v>
      </c>
      <c r="AP13" s="51" t="str">
        <f t="array" ref="AP13">CONCATENATE(_xlfn.XLOOKUP(B13,'Up Rarity'!A:A,'Up Rarity'!B:B,),CHAR(10),"-")</f>
        <v>Epic
-</v>
      </c>
    </row>
    <row r="14">
      <c r="A14" s="75" t="str">
        <f t="array" ref="A14">_xlfn.XLOOKUP(B14,'Up Icon'!A:A,'Up Icon'!B:B,)</f>
        <v/>
      </c>
      <c r="B14" s="66" t="str">
        <f t="array" ref="B14">HYPERLINK(_xlfn.XLOOKUP('Up Names'!A11,'Up Wiki'!A:A,'Up Wiki'!B:B,),'Up Names'!A11)</f>
        <v>Intense Reaction</v>
      </c>
      <c r="C14" s="67" t="str">
        <f t="array" ref="C14">_xlfn.XLOOKUP(B14,'Up Desc'!A:A,'Up Desc'!B:B,)</f>
        <v>Increases potency of the applied element. Horizontal spread is greatly increased.</v>
      </c>
      <c r="D14" s="37" t="str">
        <f t="array" ref="D14">_xlfn.XLOOKUP(B14,'Up Turbo'!A:A,'Up Turbo'!B:B,)</f>
        <v>n/a</v>
      </c>
      <c r="E14" s="39" t="str">
        <f t="array" ref="E14">_xlfn.XLOOKUP(B14,'Up Stats'!A:A,'Up Stats'!B:B,)</f>
        <v>Horizontal Spread</v>
      </c>
      <c r="F14" s="40" t="str">
        <f>IFERROR(__xludf.DUMMYFUNCTION("if(AND(G14=FALSE,H14=FALSE),,if(G14=H14,JOIN("""",""Static: "",G14),JOIN("""",""Min:  "",G14, CHAR(10),""Max: "",H14)))"),"Min:  300%
Max: 400%")</f>
        <v>Min:  300%
Max: 400%</v>
      </c>
      <c r="G14" s="41">
        <f t="array" ref="G14">_xlfn.XLOOKUP(B14,'Up Min'!A:A,'Up Min'!B:B,)</f>
        <v>3</v>
      </c>
      <c r="H14" s="41">
        <f t="array" ref="H14">_xlfn.XLOOKUP(B14,'Up Max'!A:A,'Up Max'!B:B,)</f>
        <v>4</v>
      </c>
      <c r="I14" s="39" t="str">
        <f t="array" ref="I14">_xlfn.XLOOKUP(B14,'Up Stats'!A:A,'Up Stats'!C:C,)</f>
        <v>Element</v>
      </c>
      <c r="J14" s="40" t="str">
        <f>IFERROR(__xludf.DUMMYFUNCTION("if(AND(K14=FALSE,L14=FALSE),,if(K14=L14,JOIN("""",""Static: "",K14),JOIN("""",""Min:  "",K14, CHAR(10),""Max: "",L14)))"),"Min:  40%
Max: 110%")</f>
        <v>Min:  40%
Max: 110%</v>
      </c>
      <c r="K14" s="41">
        <f t="array" ref="K14">_xlfn.XLOOKUP(B14,'Up Min'!A:A,'Up Min'!C:C,)</f>
        <v>0.4</v>
      </c>
      <c r="L14" s="41">
        <f t="array" ref="L14">_xlfn.XLOOKUP(B14,'Up Max'!A:A,'Up Max'!C:C,)</f>
        <v>1.1</v>
      </c>
      <c r="M14" s="39" t="str">
        <f t="array" ref="M14">_xlfn.XLOOKUP(B14,'Up Stats'!A:A,'Up Stats'!D:D,)</f>
        <v/>
      </c>
      <c r="N14" s="40" t="str">
        <f>IFERROR(__xludf.DUMMYFUNCTION("if(AND(O14=FALSE,P14=FALSE),,if(O14=P14,JOIN("""",""Static: "",O14),JOIN("""",""Min:  "",O14, CHAR(10),""Max: "",P14)))"),"")</f>
        <v/>
      </c>
      <c r="O14" s="42" t="str">
        <f t="array" ref="O14">_xlfn.XLOOKUP(B14,'Up Min'!A:A,'Up Min'!D:D,)</f>
        <v/>
      </c>
      <c r="P14" s="42" t="str">
        <f t="array" ref="P14">_xlfn.XLOOKUP(B14,'Up Max'!A:A,'Up Max'!D:D,)</f>
        <v/>
      </c>
      <c r="Q14" s="48" t="str">
        <f t="array" ref="Q14">_xlfn.XLOOKUP(B14,'Up Stats'!A:A,'Up Stats'!E:E,)</f>
        <v/>
      </c>
      <c r="R14" s="40" t="str">
        <f>IFERROR(__xludf.DUMMYFUNCTION("if(AND(S14=FALSE,T14=FALSE),,if(S14=T14,JOIN("""",""Static: "",S14),JOIN("""",""Min:  "",S14, CHAR(10),""Max: "",T14)))"),"")</f>
        <v/>
      </c>
      <c r="S14" s="42" t="str">
        <f t="array" ref="S14">_xlfn.XLOOKUP(B14,'Up Min'!A:A,'Up Min'!E:E,)</f>
        <v/>
      </c>
      <c r="T14" s="42" t="str">
        <f t="array" ref="T14">_xlfn.XLOOKUP(B14,'Up Max'!A:A,'Up Max'!E:E,)</f>
        <v/>
      </c>
      <c r="U14" s="48" t="str">
        <f t="array" ref="U14">_xlfn.XLOOKUP(B14,'Up Stats'!A:A,'Up Stats'!F:F,)</f>
        <v/>
      </c>
      <c r="V14" s="40" t="str">
        <f>IFERROR(__xludf.DUMMYFUNCTION("if(AND(W14=FALSE,X14=FALSE),,if(W14=X14,JOIN("""",""Static: "",W14),JOIN("""",""Min:  "",W14, CHAR(10),""Max: "",X14)))"),"")</f>
        <v/>
      </c>
      <c r="W14" s="42" t="str">
        <f t="array" ref="W14">_xlfn.XLOOKUP(B14,'Up Min'!A:A,'Up Min'!F:F,)</f>
        <v/>
      </c>
      <c r="X14" s="42" t="str">
        <f t="array" ref="X14">_xlfn.XLOOKUP(B14,'Up Max'!A:A,'Up Max'!F:F,)</f>
        <v/>
      </c>
      <c r="Y14" s="48" t="str">
        <f t="array" ref="Y14">_xlfn.XLOOKUP(B14,'Up Stats'!A:A,'Up Stats'!G:G,)</f>
        <v/>
      </c>
      <c r="Z14" s="40" t="str">
        <f>IFERROR(__xludf.DUMMYFUNCTION("if(AND(AA14=FALSE,AB14=FALSE),,if(AA14=AB14,JOIN("""",""Static: "",AA14),JOIN("""",""Min:  "",AA14, CHAR(10),""Max: "",AB14)))"),"")</f>
        <v/>
      </c>
      <c r="AA14" s="42" t="str">
        <f t="array" ref="AA14">_xlfn.XLOOKUP(B14,'Up Min'!A:A,'Up Min'!G:G,)</f>
        <v/>
      </c>
      <c r="AB14" s="42" t="str">
        <f t="array" ref="AB14">_xlfn.XLOOKUP(B14,'Up Max'!A:A,'Up Max'!G:G,)</f>
        <v/>
      </c>
      <c r="AC14" s="48" t="str">
        <f t="array" ref="AC14">_xlfn.XLOOKUP(B14,'Up Stats'!A:A,'Up Stats'!H:H,)</f>
        <v/>
      </c>
      <c r="AD14" s="40" t="str">
        <f>IFERROR(__xludf.DUMMYFUNCTION("if(AND(AE14=FALSE,AF14=FALSE),,if(AE14=AF14,JOIN("""",""Static: "",AE14),JOIN("""",""Min:  "",AE14, CHAR(10),""Max: "",AF14)))"),"")</f>
        <v/>
      </c>
      <c r="AE14" s="42" t="str">
        <f t="array" ref="AE14">_xlfn.XLOOKUP(B14,'Up Min'!A:A,'Up Min'!H:H,)</f>
        <v/>
      </c>
      <c r="AF14" s="42" t="str">
        <f t="array" ref="AF14">_xlfn.XLOOKUP(B14,'Up Max'!A:A,'Up Max'!H:H,)</f>
        <v/>
      </c>
      <c r="AG14" s="48" t="str">
        <f t="array" ref="AG14">_xlfn.XLOOKUP(B14,'Up Stats'!A:A,'Up Stats'!I:I,)</f>
        <v/>
      </c>
      <c r="AH14" s="40" t="str">
        <f>IFERROR(__xludf.DUMMYFUNCTION("if(AND(AI14=FALSE,AJ14=FALSE),,if(AI14=AJ14,JOIN("""",""Static: "",AI14),JOIN("""",""Min:  "",AI14, CHAR(10),""Max: "",AJ14)))"),"")</f>
        <v/>
      </c>
      <c r="AI14" s="42" t="str">
        <f t="array" ref="AI14">_xlfn.XLOOKUP(B14,'Up Min'!A:A,'Up Min'!I:I,)</f>
        <v/>
      </c>
      <c r="AJ14" s="42" t="str">
        <f t="array" ref="AJ14">_xlfn.XLOOKUP(B14,'Up Max'!A:A,'Up Max'!I:I,)</f>
        <v/>
      </c>
      <c r="AK14" s="48" t="str">
        <f t="array" ref="AK14">_xlfn.XLOOKUP(B14,'Up Stats'!A:A,'Up Stats'!J:J,)</f>
        <v/>
      </c>
      <c r="AL14" s="40" t="str">
        <f>IFERROR(__xludf.DUMMYFUNCTION("if(AND(AM14=FALSE,AN14=FALSE),,if(AM14=AN14,JOIN("""",""Static: "",AM14),JOIN("""",""Min:  "",AM14, CHAR(10),""Max: "",AN14)))"),"")</f>
        <v/>
      </c>
      <c r="AM14" s="42" t="str">
        <f t="array" ref="AM14">_xlfn.XLOOKUP(B14,'Up Min'!A:A,'Up Min'!J:J,)</f>
        <v/>
      </c>
      <c r="AN14" s="42" t="str">
        <f t="array" ref="AN14">_xlfn.XLOOKUP(B14,'Up Max'!A:A,'Up Max'!J:J,)</f>
        <v/>
      </c>
      <c r="AO14" s="34" t="str">
        <f t="array" ref="AO14">CONCATENATE(_xlfn.XLOOKUP(B14,'Up Cells'!A:A,'Up Cells'!B:B,))</f>
        <v>5</v>
      </c>
      <c r="AP14" s="34" t="str">
        <f t="array" ref="AP14">CONCATENATE(_xlfn.XLOOKUP(B14,'Up Rarity'!A:A,'Up Rarity'!B:B,),CHAR(10),"-")</f>
        <v>Epic
-</v>
      </c>
    </row>
    <row r="15">
      <c r="A15" s="75" t="str">
        <f t="array" ref="A15">_xlfn.XLOOKUP(B15,'Up Icon'!A:A,'Up Icon'!B:B,)</f>
        <v/>
      </c>
      <c r="B15" s="63" t="str">
        <f t="array" ref="B15">HYPERLINK(_xlfn.XLOOKUP('Up Names'!A12,'Up Wiki'!A:A,'Up Wiki'!B:B,),'Up Names'!A12)</f>
        <v>Mass Acceleration</v>
      </c>
      <c r="C15" s="52" t="str">
        <f t="array" ref="C15">_xlfn.XLOOKUP(B15,'Up Desc'!A:A,'Up Desc'!B:B,)</f>
        <v>Fire rate is increased for each bullet that's loaded into the magazine. Base fire rate is decreased.</v>
      </c>
      <c r="D15" s="52" t="str">
        <f t="array" ref="D15">_xlfn.XLOOKUP(B15,'Up Turbo'!A:A,'Up Turbo'!B:B,)</f>
        <v>n/a</v>
      </c>
      <c r="E15" s="53" t="str">
        <f t="array" ref="E15">_xlfn.XLOOKUP(B15,'Up Stats'!A:A,'Up Stats'!B:B,)</f>
        <v>Efficiency</v>
      </c>
      <c r="F15" s="54" t="str">
        <f>IFERROR(__xludf.DUMMYFUNCTION("if(AND(G15=FALSE,H15=FALSE),,if(G15=H15,JOIN("""",""Static: "",G15),JOIN("""",""Min:  "",G15, CHAR(10),""Max: "",H15)))"),"Min:  90%
Max: 110%")</f>
        <v>Min:  90%
Max: 110%</v>
      </c>
      <c r="G15" s="59">
        <f t="array" ref="G15">_xlfn.XLOOKUP(B15,'Up Min'!A:A,'Up Min'!B:B,)</f>
        <v>0.9</v>
      </c>
      <c r="H15" s="59">
        <f t="array" ref="H15">_xlfn.XLOOKUP(B15,'Up Max'!A:A,'Up Max'!B:B,)</f>
        <v>1.1</v>
      </c>
      <c r="I15" s="53" t="str">
        <f t="array" ref="I15">_xlfn.XLOOKUP(B15,'Up Stats'!A:A,'Up Stats'!C:C,)</f>
        <v>Fire Rate</v>
      </c>
      <c r="J15" s="54" t="str">
        <f>IFERROR(__xludf.DUMMYFUNCTION("if(AND(K15=FALSE,L15=FALSE),,if(K15=L15,JOIN("""",""Static: "",K15),JOIN("""",""Min:  "",K15, CHAR(10),""Max: "",L15)))"),"Min:  -31.03%
Max: -35.48%")</f>
        <v>Min:  -31.03%
Max: -35.48%</v>
      </c>
      <c r="K15" s="71">
        <f t="array" ref="K15">_xlfn.XLOOKUP(B15,'Up Min'!A:A,'Up Min'!C:C,)</f>
        <v>-0.3103</v>
      </c>
      <c r="L15" s="71">
        <f t="array" ref="L15">_xlfn.XLOOKUP(B15,'Up Max'!A:A,'Up Max'!C:C,)</f>
        <v>-0.3548</v>
      </c>
      <c r="M15" s="53" t="str">
        <f t="array" ref="M15">_xlfn.XLOOKUP(B15,'Up Stats'!A:A,'Up Stats'!D:D,)</f>
        <v/>
      </c>
      <c r="N15" s="54" t="str">
        <f>IFERROR(__xludf.DUMMYFUNCTION("if(AND(O15=FALSE,P15=FALSE),,if(O15=P15,JOIN("""",""Static: "",O15),JOIN("""",""Min:  "",O15, CHAR(10),""Max: "",P15)))"),"")</f>
        <v/>
      </c>
      <c r="O15" s="55" t="str">
        <f t="array" ref="O15">_xlfn.XLOOKUP(B15,'Up Min'!A:A,'Up Min'!D:D,)</f>
        <v/>
      </c>
      <c r="P15" s="55" t="str">
        <f t="array" ref="P15">_xlfn.XLOOKUP(B15,'Up Max'!A:A,'Up Max'!D:D,)</f>
        <v/>
      </c>
      <c r="Q15" s="57" t="str">
        <f t="array" ref="Q15">_xlfn.XLOOKUP(B15,'Up Stats'!A:A,'Up Stats'!E:E,)</f>
        <v/>
      </c>
      <c r="R15" s="54" t="str">
        <f>IFERROR(__xludf.DUMMYFUNCTION("if(AND(S15=FALSE,T15=FALSE),,if(S15=T15,JOIN("""",""Static: "",S15),JOIN("""",""Min:  "",S15, CHAR(10),""Max: "",T15)))"),"")</f>
        <v/>
      </c>
      <c r="S15" s="55" t="str">
        <f t="array" ref="S15">_xlfn.XLOOKUP(B15,'Up Min'!A:A,'Up Min'!E:E,)</f>
        <v/>
      </c>
      <c r="T15" s="55" t="str">
        <f t="array" ref="T15">_xlfn.XLOOKUP(B15,'Up Max'!A:A,'Up Max'!E:E,)</f>
        <v/>
      </c>
      <c r="U15" s="57" t="str">
        <f t="array" ref="U15">_xlfn.XLOOKUP(B15,'Up Stats'!A:A,'Up Stats'!F:F,)</f>
        <v/>
      </c>
      <c r="V15" s="54" t="str">
        <f>IFERROR(__xludf.DUMMYFUNCTION("if(AND(W15=FALSE,X15=FALSE),,if(W15=X15,JOIN("""",""Static: "",W15),JOIN("""",""Min:  "",W15, CHAR(10),""Max: "",X15)))"),"")</f>
        <v/>
      </c>
      <c r="W15" s="55" t="str">
        <f t="array" ref="W15">_xlfn.XLOOKUP(B15,'Up Min'!A:A,'Up Min'!F:F,)</f>
        <v/>
      </c>
      <c r="X15" s="55" t="str">
        <f t="array" ref="X15">_xlfn.XLOOKUP(B15,'Up Max'!A:A,'Up Max'!F:F,)</f>
        <v/>
      </c>
      <c r="Y15" s="57" t="str">
        <f t="array" ref="Y15">_xlfn.XLOOKUP(B15,'Up Stats'!A:A,'Up Stats'!G:G,)</f>
        <v/>
      </c>
      <c r="Z15" s="54" t="str">
        <f>IFERROR(__xludf.DUMMYFUNCTION("if(AND(AA15=FALSE,AB15=FALSE),,if(AA15=AB15,JOIN("""",""Static: "",AA15),JOIN("""",""Min:  "",AA15, CHAR(10),""Max: "",AB15)))"),"")</f>
        <v/>
      </c>
      <c r="AA15" s="55" t="str">
        <f t="array" ref="AA15">_xlfn.XLOOKUP(B15,'Up Min'!A:A,'Up Min'!G:G,)</f>
        <v/>
      </c>
      <c r="AB15" s="55" t="str">
        <f t="array" ref="AB15">_xlfn.XLOOKUP(B15,'Up Max'!A:A,'Up Max'!G:G,)</f>
        <v/>
      </c>
      <c r="AC15" s="57" t="str">
        <f t="array" ref="AC15">_xlfn.XLOOKUP(B15,'Up Stats'!A:A,'Up Stats'!H:H,)</f>
        <v/>
      </c>
      <c r="AD15" s="54" t="str">
        <f>IFERROR(__xludf.DUMMYFUNCTION("if(AND(AE15=FALSE,AF15=FALSE),,if(AE15=AF15,JOIN("""",""Static: "",AE15),JOIN("""",""Min:  "",AE15, CHAR(10),""Max: "",AF15)))"),"")</f>
        <v/>
      </c>
      <c r="AE15" s="55" t="str">
        <f t="array" ref="AE15">_xlfn.XLOOKUP(B15,'Up Min'!A:A,'Up Min'!H:H,)</f>
        <v/>
      </c>
      <c r="AF15" s="55" t="str">
        <f t="array" ref="AF15">_xlfn.XLOOKUP(B15,'Up Max'!A:A,'Up Max'!H:H,)</f>
        <v/>
      </c>
      <c r="AG15" s="57" t="str">
        <f t="array" ref="AG15">_xlfn.XLOOKUP(B15,'Up Stats'!A:A,'Up Stats'!I:I,)</f>
        <v/>
      </c>
      <c r="AH15" s="54" t="str">
        <f>IFERROR(__xludf.DUMMYFUNCTION("if(AND(AI15=FALSE,AJ15=FALSE),,if(AI15=AJ15,JOIN("""",""Static: "",AI15),JOIN("""",""Min:  "",AI15, CHAR(10),""Max: "",AJ15)))"),"")</f>
        <v/>
      </c>
      <c r="AI15" s="55" t="str">
        <f t="array" ref="AI15">_xlfn.XLOOKUP(B15,'Up Min'!A:A,'Up Min'!I:I,)</f>
        <v/>
      </c>
      <c r="AJ15" s="55" t="str">
        <f t="array" ref="AJ15">_xlfn.XLOOKUP(B15,'Up Max'!A:A,'Up Max'!I:I,)</f>
        <v/>
      </c>
      <c r="AK15" s="57" t="str">
        <f t="array" ref="AK15">_xlfn.XLOOKUP(B15,'Up Stats'!A:A,'Up Stats'!J:J,)</f>
        <v/>
      </c>
      <c r="AL15" s="54" t="str">
        <f>IFERROR(__xludf.DUMMYFUNCTION("if(AND(AM15=FALSE,AN15=FALSE),,if(AM15=AN15,JOIN("""",""Static: "",AM15),JOIN("""",""Min:  "",AM15, CHAR(10),""Max: "",AN15)))"),"")</f>
        <v/>
      </c>
      <c r="AM15" s="55" t="str">
        <f t="array" ref="AM15">_xlfn.XLOOKUP(B15,'Up Min'!A:A,'Up Min'!J:J,)</f>
        <v/>
      </c>
      <c r="AN15" s="55" t="str">
        <f t="array" ref="AN15">_xlfn.XLOOKUP(B15,'Up Max'!A:A,'Up Max'!J:J,)</f>
        <v/>
      </c>
      <c r="AO15" s="51" t="str">
        <f t="array" ref="AO15">CONCATENATE(_xlfn.XLOOKUP(B15,'Up Cells'!A:A,'Up Cells'!B:B,))</f>
        <v>4</v>
      </c>
      <c r="AP15" s="51" t="str">
        <f t="array" ref="AP15">CONCATENATE(_xlfn.XLOOKUP(B15,'Up Rarity'!A:A,'Up Rarity'!B:B,),CHAR(10),"-")</f>
        <v>Epic
-</v>
      </c>
    </row>
    <row r="16">
      <c r="A16" s="75" t="str">
        <f t="array" ref="A16">_xlfn.XLOOKUP(B16,'Up Icon'!A:A,'Up Icon'!B:B,)</f>
        <v/>
      </c>
      <c r="B16" s="66" t="str">
        <f t="array" ref="B16">HYPERLINK(_xlfn.XLOOKUP('Up Names'!A13,'Up Wiki'!A:A,'Up Wiki'!B:B,),'Up Names'!A13)</f>
        <v>Momentum Overload</v>
      </c>
      <c r="C16" s="37" t="str">
        <f t="array" ref="C16">_xlfn.XLOOKUP(B16,'Up Desc'!A:A,'Up Desc'!B:B,)</f>
        <v>Electrocuting a target increases move speed for a short time.</v>
      </c>
      <c r="D16" s="37" t="str">
        <f t="array" ref="D16">_xlfn.XLOOKUP(B16,'Up Turbo'!A:A,'Up Turbo'!B:B,)</f>
        <v>n/a</v>
      </c>
      <c r="E16" s="39" t="str">
        <f t="array" ref="E16">_xlfn.XLOOKUP(B16,'Up Stats'!A:A,'Up Stats'!B:B,)</f>
        <v>Speed</v>
      </c>
      <c r="F16" s="40" t="str">
        <f>IFERROR(__xludf.DUMMYFUNCTION("if(AND(G16=FALSE,H16=FALSE),,if(G16=H16,JOIN("""",""Static: "",G16),JOIN("""",""Min:  "",G16, CHAR(10),""Max: "",H16)))"),"Min:  3.75
Max: 5")</f>
        <v>Min:  3.75
Max: 5</v>
      </c>
      <c r="G16" s="40">
        <f t="array" ref="G16">_xlfn.XLOOKUP(B16,'Up Min'!A:A,'Up Min'!B:B,)</f>
        <v>3.75</v>
      </c>
      <c r="H16" s="68">
        <f t="array" ref="H16">_xlfn.XLOOKUP(B16,'Up Max'!A:A,'Up Max'!B:B,)</f>
        <v>5</v>
      </c>
      <c r="I16" s="39" t="str">
        <f t="array" ref="I16">_xlfn.XLOOKUP(B16,'Up Stats'!A:A,'Up Stats'!C:C,)</f>
        <v>Duration</v>
      </c>
      <c r="J16" s="40" t="str">
        <f>IFERROR(__xludf.DUMMYFUNCTION("if(AND(K16=FALSE,L16=FALSE),,if(K16=L16,JOIN("""",""Static: "",K16),JOIN("""",""Min:  "",K16, CHAR(10),""Max: "",L16)))"),"Min:  3.6
Max: 4.4")</f>
        <v>Min:  3.6
Max: 4.4</v>
      </c>
      <c r="K16" s="68">
        <f t="array" ref="K16">_xlfn.XLOOKUP(B16,'Up Min'!A:A,'Up Min'!C:C,)</f>
        <v>3.6</v>
      </c>
      <c r="L16" s="69">
        <f t="array" ref="L16">_xlfn.XLOOKUP(B16,'Up Max'!A:A,'Up Max'!C:C,)</f>
        <v>4.4</v>
      </c>
      <c r="M16" s="39" t="str">
        <f t="array" ref="M16">_xlfn.XLOOKUP(B16,'Up Stats'!A:A,'Up Stats'!D:D,)</f>
        <v/>
      </c>
      <c r="N16" s="40" t="str">
        <f>IFERROR(__xludf.DUMMYFUNCTION("if(AND(O16=FALSE,P16=FALSE),,if(O16=P16,JOIN("""",""Static: "",O16),JOIN("""",""Min:  "",O16, CHAR(10),""Max: "",P16)))"),"")</f>
        <v/>
      </c>
      <c r="O16" s="42" t="str">
        <f t="array" ref="O16">_xlfn.XLOOKUP(B16,'Up Min'!A:A,'Up Min'!D:D,)</f>
        <v/>
      </c>
      <c r="P16" s="42" t="str">
        <f t="array" ref="P16">_xlfn.XLOOKUP(B16,'Up Max'!A:A,'Up Max'!D:D,)</f>
        <v/>
      </c>
      <c r="Q16" s="48" t="str">
        <f t="array" ref="Q16">_xlfn.XLOOKUP(B16,'Up Stats'!A:A,'Up Stats'!E:E,)</f>
        <v/>
      </c>
      <c r="R16" s="40" t="str">
        <f>IFERROR(__xludf.DUMMYFUNCTION("if(AND(S16=FALSE,T16=FALSE),,if(S16=T16,JOIN("""",""Static: "",S16),JOIN("""",""Min:  "",S16, CHAR(10),""Max: "",T16)))"),"")</f>
        <v/>
      </c>
      <c r="S16" s="42" t="str">
        <f t="array" ref="S16">_xlfn.XLOOKUP(B16,'Up Min'!A:A,'Up Min'!E:E,)</f>
        <v/>
      </c>
      <c r="T16" s="42" t="str">
        <f t="array" ref="T16">_xlfn.XLOOKUP(B16,'Up Max'!A:A,'Up Max'!E:E,)</f>
        <v/>
      </c>
      <c r="U16" s="48" t="str">
        <f t="array" ref="U16">_xlfn.XLOOKUP(B16,'Up Stats'!A:A,'Up Stats'!F:F,)</f>
        <v/>
      </c>
      <c r="V16" s="40" t="str">
        <f>IFERROR(__xludf.DUMMYFUNCTION("if(AND(W16=FALSE,X16=FALSE),,if(W16=X16,JOIN("""",""Static: "",W16),JOIN("""",""Min:  "",W16, CHAR(10),""Max: "",X16)))"),"")</f>
        <v/>
      </c>
      <c r="W16" s="42" t="str">
        <f t="array" ref="W16">_xlfn.XLOOKUP(B16,'Up Min'!A:A,'Up Min'!F:F,)</f>
        <v/>
      </c>
      <c r="X16" s="42" t="str">
        <f t="array" ref="X16">_xlfn.XLOOKUP(B16,'Up Max'!A:A,'Up Max'!F:F,)</f>
        <v/>
      </c>
      <c r="Y16" s="48" t="str">
        <f t="array" ref="Y16">_xlfn.XLOOKUP(B16,'Up Stats'!A:A,'Up Stats'!G:G,)</f>
        <v/>
      </c>
      <c r="Z16" s="40" t="str">
        <f>IFERROR(__xludf.DUMMYFUNCTION("if(AND(AA16=FALSE,AB16=FALSE),,if(AA16=AB16,JOIN("""",""Static: "",AA16),JOIN("""",""Min:  "",AA16, CHAR(10),""Max: "",AB16)))"),"")</f>
        <v/>
      </c>
      <c r="AA16" s="42" t="str">
        <f t="array" ref="AA16">_xlfn.XLOOKUP(B16,'Up Min'!A:A,'Up Min'!G:G,)</f>
        <v/>
      </c>
      <c r="AB16" s="42" t="str">
        <f t="array" ref="AB16">_xlfn.XLOOKUP(B16,'Up Max'!A:A,'Up Max'!G:G,)</f>
        <v/>
      </c>
      <c r="AC16" s="48" t="str">
        <f t="array" ref="AC16">_xlfn.XLOOKUP(B16,'Up Stats'!A:A,'Up Stats'!H:H,)</f>
        <v/>
      </c>
      <c r="AD16" s="40" t="str">
        <f>IFERROR(__xludf.DUMMYFUNCTION("if(AND(AE16=FALSE,AF16=FALSE),,if(AE16=AF16,JOIN("""",""Static: "",AE16),JOIN("""",""Min:  "",AE16, CHAR(10),""Max: "",AF16)))"),"")</f>
        <v/>
      </c>
      <c r="AE16" s="42" t="str">
        <f t="array" ref="AE16">_xlfn.XLOOKUP(B16,'Up Min'!A:A,'Up Min'!H:H,)</f>
        <v/>
      </c>
      <c r="AF16" s="42" t="str">
        <f t="array" ref="AF16">_xlfn.XLOOKUP(B16,'Up Max'!A:A,'Up Max'!H:H,)</f>
        <v/>
      </c>
      <c r="AG16" s="48" t="str">
        <f t="array" ref="AG16">_xlfn.XLOOKUP(B16,'Up Stats'!A:A,'Up Stats'!I:I,)</f>
        <v/>
      </c>
      <c r="AH16" s="40" t="str">
        <f>IFERROR(__xludf.DUMMYFUNCTION("if(AND(AI16=FALSE,AJ16=FALSE),,if(AI16=AJ16,JOIN("""",""Static: "",AI16),JOIN("""",""Min:  "",AI16, CHAR(10),""Max: "",AJ16)))"),"")</f>
        <v/>
      </c>
      <c r="AI16" s="42" t="str">
        <f t="array" ref="AI16">_xlfn.XLOOKUP(B16,'Up Min'!A:A,'Up Min'!I:I,)</f>
        <v/>
      </c>
      <c r="AJ16" s="42" t="str">
        <f t="array" ref="AJ16">_xlfn.XLOOKUP(B16,'Up Max'!A:A,'Up Max'!I:I,)</f>
        <v/>
      </c>
      <c r="AK16" s="48" t="str">
        <f t="array" ref="AK16">_xlfn.XLOOKUP(B16,'Up Stats'!A:A,'Up Stats'!J:J,)</f>
        <v/>
      </c>
      <c r="AL16" s="40" t="str">
        <f>IFERROR(__xludf.DUMMYFUNCTION("if(AND(AM16=FALSE,AN16=FALSE),,if(AM16=AN16,JOIN("""",""Static: "",AM16),JOIN("""",""Min:  "",AM16, CHAR(10),""Max: "",AN16)))"),"")</f>
        <v/>
      </c>
      <c r="AM16" s="42" t="str">
        <f t="array" ref="AM16">_xlfn.XLOOKUP(B16,'Up Min'!A:A,'Up Min'!J:J,)</f>
        <v/>
      </c>
      <c r="AN16" s="42" t="str">
        <f t="array" ref="AN16">_xlfn.XLOOKUP(B16,'Up Max'!A:A,'Up Max'!J:J,)</f>
        <v/>
      </c>
      <c r="AO16" s="34" t="str">
        <f t="array" ref="AO16">CONCATENATE(_xlfn.XLOOKUP(B16,'Up Cells'!A:A,'Up Cells'!B:B,))</f>
        <v>4</v>
      </c>
      <c r="AP16" s="34" t="str">
        <f t="array" ref="AP16">CONCATENATE(_xlfn.XLOOKUP(B16,'Up Rarity'!A:A,'Up Rarity'!B:B,),CHAR(10),"-")</f>
        <v>Epic
-</v>
      </c>
    </row>
    <row r="17">
      <c r="A17" s="75" t="str">
        <f t="array" ref="A17">_xlfn.XLOOKUP(B17,'Up Icon'!A:A,'Up Icon'!B:B,)</f>
        <v/>
      </c>
      <c r="B17" s="63" t="str">
        <f t="array" ref="B17">HYPERLINK(_xlfn.XLOOKUP('Up Names'!A14,'Up Wiki'!A:A,'Up Wiki'!B:B,),'Up Names'!A14)</f>
        <v>Superheat Reaction</v>
      </c>
      <c r="C17" s="52" t="str">
        <f t="array" ref="C17">_xlfn.XLOOKUP(B17,'Up Desc'!A:A,'Up Desc'!B:B,)</f>
        <v>Rapidly igniting multiple targets increases the amount of fire per shot.</v>
      </c>
      <c r="D17" s="52" t="str">
        <f t="array" ref="D17">_xlfn.XLOOKUP(B17,'Up Turbo'!A:A,'Up Turbo'!B:B,)</f>
        <v>n/a</v>
      </c>
      <c r="E17" s="53" t="str">
        <f t="array" ref="E17">_xlfn.XLOOKUP(B17,'Up Stats'!A:A,'Up Stats'!B:B,)</f>
        <v>Increased Fire</v>
      </c>
      <c r="F17" s="54" t="str">
        <f>IFERROR(__xludf.DUMMYFUNCTION("if(AND(G17=FALSE,H17=FALSE),,if(G17=H17,JOIN("""",""Static: "",G17),JOIN("""",""Min:  "",G17, CHAR(10),""Max: "",H17)))"),"Min:  1.69
Max: 1.9")</f>
        <v>Min:  1.69
Max: 1.9</v>
      </c>
      <c r="G17" s="54">
        <f t="array" ref="G17">_xlfn.XLOOKUP(B17,'Up Min'!A:A,'Up Min'!B:B,)</f>
        <v>1.69</v>
      </c>
      <c r="H17" s="65">
        <f t="array" ref="H17">_xlfn.XLOOKUP(B17,'Up Max'!A:A,'Up Max'!B:B,)</f>
        <v>1.9</v>
      </c>
      <c r="I17" s="53" t="str">
        <f t="array" ref="I17">_xlfn.XLOOKUP(B17,'Up Stats'!A:A,'Up Stats'!C:C,)</f>
        <v/>
      </c>
      <c r="J17" s="54" t="str">
        <f>IFERROR(__xludf.DUMMYFUNCTION("if(AND(K17=FALSE,L17=FALSE),,if(K17=L17,JOIN("""",""Static: "",K17),JOIN("""",""Min:  "",K17, CHAR(10),""Max: "",L17)))"),"")</f>
        <v/>
      </c>
      <c r="K17" s="55" t="str">
        <f t="array" ref="K17">_xlfn.XLOOKUP(B17,'Up Min'!A:A,'Up Min'!C:C,)</f>
        <v/>
      </c>
      <c r="L17" s="55" t="str">
        <f t="array" ref="L17">_xlfn.XLOOKUP(B17,'Up Max'!A:A,'Up Max'!C:C,)</f>
        <v/>
      </c>
      <c r="M17" s="57" t="str">
        <f t="array" ref="M17">_xlfn.XLOOKUP(B17,'Up Stats'!A:A,'Up Stats'!D:D,)</f>
        <v/>
      </c>
      <c r="N17" s="54" t="str">
        <f>IFERROR(__xludf.DUMMYFUNCTION("if(AND(O17=FALSE,P17=FALSE),,if(O17=P17,JOIN("""",""Static: "",O17),JOIN("""",""Min:  "",O17, CHAR(10),""Max: "",P17)))"),"")</f>
        <v/>
      </c>
      <c r="O17" s="55" t="str">
        <f t="array" ref="O17">_xlfn.XLOOKUP(B17,'Up Min'!A:A,'Up Min'!D:D,)</f>
        <v/>
      </c>
      <c r="P17" s="55" t="str">
        <f t="array" ref="P17">_xlfn.XLOOKUP(B17,'Up Max'!A:A,'Up Max'!D:D,)</f>
        <v/>
      </c>
      <c r="Q17" s="57" t="str">
        <f t="array" ref="Q17">_xlfn.XLOOKUP(B17,'Up Stats'!A:A,'Up Stats'!E:E,)</f>
        <v/>
      </c>
      <c r="R17" s="54" t="str">
        <f>IFERROR(__xludf.DUMMYFUNCTION("if(AND(S17=FALSE,T17=FALSE),,if(S17=T17,JOIN("""",""Static: "",S17),JOIN("""",""Min:  "",S17, CHAR(10),""Max: "",T17)))"),"")</f>
        <v/>
      </c>
      <c r="S17" s="55" t="str">
        <f t="array" ref="S17">_xlfn.XLOOKUP(B17,'Up Min'!A:A,'Up Min'!E:E,)</f>
        <v/>
      </c>
      <c r="T17" s="55" t="str">
        <f t="array" ref="T17">_xlfn.XLOOKUP(B17,'Up Max'!A:A,'Up Max'!E:E,)</f>
        <v/>
      </c>
      <c r="U17" s="57" t="str">
        <f t="array" ref="U17">_xlfn.XLOOKUP(B17,'Up Stats'!A:A,'Up Stats'!F:F,)</f>
        <v/>
      </c>
      <c r="V17" s="54" t="str">
        <f>IFERROR(__xludf.DUMMYFUNCTION("if(AND(W17=FALSE,X17=FALSE),,if(W17=X17,JOIN("""",""Static: "",W17),JOIN("""",""Min:  "",W17, CHAR(10),""Max: "",X17)))"),"")</f>
        <v/>
      </c>
      <c r="W17" s="55" t="str">
        <f t="array" ref="W17">_xlfn.XLOOKUP(B17,'Up Min'!A:A,'Up Min'!F:F,)</f>
        <v/>
      </c>
      <c r="X17" s="55" t="str">
        <f t="array" ref="X17">_xlfn.XLOOKUP(B17,'Up Max'!A:A,'Up Max'!F:F,)</f>
        <v/>
      </c>
      <c r="Y17" s="57" t="str">
        <f t="array" ref="Y17">_xlfn.XLOOKUP(B17,'Up Stats'!A:A,'Up Stats'!G:G,)</f>
        <v/>
      </c>
      <c r="Z17" s="54" t="str">
        <f>IFERROR(__xludf.DUMMYFUNCTION("if(AND(AA17=FALSE,AB17=FALSE),,if(AA17=AB17,JOIN("""",""Static: "",AA17),JOIN("""",""Min:  "",AA17, CHAR(10),""Max: "",AB17)))"),"")</f>
        <v/>
      </c>
      <c r="AA17" s="55" t="str">
        <f t="array" ref="AA17">_xlfn.XLOOKUP(B17,'Up Min'!A:A,'Up Min'!G:G,)</f>
        <v/>
      </c>
      <c r="AB17" s="55" t="str">
        <f t="array" ref="AB17">_xlfn.XLOOKUP(B17,'Up Max'!A:A,'Up Max'!G:G,)</f>
        <v/>
      </c>
      <c r="AC17" s="57" t="str">
        <f t="array" ref="AC17">_xlfn.XLOOKUP(B17,'Up Stats'!A:A,'Up Stats'!H:H,)</f>
        <v/>
      </c>
      <c r="AD17" s="54" t="str">
        <f>IFERROR(__xludf.DUMMYFUNCTION("if(AND(AE17=FALSE,AF17=FALSE),,if(AE17=AF17,JOIN("""",""Static: "",AE17),JOIN("""",""Min:  "",AE17, CHAR(10),""Max: "",AF17)))"),"")</f>
        <v/>
      </c>
      <c r="AE17" s="55" t="str">
        <f t="array" ref="AE17">_xlfn.XLOOKUP(B17,'Up Min'!A:A,'Up Min'!H:H,)</f>
        <v/>
      </c>
      <c r="AF17" s="55" t="str">
        <f t="array" ref="AF17">_xlfn.XLOOKUP(B17,'Up Max'!A:A,'Up Max'!H:H,)</f>
        <v/>
      </c>
      <c r="AG17" s="57" t="str">
        <f t="array" ref="AG17">_xlfn.XLOOKUP(B17,'Up Stats'!A:A,'Up Stats'!I:I,)</f>
        <v/>
      </c>
      <c r="AH17" s="54" t="str">
        <f>IFERROR(__xludf.DUMMYFUNCTION("if(AND(AI17=FALSE,AJ17=FALSE),,if(AI17=AJ17,JOIN("""",""Static: "",AI17),JOIN("""",""Min:  "",AI17, CHAR(10),""Max: "",AJ17)))"),"")</f>
        <v/>
      </c>
      <c r="AI17" s="55" t="str">
        <f t="array" ref="AI17">_xlfn.XLOOKUP(B17,'Up Min'!A:A,'Up Min'!I:I,)</f>
        <v/>
      </c>
      <c r="AJ17" s="55" t="str">
        <f t="array" ref="AJ17">_xlfn.XLOOKUP(B17,'Up Max'!A:A,'Up Max'!I:I,)</f>
        <v/>
      </c>
      <c r="AK17" s="57" t="str">
        <f t="array" ref="AK17">_xlfn.XLOOKUP(B17,'Up Stats'!A:A,'Up Stats'!J:J,)</f>
        <v/>
      </c>
      <c r="AL17" s="54" t="str">
        <f>IFERROR(__xludf.DUMMYFUNCTION("if(AND(AM17=FALSE,AN17=FALSE),,if(AM17=AN17,JOIN("""",""Static: "",AM17),JOIN("""",""Min:  "",AM17, CHAR(10),""Max: "",AN17)))"),"")</f>
        <v/>
      </c>
      <c r="AM17" s="55" t="str">
        <f t="array" ref="AM17">_xlfn.XLOOKUP(B17,'Up Min'!A:A,'Up Min'!J:J,)</f>
        <v/>
      </c>
      <c r="AN17" s="55" t="str">
        <f t="array" ref="AN17">_xlfn.XLOOKUP(B17,'Up Max'!A:A,'Up Max'!J:J,)</f>
        <v/>
      </c>
      <c r="AO17" s="51" t="str">
        <f t="array" ref="AO17">CONCATENATE(_xlfn.XLOOKUP(B17,'Up Cells'!A:A,'Up Cells'!B:B,))</f>
        <v>4</v>
      </c>
      <c r="AP17" s="51" t="str">
        <f t="array" ref="AP17">CONCATENATE(_xlfn.XLOOKUP(B17,'Up Rarity'!A:A,'Up Rarity'!B:B,),CHAR(10),"-")</f>
        <v>Epic
-</v>
      </c>
    </row>
    <row r="18">
      <c r="A18" s="75" t="str">
        <f t="array" ref="A18">_xlfn.XLOOKUP(B18,'Up Icon'!A:A,'Up Icon'!B:B,)</f>
        <v/>
      </c>
      <c r="B18" s="66" t="str">
        <f t="array" ref="B18">HYPERLINK(_xlfn.XLOOKUP('Up Names'!A15,'Up Wiki'!A:A,'Up Wiki'!B:B,),'Up Names'!A15)</f>
        <v>Toxin Recycling</v>
      </c>
      <c r="C18" s="67" t="str">
        <f t="array" ref="C18">_xlfn.XLOOKUP(B18,'Up Desc'!A:A,'Up Desc'!B:B,)</f>
        <v>Sustained damage increases amount of applied acid and damage as well as recoil.</v>
      </c>
      <c r="D18" s="37" t="str">
        <f t="array" ref="D18">_xlfn.XLOOKUP(B18,'Up Turbo'!A:A,'Up Turbo'!B:B,)</f>
        <v>n/a</v>
      </c>
      <c r="E18" s="39" t="str">
        <f t="array" ref="E18">_xlfn.XLOOKUP(B18,'Up Stats'!A:A,'Up Stats'!B:B,)</f>
        <v>Acid per Second</v>
      </c>
      <c r="F18" s="40" t="str">
        <f>IFERROR(__xludf.DUMMYFUNCTION("if(AND(G18=FALSE,H18=FALSE),,if(G18=H18,JOIN("""",""Static: "",G18),JOIN("""",""Min:  "",G18, CHAR(10),""Max: "",H18)))"),"Min:  2.5
Max: 3.5")</f>
        <v>Min:  2.5
Max: 3.5</v>
      </c>
      <c r="G18" s="40">
        <f t="array" ref="G18">_xlfn.XLOOKUP(B18,'Up Min'!A:A,'Up Min'!B:B,)</f>
        <v>2.5</v>
      </c>
      <c r="H18" s="68">
        <f t="array" ref="H18">_xlfn.XLOOKUP(B18,'Up Max'!A:A,'Up Max'!B:B,)</f>
        <v>3.5</v>
      </c>
      <c r="I18" s="39" t="str">
        <f t="array" ref="I18">_xlfn.XLOOKUP(B18,'Up Stats'!A:A,'Up Stats'!C:C,)</f>
        <v>Recoil per Second</v>
      </c>
      <c r="J18" s="40" t="str">
        <f>IFERROR(__xludf.DUMMYFUNCTION("if(AND(K18=FALSE,L18=FALSE),,if(K18=L18,JOIN("""",""Static: "",K18),JOIN("""",""Min:  "",K18, CHAR(10),""Max: "",L18)))"),"Min:  0.7
Max: 0.8")</f>
        <v>Min:  0.7
Max: 0.8</v>
      </c>
      <c r="K18" s="69">
        <f t="array" ref="K18">_xlfn.XLOOKUP(B18,'Up Min'!A:A,'Up Min'!C:C,)</f>
        <v>0.7</v>
      </c>
      <c r="L18" s="69">
        <f t="array" ref="L18">_xlfn.XLOOKUP(B18,'Up Max'!A:A,'Up Max'!C:C,)</f>
        <v>0.8</v>
      </c>
      <c r="M18" s="39" t="str">
        <f t="array" ref="M18">_xlfn.XLOOKUP(B18,'Up Stats'!A:A,'Up Stats'!D:D,)</f>
        <v>Max Damage</v>
      </c>
      <c r="N18" s="40" t="str">
        <f>IFERROR(__xludf.DUMMYFUNCTION("if(AND(O18=FALSE,P18=FALSE),,if(O18=P18,JOIN("""",""Static: "",O18),JOIN("""",""Min:  "",O18, CHAR(10),""Max: "",P18)))"),"Min:  65%
Max: 80%")</f>
        <v>Min:  65%
Max: 80%</v>
      </c>
      <c r="O18" s="74">
        <f t="array" ref="O18">_xlfn.XLOOKUP(B18,'Up Min'!A:A,'Up Min'!D:D,)</f>
        <v>0.65</v>
      </c>
      <c r="P18" s="74">
        <f t="array" ref="P18">_xlfn.XLOOKUP(B18,'Up Max'!A:A,'Up Max'!D:D,)</f>
        <v>0.8</v>
      </c>
      <c r="Q18" s="48" t="str">
        <f t="array" ref="Q18">_xlfn.XLOOKUP(B18,'Up Stats'!A:A,'Up Stats'!E:E,)</f>
        <v/>
      </c>
      <c r="R18" s="40" t="str">
        <f>IFERROR(__xludf.DUMMYFUNCTION("if(AND(S18=FALSE,T18=FALSE),,if(S18=T18,JOIN("""",""Static: "",S18),JOIN("""",""Min:  "",S18, CHAR(10),""Max: "",T18)))"),"")</f>
        <v/>
      </c>
      <c r="S18" s="42" t="str">
        <f t="array" ref="S18">_xlfn.XLOOKUP(B18,'Up Min'!A:A,'Up Min'!E:E,)</f>
        <v/>
      </c>
      <c r="T18" s="42" t="str">
        <f t="array" ref="T18">_xlfn.XLOOKUP(B18,'Up Max'!A:A,'Up Max'!E:E,)</f>
        <v/>
      </c>
      <c r="U18" s="48" t="str">
        <f t="array" ref="U18">_xlfn.XLOOKUP(B18,'Up Stats'!A:A,'Up Stats'!F:F,)</f>
        <v/>
      </c>
      <c r="V18" s="40" t="str">
        <f>IFERROR(__xludf.DUMMYFUNCTION("if(AND(W18=FALSE,X18=FALSE),,if(W18=X18,JOIN("""",""Static: "",W18),JOIN("""",""Min:  "",W18, CHAR(10),""Max: "",X18)))"),"")</f>
        <v/>
      </c>
      <c r="W18" s="42" t="str">
        <f t="array" ref="W18">_xlfn.XLOOKUP(B18,'Up Min'!A:A,'Up Min'!F:F,)</f>
        <v/>
      </c>
      <c r="X18" s="42" t="str">
        <f t="array" ref="X18">_xlfn.XLOOKUP(B18,'Up Max'!A:A,'Up Max'!F:F,)</f>
        <v/>
      </c>
      <c r="Y18" s="48" t="str">
        <f t="array" ref="Y18">_xlfn.XLOOKUP(B18,'Up Stats'!A:A,'Up Stats'!G:G,)</f>
        <v/>
      </c>
      <c r="Z18" s="40" t="str">
        <f>IFERROR(__xludf.DUMMYFUNCTION("if(AND(AA18=FALSE,AB18=FALSE),,if(AA18=AB18,JOIN("""",""Static: "",AA18),JOIN("""",""Min:  "",AA18, CHAR(10),""Max: "",AB18)))"),"")</f>
        <v/>
      </c>
      <c r="AA18" s="42" t="str">
        <f t="array" ref="AA18">_xlfn.XLOOKUP(B18,'Up Min'!A:A,'Up Min'!G:G,)</f>
        <v/>
      </c>
      <c r="AB18" s="42" t="str">
        <f t="array" ref="AB18">_xlfn.XLOOKUP(B18,'Up Max'!A:A,'Up Max'!G:G,)</f>
        <v/>
      </c>
      <c r="AC18" s="48" t="str">
        <f t="array" ref="AC18">_xlfn.XLOOKUP(B18,'Up Stats'!A:A,'Up Stats'!H:H,)</f>
        <v/>
      </c>
      <c r="AD18" s="40" t="str">
        <f>IFERROR(__xludf.DUMMYFUNCTION("if(AND(AE18=FALSE,AF18=FALSE),,if(AE18=AF18,JOIN("""",""Static: "",AE18),JOIN("""",""Min:  "",AE18, CHAR(10),""Max: "",AF18)))"),"")</f>
        <v/>
      </c>
      <c r="AE18" s="42" t="str">
        <f t="array" ref="AE18">_xlfn.XLOOKUP(B18,'Up Min'!A:A,'Up Min'!H:H,)</f>
        <v/>
      </c>
      <c r="AF18" s="42" t="str">
        <f t="array" ref="AF18">_xlfn.XLOOKUP(B18,'Up Max'!A:A,'Up Max'!H:H,)</f>
        <v/>
      </c>
      <c r="AG18" s="48" t="str">
        <f t="array" ref="AG18">_xlfn.XLOOKUP(B18,'Up Stats'!A:A,'Up Stats'!I:I,)</f>
        <v/>
      </c>
      <c r="AH18" s="40" t="str">
        <f>IFERROR(__xludf.DUMMYFUNCTION("if(AND(AI18=FALSE,AJ18=FALSE),,if(AI18=AJ18,JOIN("""",""Static: "",AI18),JOIN("""",""Min:  "",AI18, CHAR(10),""Max: "",AJ18)))"),"")</f>
        <v/>
      </c>
      <c r="AI18" s="42" t="str">
        <f t="array" ref="AI18">_xlfn.XLOOKUP(B18,'Up Min'!A:A,'Up Min'!I:I,)</f>
        <v/>
      </c>
      <c r="AJ18" s="42" t="str">
        <f t="array" ref="AJ18">_xlfn.XLOOKUP(B18,'Up Max'!A:A,'Up Max'!I:I,)</f>
        <v/>
      </c>
      <c r="AK18" s="48" t="str">
        <f t="array" ref="AK18">_xlfn.XLOOKUP(B18,'Up Stats'!A:A,'Up Stats'!J:J,)</f>
        <v/>
      </c>
      <c r="AL18" s="40" t="str">
        <f>IFERROR(__xludf.DUMMYFUNCTION("if(AND(AM18=FALSE,AN18=FALSE),,if(AM18=AN18,JOIN("""",""Static: "",AM18),JOIN("""",""Min:  "",AM18, CHAR(10),""Max: "",AN18)))"),"")</f>
        <v/>
      </c>
      <c r="AM18" s="42" t="str">
        <f t="array" ref="AM18">_xlfn.XLOOKUP(B18,'Up Min'!A:A,'Up Min'!J:J,)</f>
        <v/>
      </c>
      <c r="AN18" s="42" t="str">
        <f t="array" ref="AN18">_xlfn.XLOOKUP(B18,'Up Max'!A:A,'Up Max'!J:J,)</f>
        <v/>
      </c>
      <c r="AO18" s="34" t="str">
        <f t="array" ref="AO18">CONCATENATE(_xlfn.XLOOKUP(B18,'Up Cells'!A:A,'Up Cells'!B:B,))</f>
        <v>5</v>
      </c>
      <c r="AP18" s="34" t="str">
        <f t="array" ref="AP18">CONCATENATE(_xlfn.XLOOKUP(B18,'Up Rarity'!A:A,'Up Rarity'!B:B,),CHAR(10),"-")</f>
        <v>Epic
-</v>
      </c>
    </row>
    <row r="19">
      <c r="A19" s="83" t="str">
        <f t="array" ref="A19">_xlfn.XLOOKUP(B19,'Up Icon'!A:A,'Up Icon'!B:B,)</f>
        <v/>
      </c>
      <c r="B19" s="63" t="str">
        <f t="array" ref="B19">HYPERLINK(_xlfn.XLOOKUP('Up Names'!A16,'Up Wiki'!A:A,'Up Wiki'!B:B,),'Up Names'!A16)</f>
        <v>Charge Shield</v>
      </c>
      <c r="C19" s="52" t="str">
        <f t="array" ref="C19">_xlfn.XLOOKUP(B19,'Up Desc'!A:A,'Up Desc'!B:B,)</f>
        <v>Take reduced damage while charging. Charge time is increased.</v>
      </c>
      <c r="D19" s="52" t="str">
        <f t="array" ref="D19">_xlfn.XLOOKUP(B19,'Up Turbo'!A:A,'Up Turbo'!B:B,)</f>
        <v>n/a</v>
      </c>
      <c r="E19" s="53" t="str">
        <f t="array" ref="E19">_xlfn.XLOOKUP(B19,'Up Stats'!A:A,'Up Stats'!B:B,)</f>
        <v>Charge Time</v>
      </c>
      <c r="F19" s="54" t="str">
        <f>IFERROR(__xludf.DUMMYFUNCTION("if(AND(G19=FALSE,H19=FALSE),,if(G19=H19,JOIN("""",""Static: "",G19),JOIN("""",""Min:  "",G19, CHAR(10),""Max: "",H19)))"),"Min:  0.3
Max: 0.34")</f>
        <v>Min:  0.3
Max: 0.34</v>
      </c>
      <c r="G19" s="54">
        <f t="array" ref="G19">_xlfn.XLOOKUP(B19,'Up Min'!A:A,'Up Min'!B:B,)</f>
        <v>0.3</v>
      </c>
      <c r="H19" s="65">
        <f t="array" ref="H19">_xlfn.XLOOKUP(B19,'Up Max'!A:A,'Up Max'!B:B,)</f>
        <v>0.34</v>
      </c>
      <c r="I19" s="53" t="str">
        <f t="array" ref="I19">_xlfn.XLOOKUP(B19,'Up Stats'!A:A,'Up Stats'!C:C,)</f>
        <v>Damage Resistance</v>
      </c>
      <c r="J19" s="54" t="str">
        <f>IFERROR(__xludf.DUMMYFUNCTION("if(AND(K19=FALSE,L19=FALSE),,if(K19=L19,JOIN("""",""Static: "",K19),JOIN("""",""Min:  "",K19, CHAR(10),""Max: "",L19)))"),"Min:  75%
Max: 85%")</f>
        <v>Min:  75%
Max: 85%</v>
      </c>
      <c r="K19" s="59">
        <f t="array" ref="K19">_xlfn.XLOOKUP(B19,'Up Min'!A:A,'Up Min'!C:C,)</f>
        <v>0.75</v>
      </c>
      <c r="L19" s="59">
        <f t="array" ref="L19">_xlfn.XLOOKUP(B19,'Up Max'!A:A,'Up Max'!C:C,)</f>
        <v>0.85</v>
      </c>
      <c r="M19" s="53" t="str">
        <f t="array" ref="M19">_xlfn.XLOOKUP(B19,'Up Stats'!A:A,'Up Stats'!D:D,)</f>
        <v/>
      </c>
      <c r="N19" s="54" t="str">
        <f>IFERROR(__xludf.DUMMYFUNCTION("if(AND(O19=FALSE,P19=FALSE),,if(O19=P19,JOIN("""",""Static: "",O19),JOIN("""",""Min:  "",O19, CHAR(10),""Max: "",P19)))"),"")</f>
        <v/>
      </c>
      <c r="O19" s="55" t="str">
        <f t="array" ref="O19">_xlfn.XLOOKUP(B19,'Up Min'!A:A,'Up Min'!D:D,)</f>
        <v/>
      </c>
      <c r="P19" s="55" t="str">
        <f t="array" ref="P19">_xlfn.XLOOKUP(B19,'Up Max'!A:A,'Up Max'!D:D,)</f>
        <v/>
      </c>
      <c r="Q19" s="57" t="str">
        <f t="array" ref="Q19">_xlfn.XLOOKUP(B19,'Up Stats'!A:A,'Up Stats'!E:E,)</f>
        <v/>
      </c>
      <c r="R19" s="54" t="str">
        <f>IFERROR(__xludf.DUMMYFUNCTION("if(AND(S19=FALSE,T19=FALSE),,if(S19=T19,JOIN("""",""Static: "",S19),JOIN("""",""Min:  "",S19, CHAR(10),""Max: "",T19)))"),"")</f>
        <v/>
      </c>
      <c r="S19" s="55" t="str">
        <f t="array" ref="S19">_xlfn.XLOOKUP(B19,'Up Min'!A:A,'Up Min'!E:E,)</f>
        <v/>
      </c>
      <c r="T19" s="55" t="str">
        <f t="array" ref="T19">_xlfn.XLOOKUP(B19,'Up Max'!A:A,'Up Max'!E:E,)</f>
        <v/>
      </c>
      <c r="U19" s="57" t="str">
        <f t="array" ref="U19">_xlfn.XLOOKUP(B19,'Up Stats'!A:A,'Up Stats'!F:F,)</f>
        <v/>
      </c>
      <c r="V19" s="54" t="str">
        <f>IFERROR(__xludf.DUMMYFUNCTION("if(AND(W19=FALSE,X19=FALSE),,if(W19=X19,JOIN("""",""Static: "",W19),JOIN("""",""Min:  "",W19, CHAR(10),""Max: "",X19)))"),"")</f>
        <v/>
      </c>
      <c r="W19" s="55" t="str">
        <f t="array" ref="W19">_xlfn.XLOOKUP(B19,'Up Min'!A:A,'Up Min'!F:F,)</f>
        <v/>
      </c>
      <c r="X19" s="55" t="str">
        <f t="array" ref="X19">_xlfn.XLOOKUP(B19,'Up Max'!A:A,'Up Max'!F:F,)</f>
        <v/>
      </c>
      <c r="Y19" s="57" t="str">
        <f t="array" ref="Y19">_xlfn.XLOOKUP(B19,'Up Stats'!A:A,'Up Stats'!G:G,)</f>
        <v/>
      </c>
      <c r="Z19" s="54" t="str">
        <f>IFERROR(__xludf.DUMMYFUNCTION("if(AND(AA19=FALSE,AB19=FALSE),,if(AA19=AB19,JOIN("""",""Static: "",AA19),JOIN("""",""Min:  "",AA19, CHAR(10),""Max: "",AB19)))"),"")</f>
        <v/>
      </c>
      <c r="AA19" s="55" t="str">
        <f t="array" ref="AA19">_xlfn.XLOOKUP(B19,'Up Min'!A:A,'Up Min'!G:G,)</f>
        <v/>
      </c>
      <c r="AB19" s="55" t="str">
        <f t="array" ref="AB19">_xlfn.XLOOKUP(B19,'Up Max'!A:A,'Up Max'!G:G,)</f>
        <v/>
      </c>
      <c r="AC19" s="57" t="str">
        <f t="array" ref="AC19">_xlfn.XLOOKUP(B19,'Up Stats'!A:A,'Up Stats'!H:H,)</f>
        <v/>
      </c>
      <c r="AD19" s="54" t="str">
        <f>IFERROR(__xludf.DUMMYFUNCTION("if(AND(AE19=FALSE,AF19=FALSE),,if(AE19=AF19,JOIN("""",""Static: "",AE19),JOIN("""",""Min:  "",AE19, CHAR(10),""Max: "",AF19)))"),"")</f>
        <v/>
      </c>
      <c r="AE19" s="55" t="str">
        <f t="array" ref="AE19">_xlfn.XLOOKUP(B19,'Up Min'!A:A,'Up Min'!H:H,)</f>
        <v/>
      </c>
      <c r="AF19" s="55" t="str">
        <f t="array" ref="AF19">_xlfn.XLOOKUP(B19,'Up Max'!A:A,'Up Max'!H:H,)</f>
        <v/>
      </c>
      <c r="AG19" s="57" t="str">
        <f t="array" ref="AG19">_xlfn.XLOOKUP(B19,'Up Stats'!A:A,'Up Stats'!I:I,)</f>
        <v/>
      </c>
      <c r="AH19" s="54" t="str">
        <f>IFERROR(__xludf.DUMMYFUNCTION("if(AND(AI19=FALSE,AJ19=FALSE),,if(AI19=AJ19,JOIN("""",""Static: "",AI19),JOIN("""",""Min:  "",AI19, CHAR(10),""Max: "",AJ19)))"),"")</f>
        <v/>
      </c>
      <c r="AI19" s="55" t="str">
        <f t="array" ref="AI19">_xlfn.XLOOKUP(B19,'Up Min'!A:A,'Up Min'!I:I,)</f>
        <v/>
      </c>
      <c r="AJ19" s="55" t="str">
        <f t="array" ref="AJ19">_xlfn.XLOOKUP(B19,'Up Max'!A:A,'Up Max'!I:I,)</f>
        <v/>
      </c>
      <c r="AK19" s="57" t="str">
        <f t="array" ref="AK19">_xlfn.XLOOKUP(B19,'Up Stats'!A:A,'Up Stats'!J:J,)</f>
        <v/>
      </c>
      <c r="AL19" s="54" t="str">
        <f>IFERROR(__xludf.DUMMYFUNCTION("if(AND(AM19=FALSE,AN19=FALSE),,if(AM19=AN19,JOIN("""",""Static: "",AM19),JOIN("""",""Min:  "",AM19, CHAR(10),""Max: "",AN19)))"),"")</f>
        <v/>
      </c>
      <c r="AM19" s="55" t="str">
        <f t="array" ref="AM19">_xlfn.XLOOKUP(B19,'Up Min'!A:A,'Up Min'!J:J,)</f>
        <v/>
      </c>
      <c r="AN19" s="55" t="str">
        <f t="array" ref="AN19">_xlfn.XLOOKUP(B19,'Up Max'!A:A,'Up Max'!J:J,)</f>
        <v/>
      </c>
      <c r="AO19" s="51" t="str">
        <f t="array" ref="AO19">CONCATENATE(_xlfn.XLOOKUP(B19,'Up Cells'!A:A,'Up Cells'!B:B,))</f>
        <v>2</v>
      </c>
      <c r="AP19" s="51" t="str">
        <f t="array" ref="AP19">CONCATENATE(_xlfn.XLOOKUP(B19,'Up Rarity'!A:A,'Up Rarity'!B:B,),CHAR(10),"-")</f>
        <v>Rare
-</v>
      </c>
    </row>
    <row r="20">
      <c r="A20" s="83" t="str">
        <f t="array" ref="A20">_xlfn.XLOOKUP(B20,'Up Icon'!A:A,'Up Icon'!B:B,)</f>
        <v/>
      </c>
      <c r="B20" s="66" t="str">
        <f t="array" ref="B20">HYPERLINK(_xlfn.XLOOKUP('Up Names'!A17,'Up Wiki'!A:A,'Up Wiki'!B:B,),'Up Names'!A17)</f>
        <v>Charged Cartridges</v>
      </c>
      <c r="C20" s="67" t="str">
        <f t="array" ref="C20">_xlfn.XLOOKUP(B20,'Up Desc'!A:A,'Up Desc'!B:B,)</f>
        <v>Bullets apply shock.</v>
      </c>
      <c r="D20" s="37" t="str">
        <f t="array" ref="D20">_xlfn.XLOOKUP(B20,'Up Turbo'!A:A,'Up Turbo'!B:B,)</f>
        <v>n/a</v>
      </c>
      <c r="E20" s="39" t="str">
        <f t="array" ref="E20">_xlfn.XLOOKUP(B20,'Up Stats'!A:A,'Up Stats'!B:B,)</f>
        <v>Element</v>
      </c>
      <c r="F20" s="40" t="str">
        <f>IFERROR(__xludf.DUMMYFUNCTION("if(AND(G20=FALSE,H20=FALSE),,if(G20=H20,JOIN("""",""Static: "",G20),JOIN("""",""Min:  "",G20, CHAR(10),""Max: "",H20)))"),"Min:  1.85
Max: 2.15")</f>
        <v>Min:  1.85
Max: 2.15</v>
      </c>
      <c r="G20" s="40">
        <f t="array" ref="G20">_xlfn.XLOOKUP(B20,'Up Min'!A:A,'Up Min'!B:B,)</f>
        <v>1.85</v>
      </c>
      <c r="H20" s="68">
        <f t="array" ref="H20">_xlfn.XLOOKUP(B20,'Up Max'!A:A,'Up Max'!B:B,)</f>
        <v>2.15</v>
      </c>
      <c r="I20" s="39" t="str">
        <f t="array" ref="I20">_xlfn.XLOOKUP(B20,'Up Stats'!A:A,'Up Stats'!C:C,)</f>
        <v/>
      </c>
      <c r="J20" s="40" t="str">
        <f>IFERROR(__xludf.DUMMYFUNCTION("if(AND(K20=FALSE,L20=FALSE),,if(K20=L20,JOIN("""",""Static: "",K20),JOIN("""",""Min:  "",K20, CHAR(10),""Max: "",L20)))"),"")</f>
        <v/>
      </c>
      <c r="K20" s="42" t="str">
        <f t="array" ref="K20">_xlfn.XLOOKUP(B20,'Up Min'!A:A,'Up Min'!C:C,)</f>
        <v/>
      </c>
      <c r="L20" s="42" t="str">
        <f t="array" ref="L20">_xlfn.XLOOKUP(B20,'Up Max'!A:A,'Up Max'!C:C,)</f>
        <v/>
      </c>
      <c r="M20" s="48" t="str">
        <f t="array" ref="M20">_xlfn.XLOOKUP(B20,'Up Stats'!A:A,'Up Stats'!D:D,)</f>
        <v/>
      </c>
      <c r="N20" s="40" t="str">
        <f>IFERROR(__xludf.DUMMYFUNCTION("if(AND(O20=FALSE,P20=FALSE),,if(O20=P20,JOIN("""",""Static: "",O20),JOIN("""",""Min:  "",O20, CHAR(10),""Max: "",P20)))"),"")</f>
        <v/>
      </c>
      <c r="O20" s="42" t="str">
        <f t="array" ref="O20">_xlfn.XLOOKUP(B20,'Up Min'!A:A,'Up Min'!D:D,)</f>
        <v/>
      </c>
      <c r="P20" s="42" t="str">
        <f t="array" ref="P20">_xlfn.XLOOKUP(B20,'Up Max'!A:A,'Up Max'!D:D,)</f>
        <v/>
      </c>
      <c r="Q20" s="48" t="str">
        <f t="array" ref="Q20">_xlfn.XLOOKUP(B20,'Up Stats'!A:A,'Up Stats'!E:E,)</f>
        <v/>
      </c>
      <c r="R20" s="40" t="str">
        <f>IFERROR(__xludf.DUMMYFUNCTION("if(AND(S20=FALSE,T20=FALSE),,if(S20=T20,JOIN("""",""Static: "",S20),JOIN("""",""Min:  "",S20, CHAR(10),""Max: "",T20)))"),"")</f>
        <v/>
      </c>
      <c r="S20" s="42" t="str">
        <f t="array" ref="S20">_xlfn.XLOOKUP(B20,'Up Min'!A:A,'Up Min'!E:E,)</f>
        <v/>
      </c>
      <c r="T20" s="42" t="str">
        <f t="array" ref="T20">_xlfn.XLOOKUP(B20,'Up Max'!A:A,'Up Max'!E:E,)</f>
        <v/>
      </c>
      <c r="U20" s="48" t="str">
        <f t="array" ref="U20">_xlfn.XLOOKUP(B20,'Up Stats'!A:A,'Up Stats'!F:F,)</f>
        <v/>
      </c>
      <c r="V20" s="40" t="str">
        <f>IFERROR(__xludf.DUMMYFUNCTION("if(AND(W20=FALSE,X20=FALSE),,if(W20=X20,JOIN("""",""Static: "",W20),JOIN("""",""Min:  "",W20, CHAR(10),""Max: "",X20)))"),"")</f>
        <v/>
      </c>
      <c r="W20" s="42" t="str">
        <f t="array" ref="W20">_xlfn.XLOOKUP(B20,'Up Min'!A:A,'Up Min'!F:F,)</f>
        <v/>
      </c>
      <c r="X20" s="42" t="str">
        <f t="array" ref="X20">_xlfn.XLOOKUP(B20,'Up Max'!A:A,'Up Max'!F:F,)</f>
        <v/>
      </c>
      <c r="Y20" s="48" t="str">
        <f t="array" ref="Y20">_xlfn.XLOOKUP(B20,'Up Stats'!A:A,'Up Stats'!G:G,)</f>
        <v/>
      </c>
      <c r="Z20" s="40" t="str">
        <f>IFERROR(__xludf.DUMMYFUNCTION("if(AND(AA20=FALSE,AB20=FALSE),,if(AA20=AB20,JOIN("""",""Static: "",AA20),JOIN("""",""Min:  "",AA20, CHAR(10),""Max: "",AB20)))"),"")</f>
        <v/>
      </c>
      <c r="AA20" s="42" t="str">
        <f t="array" ref="AA20">_xlfn.XLOOKUP(B20,'Up Min'!A:A,'Up Min'!G:G,)</f>
        <v/>
      </c>
      <c r="AB20" s="42" t="str">
        <f t="array" ref="AB20">_xlfn.XLOOKUP(B20,'Up Max'!A:A,'Up Max'!G:G,)</f>
        <v/>
      </c>
      <c r="AC20" s="48" t="str">
        <f t="array" ref="AC20">_xlfn.XLOOKUP(B20,'Up Stats'!A:A,'Up Stats'!H:H,)</f>
        <v/>
      </c>
      <c r="AD20" s="40" t="str">
        <f>IFERROR(__xludf.DUMMYFUNCTION("if(AND(AE20=FALSE,AF20=FALSE),,if(AE20=AF20,JOIN("""",""Static: "",AE20),JOIN("""",""Min:  "",AE20, CHAR(10),""Max: "",AF20)))"),"")</f>
        <v/>
      </c>
      <c r="AE20" s="42" t="str">
        <f t="array" ref="AE20">_xlfn.XLOOKUP(B20,'Up Min'!A:A,'Up Min'!H:H,)</f>
        <v/>
      </c>
      <c r="AF20" s="42" t="str">
        <f t="array" ref="AF20">_xlfn.XLOOKUP(B20,'Up Max'!A:A,'Up Max'!H:H,)</f>
        <v/>
      </c>
      <c r="AG20" s="48" t="str">
        <f t="array" ref="AG20">_xlfn.XLOOKUP(B20,'Up Stats'!A:A,'Up Stats'!I:I,)</f>
        <v/>
      </c>
      <c r="AH20" s="40" t="str">
        <f>IFERROR(__xludf.DUMMYFUNCTION("if(AND(AI20=FALSE,AJ20=FALSE),,if(AI20=AJ20,JOIN("""",""Static: "",AI20),JOIN("""",""Min:  "",AI20, CHAR(10),""Max: "",AJ20)))"),"")</f>
        <v/>
      </c>
      <c r="AI20" s="42" t="str">
        <f t="array" ref="AI20">_xlfn.XLOOKUP(B20,'Up Min'!A:A,'Up Min'!I:I,)</f>
        <v/>
      </c>
      <c r="AJ20" s="42" t="str">
        <f t="array" ref="AJ20">_xlfn.XLOOKUP(B20,'Up Max'!A:A,'Up Max'!I:I,)</f>
        <v/>
      </c>
      <c r="AK20" s="48" t="str">
        <f t="array" ref="AK20">_xlfn.XLOOKUP(B20,'Up Stats'!A:A,'Up Stats'!J:J,)</f>
        <v/>
      </c>
      <c r="AL20" s="40" t="str">
        <f>IFERROR(__xludf.DUMMYFUNCTION("if(AND(AM20=FALSE,AN20=FALSE),,if(AM20=AN20,JOIN("""",""Static: "",AM20),JOIN("""",""Min:  "",AM20, CHAR(10),""Max: "",AN20)))"),"")</f>
        <v/>
      </c>
      <c r="AM20" s="42" t="str">
        <f t="array" ref="AM20">_xlfn.XLOOKUP(B20,'Up Min'!A:A,'Up Min'!J:J,)</f>
        <v/>
      </c>
      <c r="AN20" s="42" t="str">
        <f t="array" ref="AN20">_xlfn.XLOOKUP(B20,'Up Max'!A:A,'Up Max'!J:J,)</f>
        <v/>
      </c>
      <c r="AO20" s="34" t="str">
        <f t="array" ref="AO20">CONCATENATE(_xlfn.XLOOKUP(B20,'Up Cells'!A:A,'Up Cells'!B:B,))</f>
        <v>3</v>
      </c>
      <c r="AP20" s="34" t="str">
        <f t="array" ref="AP20">CONCATENATE(_xlfn.XLOOKUP(B20,'Up Rarity'!A:A,'Up Rarity'!B:B,),CHAR(10),"-")</f>
        <v>Rare
-</v>
      </c>
    </row>
    <row r="21">
      <c r="A21" s="83" t="str">
        <f t="array" ref="A21">_xlfn.XLOOKUP(B21,'Up Icon'!A:A,'Up Icon'!B:B,)</f>
        <v/>
      </c>
      <c r="B21" s="63" t="str">
        <f t="array" ref="B21">HYPERLINK(_xlfn.XLOOKUP('Up Names'!A18,'Up Wiki'!A:A,'Up Wiki'!B:B,),'Up Names'!A18)</f>
        <v>Condensed Ejection</v>
      </c>
      <c r="C21" s="70" t="str">
        <f t="array" ref="C21">_xlfn.XLOOKUP(B21,'Up Desc'!A:A,'Up Desc'!B:B,)</f>
        <v>Fires slow-moving plasma that deals increased damage.</v>
      </c>
      <c r="D21" s="52" t="str">
        <f t="array" ref="D21">_xlfn.XLOOKUP(B21,'Up Turbo'!A:A,'Up Turbo'!B:B,)</f>
        <v>n/a</v>
      </c>
      <c r="E21" s="53" t="str">
        <f t="array" ref="E21">_xlfn.XLOOKUP(B21,'Up Stats'!A:A,'Up Stats'!B:B,)</f>
        <v>Damage</v>
      </c>
      <c r="F21" s="54" t="str">
        <f>IFERROR(__xludf.DUMMYFUNCTION("if(AND(G21=FALSE,H21=FALSE),,if(G21=H21,JOIN("""",""Static: "",G21),JOIN("""",""Min:  "",G21, CHAR(10),""Max: "",H21)))"),"Min:  16%
Max: 24%")</f>
        <v>Min:  16%
Max: 24%</v>
      </c>
      <c r="G21" s="59">
        <f t="array" ref="G21">_xlfn.XLOOKUP(B21,'Up Min'!A:A,'Up Min'!B:B,)</f>
        <v>0.16</v>
      </c>
      <c r="H21" s="59">
        <f t="array" ref="H21">_xlfn.XLOOKUP(B21,'Up Max'!A:A,'Up Max'!B:B,)</f>
        <v>0.24</v>
      </c>
      <c r="I21" s="53" t="str">
        <f t="array" ref="I21">_xlfn.XLOOKUP(B21,'Up Stats'!A:A,'Up Stats'!C:C,)</f>
        <v>Bullet Speed</v>
      </c>
      <c r="J21" s="54" t="str">
        <f>IFERROR(__xludf.DUMMYFUNCTION("if(AND(K21=FALSE,L21=FALSE),,if(K21=L21,JOIN("""",""Static: "",K21),JOIN("""",""Min:  "",K21, CHAR(10),""Max: "",L21)))"),"Min:  17
Max: 23")</f>
        <v>Min:  17
Max: 23</v>
      </c>
      <c r="K21" s="65">
        <f t="array" ref="K21">_xlfn.XLOOKUP(B21,'Up Min'!A:A,'Up Min'!C:C,)</f>
        <v>17</v>
      </c>
      <c r="L21" s="64">
        <f t="array" ref="L21">_xlfn.XLOOKUP(B21,'Up Max'!A:A,'Up Max'!C:C,)</f>
        <v>23</v>
      </c>
      <c r="M21" s="53" t="str">
        <f t="array" ref="M21">_xlfn.XLOOKUP(B21,'Up Stats'!A:A,'Up Stats'!D:D,)</f>
        <v>Bullet Size</v>
      </c>
      <c r="N21" s="54" t="str">
        <f>IFERROR(__xludf.DUMMYFUNCTION("if(AND(O21=FALSE,P21=FALSE),,if(O21=P21,JOIN("""",""Static: "",O21),JOIN("""",""Min:  "",O21, CHAR(10),""Max: "",P21)))"),"Static: 0.5")</f>
        <v>Static: 0.5</v>
      </c>
      <c r="O21" s="65">
        <f t="array" ref="O21">_xlfn.XLOOKUP(B21,'Up Min'!A:A,'Up Min'!D:D,)</f>
        <v>0.5</v>
      </c>
      <c r="P21" s="65">
        <f t="array" ref="P21">_xlfn.XLOOKUP(B21,'Up Max'!A:A,'Up Max'!D:D,)</f>
        <v>0.5</v>
      </c>
      <c r="Q21" s="57" t="str">
        <f t="array" ref="Q21">_xlfn.XLOOKUP(B21,'Up Stats'!A:A,'Up Stats'!E:E,)</f>
        <v>Falloff Start</v>
      </c>
      <c r="R21" s="54" t="str">
        <f>IFERROR(__xludf.DUMMYFUNCTION("if(AND(S21=FALSE,T21=FALSE),,if(S21=T21,JOIN("""",""Static: "",S21),JOIN("""",""Min:  "",S21, CHAR(10),""Max: "",T21)))"),"Static: 60")</f>
        <v>Static: 60</v>
      </c>
      <c r="S21" s="65">
        <f t="array" ref="S21">_xlfn.XLOOKUP(B21,'Up Min'!A:A,'Up Min'!E:E,)</f>
        <v>60</v>
      </c>
      <c r="T21" s="65">
        <f t="array" ref="T21">_xlfn.XLOOKUP(B21,'Up Max'!A:A,'Up Max'!E:E,)</f>
        <v>60</v>
      </c>
      <c r="U21" s="53" t="str">
        <f t="array" ref="U21">_xlfn.XLOOKUP(B21,'Up Stats'!A:A,'Up Stats'!F:F,)</f>
        <v>Falloff End</v>
      </c>
      <c r="V21" s="54" t="str">
        <f>IFERROR(__xludf.DUMMYFUNCTION("if(AND(W21=FALSE,X21=FALSE),,if(W21=X21,JOIN("""",""Static: "",W21),JOIN("""",""Min:  "",W21, CHAR(10),""Max: "",X21)))"),"Static: 70")</f>
        <v>Static: 70</v>
      </c>
      <c r="W21" s="65">
        <f t="array" ref="W21">_xlfn.XLOOKUP(B21,'Up Min'!A:A,'Up Min'!F:F,)</f>
        <v>70</v>
      </c>
      <c r="X21" s="65">
        <f t="array" ref="X21">_xlfn.XLOOKUP(B21,'Up Max'!A:A,'Up Max'!F:F,)</f>
        <v>70</v>
      </c>
      <c r="Y21" s="53" t="str">
        <f t="array" ref="Y21">_xlfn.XLOOKUP(B21,'Up Stats'!A:A,'Up Stats'!G:G,)</f>
        <v>Range</v>
      </c>
      <c r="Z21" s="54" t="str">
        <f>IFERROR(__xludf.DUMMYFUNCTION("if(AND(AA21=FALSE,AB21=FALSE),,if(AA21=AB21,JOIN("""",""Static: "",AA21),JOIN("""",""Min:  "",AA21, CHAR(10),""Max: "",AB21)))"),"Static: 80")</f>
        <v>Static: 80</v>
      </c>
      <c r="AA21" s="64">
        <f t="array" ref="AA21">_xlfn.XLOOKUP(B21,'Up Min'!A:A,'Up Min'!G:G,)</f>
        <v>80</v>
      </c>
      <c r="AB21" s="65">
        <f t="array" ref="AB21">_xlfn.XLOOKUP(B21,'Up Max'!A:A,'Up Max'!G:G,)</f>
        <v>80</v>
      </c>
      <c r="AC21" s="53" t="str">
        <f t="array" ref="AC21">_xlfn.XLOOKUP(B21,'Up Stats'!A:A,'Up Stats'!H:H,)</f>
        <v>Horizontal Spread</v>
      </c>
      <c r="AD21" s="54" t="str">
        <f>IFERROR(__xludf.DUMMYFUNCTION("if(AND(AE21=FALSE,AF21=FALSE),,if(AE21=AF21,JOIN("""",""Static: "",AE21),JOIN("""",""Min:  "",AE21, CHAR(10),""Max: "",AF21)))"),"Min:  1.75
Max: 2.2")</f>
        <v>Min:  1.75
Max: 2.2</v>
      </c>
      <c r="AE21" s="65">
        <f t="array" ref="AE21">_xlfn.XLOOKUP(B21,'Up Min'!A:A,'Up Min'!H:H,)</f>
        <v>1.75</v>
      </c>
      <c r="AF21" s="65">
        <f t="array" ref="AF21">_xlfn.XLOOKUP(B21,'Up Max'!A:A,'Up Max'!H:H,)</f>
        <v>2.2</v>
      </c>
      <c r="AG21" s="53" t="str">
        <f t="array" ref="AG21">_xlfn.XLOOKUP(B21,'Up Stats'!A:A,'Up Stats'!I:I,)</f>
        <v>Vertical Spread</v>
      </c>
      <c r="AH21" s="54" t="str">
        <f>IFERROR(__xludf.DUMMYFUNCTION("if(AND(AI21=FALSE,AJ21=FALSE),,if(AI21=AJ21,JOIN("""",""Static: "",AI21),JOIN("""",""Min:  "",AI21, CHAR(10),""Max: "",AJ21)))"),"Min:  1.75
Max: 2.2")</f>
        <v>Min:  1.75
Max: 2.2</v>
      </c>
      <c r="AI21" s="65">
        <f t="array" ref="AI21">_xlfn.XLOOKUP(B21,'Up Min'!A:A,'Up Min'!I:I,)</f>
        <v>1.75</v>
      </c>
      <c r="AJ21" s="65">
        <f t="array" ref="AJ21">_xlfn.XLOOKUP(B21,'Up Max'!A:A,'Up Max'!I:I,)</f>
        <v>2.2</v>
      </c>
      <c r="AK21" s="53" t="str">
        <f t="array" ref="AK21">_xlfn.XLOOKUP(B21,'Up Stats'!A:A,'Up Stats'!J:J,)</f>
        <v/>
      </c>
      <c r="AL21" s="54" t="str">
        <f>IFERROR(__xludf.DUMMYFUNCTION("if(AND(AM21=FALSE,AN21=FALSE),,if(AM21=AN21,JOIN("""",""Static: "",AM21),JOIN("""",""Min:  "",AM21, CHAR(10),""Max: "",AN21)))"),"")</f>
        <v/>
      </c>
      <c r="AM21" s="56" t="str">
        <f t="array" ref="AM21">_xlfn.XLOOKUP(B21,'Up Min'!A:A,'Up Min'!J:J,)</f>
        <v/>
      </c>
      <c r="AN21" s="56" t="str">
        <f t="array" ref="AN21">_xlfn.XLOOKUP(B21,'Up Max'!A:A,'Up Max'!J:J,)</f>
        <v/>
      </c>
      <c r="AO21" s="51" t="str">
        <f t="array" ref="AO21">CONCATENATE(_xlfn.XLOOKUP(B21,'Up Cells'!A:A,'Up Cells'!B:B,))</f>
        <v>5</v>
      </c>
      <c r="AP21" s="51" t="str">
        <f t="array" ref="AP21">CONCATENATE(_xlfn.XLOOKUP(B21,'Up Rarity'!A:A,'Up Rarity'!B:B,),CHAR(10),"-")</f>
        <v>Rare
-</v>
      </c>
    </row>
    <row r="22">
      <c r="A22" s="83" t="str">
        <f t="array" ref="A22">_xlfn.XLOOKUP(B22,'Up Icon'!A:A,'Up Icon'!B:B,)</f>
        <v/>
      </c>
      <c r="B22" s="66" t="str">
        <f t="array" ref="B22">HYPERLINK(_xlfn.XLOOKUP('Up Names'!A19,'Up Wiki'!A:A,'Up Wiki'!B:B,),'Up Names'!A19)</f>
        <v>Corrosive Plasma</v>
      </c>
      <c r="C22" s="67" t="str">
        <f t="array" ref="C22">_xlfn.XLOOKUP(B22,'Up Desc'!A:A,'Up Desc'!B:B,)</f>
        <v>Bullets apply acid.</v>
      </c>
      <c r="D22" s="37" t="str">
        <f t="array" ref="D22">_xlfn.XLOOKUP(B22,'Up Turbo'!A:A,'Up Turbo'!B:B,)</f>
        <v>n/a</v>
      </c>
      <c r="E22" s="39" t="str">
        <f t="array" ref="E22">_xlfn.XLOOKUP(B22,'Up Stats'!A:A,'Up Stats'!B:B,)</f>
        <v>Element</v>
      </c>
      <c r="F22" s="40" t="str">
        <f>IFERROR(__xludf.DUMMYFUNCTION("if(AND(G22=FALSE,H22=FALSE),,if(G22=H22,JOIN("""",""Static: "",G22),JOIN("""",""Min:  "",G22, CHAR(10),""Max: "",H22)))"),"Min:  1.85
Max: 2.15")</f>
        <v>Min:  1.85
Max: 2.15</v>
      </c>
      <c r="G22" s="40">
        <f t="array" ref="G22">_xlfn.XLOOKUP(B22,'Up Min'!A:A,'Up Min'!B:B,)</f>
        <v>1.85</v>
      </c>
      <c r="H22" s="68">
        <f t="array" ref="H22">_xlfn.XLOOKUP(B22,'Up Max'!A:A,'Up Max'!B:B,)</f>
        <v>2.15</v>
      </c>
      <c r="I22" s="39" t="str">
        <f t="array" ref="I22">_xlfn.XLOOKUP(B22,'Up Stats'!A:A,'Up Stats'!C:C,)</f>
        <v/>
      </c>
      <c r="J22" s="40" t="str">
        <f>IFERROR(__xludf.DUMMYFUNCTION("if(AND(K22=FALSE,L22=FALSE),,if(K22=L22,JOIN("""",""Static: "",K22),JOIN("""",""Min:  "",K22, CHAR(10),""Max: "",L22)))"),"")</f>
        <v/>
      </c>
      <c r="K22" s="42" t="str">
        <f t="array" ref="K22">_xlfn.XLOOKUP(B22,'Up Min'!A:A,'Up Min'!C:C,)</f>
        <v/>
      </c>
      <c r="L22" s="42" t="str">
        <f t="array" ref="L22">_xlfn.XLOOKUP(B22,'Up Max'!A:A,'Up Max'!C:C,)</f>
        <v/>
      </c>
      <c r="M22" s="48" t="str">
        <f t="array" ref="M22">_xlfn.XLOOKUP(B22,'Up Stats'!A:A,'Up Stats'!D:D,)</f>
        <v/>
      </c>
      <c r="N22" s="40" t="str">
        <f>IFERROR(__xludf.DUMMYFUNCTION("if(AND(O22=FALSE,P22=FALSE),,if(O22=P22,JOIN("""",""Static: "",O22),JOIN("""",""Min:  "",O22, CHAR(10),""Max: "",P22)))"),"")</f>
        <v/>
      </c>
      <c r="O22" s="42" t="str">
        <f t="array" ref="O22">_xlfn.XLOOKUP(B22,'Up Min'!A:A,'Up Min'!D:D,)</f>
        <v/>
      </c>
      <c r="P22" s="42" t="str">
        <f t="array" ref="P22">_xlfn.XLOOKUP(B22,'Up Max'!A:A,'Up Max'!D:D,)</f>
        <v/>
      </c>
      <c r="Q22" s="48" t="str">
        <f t="array" ref="Q22">_xlfn.XLOOKUP(B22,'Up Stats'!A:A,'Up Stats'!E:E,)</f>
        <v/>
      </c>
      <c r="R22" s="40" t="str">
        <f>IFERROR(__xludf.DUMMYFUNCTION("if(AND(S22=FALSE,T22=FALSE),,if(S22=T22,JOIN("""",""Static: "",S22),JOIN("""",""Min:  "",S22, CHAR(10),""Max: "",T22)))"),"")</f>
        <v/>
      </c>
      <c r="S22" s="42" t="str">
        <f t="array" ref="S22">_xlfn.XLOOKUP(B22,'Up Min'!A:A,'Up Min'!E:E,)</f>
        <v/>
      </c>
      <c r="T22" s="42" t="str">
        <f t="array" ref="T22">_xlfn.XLOOKUP(B22,'Up Max'!A:A,'Up Max'!E:E,)</f>
        <v/>
      </c>
      <c r="U22" s="48" t="str">
        <f t="array" ref="U22">_xlfn.XLOOKUP(B22,'Up Stats'!A:A,'Up Stats'!F:F,)</f>
        <v/>
      </c>
      <c r="V22" s="40" t="str">
        <f>IFERROR(__xludf.DUMMYFUNCTION("if(AND(W22=FALSE,X22=FALSE),,if(W22=X22,JOIN("""",""Static: "",W22),JOIN("""",""Min:  "",W22, CHAR(10),""Max: "",X22)))"),"")</f>
        <v/>
      </c>
      <c r="W22" s="42" t="str">
        <f t="array" ref="W22">_xlfn.XLOOKUP(B22,'Up Min'!A:A,'Up Min'!F:F,)</f>
        <v/>
      </c>
      <c r="X22" s="42" t="str">
        <f t="array" ref="X22">_xlfn.XLOOKUP(B22,'Up Max'!A:A,'Up Max'!F:F,)</f>
        <v/>
      </c>
      <c r="Y22" s="48" t="str">
        <f t="array" ref="Y22">_xlfn.XLOOKUP(B22,'Up Stats'!A:A,'Up Stats'!G:G,)</f>
        <v/>
      </c>
      <c r="Z22" s="40" t="str">
        <f>IFERROR(__xludf.DUMMYFUNCTION("if(AND(AA22=FALSE,AB22=FALSE),,if(AA22=AB22,JOIN("""",""Static: "",AA22),JOIN("""",""Min:  "",AA22, CHAR(10),""Max: "",AB22)))"),"")</f>
        <v/>
      </c>
      <c r="AA22" s="42" t="str">
        <f t="array" ref="AA22">_xlfn.XLOOKUP(B22,'Up Min'!A:A,'Up Min'!G:G,)</f>
        <v/>
      </c>
      <c r="AB22" s="42" t="str">
        <f t="array" ref="AB22">_xlfn.XLOOKUP(B22,'Up Max'!A:A,'Up Max'!G:G,)</f>
        <v/>
      </c>
      <c r="AC22" s="48" t="str">
        <f t="array" ref="AC22">_xlfn.XLOOKUP(B22,'Up Stats'!A:A,'Up Stats'!H:H,)</f>
        <v/>
      </c>
      <c r="AD22" s="40" t="str">
        <f>IFERROR(__xludf.DUMMYFUNCTION("if(AND(AE22=FALSE,AF22=FALSE),,if(AE22=AF22,JOIN("""",""Static: "",AE22),JOIN("""",""Min:  "",AE22, CHAR(10),""Max: "",AF22)))"),"")</f>
        <v/>
      </c>
      <c r="AE22" s="42" t="str">
        <f t="array" ref="AE22">_xlfn.XLOOKUP(B22,'Up Min'!A:A,'Up Min'!H:H,)</f>
        <v/>
      </c>
      <c r="AF22" s="42" t="str">
        <f t="array" ref="AF22">_xlfn.XLOOKUP(B22,'Up Max'!A:A,'Up Max'!H:H,)</f>
        <v/>
      </c>
      <c r="AG22" s="48" t="str">
        <f t="array" ref="AG22">_xlfn.XLOOKUP(B22,'Up Stats'!A:A,'Up Stats'!I:I,)</f>
        <v/>
      </c>
      <c r="AH22" s="40" t="str">
        <f>IFERROR(__xludf.DUMMYFUNCTION("if(AND(AI22=FALSE,AJ22=FALSE),,if(AI22=AJ22,JOIN("""",""Static: "",AI22),JOIN("""",""Min:  "",AI22, CHAR(10),""Max: "",AJ22)))"),"")</f>
        <v/>
      </c>
      <c r="AI22" s="42" t="str">
        <f t="array" ref="AI22">_xlfn.XLOOKUP(B22,'Up Min'!A:A,'Up Min'!I:I,)</f>
        <v/>
      </c>
      <c r="AJ22" s="42" t="str">
        <f t="array" ref="AJ22">_xlfn.XLOOKUP(B22,'Up Max'!A:A,'Up Max'!I:I,)</f>
        <v/>
      </c>
      <c r="AK22" s="48" t="str">
        <f t="array" ref="AK22">_xlfn.XLOOKUP(B22,'Up Stats'!A:A,'Up Stats'!J:J,)</f>
        <v/>
      </c>
      <c r="AL22" s="40" t="str">
        <f>IFERROR(__xludf.DUMMYFUNCTION("if(AND(AM22=FALSE,AN22=FALSE),,if(AM22=AN22,JOIN("""",""Static: "",AM22),JOIN("""",""Min:  "",AM22, CHAR(10),""Max: "",AN22)))"),"")</f>
        <v/>
      </c>
      <c r="AM22" s="42" t="str">
        <f t="array" ref="AM22">_xlfn.XLOOKUP(B22,'Up Min'!A:A,'Up Min'!J:J,)</f>
        <v/>
      </c>
      <c r="AN22" s="42" t="str">
        <f t="array" ref="AN22">_xlfn.XLOOKUP(B22,'Up Max'!A:A,'Up Max'!J:J,)</f>
        <v/>
      </c>
      <c r="AO22" s="34" t="str">
        <f t="array" ref="AO22">CONCATENATE(_xlfn.XLOOKUP(B22,'Up Cells'!A:A,'Up Cells'!B:B,))</f>
        <v>3</v>
      </c>
      <c r="AP22" s="34" t="str">
        <f t="array" ref="AP22">CONCATENATE(_xlfn.XLOOKUP(B22,'Up Rarity'!A:A,'Up Rarity'!B:B,),CHAR(10),"-")</f>
        <v>Rare
-</v>
      </c>
    </row>
    <row r="23">
      <c r="A23" s="83" t="str">
        <f t="array" ref="A23">_xlfn.XLOOKUP(B23,'Up Icon'!A:A,'Up Icon'!B:B,)</f>
        <v/>
      </c>
      <c r="B23" s="63" t="str">
        <f t="array" ref="B23">HYPERLINK(_xlfn.XLOOKUP('Up Names'!A20,'Up Wiki'!A:A,'Up Wiki'!B:B,),'Up Names'!A20)</f>
        <v>Decay Energy</v>
      </c>
      <c r="C23" s="52" t="str">
        <f t="array" ref="C23">_xlfn.XLOOKUP(B23,'Up Desc'!A:A,'Up Desc'!B:B,)</f>
        <v>Bullets apply decay.</v>
      </c>
      <c r="D23" s="52" t="str">
        <f t="array" ref="D23">_xlfn.XLOOKUP(B23,'Up Turbo'!A:A,'Up Turbo'!B:B,)</f>
        <v>n/a</v>
      </c>
      <c r="E23" s="53" t="str">
        <f t="array" ref="E23">_xlfn.XLOOKUP(B23,'Up Stats'!A:A,'Up Stats'!B:B,)</f>
        <v>Element</v>
      </c>
      <c r="F23" s="54" t="str">
        <f>IFERROR(__xludf.DUMMYFUNCTION("if(AND(G23=FALSE,H23=FALSE),,if(G23=H23,JOIN("""",""Static: "",G23),JOIN("""",""Min:  "",G23, CHAR(10),""Max: "",H23)))"),"Min:  1.85
Max: 2.15")</f>
        <v>Min:  1.85
Max: 2.15</v>
      </c>
      <c r="G23" s="54">
        <f t="array" ref="G23">_xlfn.XLOOKUP(B23,'Up Min'!A:A,'Up Min'!B:B,)</f>
        <v>1.85</v>
      </c>
      <c r="H23" s="65">
        <f t="array" ref="H23">_xlfn.XLOOKUP(B23,'Up Max'!A:A,'Up Max'!B:B,)</f>
        <v>2.15</v>
      </c>
      <c r="I23" s="53" t="str">
        <f t="array" ref="I23">_xlfn.XLOOKUP(B23,'Up Stats'!A:A,'Up Stats'!C:C,)</f>
        <v/>
      </c>
      <c r="J23" s="54" t="str">
        <f>IFERROR(__xludf.DUMMYFUNCTION("if(AND(K23=FALSE,L23=FALSE),,if(K23=L23,JOIN("""",""Static: "",K23),JOIN("""",""Min:  "",K23, CHAR(10),""Max: "",L23)))"),"")</f>
        <v/>
      </c>
      <c r="K23" s="55" t="str">
        <f t="array" ref="K23">_xlfn.XLOOKUP(B23,'Up Min'!A:A,'Up Min'!C:C,)</f>
        <v/>
      </c>
      <c r="L23" s="55" t="str">
        <f t="array" ref="L23">_xlfn.XLOOKUP(B23,'Up Max'!A:A,'Up Max'!C:C,)</f>
        <v/>
      </c>
      <c r="M23" s="57" t="str">
        <f t="array" ref="M23">_xlfn.XLOOKUP(B23,'Up Stats'!A:A,'Up Stats'!D:D,)</f>
        <v/>
      </c>
      <c r="N23" s="54" t="str">
        <f>IFERROR(__xludf.DUMMYFUNCTION("if(AND(O23=FALSE,P23=FALSE),,if(O23=P23,JOIN("""",""Static: "",O23),JOIN("""",""Min:  "",O23, CHAR(10),""Max: "",P23)))"),"")</f>
        <v/>
      </c>
      <c r="O23" s="55" t="str">
        <f t="array" ref="O23">_xlfn.XLOOKUP(B23,'Up Min'!A:A,'Up Min'!D:D,)</f>
        <v/>
      </c>
      <c r="P23" s="55" t="str">
        <f t="array" ref="P23">_xlfn.XLOOKUP(B23,'Up Max'!A:A,'Up Max'!D:D,)</f>
        <v/>
      </c>
      <c r="Q23" s="57" t="str">
        <f t="array" ref="Q23">_xlfn.XLOOKUP(B23,'Up Stats'!A:A,'Up Stats'!E:E,)</f>
        <v/>
      </c>
      <c r="R23" s="54" t="str">
        <f>IFERROR(__xludf.DUMMYFUNCTION("if(AND(S23=FALSE,T23=FALSE),,if(S23=T23,JOIN("""",""Static: "",S23),JOIN("""",""Min:  "",S23, CHAR(10),""Max: "",T23)))"),"")</f>
        <v/>
      </c>
      <c r="S23" s="55" t="str">
        <f t="array" ref="S23">_xlfn.XLOOKUP(B23,'Up Min'!A:A,'Up Min'!E:E,)</f>
        <v/>
      </c>
      <c r="T23" s="55" t="str">
        <f t="array" ref="T23">_xlfn.XLOOKUP(B23,'Up Max'!A:A,'Up Max'!E:E,)</f>
        <v/>
      </c>
      <c r="U23" s="57" t="str">
        <f t="array" ref="U23">_xlfn.XLOOKUP(B23,'Up Stats'!A:A,'Up Stats'!F:F,)</f>
        <v/>
      </c>
      <c r="V23" s="54" t="str">
        <f>IFERROR(__xludf.DUMMYFUNCTION("if(AND(W23=FALSE,X23=FALSE),,if(W23=X23,JOIN("""",""Static: "",W23),JOIN("""",""Min:  "",W23, CHAR(10),""Max: "",X23)))"),"")</f>
        <v/>
      </c>
      <c r="W23" s="55" t="str">
        <f t="array" ref="W23">_xlfn.XLOOKUP(B23,'Up Min'!A:A,'Up Min'!F:F,)</f>
        <v/>
      </c>
      <c r="X23" s="55" t="str">
        <f t="array" ref="X23">_xlfn.XLOOKUP(B23,'Up Max'!A:A,'Up Max'!F:F,)</f>
        <v/>
      </c>
      <c r="Y23" s="57" t="str">
        <f t="array" ref="Y23">_xlfn.XLOOKUP(B23,'Up Stats'!A:A,'Up Stats'!G:G,)</f>
        <v/>
      </c>
      <c r="Z23" s="54" t="str">
        <f>IFERROR(__xludf.DUMMYFUNCTION("if(AND(AA23=FALSE,AB23=FALSE),,if(AA23=AB23,JOIN("""",""Static: "",AA23),JOIN("""",""Min:  "",AA23, CHAR(10),""Max: "",AB23)))"),"")</f>
        <v/>
      </c>
      <c r="AA23" s="55" t="str">
        <f t="array" ref="AA23">_xlfn.XLOOKUP(B23,'Up Min'!A:A,'Up Min'!G:G,)</f>
        <v/>
      </c>
      <c r="AB23" s="55" t="str">
        <f t="array" ref="AB23">_xlfn.XLOOKUP(B23,'Up Max'!A:A,'Up Max'!G:G,)</f>
        <v/>
      </c>
      <c r="AC23" s="57" t="str">
        <f t="array" ref="AC23">_xlfn.XLOOKUP(B23,'Up Stats'!A:A,'Up Stats'!H:H,)</f>
        <v/>
      </c>
      <c r="AD23" s="54" t="str">
        <f>IFERROR(__xludf.DUMMYFUNCTION("if(AND(AE23=FALSE,AF23=FALSE),,if(AE23=AF23,JOIN("""",""Static: "",AE23),JOIN("""",""Min:  "",AE23, CHAR(10),""Max: "",AF23)))"),"")</f>
        <v/>
      </c>
      <c r="AE23" s="55" t="str">
        <f t="array" ref="AE23">_xlfn.XLOOKUP(B23,'Up Min'!A:A,'Up Min'!H:H,)</f>
        <v/>
      </c>
      <c r="AF23" s="55" t="str">
        <f t="array" ref="AF23">_xlfn.XLOOKUP(B23,'Up Max'!A:A,'Up Max'!H:H,)</f>
        <v/>
      </c>
      <c r="AG23" s="57" t="str">
        <f t="array" ref="AG23">_xlfn.XLOOKUP(B23,'Up Stats'!A:A,'Up Stats'!I:I,)</f>
        <v/>
      </c>
      <c r="AH23" s="54" t="str">
        <f>IFERROR(__xludf.DUMMYFUNCTION("if(AND(AI23=FALSE,AJ23=FALSE),,if(AI23=AJ23,JOIN("""",""Static: "",AI23),JOIN("""",""Min:  "",AI23, CHAR(10),""Max: "",AJ23)))"),"")</f>
        <v/>
      </c>
      <c r="AI23" s="55" t="str">
        <f t="array" ref="AI23">_xlfn.XLOOKUP(B23,'Up Min'!A:A,'Up Min'!I:I,)</f>
        <v/>
      </c>
      <c r="AJ23" s="55" t="str">
        <f t="array" ref="AJ23">_xlfn.XLOOKUP(B23,'Up Max'!A:A,'Up Max'!I:I,)</f>
        <v/>
      </c>
      <c r="AK23" s="57" t="str">
        <f t="array" ref="AK23">_xlfn.XLOOKUP(B23,'Up Stats'!A:A,'Up Stats'!J:J,)</f>
        <v/>
      </c>
      <c r="AL23" s="54" t="str">
        <f>IFERROR(__xludf.DUMMYFUNCTION("if(AND(AM23=FALSE,AN23=FALSE),,if(AM23=AN23,JOIN("""",""Static: "",AM23),JOIN("""",""Min:  "",AM23, CHAR(10),""Max: "",AN23)))"),"")</f>
        <v/>
      </c>
      <c r="AM23" s="55" t="str">
        <f t="array" ref="AM23">_xlfn.XLOOKUP(B23,'Up Min'!A:A,'Up Min'!J:J,)</f>
        <v/>
      </c>
      <c r="AN23" s="55" t="str">
        <f t="array" ref="AN23">_xlfn.XLOOKUP(B23,'Up Max'!A:A,'Up Max'!J:J,)</f>
        <v/>
      </c>
      <c r="AO23" s="51" t="str">
        <f t="array" ref="AO23">CONCATENATE(_xlfn.XLOOKUP(B23,'Up Cells'!A:A,'Up Cells'!B:B,))</f>
        <v>3</v>
      </c>
      <c r="AP23" s="51" t="str">
        <f t="array" ref="AP23">CONCATENATE(_xlfn.XLOOKUP(B23,'Up Rarity'!A:A,'Up Rarity'!B:B,),CHAR(10),"-")</f>
        <v>Rare
-</v>
      </c>
    </row>
    <row r="24">
      <c r="A24" s="83" t="str">
        <f t="array" ref="A24">_xlfn.XLOOKUP(B24,'Up Icon'!A:A,'Up Icon'!B:B,)</f>
        <v/>
      </c>
      <c r="B24" s="66" t="str">
        <f t="array" ref="B24">HYPERLINK(_xlfn.XLOOKUP('Up Names'!A21,'Up Wiki'!A:A,'Up Wiki'!B:B,),'Up Names'!A21)</f>
        <v>Double Shot</v>
      </c>
      <c r="C24" s="67" t="str">
        <f t="array" ref="C24">_xlfn.XLOOKUP(B24,'Up Desc'!A:A,'Up Desc'!B:B,)</f>
        <v>Fires two bullets at once. Magazine size and fire rate are decreased.</v>
      </c>
      <c r="D24" s="37" t="str">
        <f t="array" ref="D24">_xlfn.XLOOKUP(B24,'Up Turbo'!A:A,'Up Turbo'!B:B,)</f>
        <v>n/a</v>
      </c>
      <c r="E24" s="39" t="str">
        <f t="array" ref="E24">_xlfn.XLOOKUP(B24,'Up Stats'!A:A,'Up Stats'!B:B,)</f>
        <v>Bullets per Shot</v>
      </c>
      <c r="F24" s="40" t="str">
        <f>IFERROR(__xludf.DUMMYFUNCTION("if(AND(G24=FALSE,H24=FALSE),,if(G24=H24,JOIN("""",""Static: "",G24),JOIN("""",""Min:  "",G24, CHAR(10),""Max: "",H24)))"),"Static: 1")</f>
        <v>Static: 1</v>
      </c>
      <c r="G24" s="40">
        <f t="array" ref="G24">_xlfn.XLOOKUP(B24,'Up Min'!A:A,'Up Min'!B:B,)</f>
        <v>1</v>
      </c>
      <c r="H24" s="68">
        <f t="array" ref="H24">_xlfn.XLOOKUP(B24,'Up Max'!A:A,'Up Max'!B:B,)</f>
        <v>1</v>
      </c>
      <c r="I24" s="39" t="str">
        <f t="array" ref="I24">_xlfn.XLOOKUP(B24,'Up Stats'!A:A,'Up Stats'!C:C,)</f>
        <v>Magazine Size</v>
      </c>
      <c r="J24" s="40" t="str">
        <f>IFERROR(__xludf.DUMMYFUNCTION("if(AND(K24=FALSE,L24=FALSE),,if(K24=L24,JOIN("""",""Static: "",K24),JOIN("""",""Min:  "",K24, CHAR(10),""Max: "",L24)))"),"Min:  -40%
Max: -20%")</f>
        <v>Min:  -40%
Max: -20%</v>
      </c>
      <c r="K24" s="41">
        <f t="array" ref="K24">_xlfn.XLOOKUP(B24,'Up Min'!A:A,'Up Min'!C:C,)</f>
        <v>-0.4</v>
      </c>
      <c r="L24" s="41">
        <f t="array" ref="L24">_xlfn.XLOOKUP(B24,'Up Max'!A:A,'Up Max'!C:C,)</f>
        <v>-0.2</v>
      </c>
      <c r="M24" s="39" t="str">
        <f t="array" ref="M24">_xlfn.XLOOKUP(B24,'Up Stats'!A:A,'Up Stats'!D:D,)</f>
        <v>Fire Rate</v>
      </c>
      <c r="N24" s="40" t="str">
        <f>IFERROR(__xludf.DUMMYFUNCTION("if(AND(O24=FALSE,P24=FALSE),,if(O24=P24,JOIN("""",""Static: "",O24),JOIN("""",""Min:  "",O24, CHAR(10),""Max: "",P24)))"),"Min:  -23.08%
Max: -31.74%")</f>
        <v>Min:  -23.08%
Max: -31.74%</v>
      </c>
      <c r="O24" s="78">
        <f t="array" ref="O24">_xlfn.XLOOKUP(B24,'Up Min'!A:A,'Up Min'!D:D,)</f>
        <v>-0.2308</v>
      </c>
      <c r="P24" s="78">
        <f t="array" ref="P24">_xlfn.XLOOKUP(B24,'Up Max'!A:A,'Up Max'!D:D,)</f>
        <v>-0.3174</v>
      </c>
      <c r="Q24" s="48" t="str">
        <f t="array" ref="Q24">_xlfn.XLOOKUP(B24,'Up Stats'!A:A,'Up Stats'!E:E,)</f>
        <v>Horizontal Spread</v>
      </c>
      <c r="R24" s="40" t="str">
        <f>IFERROR(__xludf.DUMMYFUNCTION("if(AND(S24=FALSE,T24=FALSE),,if(S24=T24,JOIN("""",""Static: "",S24),JOIN("""",""Min:  "",S24, CHAR(10),""Max: "",T24)))"),"Min:  3
Max: 5")</f>
        <v>Min:  3
Max: 5</v>
      </c>
      <c r="S24" s="68">
        <f t="array" ref="S24">_xlfn.XLOOKUP(B24,'Up Min'!A:A,'Up Min'!E:E,)</f>
        <v>3</v>
      </c>
      <c r="T24" s="68">
        <f t="array" ref="T24">_xlfn.XLOOKUP(B24,'Up Max'!A:A,'Up Max'!E:E,)</f>
        <v>5</v>
      </c>
      <c r="U24" s="39" t="str">
        <f t="array" ref="U24">_xlfn.XLOOKUP(B24,'Up Stats'!A:A,'Up Stats'!F:F,)</f>
        <v/>
      </c>
      <c r="V24" s="40" t="str">
        <f>IFERROR(__xludf.DUMMYFUNCTION("if(AND(W24=FALSE,X24=FALSE),,if(W24=X24,JOIN("""",""Static: "",W24),JOIN("""",""Min:  "",W24, CHAR(10),""Max: "",X24)))"),"")</f>
        <v/>
      </c>
      <c r="W24" s="45" t="str">
        <f t="array" ref="W24">_xlfn.XLOOKUP(B24,'Up Min'!A:A,'Up Min'!F:F,)</f>
        <v/>
      </c>
      <c r="X24" s="45" t="str">
        <f t="array" ref="X24">_xlfn.XLOOKUP(B24,'Up Max'!A:A,'Up Max'!F:F,)</f>
        <v/>
      </c>
      <c r="Y24" s="48" t="str">
        <f t="array" ref="Y24">_xlfn.XLOOKUP(B24,'Up Stats'!A:A,'Up Stats'!G:G,)</f>
        <v/>
      </c>
      <c r="Z24" s="40" t="str">
        <f>IFERROR(__xludf.DUMMYFUNCTION("if(AND(AA24=FALSE,AB24=FALSE),,if(AA24=AB24,JOIN("""",""Static: "",AA24),JOIN("""",""Min:  "",AA24, CHAR(10),""Max: "",AB24)))"),"")</f>
        <v/>
      </c>
      <c r="AA24" s="42" t="str">
        <f t="array" ref="AA24">_xlfn.XLOOKUP(B24,'Up Min'!A:A,'Up Min'!G:G,)</f>
        <v/>
      </c>
      <c r="AB24" s="42" t="str">
        <f t="array" ref="AB24">_xlfn.XLOOKUP(B24,'Up Max'!A:A,'Up Max'!G:G,)</f>
        <v/>
      </c>
      <c r="AC24" s="48" t="str">
        <f t="array" ref="AC24">_xlfn.XLOOKUP(B24,'Up Stats'!A:A,'Up Stats'!H:H,)</f>
        <v/>
      </c>
      <c r="AD24" s="40" t="str">
        <f>IFERROR(__xludf.DUMMYFUNCTION("if(AND(AE24=FALSE,AF24=FALSE),,if(AE24=AF24,JOIN("""",""Static: "",AE24),JOIN("""",""Min:  "",AE24, CHAR(10),""Max: "",AF24)))"),"")</f>
        <v/>
      </c>
      <c r="AE24" s="42" t="str">
        <f t="array" ref="AE24">_xlfn.XLOOKUP(B24,'Up Min'!A:A,'Up Min'!H:H,)</f>
        <v/>
      </c>
      <c r="AF24" s="42" t="str">
        <f t="array" ref="AF24">_xlfn.XLOOKUP(B24,'Up Max'!A:A,'Up Max'!H:H,)</f>
        <v/>
      </c>
      <c r="AG24" s="48" t="str">
        <f t="array" ref="AG24">_xlfn.XLOOKUP(B24,'Up Stats'!A:A,'Up Stats'!I:I,)</f>
        <v/>
      </c>
      <c r="AH24" s="40" t="str">
        <f>IFERROR(__xludf.DUMMYFUNCTION("if(AND(AI24=FALSE,AJ24=FALSE),,if(AI24=AJ24,JOIN("""",""Static: "",AI24),JOIN("""",""Min:  "",AI24, CHAR(10),""Max: "",AJ24)))"),"")</f>
        <v/>
      </c>
      <c r="AI24" s="42" t="str">
        <f t="array" ref="AI24">_xlfn.XLOOKUP(B24,'Up Min'!A:A,'Up Min'!I:I,)</f>
        <v/>
      </c>
      <c r="AJ24" s="42" t="str">
        <f t="array" ref="AJ24">_xlfn.XLOOKUP(B24,'Up Max'!A:A,'Up Max'!I:I,)</f>
        <v/>
      </c>
      <c r="AK24" s="48" t="str">
        <f t="array" ref="AK24">_xlfn.XLOOKUP(B24,'Up Stats'!A:A,'Up Stats'!J:J,)</f>
        <v/>
      </c>
      <c r="AL24" s="40" t="str">
        <f>IFERROR(__xludf.DUMMYFUNCTION("if(AND(AM24=FALSE,AN24=FALSE),,if(AM24=AN24,JOIN("""",""Static: "",AM24),JOIN("""",""Min:  "",AM24, CHAR(10),""Max: "",AN24)))"),"")</f>
        <v/>
      </c>
      <c r="AM24" s="42" t="str">
        <f t="array" ref="AM24">_xlfn.XLOOKUP(B24,'Up Min'!A:A,'Up Min'!J:J,)</f>
        <v/>
      </c>
      <c r="AN24" s="42" t="str">
        <f t="array" ref="AN24">_xlfn.XLOOKUP(B24,'Up Max'!A:A,'Up Max'!J:J,)</f>
        <v/>
      </c>
      <c r="AO24" s="34" t="str">
        <f t="array" ref="AO24">CONCATENATE(_xlfn.XLOOKUP(B24,'Up Cells'!A:A,'Up Cells'!B:B,))</f>
        <v>5</v>
      </c>
      <c r="AP24" s="34" t="str">
        <f t="array" ref="AP24">CONCATENATE(_xlfn.XLOOKUP(B24,'Up Rarity'!A:A,'Up Rarity'!B:B,),CHAR(10),"-")</f>
        <v>Rare
-</v>
      </c>
    </row>
    <row r="25">
      <c r="A25" s="83" t="str">
        <f t="array" ref="A25">_xlfn.XLOOKUP(B25,'Up Icon'!A:A,'Up Icon'!B:B,)</f>
        <v/>
      </c>
      <c r="B25" s="63" t="str">
        <f t="array" ref="B25">HYPERLINK(_xlfn.XLOOKUP('Up Names'!A22,'Up Wiki'!A:A,'Up Wiki'!B:B,),'Up Names'!A22)</f>
        <v>Elemental Discharge</v>
      </c>
      <c r="C25" s="52" t="str">
        <f t="array" ref="C25">_xlfn.XLOOKUP(B25,'Up Desc'!A:A,'Up Desc'!B:B,)</f>
        <v>Charges up to release an elemental discharge that damages any nearby targets.</v>
      </c>
      <c r="D25" s="52" t="str">
        <f t="array" ref="D25">_xlfn.XLOOKUP(B25,'Up Turbo'!A:A,'Up Turbo'!B:B,)</f>
        <v>n/a</v>
      </c>
      <c r="E25" s="53" t="str">
        <f t="array" ref="E25">_xlfn.XLOOKUP(B25,'Up Stats'!A:A,'Up Stats'!B:B,)</f>
        <v>Charge Time</v>
      </c>
      <c r="F25" s="54" t="str">
        <f>IFERROR(__xludf.DUMMYFUNCTION("if(AND(G25=FALSE,H25=FALSE),,if(G25=H25,JOIN("""",""Static: "",G25),JOIN("""",""Min:  "",G25, CHAR(10),""Max: "",H25)))"),"Min:  0.5
Max: 0.68")</f>
        <v>Min:  0.5
Max: 0.68</v>
      </c>
      <c r="G25" s="54">
        <f t="array" ref="G25">_xlfn.XLOOKUP(B25,'Up Min'!A:A,'Up Min'!B:B,)</f>
        <v>0.5</v>
      </c>
      <c r="H25" s="65">
        <f t="array" ref="H25">_xlfn.XLOOKUP(B25,'Up Max'!A:A,'Up Max'!B:B,)</f>
        <v>0.68</v>
      </c>
      <c r="I25" s="53" t="str">
        <f t="array" ref="I25">_xlfn.XLOOKUP(B25,'Up Stats'!A:A,'Up Stats'!C:C,)</f>
        <v>Size</v>
      </c>
      <c r="J25" s="54" t="str">
        <f>IFERROR(__xludf.DUMMYFUNCTION("if(AND(K25=FALSE,L25=FALSE),,if(K25=L25,JOIN("""",""Static: "",K25),JOIN("""",""Min:  "",K25, CHAR(10),""Max: "",L25)))"),"Min:  4
Max: 5")</f>
        <v>Min:  4
Max: 5</v>
      </c>
      <c r="K25" s="64">
        <f t="array" ref="K25">_xlfn.XLOOKUP(B25,'Up Min'!A:A,'Up Min'!C:C,)</f>
        <v>4</v>
      </c>
      <c r="L25" s="64">
        <f t="array" ref="L25">_xlfn.XLOOKUP(B25,'Up Max'!A:A,'Up Max'!C:C,)</f>
        <v>5</v>
      </c>
      <c r="M25" s="53" t="str">
        <f t="array" ref="M25">_xlfn.XLOOKUP(B25,'Up Stats'!A:A,'Up Stats'!D:D,)</f>
        <v>Damage</v>
      </c>
      <c r="N25" s="54" t="str">
        <f>IFERROR(__xludf.DUMMYFUNCTION("if(AND(O25=FALSE,P25=FALSE),,if(O25=P25,JOIN("""",""Static: "",O25),JOIN("""",""Min:  "",O25, CHAR(10),""Max: "",P25)))"),"Min:  26
Max: 63")</f>
        <v>Min:  26
Max: 63</v>
      </c>
      <c r="O25" s="65">
        <f t="array" ref="O25">_xlfn.XLOOKUP(B25,'Up Min'!A:A,'Up Min'!D:D,)</f>
        <v>26</v>
      </c>
      <c r="P25" s="64">
        <f t="array" ref="P25">_xlfn.XLOOKUP(B25,'Up Max'!A:A,'Up Max'!D:D,)</f>
        <v>63</v>
      </c>
      <c r="Q25" s="57" t="str">
        <f t="array" ref="Q25">_xlfn.XLOOKUP(B25,'Up Stats'!A:A,'Up Stats'!E:E,)</f>
        <v/>
      </c>
      <c r="R25" s="54" t="str">
        <f>IFERROR(__xludf.DUMMYFUNCTION("if(AND(S25=FALSE,T25=FALSE),,if(S25=T25,JOIN("""",""Static: "",S25),JOIN("""",""Min:  "",S25, CHAR(10),""Max: "",T25)))"),"")</f>
        <v/>
      </c>
      <c r="S25" s="56" t="str">
        <f t="array" ref="S25">_xlfn.XLOOKUP(B25,'Up Min'!A:A,'Up Min'!E:E,)</f>
        <v/>
      </c>
      <c r="T25" s="55" t="str">
        <f t="array" ref="T25">_xlfn.XLOOKUP(B25,'Up Max'!A:A,'Up Max'!E:E,)</f>
        <v/>
      </c>
      <c r="U25" s="57" t="str">
        <f t="array" ref="U25">_xlfn.XLOOKUP(B25,'Up Stats'!A:A,'Up Stats'!F:F,)</f>
        <v/>
      </c>
      <c r="V25" s="54" t="str">
        <f>IFERROR(__xludf.DUMMYFUNCTION("if(AND(W25=FALSE,X25=FALSE),,if(W25=X25,JOIN("""",""Static: "",W25),JOIN("""",""Min:  "",W25, CHAR(10),""Max: "",X25)))"),"")</f>
        <v/>
      </c>
      <c r="W25" s="55" t="str">
        <f t="array" ref="W25">_xlfn.XLOOKUP(B25,'Up Min'!A:A,'Up Min'!F:F,)</f>
        <v/>
      </c>
      <c r="X25" s="55" t="str">
        <f t="array" ref="X25">_xlfn.XLOOKUP(B25,'Up Max'!A:A,'Up Max'!F:F,)</f>
        <v/>
      </c>
      <c r="Y25" s="57" t="str">
        <f t="array" ref="Y25">_xlfn.XLOOKUP(B25,'Up Stats'!A:A,'Up Stats'!G:G,)</f>
        <v/>
      </c>
      <c r="Z25" s="54" t="str">
        <f>IFERROR(__xludf.DUMMYFUNCTION("if(AND(AA25=FALSE,AB25=FALSE),,if(AA25=AB25,JOIN("""",""Static: "",AA25),JOIN("""",""Min:  "",AA25, CHAR(10),""Max: "",AB25)))"),"")</f>
        <v/>
      </c>
      <c r="AA25" s="55" t="str">
        <f t="array" ref="AA25">_xlfn.XLOOKUP(B25,'Up Min'!A:A,'Up Min'!G:G,)</f>
        <v/>
      </c>
      <c r="AB25" s="55" t="str">
        <f t="array" ref="AB25">_xlfn.XLOOKUP(B25,'Up Max'!A:A,'Up Max'!G:G,)</f>
        <v/>
      </c>
      <c r="AC25" s="57" t="str">
        <f t="array" ref="AC25">_xlfn.XLOOKUP(B25,'Up Stats'!A:A,'Up Stats'!H:H,)</f>
        <v/>
      </c>
      <c r="AD25" s="54" t="str">
        <f>IFERROR(__xludf.DUMMYFUNCTION("if(AND(AE25=FALSE,AF25=FALSE),,if(AE25=AF25,JOIN("""",""Static: "",AE25),JOIN("""",""Min:  "",AE25, CHAR(10),""Max: "",AF25)))"),"")</f>
        <v/>
      </c>
      <c r="AE25" s="55" t="str">
        <f t="array" ref="AE25">_xlfn.XLOOKUP(B25,'Up Min'!A:A,'Up Min'!H:H,)</f>
        <v/>
      </c>
      <c r="AF25" s="55" t="str">
        <f t="array" ref="AF25">_xlfn.XLOOKUP(B25,'Up Max'!A:A,'Up Max'!H:H,)</f>
        <v/>
      </c>
      <c r="AG25" s="57" t="str">
        <f t="array" ref="AG25">_xlfn.XLOOKUP(B25,'Up Stats'!A:A,'Up Stats'!I:I,)</f>
        <v/>
      </c>
      <c r="AH25" s="54" t="str">
        <f>IFERROR(__xludf.DUMMYFUNCTION("if(AND(AI25=FALSE,AJ25=FALSE),,if(AI25=AJ25,JOIN("""",""Static: "",AI25),JOIN("""",""Min:  "",AI25, CHAR(10),""Max: "",AJ25)))"),"")</f>
        <v/>
      </c>
      <c r="AI25" s="55" t="str">
        <f t="array" ref="AI25">_xlfn.XLOOKUP(B25,'Up Min'!A:A,'Up Min'!I:I,)</f>
        <v/>
      </c>
      <c r="AJ25" s="55" t="str">
        <f t="array" ref="AJ25">_xlfn.XLOOKUP(B25,'Up Max'!A:A,'Up Max'!I:I,)</f>
        <v/>
      </c>
      <c r="AK25" s="57" t="str">
        <f t="array" ref="AK25">_xlfn.XLOOKUP(B25,'Up Stats'!A:A,'Up Stats'!J:J,)</f>
        <v/>
      </c>
      <c r="AL25" s="54" t="str">
        <f>IFERROR(__xludf.DUMMYFUNCTION("if(AND(AM25=FALSE,AN25=FALSE),,if(AM25=AN25,JOIN("""",""Static: "",AM25),JOIN("""",""Min:  "",AM25, CHAR(10),""Max: "",AN25)))"),"")</f>
        <v/>
      </c>
      <c r="AM25" s="55" t="str">
        <f t="array" ref="AM25">_xlfn.XLOOKUP(B25,'Up Min'!A:A,'Up Min'!J:J,)</f>
        <v/>
      </c>
      <c r="AN25" s="55" t="str">
        <f t="array" ref="AN25">_xlfn.XLOOKUP(B25,'Up Max'!A:A,'Up Max'!J:J,)</f>
        <v/>
      </c>
      <c r="AO25" s="51" t="str">
        <f t="array" ref="AO25">CONCATENATE(_xlfn.XLOOKUP(B25,'Up Cells'!A:A,'Up Cells'!B:B,))</f>
        <v>4</v>
      </c>
      <c r="AP25" s="51" t="str">
        <f t="array" ref="AP25">CONCATENATE(_xlfn.XLOOKUP(B25,'Up Rarity'!A:A,'Up Rarity'!B:B,),CHAR(10),"-")</f>
        <v>Rare
-</v>
      </c>
    </row>
    <row r="26">
      <c r="A26" s="83" t="str">
        <f t="array" ref="A26">_xlfn.XLOOKUP(B26,'Up Icon'!A:A,'Up Icon'!B:B,)</f>
        <v/>
      </c>
      <c r="B26" s="66" t="str">
        <f t="array" ref="B26">HYPERLINK(_xlfn.XLOOKUP('Up Names'!A23,'Up Wiki'!A:A,'Up Wiki'!B:B,),'Up Names'!A23)</f>
        <v>Energy Convergence</v>
      </c>
      <c r="C26" s="37" t="str">
        <f t="array" ref="C26">_xlfn.XLOOKUP(B26,'Up Desc'!A:A,'Up Desc'!B:B,)</f>
        <v>Targets taking damage over time from your ignition, electrocution, or corrosion give you stacks of Power. Hold RELOAD to convert all Power stacks into overflow ammo.</v>
      </c>
      <c r="D26" s="37" t="str">
        <f t="array" ref="D26">_xlfn.XLOOKUP(B26,'Up Turbo'!A:A,'Up Turbo'!B:B,)</f>
        <v>n/a</v>
      </c>
      <c r="E26" s="39" t="str">
        <f t="array" ref="E26">_xlfn.XLOOKUP(B26,'Up Stats'!A:A,'Up Stats'!B:B,)</f>
        <v>Ammo per Stack</v>
      </c>
      <c r="F26" s="40" t="str">
        <f>IFERROR(__xludf.DUMMYFUNCTION("if(AND(G26=FALSE,H26=FALSE),,if(G26=H26,JOIN("""",""Static: "",G26),JOIN("""",""Min:  "",G26, CHAR(10),""Max: "",H26)))"),"Min:  0.75
Max: 1.2")</f>
        <v>Min:  0.75
Max: 1.2</v>
      </c>
      <c r="G26" s="40">
        <f t="array" ref="G26">_xlfn.XLOOKUP(B26,'Up Min'!A:A,'Up Min'!B:B,)</f>
        <v>0.75</v>
      </c>
      <c r="H26" s="68">
        <f t="array" ref="H26">_xlfn.XLOOKUP(B26,'Up Max'!A:A,'Up Max'!B:B,)</f>
        <v>1.2</v>
      </c>
      <c r="I26" s="39" t="str">
        <f t="array" ref="I26">_xlfn.XLOOKUP(B26,'Up Stats'!A:A,'Up Stats'!C:C,)</f>
        <v/>
      </c>
      <c r="J26" s="40" t="str">
        <f>IFERROR(__xludf.DUMMYFUNCTION("if(AND(K26=FALSE,L26=FALSE),,if(K26=L26,JOIN("""",""Static: "",K26),JOIN("""",""Min:  "",K26, CHAR(10),""Max: "",L26)))"),"")</f>
        <v/>
      </c>
      <c r="K26" s="42" t="str">
        <f t="array" ref="K26">_xlfn.XLOOKUP(B26,'Up Min'!A:A,'Up Min'!C:C,)</f>
        <v/>
      </c>
      <c r="L26" s="42" t="str">
        <f t="array" ref="L26">_xlfn.XLOOKUP(B26,'Up Max'!A:A,'Up Max'!C:C,)</f>
        <v/>
      </c>
      <c r="M26" s="48" t="str">
        <f t="array" ref="M26">_xlfn.XLOOKUP(B26,'Up Stats'!A:A,'Up Stats'!D:D,)</f>
        <v/>
      </c>
      <c r="N26" s="40" t="str">
        <f>IFERROR(__xludf.DUMMYFUNCTION("if(AND(O26=FALSE,P26=FALSE),,if(O26=P26,JOIN("""",""Static: "",O26),JOIN("""",""Min:  "",O26, CHAR(10),""Max: "",P26)))"),"")</f>
        <v/>
      </c>
      <c r="O26" s="42" t="str">
        <f t="array" ref="O26">_xlfn.XLOOKUP(B26,'Up Min'!A:A,'Up Min'!D:D,)</f>
        <v/>
      </c>
      <c r="P26" s="42" t="str">
        <f t="array" ref="P26">_xlfn.XLOOKUP(B26,'Up Max'!A:A,'Up Max'!D:D,)</f>
        <v/>
      </c>
      <c r="Q26" s="48" t="str">
        <f t="array" ref="Q26">_xlfn.XLOOKUP(B26,'Up Stats'!A:A,'Up Stats'!E:E,)</f>
        <v/>
      </c>
      <c r="R26" s="40" t="str">
        <f>IFERROR(__xludf.DUMMYFUNCTION("if(AND(S26=FALSE,T26=FALSE),,if(S26=T26,JOIN("""",""Static: "",S26),JOIN("""",""Min:  "",S26, CHAR(10),""Max: "",T26)))"),"")</f>
        <v/>
      </c>
      <c r="S26" s="42" t="str">
        <f t="array" ref="S26">_xlfn.XLOOKUP(B26,'Up Min'!A:A,'Up Min'!E:E,)</f>
        <v/>
      </c>
      <c r="T26" s="42" t="str">
        <f t="array" ref="T26">_xlfn.XLOOKUP(B26,'Up Max'!A:A,'Up Max'!E:E,)</f>
        <v/>
      </c>
      <c r="U26" s="48" t="str">
        <f t="array" ref="U26">_xlfn.XLOOKUP(B26,'Up Stats'!A:A,'Up Stats'!F:F,)</f>
        <v/>
      </c>
      <c r="V26" s="40" t="str">
        <f>IFERROR(__xludf.DUMMYFUNCTION("if(AND(W26=FALSE,X26=FALSE),,if(W26=X26,JOIN("""",""Static: "",W26),JOIN("""",""Min:  "",W26, CHAR(10),""Max: "",X26)))"),"")</f>
        <v/>
      </c>
      <c r="W26" s="42" t="str">
        <f t="array" ref="W26">_xlfn.XLOOKUP(B26,'Up Min'!A:A,'Up Min'!F:F,)</f>
        <v/>
      </c>
      <c r="X26" s="42" t="str">
        <f t="array" ref="X26">_xlfn.XLOOKUP(B26,'Up Max'!A:A,'Up Max'!F:F,)</f>
        <v/>
      </c>
      <c r="Y26" s="48" t="str">
        <f t="array" ref="Y26">_xlfn.XLOOKUP(B26,'Up Stats'!A:A,'Up Stats'!G:G,)</f>
        <v/>
      </c>
      <c r="Z26" s="40" t="str">
        <f>IFERROR(__xludf.DUMMYFUNCTION("if(AND(AA26=FALSE,AB26=FALSE),,if(AA26=AB26,JOIN("""",""Static: "",AA26),JOIN("""",""Min:  "",AA26, CHAR(10),""Max: "",AB26)))"),"")</f>
        <v/>
      </c>
      <c r="AA26" s="42" t="str">
        <f t="array" ref="AA26">_xlfn.XLOOKUP(B26,'Up Min'!A:A,'Up Min'!G:G,)</f>
        <v/>
      </c>
      <c r="AB26" s="42" t="str">
        <f t="array" ref="AB26">_xlfn.XLOOKUP(B26,'Up Max'!A:A,'Up Max'!G:G,)</f>
        <v/>
      </c>
      <c r="AC26" s="48" t="str">
        <f t="array" ref="AC26">_xlfn.XLOOKUP(B26,'Up Stats'!A:A,'Up Stats'!H:H,)</f>
        <v/>
      </c>
      <c r="AD26" s="40" t="str">
        <f>IFERROR(__xludf.DUMMYFUNCTION("if(AND(AE26=FALSE,AF26=FALSE),,if(AE26=AF26,JOIN("""",""Static: "",AE26),JOIN("""",""Min:  "",AE26, CHAR(10),""Max: "",AF26)))"),"")</f>
        <v/>
      </c>
      <c r="AE26" s="42" t="str">
        <f t="array" ref="AE26">_xlfn.XLOOKUP(B26,'Up Min'!A:A,'Up Min'!H:H,)</f>
        <v/>
      </c>
      <c r="AF26" s="42" t="str">
        <f t="array" ref="AF26">_xlfn.XLOOKUP(B26,'Up Max'!A:A,'Up Max'!H:H,)</f>
        <v/>
      </c>
      <c r="AG26" s="48" t="str">
        <f t="array" ref="AG26">_xlfn.XLOOKUP(B26,'Up Stats'!A:A,'Up Stats'!I:I,)</f>
        <v/>
      </c>
      <c r="AH26" s="40" t="str">
        <f>IFERROR(__xludf.DUMMYFUNCTION("if(AND(AI26=FALSE,AJ26=FALSE),,if(AI26=AJ26,JOIN("""",""Static: "",AI26),JOIN("""",""Min:  "",AI26, CHAR(10),""Max: "",AJ26)))"),"")</f>
        <v/>
      </c>
      <c r="AI26" s="42" t="str">
        <f t="array" ref="AI26">_xlfn.XLOOKUP(B26,'Up Min'!A:A,'Up Min'!I:I,)</f>
        <v/>
      </c>
      <c r="AJ26" s="42" t="str">
        <f t="array" ref="AJ26">_xlfn.XLOOKUP(B26,'Up Max'!A:A,'Up Max'!I:I,)</f>
        <v/>
      </c>
      <c r="AK26" s="48" t="str">
        <f t="array" ref="AK26">_xlfn.XLOOKUP(B26,'Up Stats'!A:A,'Up Stats'!J:J,)</f>
        <v/>
      </c>
      <c r="AL26" s="40" t="str">
        <f>IFERROR(__xludf.DUMMYFUNCTION("if(AND(AM26=FALSE,AN26=FALSE),,if(AM26=AN26,JOIN("""",""Static: "",AM26),JOIN("""",""Min:  "",AM26, CHAR(10),""Max: "",AN26)))"),"")</f>
        <v/>
      </c>
      <c r="AM26" s="42" t="str">
        <f t="array" ref="AM26">_xlfn.XLOOKUP(B26,'Up Min'!A:A,'Up Min'!J:J,)</f>
        <v/>
      </c>
      <c r="AN26" s="42" t="str">
        <f t="array" ref="AN26">_xlfn.XLOOKUP(B26,'Up Max'!A:A,'Up Max'!J:J,)</f>
        <v/>
      </c>
      <c r="AO26" s="34" t="str">
        <f t="array" ref="AO26">CONCATENATE(_xlfn.XLOOKUP(B26,'Up Cells'!A:A,'Up Cells'!B:B,))</f>
        <v>4</v>
      </c>
      <c r="AP26" s="34" t="str">
        <f t="array" ref="AP26">CONCATENATE(_xlfn.XLOOKUP(B26,'Up Rarity'!A:A,'Up Rarity'!B:B,),CHAR(10),"-")</f>
        <v>Rare
-</v>
      </c>
    </row>
    <row r="27">
      <c r="A27" s="83" t="str">
        <f t="array" ref="A27">_xlfn.XLOOKUP(B27,'Up Icon'!A:A,'Up Icon'!B:B,)</f>
        <v/>
      </c>
      <c r="B27" s="63" t="str">
        <f t="array" ref="B27">HYPERLINK(_xlfn.XLOOKUP('Up Names'!A24,'Up Wiki'!A:A,'Up Wiki'!B:B,),'Up Names'!A24)</f>
        <v>Full Range</v>
      </c>
      <c r="C27" s="70" t="str">
        <f t="array" ref="C27">_xlfn.XLOOKUP(B27,'Up Desc'!A:A,'Up Desc'!B:B,)</f>
        <v>Increases range for each upgrade of a different rarity that's touching this one.</v>
      </c>
      <c r="D27" s="52" t="str">
        <f t="array" ref="D27">_xlfn.XLOOKUP(B27,'Up Turbo'!A:A,'Up Turbo'!B:B,)</f>
        <v>n/a</v>
      </c>
      <c r="E27" s="53" t="str">
        <f t="array" ref="E27">_xlfn.XLOOKUP(B27,'Up Stats'!A:A,'Up Stats'!B:B,)</f>
        <v>Range per Rarity</v>
      </c>
      <c r="F27" s="54" t="str">
        <f>IFERROR(__xludf.DUMMYFUNCTION("if(AND(G27=FALSE,H27=FALSE),,if(G27=H27,JOIN("""",""Static: "",G27),JOIN("""",""Min:  "",G27, CHAR(10),""Max: "",H27)))"),"Min:  9
Max: 13")</f>
        <v>Min:  9
Max: 13</v>
      </c>
      <c r="G27" s="54">
        <f t="array" ref="G27">_xlfn.XLOOKUP(B27,'Up Min'!A:A,'Up Min'!B:B,)</f>
        <v>9</v>
      </c>
      <c r="H27" s="65">
        <f t="array" ref="H27">_xlfn.XLOOKUP(B27,'Up Max'!A:A,'Up Max'!B:B,)</f>
        <v>13</v>
      </c>
      <c r="I27" s="53" t="str">
        <f t="array" ref="I27">_xlfn.XLOOKUP(B27,'Up Stats'!A:A,'Up Stats'!C:C,)</f>
        <v/>
      </c>
      <c r="J27" s="54" t="str">
        <f>IFERROR(__xludf.DUMMYFUNCTION("if(AND(K27=FALSE,L27=FALSE),,if(K27=L27,JOIN("""",""Static: "",K27),JOIN("""",""Min:  "",K27, CHAR(10),""Max: "",L27)))"),"")</f>
        <v/>
      </c>
      <c r="K27" s="55" t="str">
        <f t="array" ref="K27">_xlfn.XLOOKUP(B27,'Up Min'!A:A,'Up Min'!C:C,)</f>
        <v/>
      </c>
      <c r="L27" s="55" t="str">
        <f t="array" ref="L27">_xlfn.XLOOKUP(B27,'Up Max'!A:A,'Up Max'!C:C,)</f>
        <v/>
      </c>
      <c r="M27" s="57" t="str">
        <f t="array" ref="M27">_xlfn.XLOOKUP(B27,'Up Stats'!A:A,'Up Stats'!D:D,)</f>
        <v/>
      </c>
      <c r="N27" s="54" t="str">
        <f>IFERROR(__xludf.DUMMYFUNCTION("if(AND(O27=FALSE,P27=FALSE),,if(O27=P27,JOIN("""",""Static: "",O27),JOIN("""",""Min:  "",O27, CHAR(10),""Max: "",P27)))"),"")</f>
        <v/>
      </c>
      <c r="O27" s="55" t="str">
        <f t="array" ref="O27">_xlfn.XLOOKUP(B27,'Up Min'!A:A,'Up Min'!D:D,)</f>
        <v/>
      </c>
      <c r="P27" s="55" t="str">
        <f t="array" ref="P27">_xlfn.XLOOKUP(B27,'Up Max'!A:A,'Up Max'!D:D,)</f>
        <v/>
      </c>
      <c r="Q27" s="57" t="str">
        <f t="array" ref="Q27">_xlfn.XLOOKUP(B27,'Up Stats'!A:A,'Up Stats'!E:E,)</f>
        <v/>
      </c>
      <c r="R27" s="54" t="str">
        <f>IFERROR(__xludf.DUMMYFUNCTION("if(AND(S27=FALSE,T27=FALSE),,if(S27=T27,JOIN("""",""Static: "",S27),JOIN("""",""Min:  "",S27, CHAR(10),""Max: "",T27)))"),"")</f>
        <v/>
      </c>
      <c r="S27" s="55" t="str">
        <f t="array" ref="S27">_xlfn.XLOOKUP(B27,'Up Min'!A:A,'Up Min'!E:E,)</f>
        <v/>
      </c>
      <c r="T27" s="55" t="str">
        <f t="array" ref="T27">_xlfn.XLOOKUP(B27,'Up Max'!A:A,'Up Max'!E:E,)</f>
        <v/>
      </c>
      <c r="U27" s="57" t="str">
        <f t="array" ref="U27">_xlfn.XLOOKUP(B27,'Up Stats'!A:A,'Up Stats'!F:F,)</f>
        <v/>
      </c>
      <c r="V27" s="54" t="str">
        <f>IFERROR(__xludf.DUMMYFUNCTION("if(AND(W27=FALSE,X27=FALSE),,if(W27=X27,JOIN("""",""Static: "",W27),JOIN("""",""Min:  "",W27, CHAR(10),""Max: "",X27)))"),"")</f>
        <v/>
      </c>
      <c r="W27" s="55" t="str">
        <f t="array" ref="W27">_xlfn.XLOOKUP(B27,'Up Min'!A:A,'Up Min'!F:F,)</f>
        <v/>
      </c>
      <c r="X27" s="55" t="str">
        <f t="array" ref="X27">_xlfn.XLOOKUP(B27,'Up Max'!A:A,'Up Max'!F:F,)</f>
        <v/>
      </c>
      <c r="Y27" s="57" t="str">
        <f t="array" ref="Y27">_xlfn.XLOOKUP(B27,'Up Stats'!A:A,'Up Stats'!G:G,)</f>
        <v/>
      </c>
      <c r="Z27" s="54" t="str">
        <f>IFERROR(__xludf.DUMMYFUNCTION("if(AND(AA27=FALSE,AB27=FALSE),,if(AA27=AB27,JOIN("""",""Static: "",AA27),JOIN("""",""Min:  "",AA27, CHAR(10),""Max: "",AB27)))"),"")</f>
        <v/>
      </c>
      <c r="AA27" s="55" t="str">
        <f t="array" ref="AA27">_xlfn.XLOOKUP(B27,'Up Min'!A:A,'Up Min'!G:G,)</f>
        <v/>
      </c>
      <c r="AB27" s="55" t="str">
        <f t="array" ref="AB27">_xlfn.XLOOKUP(B27,'Up Max'!A:A,'Up Max'!G:G,)</f>
        <v/>
      </c>
      <c r="AC27" s="57" t="str">
        <f t="array" ref="AC27">_xlfn.XLOOKUP(B27,'Up Stats'!A:A,'Up Stats'!H:H,)</f>
        <v/>
      </c>
      <c r="AD27" s="54" t="str">
        <f>IFERROR(__xludf.DUMMYFUNCTION("if(AND(AE27=FALSE,AF27=FALSE),,if(AE27=AF27,JOIN("""",""Static: "",AE27),JOIN("""",""Min:  "",AE27, CHAR(10),""Max: "",AF27)))"),"")</f>
        <v/>
      </c>
      <c r="AE27" s="55" t="str">
        <f t="array" ref="AE27">_xlfn.XLOOKUP(B27,'Up Min'!A:A,'Up Min'!H:H,)</f>
        <v/>
      </c>
      <c r="AF27" s="55" t="str">
        <f t="array" ref="AF27">_xlfn.XLOOKUP(B27,'Up Max'!A:A,'Up Max'!H:H,)</f>
        <v/>
      </c>
      <c r="AG27" s="57" t="str">
        <f t="array" ref="AG27">_xlfn.XLOOKUP(B27,'Up Stats'!A:A,'Up Stats'!I:I,)</f>
        <v/>
      </c>
      <c r="AH27" s="54" t="str">
        <f>IFERROR(__xludf.DUMMYFUNCTION("if(AND(AI27=FALSE,AJ27=FALSE),,if(AI27=AJ27,JOIN("""",""Static: "",AI27),JOIN("""",""Min:  "",AI27, CHAR(10),""Max: "",AJ27)))"),"")</f>
        <v/>
      </c>
      <c r="AI27" s="55" t="str">
        <f t="array" ref="AI27">_xlfn.XLOOKUP(B27,'Up Min'!A:A,'Up Min'!I:I,)</f>
        <v/>
      </c>
      <c r="AJ27" s="55" t="str">
        <f t="array" ref="AJ27">_xlfn.XLOOKUP(B27,'Up Max'!A:A,'Up Max'!I:I,)</f>
        <v/>
      </c>
      <c r="AK27" s="57" t="str">
        <f t="array" ref="AK27">_xlfn.XLOOKUP(B27,'Up Stats'!A:A,'Up Stats'!J:J,)</f>
        <v/>
      </c>
      <c r="AL27" s="54" t="str">
        <f>IFERROR(__xludf.DUMMYFUNCTION("if(AND(AM27=FALSE,AN27=FALSE),,if(AM27=AN27,JOIN("""",""Static: "",AM27),JOIN("""",""Min:  "",AM27, CHAR(10),""Max: "",AN27)))"),"")</f>
        <v/>
      </c>
      <c r="AM27" s="55" t="str">
        <f t="array" ref="AM27">_xlfn.XLOOKUP(B27,'Up Min'!A:A,'Up Min'!J:J,)</f>
        <v/>
      </c>
      <c r="AN27" s="55" t="str">
        <f t="array" ref="AN27">_xlfn.XLOOKUP(B27,'Up Max'!A:A,'Up Max'!J:J,)</f>
        <v/>
      </c>
      <c r="AO27" s="51" t="str">
        <f t="array" ref="AO27">CONCATENATE(_xlfn.XLOOKUP(B27,'Up Cells'!A:A,'Up Cells'!B:B,))</f>
        <v>4</v>
      </c>
      <c r="AP27" s="51" t="str">
        <f t="array" ref="AP27">CONCATENATE(_xlfn.XLOOKUP(B27,'Up Rarity'!A:A,'Up Rarity'!B:B,),CHAR(10),"-")</f>
        <v>Rare
-</v>
      </c>
    </row>
    <row r="28">
      <c r="A28" s="83" t="str">
        <f t="array" ref="A28">_xlfn.XLOOKUP(B28,'Up Icon'!A:A,'Up Icon'!B:B,)</f>
        <v/>
      </c>
      <c r="B28" s="66" t="str">
        <f t="array" ref="B28">HYPERLINK(_xlfn.XLOOKUP('Up Names'!A25,'Up Wiki'!A:A,'Up Wiki'!B:B,),'Up Names'!A25)</f>
        <v>Heated Battery</v>
      </c>
      <c r="C28" s="37" t="str">
        <f t="array" ref="C28">_xlfn.XLOOKUP(B28,'Up Desc'!A:A,'Up Desc'!B:B,)</f>
        <v>Bullets apply fire.</v>
      </c>
      <c r="D28" s="37" t="str">
        <f t="array" ref="D28">_xlfn.XLOOKUP(B28,'Up Turbo'!A:A,'Up Turbo'!B:B,)</f>
        <v>n/a</v>
      </c>
      <c r="E28" s="39" t="str">
        <f t="array" ref="E28">_xlfn.XLOOKUP(B28,'Up Stats'!A:A,'Up Stats'!B:B,)</f>
        <v>Element</v>
      </c>
      <c r="F28" s="40" t="str">
        <f>IFERROR(__xludf.DUMMYFUNCTION("if(AND(G28=FALSE,H28=FALSE),,if(G28=H28,JOIN("""",""Static: "",G28),JOIN("""",""Min:  "",G28, CHAR(10),""Max: "",H28)))"),"Min:  1.85
Max: 2.15")</f>
        <v>Min:  1.85
Max: 2.15</v>
      </c>
      <c r="G28" s="40">
        <f t="array" ref="G28">_xlfn.XLOOKUP(B28,'Up Min'!A:A,'Up Min'!B:B,)</f>
        <v>1.85</v>
      </c>
      <c r="H28" s="68">
        <f t="array" ref="H28">_xlfn.XLOOKUP(B28,'Up Max'!A:A,'Up Max'!B:B,)</f>
        <v>2.15</v>
      </c>
      <c r="I28" s="39" t="str">
        <f t="array" ref="I28">_xlfn.XLOOKUP(B28,'Up Stats'!A:A,'Up Stats'!C:C,)</f>
        <v/>
      </c>
      <c r="J28" s="40" t="str">
        <f>IFERROR(__xludf.DUMMYFUNCTION("if(AND(K28=FALSE,L28=FALSE),,if(K28=L28,JOIN("""",""Static: "",K28),JOIN("""",""Min:  "",K28, CHAR(10),""Max: "",L28)))"),"")</f>
        <v/>
      </c>
      <c r="K28" s="42" t="str">
        <f t="array" ref="K28">_xlfn.XLOOKUP(B28,'Up Min'!A:A,'Up Min'!C:C,)</f>
        <v/>
      </c>
      <c r="L28" s="42" t="str">
        <f t="array" ref="L28">_xlfn.XLOOKUP(B28,'Up Max'!A:A,'Up Max'!C:C,)</f>
        <v/>
      </c>
      <c r="M28" s="48" t="str">
        <f t="array" ref="M28">_xlfn.XLOOKUP(B28,'Up Stats'!A:A,'Up Stats'!D:D,)</f>
        <v/>
      </c>
      <c r="N28" s="40" t="str">
        <f>IFERROR(__xludf.DUMMYFUNCTION("if(AND(O28=FALSE,P28=FALSE),,if(O28=P28,JOIN("""",""Static: "",O28),JOIN("""",""Min:  "",O28, CHAR(10),""Max: "",P28)))"),"")</f>
        <v/>
      </c>
      <c r="O28" s="42" t="str">
        <f t="array" ref="O28">_xlfn.XLOOKUP(B28,'Up Min'!A:A,'Up Min'!D:D,)</f>
        <v/>
      </c>
      <c r="P28" s="42" t="str">
        <f t="array" ref="P28">_xlfn.XLOOKUP(B28,'Up Max'!A:A,'Up Max'!D:D,)</f>
        <v/>
      </c>
      <c r="Q28" s="48" t="str">
        <f t="array" ref="Q28">_xlfn.XLOOKUP(B28,'Up Stats'!A:A,'Up Stats'!E:E,)</f>
        <v/>
      </c>
      <c r="R28" s="40" t="str">
        <f>IFERROR(__xludf.DUMMYFUNCTION("if(AND(S28=FALSE,T28=FALSE),,if(S28=T28,JOIN("""",""Static: "",S28),JOIN("""",""Min:  "",S28, CHAR(10),""Max: "",T28)))"),"")</f>
        <v/>
      </c>
      <c r="S28" s="42" t="str">
        <f t="array" ref="S28">_xlfn.XLOOKUP(B28,'Up Min'!A:A,'Up Min'!E:E,)</f>
        <v/>
      </c>
      <c r="T28" s="42" t="str">
        <f t="array" ref="T28">_xlfn.XLOOKUP(B28,'Up Max'!A:A,'Up Max'!E:E,)</f>
        <v/>
      </c>
      <c r="U28" s="48" t="str">
        <f t="array" ref="U28">_xlfn.XLOOKUP(B28,'Up Stats'!A:A,'Up Stats'!F:F,)</f>
        <v/>
      </c>
      <c r="V28" s="40" t="str">
        <f>IFERROR(__xludf.DUMMYFUNCTION("if(AND(W28=FALSE,X28=FALSE),,if(W28=X28,JOIN("""",""Static: "",W28),JOIN("""",""Min:  "",W28, CHAR(10),""Max: "",X28)))"),"")</f>
        <v/>
      </c>
      <c r="W28" s="42" t="str">
        <f t="array" ref="W28">_xlfn.XLOOKUP(B28,'Up Min'!A:A,'Up Min'!F:F,)</f>
        <v/>
      </c>
      <c r="X28" s="42" t="str">
        <f t="array" ref="X28">_xlfn.XLOOKUP(B28,'Up Max'!A:A,'Up Max'!F:F,)</f>
        <v/>
      </c>
      <c r="Y28" s="48" t="str">
        <f t="array" ref="Y28">_xlfn.XLOOKUP(B28,'Up Stats'!A:A,'Up Stats'!G:G,)</f>
        <v/>
      </c>
      <c r="Z28" s="40" t="str">
        <f>IFERROR(__xludf.DUMMYFUNCTION("if(AND(AA28=FALSE,AB28=FALSE),,if(AA28=AB28,JOIN("""",""Static: "",AA28),JOIN("""",""Min:  "",AA28, CHAR(10),""Max: "",AB28)))"),"")</f>
        <v/>
      </c>
      <c r="AA28" s="42" t="str">
        <f t="array" ref="AA28">_xlfn.XLOOKUP(B28,'Up Min'!A:A,'Up Min'!G:G,)</f>
        <v/>
      </c>
      <c r="AB28" s="42" t="str">
        <f t="array" ref="AB28">_xlfn.XLOOKUP(B28,'Up Max'!A:A,'Up Max'!G:G,)</f>
        <v/>
      </c>
      <c r="AC28" s="48" t="str">
        <f t="array" ref="AC28">_xlfn.XLOOKUP(B28,'Up Stats'!A:A,'Up Stats'!H:H,)</f>
        <v/>
      </c>
      <c r="AD28" s="40" t="str">
        <f>IFERROR(__xludf.DUMMYFUNCTION("if(AND(AE28=FALSE,AF28=FALSE),,if(AE28=AF28,JOIN("""",""Static: "",AE28),JOIN("""",""Min:  "",AE28, CHAR(10),""Max: "",AF28)))"),"")</f>
        <v/>
      </c>
      <c r="AE28" s="42" t="str">
        <f t="array" ref="AE28">_xlfn.XLOOKUP(B28,'Up Min'!A:A,'Up Min'!H:H,)</f>
        <v/>
      </c>
      <c r="AF28" s="42" t="str">
        <f t="array" ref="AF28">_xlfn.XLOOKUP(B28,'Up Max'!A:A,'Up Max'!H:H,)</f>
        <v/>
      </c>
      <c r="AG28" s="48" t="str">
        <f t="array" ref="AG28">_xlfn.XLOOKUP(B28,'Up Stats'!A:A,'Up Stats'!I:I,)</f>
        <v/>
      </c>
      <c r="AH28" s="40" t="str">
        <f>IFERROR(__xludf.DUMMYFUNCTION("if(AND(AI28=FALSE,AJ28=FALSE),,if(AI28=AJ28,JOIN("""",""Static: "",AI28),JOIN("""",""Min:  "",AI28, CHAR(10),""Max: "",AJ28)))"),"")</f>
        <v/>
      </c>
      <c r="AI28" s="42" t="str">
        <f t="array" ref="AI28">_xlfn.XLOOKUP(B28,'Up Min'!A:A,'Up Min'!I:I,)</f>
        <v/>
      </c>
      <c r="AJ28" s="42" t="str">
        <f t="array" ref="AJ28">_xlfn.XLOOKUP(B28,'Up Max'!A:A,'Up Max'!I:I,)</f>
        <v/>
      </c>
      <c r="AK28" s="48" t="str">
        <f t="array" ref="AK28">_xlfn.XLOOKUP(B28,'Up Stats'!A:A,'Up Stats'!J:J,)</f>
        <v/>
      </c>
      <c r="AL28" s="40" t="str">
        <f>IFERROR(__xludf.DUMMYFUNCTION("if(AND(AM28=FALSE,AN28=FALSE),,if(AM28=AN28,JOIN("""",""Static: "",AM28),JOIN("""",""Min:  "",AM28, CHAR(10),""Max: "",AN28)))"),"")</f>
        <v/>
      </c>
      <c r="AM28" s="42" t="str">
        <f t="array" ref="AM28">_xlfn.XLOOKUP(B28,'Up Min'!A:A,'Up Min'!J:J,)</f>
        <v/>
      </c>
      <c r="AN28" s="42" t="str">
        <f t="array" ref="AN28">_xlfn.XLOOKUP(B28,'Up Max'!A:A,'Up Max'!J:J,)</f>
        <v/>
      </c>
      <c r="AO28" s="34" t="str">
        <f t="array" ref="AO28">CONCATENATE(_xlfn.XLOOKUP(B28,'Up Cells'!A:A,'Up Cells'!B:B,))</f>
        <v>3</v>
      </c>
      <c r="AP28" s="34" t="str">
        <f t="array" ref="AP28">CONCATENATE(_xlfn.XLOOKUP(B28,'Up Rarity'!A:A,'Up Rarity'!B:B,),CHAR(10),"-")</f>
        <v>Rare
-</v>
      </c>
    </row>
    <row r="29">
      <c r="A29" s="83" t="str">
        <f t="array" ref="A29">_xlfn.XLOOKUP(B29,'Up Icon'!A:A,'Up Icon'!B:B,)</f>
        <v/>
      </c>
      <c r="B29" s="63" t="str">
        <f t="array" ref="B29">HYPERLINK(_xlfn.XLOOKUP('Up Names'!A26,'Up Wiki'!A:A,'Up Wiki'!B:B,),'Up Names'!A26)</f>
        <v>Overclocked Firing Mechanism</v>
      </c>
      <c r="C29" s="70" t="str">
        <f t="array" ref="C29">_xlfn.XLOOKUP(B29,'Up Desc'!A:A,'Up Desc'!B:B,)</f>
        <v>Fire faster in a larger spread.</v>
      </c>
      <c r="D29" s="52" t="str">
        <f t="array" ref="D29">_xlfn.XLOOKUP(B29,'Up Turbo'!A:A,'Up Turbo'!B:B,)</f>
        <v>n/a</v>
      </c>
      <c r="E29" s="53" t="str">
        <f t="array" ref="E29">_xlfn.XLOOKUP(B29,'Up Stats'!A:A,'Up Stats'!B:B,)</f>
        <v>Horizontal Spread</v>
      </c>
      <c r="F29" s="54" t="str">
        <f>IFERROR(__xludf.DUMMYFUNCTION("if(AND(G29=FALSE,H29=FALSE),,if(G29=H29,JOIN("""",""Static: "",G29),JOIN("""",""Min:  "",G29, CHAR(10),""Max: "",H29)))"),"Min:  4.5
Max: 5.8")</f>
        <v>Min:  4.5
Max: 5.8</v>
      </c>
      <c r="G29" s="54">
        <f t="array" ref="G29">_xlfn.XLOOKUP(B29,'Up Min'!A:A,'Up Min'!B:B,)</f>
        <v>4.5</v>
      </c>
      <c r="H29" s="65">
        <f t="array" ref="H29">_xlfn.XLOOKUP(B29,'Up Max'!A:A,'Up Max'!B:B,)</f>
        <v>5.8</v>
      </c>
      <c r="I29" s="53" t="str">
        <f t="array" ref="I29">_xlfn.XLOOKUP(B29,'Up Stats'!A:A,'Up Stats'!C:C,)</f>
        <v>Vertical Spread</v>
      </c>
      <c r="J29" s="54" t="str">
        <f>IFERROR(__xludf.DUMMYFUNCTION("if(AND(K29=FALSE,L29=FALSE),,if(K29=L29,JOIN("""",""Static: "",K29),JOIN("""",""Min:  "",K29, CHAR(10),""Max: "",L29)))"),"Min:  4.5
Max: 5.8")</f>
        <v>Min:  4.5
Max: 5.8</v>
      </c>
      <c r="K29" s="65">
        <f t="array" ref="K29">_xlfn.XLOOKUP(B29,'Up Min'!A:A,'Up Min'!C:C,)</f>
        <v>4.5</v>
      </c>
      <c r="L29" s="64">
        <f t="array" ref="L29">_xlfn.XLOOKUP(B29,'Up Max'!A:A,'Up Max'!C:C,)</f>
        <v>5.8</v>
      </c>
      <c r="M29" s="53" t="str">
        <f t="array" ref="M29">_xlfn.XLOOKUP(B29,'Up Stats'!A:A,'Up Stats'!D:D,)</f>
        <v>Fire Rate</v>
      </c>
      <c r="N29" s="54" t="str">
        <f>IFERROR(__xludf.DUMMYFUNCTION("if(AND(O29=FALSE,P29=FALSE),,if(O29=P29,JOIN("""",""Static: "",O29),JOIN("""",""Min:  "",O29, CHAR(10),""Max: "",P29)))"),"Min:  25%
Max: 11.11%")</f>
        <v>Min:  25%
Max: 11.11%</v>
      </c>
      <c r="O29" s="59">
        <f t="array" ref="O29">_xlfn.XLOOKUP(B29,'Up Min'!A:A,'Up Min'!D:D,)</f>
        <v>0.25</v>
      </c>
      <c r="P29" s="71">
        <f t="array" ref="P29">_xlfn.XLOOKUP(B29,'Up Max'!A:A,'Up Max'!D:D,)</f>
        <v>0.1111</v>
      </c>
      <c r="Q29" s="57" t="str">
        <f t="array" ref="Q29">_xlfn.XLOOKUP(B29,'Up Stats'!A:A,'Up Stats'!E:E,)</f>
        <v/>
      </c>
      <c r="R29" s="54" t="str">
        <f>IFERROR(__xludf.DUMMYFUNCTION("if(AND(S29=FALSE,T29=FALSE),,if(S29=T29,JOIN("""",""Static: "",S29),JOIN("""",""Min:  "",S29, CHAR(10),""Max: "",T29)))"),"")</f>
        <v/>
      </c>
      <c r="S29" s="56" t="str">
        <f t="array" ref="S29">_xlfn.XLOOKUP(B29,'Up Min'!A:A,'Up Min'!E:E,)</f>
        <v/>
      </c>
      <c r="T29" s="55" t="str">
        <f t="array" ref="T29">_xlfn.XLOOKUP(B29,'Up Max'!A:A,'Up Max'!E:E,)</f>
        <v/>
      </c>
      <c r="U29" s="57" t="str">
        <f t="array" ref="U29">_xlfn.XLOOKUP(B29,'Up Stats'!A:A,'Up Stats'!F:F,)</f>
        <v/>
      </c>
      <c r="V29" s="54" t="str">
        <f>IFERROR(__xludf.DUMMYFUNCTION("if(AND(W29=FALSE,X29=FALSE),,if(W29=X29,JOIN("""",""Static: "",W29),JOIN("""",""Min:  "",W29, CHAR(10),""Max: "",X29)))"),"")</f>
        <v/>
      </c>
      <c r="W29" s="55" t="str">
        <f t="array" ref="W29">_xlfn.XLOOKUP(B29,'Up Min'!A:A,'Up Min'!F:F,)</f>
        <v/>
      </c>
      <c r="X29" s="55" t="str">
        <f t="array" ref="X29">_xlfn.XLOOKUP(B29,'Up Max'!A:A,'Up Max'!F:F,)</f>
        <v/>
      </c>
      <c r="Y29" s="57" t="str">
        <f t="array" ref="Y29">_xlfn.XLOOKUP(B29,'Up Stats'!A:A,'Up Stats'!G:G,)</f>
        <v/>
      </c>
      <c r="Z29" s="54" t="str">
        <f>IFERROR(__xludf.DUMMYFUNCTION("if(AND(AA29=FALSE,AB29=FALSE),,if(AA29=AB29,JOIN("""",""Static: "",AA29),JOIN("""",""Min:  "",AA29, CHAR(10),""Max: "",AB29)))"),"")</f>
        <v/>
      </c>
      <c r="AA29" s="55" t="str">
        <f t="array" ref="AA29">_xlfn.XLOOKUP(B29,'Up Min'!A:A,'Up Min'!G:G,)</f>
        <v/>
      </c>
      <c r="AB29" s="55" t="str">
        <f t="array" ref="AB29">_xlfn.XLOOKUP(B29,'Up Max'!A:A,'Up Max'!G:G,)</f>
        <v/>
      </c>
      <c r="AC29" s="57" t="str">
        <f t="array" ref="AC29">_xlfn.XLOOKUP(B29,'Up Stats'!A:A,'Up Stats'!H:H,)</f>
        <v/>
      </c>
      <c r="AD29" s="54" t="str">
        <f>IFERROR(__xludf.DUMMYFUNCTION("if(AND(AE29=FALSE,AF29=FALSE),,if(AE29=AF29,JOIN("""",""Static: "",AE29),JOIN("""",""Min:  "",AE29, CHAR(10),""Max: "",AF29)))"),"")</f>
        <v/>
      </c>
      <c r="AE29" s="55" t="str">
        <f t="array" ref="AE29">_xlfn.XLOOKUP(B29,'Up Min'!A:A,'Up Min'!H:H,)</f>
        <v/>
      </c>
      <c r="AF29" s="55" t="str">
        <f t="array" ref="AF29">_xlfn.XLOOKUP(B29,'Up Max'!A:A,'Up Max'!H:H,)</f>
        <v/>
      </c>
      <c r="AG29" s="57" t="str">
        <f t="array" ref="AG29">_xlfn.XLOOKUP(B29,'Up Stats'!A:A,'Up Stats'!I:I,)</f>
        <v/>
      </c>
      <c r="AH29" s="54" t="str">
        <f>IFERROR(__xludf.DUMMYFUNCTION("if(AND(AI29=FALSE,AJ29=FALSE),,if(AI29=AJ29,JOIN("""",""Static: "",AI29),JOIN("""",""Min:  "",AI29, CHAR(10),""Max: "",AJ29)))"),"")</f>
        <v/>
      </c>
      <c r="AI29" s="55" t="str">
        <f t="array" ref="AI29">_xlfn.XLOOKUP(B29,'Up Min'!A:A,'Up Min'!I:I,)</f>
        <v/>
      </c>
      <c r="AJ29" s="55" t="str">
        <f t="array" ref="AJ29">_xlfn.XLOOKUP(B29,'Up Max'!A:A,'Up Max'!I:I,)</f>
        <v/>
      </c>
      <c r="AK29" s="57" t="str">
        <f t="array" ref="AK29">_xlfn.XLOOKUP(B29,'Up Stats'!A:A,'Up Stats'!J:J,)</f>
        <v/>
      </c>
      <c r="AL29" s="54" t="str">
        <f>IFERROR(__xludf.DUMMYFUNCTION("if(AND(AM29=FALSE,AN29=FALSE),,if(AM29=AN29,JOIN("""",""Static: "",AM29),JOIN("""",""Min:  "",AM29, CHAR(10),""Max: "",AN29)))"),"")</f>
        <v/>
      </c>
      <c r="AM29" s="55" t="str">
        <f t="array" ref="AM29">_xlfn.XLOOKUP(B29,'Up Min'!A:A,'Up Min'!J:J,)</f>
        <v/>
      </c>
      <c r="AN29" s="55" t="str">
        <f t="array" ref="AN29">_xlfn.XLOOKUP(B29,'Up Max'!A:A,'Up Max'!J:J,)</f>
        <v/>
      </c>
      <c r="AO29" s="51" t="str">
        <f t="array" ref="AO29">CONCATENATE(_xlfn.XLOOKUP(B29,'Up Cells'!A:A,'Up Cells'!B:B,))</f>
        <v>5</v>
      </c>
      <c r="AP29" s="51" t="str">
        <f t="array" ref="AP29">CONCATENATE(_xlfn.XLOOKUP(B29,'Up Rarity'!A:A,'Up Rarity'!B:B,),CHAR(10),"-")</f>
        <v>Rare
-</v>
      </c>
    </row>
    <row r="30">
      <c r="A30" s="83" t="str">
        <f t="array" ref="A30">_xlfn.XLOOKUP(B30,'Up Icon'!A:A,'Up Icon'!B:B,)</f>
        <v/>
      </c>
      <c r="B30" s="66" t="str">
        <f t="array" ref="B30">HYPERLINK(_xlfn.XLOOKUP('Up Names'!A27,'Up Wiki'!A:A,'Up Wiki'!B:B,),'Up Names'!A27)</f>
        <v>Rocket Burst</v>
      </c>
      <c r="C30" s="37" t="str">
        <f t="array" ref="C30">_xlfn.XLOOKUP(B30,'Up Desc'!A:A,'Up Desc'!B:B,)</f>
        <v>Fire a four-round burst. The last bullet in each burst is replaced with a tracking missile.</v>
      </c>
      <c r="D30" s="37" t="str">
        <f t="array" ref="D30">_xlfn.XLOOKUP(B30,'Up Turbo'!A:A,'Up Turbo'!B:B,)</f>
        <v>n/a</v>
      </c>
      <c r="E30" s="39" t="str">
        <f t="array" ref="E30">_xlfn.XLOOKUP(B30,'Up Stats'!A:A,'Up Stats'!B:B,)</f>
        <v>Burst Size</v>
      </c>
      <c r="F30" s="40" t="str">
        <f>IFERROR(__xludf.DUMMYFUNCTION("if(AND(G30=FALSE,H30=FALSE),,if(G30=H30,JOIN("""",""Static: "",G30),JOIN("""",""Min:  "",G30, CHAR(10),""Max: "",H30)))"),"Static: 4")</f>
        <v>Static: 4</v>
      </c>
      <c r="G30" s="40">
        <f t="array" ref="G30">_xlfn.XLOOKUP(B30,'Up Min'!A:A,'Up Min'!B:B,)</f>
        <v>4</v>
      </c>
      <c r="H30" s="68">
        <f t="array" ref="H30">_xlfn.XLOOKUP(B30,'Up Max'!A:A,'Up Max'!B:B,)</f>
        <v>4</v>
      </c>
      <c r="I30" s="39" t="str">
        <f t="array" ref="I30">_xlfn.XLOOKUP(B30,'Up Stats'!A:A,'Up Stats'!C:C,)</f>
        <v>Burst Interval</v>
      </c>
      <c r="J30" s="40" t="str">
        <f>IFERROR(__xludf.DUMMYFUNCTION("if(AND(K30=FALSE,L30=FALSE),,if(K30=L30,JOIN("""",""Static: "",K30),JOIN("""",""Min:  "",K30, CHAR(10),""Max: "",L30)))"),"Static: 0.17")</f>
        <v>Static: 0.17</v>
      </c>
      <c r="K30" s="69">
        <f t="array" ref="K30">_xlfn.XLOOKUP(B30,'Up Min'!A:A,'Up Min'!C:C,)</f>
        <v>0.17</v>
      </c>
      <c r="L30" s="69">
        <f t="array" ref="L30">_xlfn.XLOOKUP(B30,'Up Max'!A:A,'Up Max'!C:C,)</f>
        <v>0.17</v>
      </c>
      <c r="M30" s="39" t="str">
        <f t="array" ref="M30">_xlfn.XLOOKUP(B30,'Up Stats'!A:A,'Up Stats'!D:D,)</f>
        <v>Explosion Size</v>
      </c>
      <c r="N30" s="40" t="str">
        <f>IFERROR(__xludf.DUMMYFUNCTION("if(AND(O30=FALSE,P30=FALSE),,if(O30=P30,JOIN("""",""Static: "",O30),JOIN("""",""Min:  "",O30, CHAR(10),""Max: "",P30)))"),"Min:  1.2
Max: 2")</f>
        <v>Min:  1.2
Max: 2</v>
      </c>
      <c r="O30" s="68">
        <f t="array" ref="O30">_xlfn.XLOOKUP(B30,'Up Min'!A:A,'Up Min'!D:D,)</f>
        <v>1.2</v>
      </c>
      <c r="P30" s="69">
        <f t="array" ref="P30">_xlfn.XLOOKUP(B30,'Up Max'!A:A,'Up Max'!D:D,)</f>
        <v>2</v>
      </c>
      <c r="Q30" s="48" t="str">
        <f t="array" ref="Q30">_xlfn.XLOOKUP(B30,'Up Stats'!A:A,'Up Stats'!E:E,)</f>
        <v/>
      </c>
      <c r="R30" s="40" t="str">
        <f>IFERROR(__xludf.DUMMYFUNCTION("if(AND(S30=FALSE,T30=FALSE),,if(S30=T30,JOIN("""",""Static: "",S30),JOIN("""",""Min:  "",S30, CHAR(10),""Max: "",T30)))"),"")</f>
        <v/>
      </c>
      <c r="S30" s="45" t="str">
        <f t="array" ref="S30">_xlfn.XLOOKUP(B30,'Up Min'!A:A,'Up Min'!E:E,)</f>
        <v/>
      </c>
      <c r="T30" s="42" t="str">
        <f t="array" ref="T30">_xlfn.XLOOKUP(B30,'Up Max'!A:A,'Up Max'!E:E,)</f>
        <v/>
      </c>
      <c r="U30" s="48" t="str">
        <f t="array" ref="U30">_xlfn.XLOOKUP(B30,'Up Stats'!A:A,'Up Stats'!F:F,)</f>
        <v/>
      </c>
      <c r="V30" s="40" t="str">
        <f>IFERROR(__xludf.DUMMYFUNCTION("if(AND(W30=FALSE,X30=FALSE),,if(W30=X30,JOIN("""",""Static: "",W30),JOIN("""",""Min:  "",W30, CHAR(10),""Max: "",X30)))"),"")</f>
        <v/>
      </c>
      <c r="W30" s="42" t="str">
        <f t="array" ref="W30">_xlfn.XLOOKUP(B30,'Up Min'!A:A,'Up Min'!F:F,)</f>
        <v/>
      </c>
      <c r="X30" s="42" t="str">
        <f t="array" ref="X30">_xlfn.XLOOKUP(B30,'Up Max'!A:A,'Up Max'!F:F,)</f>
        <v/>
      </c>
      <c r="Y30" s="48" t="str">
        <f t="array" ref="Y30">_xlfn.XLOOKUP(B30,'Up Stats'!A:A,'Up Stats'!G:G,)</f>
        <v/>
      </c>
      <c r="Z30" s="40" t="str">
        <f>IFERROR(__xludf.DUMMYFUNCTION("if(AND(AA30=FALSE,AB30=FALSE),,if(AA30=AB30,JOIN("""",""Static: "",AA30),JOIN("""",""Min:  "",AA30, CHAR(10),""Max: "",AB30)))"),"")</f>
        <v/>
      </c>
      <c r="AA30" s="42" t="str">
        <f t="array" ref="AA30">_xlfn.XLOOKUP(B30,'Up Min'!A:A,'Up Min'!G:G,)</f>
        <v/>
      </c>
      <c r="AB30" s="42" t="str">
        <f t="array" ref="AB30">_xlfn.XLOOKUP(B30,'Up Max'!A:A,'Up Max'!G:G,)</f>
        <v/>
      </c>
      <c r="AC30" s="48" t="str">
        <f t="array" ref="AC30">_xlfn.XLOOKUP(B30,'Up Stats'!A:A,'Up Stats'!H:H,)</f>
        <v/>
      </c>
      <c r="AD30" s="40" t="str">
        <f>IFERROR(__xludf.DUMMYFUNCTION("if(AND(AE30=FALSE,AF30=FALSE),,if(AE30=AF30,JOIN("""",""Static: "",AE30),JOIN("""",""Min:  "",AE30, CHAR(10),""Max: "",AF30)))"),"")</f>
        <v/>
      </c>
      <c r="AE30" s="42" t="str">
        <f t="array" ref="AE30">_xlfn.XLOOKUP(B30,'Up Min'!A:A,'Up Min'!H:H,)</f>
        <v/>
      </c>
      <c r="AF30" s="42" t="str">
        <f t="array" ref="AF30">_xlfn.XLOOKUP(B30,'Up Max'!A:A,'Up Max'!H:H,)</f>
        <v/>
      </c>
      <c r="AG30" s="48" t="str">
        <f t="array" ref="AG30">_xlfn.XLOOKUP(B30,'Up Stats'!A:A,'Up Stats'!I:I,)</f>
        <v/>
      </c>
      <c r="AH30" s="40" t="str">
        <f>IFERROR(__xludf.DUMMYFUNCTION("if(AND(AI30=FALSE,AJ30=FALSE),,if(AI30=AJ30,JOIN("""",""Static: "",AI30),JOIN("""",""Min:  "",AI30, CHAR(10),""Max: "",AJ30)))"),"")</f>
        <v/>
      </c>
      <c r="AI30" s="42" t="str">
        <f t="array" ref="AI30">_xlfn.XLOOKUP(B30,'Up Min'!A:A,'Up Min'!I:I,)</f>
        <v/>
      </c>
      <c r="AJ30" s="42" t="str">
        <f t="array" ref="AJ30">_xlfn.XLOOKUP(B30,'Up Max'!A:A,'Up Max'!I:I,)</f>
        <v/>
      </c>
      <c r="AK30" s="48" t="str">
        <f t="array" ref="AK30">_xlfn.XLOOKUP(B30,'Up Stats'!A:A,'Up Stats'!J:J,)</f>
        <v/>
      </c>
      <c r="AL30" s="40" t="str">
        <f>IFERROR(__xludf.DUMMYFUNCTION("if(AND(AM30=FALSE,AN30=FALSE),,if(AM30=AN30,JOIN("""",""Static: "",AM30),JOIN("""",""Min:  "",AM30, CHAR(10),""Max: "",AN30)))"),"")</f>
        <v/>
      </c>
      <c r="AM30" s="42" t="str">
        <f t="array" ref="AM30">_xlfn.XLOOKUP(B30,'Up Min'!A:A,'Up Min'!J:J,)</f>
        <v/>
      </c>
      <c r="AN30" s="42" t="str">
        <f t="array" ref="AN30">_xlfn.XLOOKUP(B30,'Up Max'!A:A,'Up Max'!J:J,)</f>
        <v/>
      </c>
      <c r="AO30" s="34" t="str">
        <f t="array" ref="AO30">CONCATENATE(_xlfn.XLOOKUP(B30,'Up Cells'!A:A,'Up Cells'!B:B,))</f>
        <v>4</v>
      </c>
      <c r="AP30" s="34" t="str">
        <f t="array" ref="AP30">CONCATENATE(_xlfn.XLOOKUP(B30,'Up Rarity'!A:A,'Up Rarity'!B:B,),CHAR(10),"-")</f>
        <v>Rare
-</v>
      </c>
    </row>
    <row r="31">
      <c r="A31" s="83" t="str">
        <f t="array" ref="A31">_xlfn.XLOOKUP(B31,'Up Icon'!A:A,'Up Icon'!B:B,)</f>
        <v/>
      </c>
      <c r="B31" s="63" t="str">
        <f t="array" ref="B31">HYPERLINK(_xlfn.XLOOKUP('Up Names'!A28,'Up Wiki'!A:A,'Up Wiki'!B:B,),'Up Names'!A28)</f>
        <v>Smart Slide</v>
      </c>
      <c r="C31" s="52" t="str">
        <f t="array" ref="C31">_xlfn.XLOOKUP(B31,'Up Desc'!A:A,'Up Desc'!B:B,)</f>
        <v>Bullets auto-track to targets while sliding.</v>
      </c>
      <c r="D31" s="52" t="str">
        <f t="array" ref="D31">_xlfn.XLOOKUP(B31,'Up Turbo'!A:A,'Up Turbo'!B:B,)</f>
        <v>n/a</v>
      </c>
      <c r="E31" s="53" t="str">
        <f t="array" ref="E31">_xlfn.XLOOKUP(B31,'Up Stats'!A:A,'Up Stats'!B:B,)</f>
        <v>Tracking Radius</v>
      </c>
      <c r="F31" s="54" t="str">
        <f>IFERROR(__xludf.DUMMYFUNCTION("if(AND(G31=FALSE,H31=FALSE),,if(G31=H31,JOIN("""",""Static: "",G31),JOIN("""",""Min:  "",G31, CHAR(10),""Max: "",H31)))"),"Min:  17
Max: 23")</f>
        <v>Min:  17
Max: 23</v>
      </c>
      <c r="G31" s="54">
        <f t="array" ref="G31">_xlfn.XLOOKUP(B31,'Up Min'!A:A,'Up Min'!B:B,)</f>
        <v>17</v>
      </c>
      <c r="H31" s="65">
        <f t="array" ref="H31">_xlfn.XLOOKUP(B31,'Up Max'!A:A,'Up Max'!B:B,)</f>
        <v>23</v>
      </c>
      <c r="I31" s="53" t="str">
        <f t="array" ref="I31">_xlfn.XLOOKUP(B31,'Up Stats'!A:A,'Up Stats'!C:C,)</f>
        <v/>
      </c>
      <c r="J31" s="54" t="str">
        <f>IFERROR(__xludf.DUMMYFUNCTION("if(AND(K31=FALSE,L31=FALSE),,if(K31=L31,JOIN("""",""Static: "",K31),JOIN("""",""Min:  "",K31, CHAR(10),""Max: "",L31)))"),"")</f>
        <v/>
      </c>
      <c r="K31" s="55" t="str">
        <f t="array" ref="K31">_xlfn.XLOOKUP(B31,'Up Min'!A:A,'Up Min'!C:C,)</f>
        <v/>
      </c>
      <c r="L31" s="55" t="str">
        <f t="array" ref="L31">_xlfn.XLOOKUP(B31,'Up Max'!A:A,'Up Max'!C:C,)</f>
        <v/>
      </c>
      <c r="M31" s="57" t="str">
        <f t="array" ref="M31">_xlfn.XLOOKUP(B31,'Up Stats'!A:A,'Up Stats'!D:D,)</f>
        <v/>
      </c>
      <c r="N31" s="54" t="str">
        <f>IFERROR(__xludf.DUMMYFUNCTION("if(AND(O31=FALSE,P31=FALSE),,if(O31=P31,JOIN("""",""Static: "",O31),JOIN("""",""Min:  "",O31, CHAR(10),""Max: "",P31)))"),"")</f>
        <v/>
      </c>
      <c r="O31" s="55" t="str">
        <f t="array" ref="O31">_xlfn.XLOOKUP(B31,'Up Min'!A:A,'Up Min'!D:D,)</f>
        <v/>
      </c>
      <c r="P31" s="55" t="str">
        <f t="array" ref="P31">_xlfn.XLOOKUP(B31,'Up Max'!A:A,'Up Max'!D:D,)</f>
        <v/>
      </c>
      <c r="Q31" s="57" t="str">
        <f t="array" ref="Q31">_xlfn.XLOOKUP(B31,'Up Stats'!A:A,'Up Stats'!E:E,)</f>
        <v/>
      </c>
      <c r="R31" s="54" t="str">
        <f>IFERROR(__xludf.DUMMYFUNCTION("if(AND(S31=FALSE,T31=FALSE),,if(S31=T31,JOIN("""",""Static: "",S31),JOIN("""",""Min:  "",S31, CHAR(10),""Max: "",T31)))"),"")</f>
        <v/>
      </c>
      <c r="S31" s="55" t="str">
        <f t="array" ref="S31">_xlfn.XLOOKUP(B31,'Up Min'!A:A,'Up Min'!E:E,)</f>
        <v/>
      </c>
      <c r="T31" s="55" t="str">
        <f t="array" ref="T31">_xlfn.XLOOKUP(B31,'Up Max'!A:A,'Up Max'!E:E,)</f>
        <v/>
      </c>
      <c r="U31" s="57" t="str">
        <f t="array" ref="U31">_xlfn.XLOOKUP(B31,'Up Stats'!A:A,'Up Stats'!F:F,)</f>
        <v/>
      </c>
      <c r="V31" s="54" t="str">
        <f>IFERROR(__xludf.DUMMYFUNCTION("if(AND(W31=FALSE,X31=FALSE),,if(W31=X31,JOIN("""",""Static: "",W31),JOIN("""",""Min:  "",W31, CHAR(10),""Max: "",X31)))"),"")</f>
        <v/>
      </c>
      <c r="W31" s="55" t="str">
        <f t="array" ref="W31">_xlfn.XLOOKUP(B31,'Up Min'!A:A,'Up Min'!F:F,)</f>
        <v/>
      </c>
      <c r="X31" s="55" t="str">
        <f t="array" ref="X31">_xlfn.XLOOKUP(B31,'Up Max'!A:A,'Up Max'!F:F,)</f>
        <v/>
      </c>
      <c r="Y31" s="57" t="str">
        <f t="array" ref="Y31">_xlfn.XLOOKUP(B31,'Up Stats'!A:A,'Up Stats'!G:G,)</f>
        <v/>
      </c>
      <c r="Z31" s="54" t="str">
        <f>IFERROR(__xludf.DUMMYFUNCTION("if(AND(AA31=FALSE,AB31=FALSE),,if(AA31=AB31,JOIN("""",""Static: "",AA31),JOIN("""",""Min:  "",AA31, CHAR(10),""Max: "",AB31)))"),"")</f>
        <v/>
      </c>
      <c r="AA31" s="55" t="str">
        <f t="array" ref="AA31">_xlfn.XLOOKUP(B31,'Up Min'!A:A,'Up Min'!G:G,)</f>
        <v/>
      </c>
      <c r="AB31" s="55" t="str">
        <f t="array" ref="AB31">_xlfn.XLOOKUP(B31,'Up Max'!A:A,'Up Max'!G:G,)</f>
        <v/>
      </c>
      <c r="AC31" s="57" t="str">
        <f t="array" ref="AC31">_xlfn.XLOOKUP(B31,'Up Stats'!A:A,'Up Stats'!H:H,)</f>
        <v/>
      </c>
      <c r="AD31" s="54" t="str">
        <f>IFERROR(__xludf.DUMMYFUNCTION("if(AND(AE31=FALSE,AF31=FALSE),,if(AE31=AF31,JOIN("""",""Static: "",AE31),JOIN("""",""Min:  "",AE31, CHAR(10),""Max: "",AF31)))"),"")</f>
        <v/>
      </c>
      <c r="AE31" s="55" t="str">
        <f t="array" ref="AE31">_xlfn.XLOOKUP(B31,'Up Min'!A:A,'Up Min'!H:H,)</f>
        <v/>
      </c>
      <c r="AF31" s="55" t="str">
        <f t="array" ref="AF31">_xlfn.XLOOKUP(B31,'Up Max'!A:A,'Up Max'!H:H,)</f>
        <v/>
      </c>
      <c r="AG31" s="57" t="str">
        <f t="array" ref="AG31">_xlfn.XLOOKUP(B31,'Up Stats'!A:A,'Up Stats'!I:I,)</f>
        <v/>
      </c>
      <c r="AH31" s="54" t="str">
        <f>IFERROR(__xludf.DUMMYFUNCTION("if(AND(AI31=FALSE,AJ31=FALSE),,if(AI31=AJ31,JOIN("""",""Static: "",AI31),JOIN("""",""Min:  "",AI31, CHAR(10),""Max: "",AJ31)))"),"")</f>
        <v/>
      </c>
      <c r="AI31" s="55" t="str">
        <f t="array" ref="AI31">_xlfn.XLOOKUP(B31,'Up Min'!A:A,'Up Min'!I:I,)</f>
        <v/>
      </c>
      <c r="AJ31" s="55" t="str">
        <f t="array" ref="AJ31">_xlfn.XLOOKUP(B31,'Up Max'!A:A,'Up Max'!I:I,)</f>
        <v/>
      </c>
      <c r="AK31" s="57" t="str">
        <f t="array" ref="AK31">_xlfn.XLOOKUP(B31,'Up Stats'!A:A,'Up Stats'!J:J,)</f>
        <v/>
      </c>
      <c r="AL31" s="54" t="str">
        <f>IFERROR(__xludf.DUMMYFUNCTION("if(AND(AM31=FALSE,AN31=FALSE),,if(AM31=AN31,JOIN("""",""Static: "",AM31),JOIN("""",""Min:  "",AM31, CHAR(10),""Max: "",AN31)))"),"")</f>
        <v/>
      </c>
      <c r="AM31" s="55" t="str">
        <f t="array" ref="AM31">_xlfn.XLOOKUP(B31,'Up Min'!A:A,'Up Min'!J:J,)</f>
        <v/>
      </c>
      <c r="AN31" s="55" t="str">
        <f t="array" ref="AN31">_xlfn.XLOOKUP(B31,'Up Max'!A:A,'Up Max'!J:J,)</f>
        <v/>
      </c>
      <c r="AO31" s="51" t="str">
        <f t="array" ref="AO31">CONCATENATE(_xlfn.XLOOKUP(B31,'Up Cells'!A:A,'Up Cells'!B:B,))</f>
        <v>5</v>
      </c>
      <c r="AP31" s="51" t="str">
        <f t="array" ref="AP31">CONCATENATE(_xlfn.XLOOKUP(B31,'Up Rarity'!A:A,'Up Rarity'!B:B,),CHAR(10),"-")</f>
        <v>Rare
-</v>
      </c>
    </row>
    <row r="32">
      <c r="A32" s="84" t="str">
        <f t="array" ref="A32">_xlfn.XLOOKUP(B32,'Up Icon'!A:A,'Up Icon'!B:B,)</f>
        <v/>
      </c>
      <c r="B32" s="66" t="str">
        <f t="array" ref="B32">HYPERLINK(_xlfn.XLOOKUP('Up Names'!A29,'Up Wiki'!A:A,'Up Wiki'!B:B,),'Up Names'!A29)</f>
        <v>Adrenaline Reload</v>
      </c>
      <c r="C32" s="37" t="str">
        <f t="array" ref="C32">_xlfn.XLOOKUP(B32,'Up Desc'!A:A,'Up Desc'!B:B,)</f>
        <v>Reload speed is briefly increased after killing a target.</v>
      </c>
      <c r="D32" s="37" t="str">
        <f t="array" ref="D32">_xlfn.XLOOKUP(B32,'Up Turbo'!A:A,'Up Turbo'!B:B,)</f>
        <v>n/a</v>
      </c>
      <c r="E32" s="39" t="str">
        <f t="array" ref="E32">_xlfn.XLOOKUP(B32,'Up Stats'!A:A,'Up Stats'!B:B,)</f>
        <v>Reload Speed</v>
      </c>
      <c r="F32" s="40" t="str">
        <f>IFERROR(__xludf.DUMMYFUNCTION("if(AND(G32=FALSE,H32=FALSE),,if(G32=H32,JOIN("""",""Static: "",G32),JOIN("""",""Min:  "",G32, CHAR(10),""Max: "",H32)))"),"Min:  42.45%
Max: 30.72%")</f>
        <v>Min:  42.45%
Max: 30.72%</v>
      </c>
      <c r="G32" s="78">
        <f t="array" ref="G32">_xlfn.XLOOKUP(B32,'Up Min'!A:A,'Up Min'!B:B,)</f>
        <v>0.4245</v>
      </c>
      <c r="H32" s="78">
        <f t="array" ref="H32">_xlfn.XLOOKUP(B32,'Up Max'!A:A,'Up Max'!B:B,)</f>
        <v>0.3072</v>
      </c>
      <c r="I32" s="39" t="str">
        <f t="array" ref="I32">_xlfn.XLOOKUP(B32,'Up Stats'!A:A,'Up Stats'!C:C,)</f>
        <v/>
      </c>
      <c r="J32" s="40" t="str">
        <f>IFERROR(__xludf.DUMMYFUNCTION("if(AND(K32=FALSE,L32=FALSE),,if(K32=L32,JOIN("""",""Static: "",K32),JOIN("""",""Min:  "",K32, CHAR(10),""Max: "",L32)))"),"")</f>
        <v/>
      </c>
      <c r="K32" s="42" t="str">
        <f t="array" ref="K32">_xlfn.XLOOKUP(B32,'Up Min'!A:A,'Up Min'!C:C,)</f>
        <v/>
      </c>
      <c r="L32" s="42" t="str">
        <f t="array" ref="L32">_xlfn.XLOOKUP(B32,'Up Max'!A:A,'Up Max'!C:C,)</f>
        <v/>
      </c>
      <c r="M32" s="48" t="str">
        <f t="array" ref="M32">_xlfn.XLOOKUP(B32,'Up Stats'!A:A,'Up Stats'!D:D,)</f>
        <v/>
      </c>
      <c r="N32" s="40" t="str">
        <f>IFERROR(__xludf.DUMMYFUNCTION("if(AND(O32=FALSE,P32=FALSE),,if(O32=P32,JOIN("""",""Static: "",O32),JOIN("""",""Min:  "",O32, CHAR(10),""Max: "",P32)))"),"")</f>
        <v/>
      </c>
      <c r="O32" s="42" t="str">
        <f t="array" ref="O32">_xlfn.XLOOKUP(B32,'Up Min'!A:A,'Up Min'!D:D,)</f>
        <v/>
      </c>
      <c r="P32" s="42" t="str">
        <f t="array" ref="P32">_xlfn.XLOOKUP(B32,'Up Max'!A:A,'Up Max'!D:D,)</f>
        <v/>
      </c>
      <c r="Q32" s="48" t="str">
        <f t="array" ref="Q32">_xlfn.XLOOKUP(B32,'Up Stats'!A:A,'Up Stats'!E:E,)</f>
        <v/>
      </c>
      <c r="R32" s="40" t="str">
        <f>IFERROR(__xludf.DUMMYFUNCTION("if(AND(S32=FALSE,T32=FALSE),,if(S32=T32,JOIN("""",""Static: "",S32),JOIN("""",""Min:  "",S32, CHAR(10),""Max: "",T32)))"),"")</f>
        <v/>
      </c>
      <c r="S32" s="42" t="str">
        <f t="array" ref="S32">_xlfn.XLOOKUP(B32,'Up Min'!A:A,'Up Min'!E:E,)</f>
        <v/>
      </c>
      <c r="T32" s="42" t="str">
        <f t="array" ref="T32">_xlfn.XLOOKUP(B32,'Up Max'!A:A,'Up Max'!E:E,)</f>
        <v/>
      </c>
      <c r="U32" s="48" t="str">
        <f t="array" ref="U32">_xlfn.XLOOKUP(B32,'Up Stats'!A:A,'Up Stats'!F:F,)</f>
        <v/>
      </c>
      <c r="V32" s="40" t="str">
        <f>IFERROR(__xludf.DUMMYFUNCTION("if(AND(W32=FALSE,X32=FALSE),,if(W32=X32,JOIN("""",""Static: "",W32),JOIN("""",""Min:  "",W32, CHAR(10),""Max: "",X32)))"),"")</f>
        <v/>
      </c>
      <c r="W32" s="42" t="str">
        <f t="array" ref="W32">_xlfn.XLOOKUP(B32,'Up Min'!A:A,'Up Min'!F:F,)</f>
        <v/>
      </c>
      <c r="X32" s="42" t="str">
        <f t="array" ref="X32">_xlfn.XLOOKUP(B32,'Up Max'!A:A,'Up Max'!F:F,)</f>
        <v/>
      </c>
      <c r="Y32" s="48" t="str">
        <f t="array" ref="Y32">_xlfn.XLOOKUP(B32,'Up Stats'!A:A,'Up Stats'!G:G,)</f>
        <v/>
      </c>
      <c r="Z32" s="40" t="str">
        <f>IFERROR(__xludf.DUMMYFUNCTION("if(AND(AA32=FALSE,AB32=FALSE),,if(AA32=AB32,JOIN("""",""Static: "",AA32),JOIN("""",""Min:  "",AA32, CHAR(10),""Max: "",AB32)))"),"")</f>
        <v/>
      </c>
      <c r="AA32" s="42" t="str">
        <f t="array" ref="AA32">_xlfn.XLOOKUP(B32,'Up Min'!A:A,'Up Min'!G:G,)</f>
        <v/>
      </c>
      <c r="AB32" s="42" t="str">
        <f t="array" ref="AB32">_xlfn.XLOOKUP(B32,'Up Max'!A:A,'Up Max'!G:G,)</f>
        <v/>
      </c>
      <c r="AC32" s="48" t="str">
        <f t="array" ref="AC32">_xlfn.XLOOKUP(B32,'Up Stats'!A:A,'Up Stats'!H:H,)</f>
        <v/>
      </c>
      <c r="AD32" s="40" t="str">
        <f>IFERROR(__xludf.DUMMYFUNCTION("if(AND(AE32=FALSE,AF32=FALSE),,if(AE32=AF32,JOIN("""",""Static: "",AE32),JOIN("""",""Min:  "",AE32, CHAR(10),""Max: "",AF32)))"),"")</f>
        <v/>
      </c>
      <c r="AE32" s="42" t="str">
        <f t="array" ref="AE32">_xlfn.XLOOKUP(B32,'Up Min'!A:A,'Up Min'!H:H,)</f>
        <v/>
      </c>
      <c r="AF32" s="42" t="str">
        <f t="array" ref="AF32">_xlfn.XLOOKUP(B32,'Up Max'!A:A,'Up Max'!H:H,)</f>
        <v/>
      </c>
      <c r="AG32" s="48" t="str">
        <f t="array" ref="AG32">_xlfn.XLOOKUP(B32,'Up Stats'!A:A,'Up Stats'!I:I,)</f>
        <v/>
      </c>
      <c r="AH32" s="40" t="str">
        <f>IFERROR(__xludf.DUMMYFUNCTION("if(AND(AI32=FALSE,AJ32=FALSE),,if(AI32=AJ32,JOIN("""",""Static: "",AI32),JOIN("""",""Min:  "",AI32, CHAR(10),""Max: "",AJ32)))"),"")</f>
        <v/>
      </c>
      <c r="AI32" s="42" t="str">
        <f t="array" ref="AI32">_xlfn.XLOOKUP(B32,'Up Min'!A:A,'Up Min'!I:I,)</f>
        <v/>
      </c>
      <c r="AJ32" s="42" t="str">
        <f t="array" ref="AJ32">_xlfn.XLOOKUP(B32,'Up Max'!A:A,'Up Max'!I:I,)</f>
        <v/>
      </c>
      <c r="AK32" s="48" t="str">
        <f t="array" ref="AK32">_xlfn.XLOOKUP(B32,'Up Stats'!A:A,'Up Stats'!J:J,)</f>
        <v/>
      </c>
      <c r="AL32" s="40" t="str">
        <f>IFERROR(__xludf.DUMMYFUNCTION("if(AND(AM32=FALSE,AN32=FALSE),,if(AM32=AN32,JOIN("""",""Static: "",AM32),JOIN("""",""Min:  "",AM32, CHAR(10),""Max: "",AN32)))"),"")</f>
        <v/>
      </c>
      <c r="AM32" s="42" t="str">
        <f t="array" ref="AM32">_xlfn.XLOOKUP(B32,'Up Min'!A:A,'Up Min'!J:J,)</f>
        <v/>
      </c>
      <c r="AN32" s="42" t="str">
        <f t="array" ref="AN32">_xlfn.XLOOKUP(B32,'Up Max'!A:A,'Up Max'!J:J,)</f>
        <v/>
      </c>
      <c r="AO32" s="34" t="str">
        <f t="array" ref="AO32">CONCATENATE(_xlfn.XLOOKUP(B32,'Up Cells'!A:A,'Up Cells'!B:B,))</f>
        <v>4</v>
      </c>
      <c r="AP32" s="34" t="str">
        <f t="array" ref="AP32">CONCATENATE(_xlfn.XLOOKUP(B32,'Up Rarity'!A:A,'Up Rarity'!B:B,),CHAR(10),"-")</f>
        <v>Standard
-</v>
      </c>
    </row>
    <row r="33">
      <c r="A33" s="84" t="str">
        <f t="array" ref="A33">_xlfn.XLOOKUP(B33,'Up Icon'!A:A,'Up Icon'!B:B,)</f>
        <v/>
      </c>
      <c r="B33" s="63" t="str">
        <f t="array" ref="B33">HYPERLINK(_xlfn.XLOOKUP('Up Names'!A30,'Up Wiki'!A:A,'Up Wiki'!B:B,),'Up Names'!A30)</f>
        <v>Bigazine</v>
      </c>
      <c r="C33" s="52" t="str">
        <f t="array" ref="C33">_xlfn.XLOOKUP(B33,'Up Desc'!A:A,'Up Desc'!B:B,)</f>
        <v>Magazine size is greatly increased.</v>
      </c>
      <c r="D33" s="52" t="str">
        <f t="array" ref="D33">_xlfn.XLOOKUP(B33,'Up Turbo'!A:A,'Up Turbo'!B:B,)</f>
        <v>n/a</v>
      </c>
      <c r="E33" s="53" t="str">
        <f t="array" ref="E33">_xlfn.XLOOKUP(B33,'Up Stats'!A:A,'Up Stats'!B:B,)</f>
        <v>Magazine Size</v>
      </c>
      <c r="F33" s="54" t="str">
        <f>IFERROR(__xludf.DUMMYFUNCTION("if(AND(G33=FALSE,H33=FALSE),,if(G33=H33,JOIN("""",""Static: "",G33),JOIN("""",""Min:  "",G33, CHAR(10),""Max: "",H33)))"),"Min:  90%
Max: 115%")</f>
        <v>Min:  90%
Max: 115%</v>
      </c>
      <c r="G33" s="59">
        <f t="array" ref="G33">_xlfn.XLOOKUP(B33,'Up Min'!A:A,'Up Min'!B:B,)</f>
        <v>0.9</v>
      </c>
      <c r="H33" s="59">
        <f t="array" ref="H33">_xlfn.XLOOKUP(B33,'Up Max'!A:A,'Up Max'!B:B,)</f>
        <v>1.15</v>
      </c>
      <c r="I33" s="53" t="str">
        <f t="array" ref="I33">_xlfn.XLOOKUP(B33,'Up Stats'!A:A,'Up Stats'!C:C,)</f>
        <v/>
      </c>
      <c r="J33" s="54" t="str">
        <f>IFERROR(__xludf.DUMMYFUNCTION("if(AND(K33=FALSE,L33=FALSE),,if(K33=L33,JOIN("""",""Static: "",K33),JOIN("""",""Min:  "",K33, CHAR(10),""Max: "",L33)))"),"")</f>
        <v/>
      </c>
      <c r="K33" s="55" t="str">
        <f t="array" ref="K33">_xlfn.XLOOKUP(B33,'Up Min'!A:A,'Up Min'!C:C,)</f>
        <v/>
      </c>
      <c r="L33" s="55" t="str">
        <f t="array" ref="L33">_xlfn.XLOOKUP(B33,'Up Max'!A:A,'Up Max'!C:C,)</f>
        <v/>
      </c>
      <c r="M33" s="57" t="str">
        <f t="array" ref="M33">_xlfn.XLOOKUP(B33,'Up Stats'!A:A,'Up Stats'!D:D,)</f>
        <v/>
      </c>
      <c r="N33" s="54" t="str">
        <f>IFERROR(__xludf.DUMMYFUNCTION("if(AND(O33=FALSE,P33=FALSE),,if(O33=P33,JOIN("""",""Static: "",O33),JOIN("""",""Min:  "",O33, CHAR(10),""Max: "",P33)))"),"")</f>
        <v/>
      </c>
      <c r="O33" s="55" t="str">
        <f t="array" ref="O33">_xlfn.XLOOKUP(B33,'Up Min'!A:A,'Up Min'!D:D,)</f>
        <v/>
      </c>
      <c r="P33" s="55" t="str">
        <f t="array" ref="P33">_xlfn.XLOOKUP(B33,'Up Max'!A:A,'Up Max'!D:D,)</f>
        <v/>
      </c>
      <c r="Q33" s="57" t="str">
        <f t="array" ref="Q33">_xlfn.XLOOKUP(B33,'Up Stats'!A:A,'Up Stats'!E:E,)</f>
        <v/>
      </c>
      <c r="R33" s="54" t="str">
        <f>IFERROR(__xludf.DUMMYFUNCTION("if(AND(S33=FALSE,T33=FALSE),,if(S33=T33,JOIN("""",""Static: "",S33),JOIN("""",""Min:  "",S33, CHAR(10),""Max: "",T33)))"),"")</f>
        <v/>
      </c>
      <c r="S33" s="55" t="str">
        <f t="array" ref="S33">_xlfn.XLOOKUP(B33,'Up Min'!A:A,'Up Min'!E:E,)</f>
        <v/>
      </c>
      <c r="T33" s="55" t="str">
        <f t="array" ref="T33">_xlfn.XLOOKUP(B33,'Up Max'!A:A,'Up Max'!E:E,)</f>
        <v/>
      </c>
      <c r="U33" s="57" t="str">
        <f t="array" ref="U33">_xlfn.XLOOKUP(B33,'Up Stats'!A:A,'Up Stats'!F:F,)</f>
        <v/>
      </c>
      <c r="V33" s="54" t="str">
        <f>IFERROR(__xludf.DUMMYFUNCTION("if(AND(W33=FALSE,X33=FALSE),,if(W33=X33,JOIN("""",""Static: "",W33),JOIN("""",""Min:  "",W33, CHAR(10),""Max: "",X33)))"),"")</f>
        <v/>
      </c>
      <c r="W33" s="55" t="str">
        <f t="array" ref="W33">_xlfn.XLOOKUP(B33,'Up Min'!A:A,'Up Min'!F:F,)</f>
        <v/>
      </c>
      <c r="X33" s="55" t="str">
        <f t="array" ref="X33">_xlfn.XLOOKUP(B33,'Up Max'!A:A,'Up Max'!F:F,)</f>
        <v/>
      </c>
      <c r="Y33" s="57" t="str">
        <f t="array" ref="Y33">_xlfn.XLOOKUP(B33,'Up Stats'!A:A,'Up Stats'!G:G,)</f>
        <v/>
      </c>
      <c r="Z33" s="54" t="str">
        <f>IFERROR(__xludf.DUMMYFUNCTION("if(AND(AA33=FALSE,AB33=FALSE),,if(AA33=AB33,JOIN("""",""Static: "",AA33),JOIN("""",""Min:  "",AA33, CHAR(10),""Max: "",AB33)))"),"")</f>
        <v/>
      </c>
      <c r="AA33" s="55" t="str">
        <f t="array" ref="AA33">_xlfn.XLOOKUP(B33,'Up Min'!A:A,'Up Min'!G:G,)</f>
        <v/>
      </c>
      <c r="AB33" s="55" t="str">
        <f t="array" ref="AB33">_xlfn.XLOOKUP(B33,'Up Max'!A:A,'Up Max'!G:G,)</f>
        <v/>
      </c>
      <c r="AC33" s="57" t="str">
        <f t="array" ref="AC33">_xlfn.XLOOKUP(B33,'Up Stats'!A:A,'Up Stats'!H:H,)</f>
        <v/>
      </c>
      <c r="AD33" s="54" t="str">
        <f>IFERROR(__xludf.DUMMYFUNCTION("if(AND(AE33=FALSE,AF33=FALSE),,if(AE33=AF33,JOIN("""",""Static: "",AE33),JOIN("""",""Min:  "",AE33, CHAR(10),""Max: "",AF33)))"),"")</f>
        <v/>
      </c>
      <c r="AE33" s="55" t="str">
        <f t="array" ref="AE33">_xlfn.XLOOKUP(B33,'Up Min'!A:A,'Up Min'!H:H,)</f>
        <v/>
      </c>
      <c r="AF33" s="55" t="str">
        <f t="array" ref="AF33">_xlfn.XLOOKUP(B33,'Up Max'!A:A,'Up Max'!H:H,)</f>
        <v/>
      </c>
      <c r="AG33" s="57" t="str">
        <f t="array" ref="AG33">_xlfn.XLOOKUP(B33,'Up Stats'!A:A,'Up Stats'!I:I,)</f>
        <v/>
      </c>
      <c r="AH33" s="54" t="str">
        <f>IFERROR(__xludf.DUMMYFUNCTION("if(AND(AI33=FALSE,AJ33=FALSE),,if(AI33=AJ33,JOIN("""",""Static: "",AI33),JOIN("""",""Min:  "",AI33, CHAR(10),""Max: "",AJ33)))"),"")</f>
        <v/>
      </c>
      <c r="AI33" s="55" t="str">
        <f t="array" ref="AI33">_xlfn.XLOOKUP(B33,'Up Min'!A:A,'Up Min'!I:I,)</f>
        <v/>
      </c>
      <c r="AJ33" s="55" t="str">
        <f t="array" ref="AJ33">_xlfn.XLOOKUP(B33,'Up Max'!A:A,'Up Max'!I:I,)</f>
        <v/>
      </c>
      <c r="AK33" s="57" t="str">
        <f t="array" ref="AK33">_xlfn.XLOOKUP(B33,'Up Stats'!A:A,'Up Stats'!J:J,)</f>
        <v/>
      </c>
      <c r="AL33" s="54" t="str">
        <f>IFERROR(__xludf.DUMMYFUNCTION("if(AND(AM33=FALSE,AN33=FALSE),,if(AM33=AN33,JOIN("""",""Static: "",AM33),JOIN("""",""Min:  "",AM33, CHAR(10),""Max: "",AN33)))"),"")</f>
        <v/>
      </c>
      <c r="AM33" s="55" t="str">
        <f t="array" ref="AM33">_xlfn.XLOOKUP(B33,'Up Min'!A:A,'Up Min'!J:J,)</f>
        <v/>
      </c>
      <c r="AN33" s="55" t="str">
        <f t="array" ref="AN33">_xlfn.XLOOKUP(B33,'Up Max'!A:A,'Up Max'!J:J,)</f>
        <v/>
      </c>
      <c r="AO33" s="51" t="str">
        <f t="array" ref="AO33">CONCATENATE(_xlfn.XLOOKUP(B33,'Up Cells'!A:A,'Up Cells'!B:B,))</f>
        <v>8</v>
      </c>
      <c r="AP33" s="51" t="str">
        <f t="array" ref="AP33">CONCATENATE(_xlfn.XLOOKUP(B33,'Up Rarity'!A:A,'Up Rarity'!B:B,),CHAR(10),"-")</f>
        <v>Standard
-</v>
      </c>
    </row>
    <row r="34">
      <c r="A34" s="84" t="str">
        <f t="array" ref="A34">_xlfn.XLOOKUP(B34,'Up Icon'!A:A,'Up Icon'!B:B,)</f>
        <v/>
      </c>
      <c r="B34" s="66" t="str">
        <f t="array" ref="B34">HYPERLINK(_xlfn.XLOOKUP('Up Names'!A31,'Up Wiki'!A:A,'Up Wiki'!B:B,),'Up Names'!A31)</f>
        <v>Bulging Cartridge</v>
      </c>
      <c r="C34" s="37" t="str">
        <f t="array" ref="C34">_xlfn.XLOOKUP(B34,'Up Desc'!A:A,'Up Desc'!B:B,)</f>
        <v>Magazine size is increased.</v>
      </c>
      <c r="D34" s="37" t="str">
        <f t="array" ref="D34">_xlfn.XLOOKUP(B34,'Up Turbo'!A:A,'Up Turbo'!B:B,)</f>
        <v>n/a</v>
      </c>
      <c r="E34" s="39" t="str">
        <f t="array" ref="E34">_xlfn.XLOOKUP(B34,'Up Stats'!A:A,'Up Stats'!B:B,)</f>
        <v>Magazine Size</v>
      </c>
      <c r="F34" s="40" t="str">
        <f>IFERROR(__xludf.DUMMYFUNCTION("if(AND(G34=FALSE,H34=FALSE),,if(G34=H34,JOIN("""",""Static: "",G34),JOIN("""",""Min:  "",G34, CHAR(10),""Max: "",H34)))"),"Min:  4
Max: 10")</f>
        <v>Min:  4
Max: 10</v>
      </c>
      <c r="G34" s="40">
        <f t="array" ref="G34">_xlfn.XLOOKUP(B34,'Up Min'!A:A,'Up Min'!B:B,)</f>
        <v>4</v>
      </c>
      <c r="H34" s="68">
        <f t="array" ref="H34">_xlfn.XLOOKUP(B34,'Up Max'!A:A,'Up Max'!B:B,)</f>
        <v>10</v>
      </c>
      <c r="I34" s="39" t="str">
        <f t="array" ref="I34">_xlfn.XLOOKUP(B34,'Up Stats'!A:A,'Up Stats'!C:C,)</f>
        <v/>
      </c>
      <c r="J34" s="40" t="str">
        <f>IFERROR(__xludf.DUMMYFUNCTION("if(AND(K34=FALSE,L34=FALSE),,if(K34=L34,JOIN("""",""Static: "",K34),JOIN("""",""Min:  "",K34, CHAR(10),""Max: "",L34)))"),"")</f>
        <v/>
      </c>
      <c r="K34" s="42" t="str">
        <f t="array" ref="K34">_xlfn.XLOOKUP(B34,'Up Min'!A:A,'Up Min'!C:C,)</f>
        <v/>
      </c>
      <c r="L34" s="42" t="str">
        <f t="array" ref="L34">_xlfn.XLOOKUP(B34,'Up Max'!A:A,'Up Max'!C:C,)</f>
        <v/>
      </c>
      <c r="M34" s="48" t="str">
        <f t="array" ref="M34">_xlfn.XLOOKUP(B34,'Up Stats'!A:A,'Up Stats'!D:D,)</f>
        <v/>
      </c>
      <c r="N34" s="40" t="str">
        <f>IFERROR(__xludf.DUMMYFUNCTION("if(AND(O34=FALSE,P34=FALSE),,if(O34=P34,JOIN("""",""Static: "",O34),JOIN("""",""Min:  "",O34, CHAR(10),""Max: "",P34)))"),"")</f>
        <v/>
      </c>
      <c r="O34" s="42" t="str">
        <f t="array" ref="O34">_xlfn.XLOOKUP(B34,'Up Min'!A:A,'Up Min'!D:D,)</f>
        <v/>
      </c>
      <c r="P34" s="42" t="str">
        <f t="array" ref="P34">_xlfn.XLOOKUP(B34,'Up Max'!A:A,'Up Max'!D:D,)</f>
        <v/>
      </c>
      <c r="Q34" s="48" t="str">
        <f t="array" ref="Q34">_xlfn.XLOOKUP(B34,'Up Stats'!A:A,'Up Stats'!E:E,)</f>
        <v/>
      </c>
      <c r="R34" s="40" t="str">
        <f>IFERROR(__xludf.DUMMYFUNCTION("if(AND(S34=FALSE,T34=FALSE),,if(S34=T34,JOIN("""",""Static: "",S34),JOIN("""",""Min:  "",S34, CHAR(10),""Max: "",T34)))"),"")</f>
        <v/>
      </c>
      <c r="S34" s="42" t="str">
        <f t="array" ref="S34">_xlfn.XLOOKUP(B34,'Up Min'!A:A,'Up Min'!E:E,)</f>
        <v/>
      </c>
      <c r="T34" s="42" t="str">
        <f t="array" ref="T34">_xlfn.XLOOKUP(B34,'Up Max'!A:A,'Up Max'!E:E,)</f>
        <v/>
      </c>
      <c r="U34" s="48" t="str">
        <f t="array" ref="U34">_xlfn.XLOOKUP(B34,'Up Stats'!A:A,'Up Stats'!F:F,)</f>
        <v/>
      </c>
      <c r="V34" s="40" t="str">
        <f>IFERROR(__xludf.DUMMYFUNCTION("if(AND(W34=FALSE,X34=FALSE),,if(W34=X34,JOIN("""",""Static: "",W34),JOIN("""",""Min:  "",W34, CHAR(10),""Max: "",X34)))"),"")</f>
        <v/>
      </c>
      <c r="W34" s="42" t="str">
        <f t="array" ref="W34">_xlfn.XLOOKUP(B34,'Up Min'!A:A,'Up Min'!F:F,)</f>
        <v/>
      </c>
      <c r="X34" s="42" t="str">
        <f t="array" ref="X34">_xlfn.XLOOKUP(B34,'Up Max'!A:A,'Up Max'!F:F,)</f>
        <v/>
      </c>
      <c r="Y34" s="48" t="str">
        <f t="array" ref="Y34">_xlfn.XLOOKUP(B34,'Up Stats'!A:A,'Up Stats'!G:G,)</f>
        <v/>
      </c>
      <c r="Z34" s="40" t="str">
        <f>IFERROR(__xludf.DUMMYFUNCTION("if(AND(AA34=FALSE,AB34=FALSE),,if(AA34=AB34,JOIN("""",""Static: "",AA34),JOIN("""",""Min:  "",AA34, CHAR(10),""Max: "",AB34)))"),"")</f>
        <v/>
      </c>
      <c r="AA34" s="42" t="str">
        <f t="array" ref="AA34">_xlfn.XLOOKUP(B34,'Up Min'!A:A,'Up Min'!G:G,)</f>
        <v/>
      </c>
      <c r="AB34" s="42" t="str">
        <f t="array" ref="AB34">_xlfn.XLOOKUP(B34,'Up Max'!A:A,'Up Max'!G:G,)</f>
        <v/>
      </c>
      <c r="AC34" s="48" t="str">
        <f t="array" ref="AC34">_xlfn.XLOOKUP(B34,'Up Stats'!A:A,'Up Stats'!H:H,)</f>
        <v/>
      </c>
      <c r="AD34" s="40" t="str">
        <f>IFERROR(__xludf.DUMMYFUNCTION("if(AND(AE34=FALSE,AF34=FALSE),,if(AE34=AF34,JOIN("""",""Static: "",AE34),JOIN("""",""Min:  "",AE34, CHAR(10),""Max: "",AF34)))"),"")</f>
        <v/>
      </c>
      <c r="AE34" s="42" t="str">
        <f t="array" ref="AE34">_xlfn.XLOOKUP(B34,'Up Min'!A:A,'Up Min'!H:H,)</f>
        <v/>
      </c>
      <c r="AF34" s="42" t="str">
        <f t="array" ref="AF34">_xlfn.XLOOKUP(B34,'Up Max'!A:A,'Up Max'!H:H,)</f>
        <v/>
      </c>
      <c r="AG34" s="48" t="str">
        <f t="array" ref="AG34">_xlfn.XLOOKUP(B34,'Up Stats'!A:A,'Up Stats'!I:I,)</f>
        <v/>
      </c>
      <c r="AH34" s="40" t="str">
        <f>IFERROR(__xludf.DUMMYFUNCTION("if(AND(AI34=FALSE,AJ34=FALSE),,if(AI34=AJ34,JOIN("""",""Static: "",AI34),JOIN("""",""Min:  "",AI34, CHAR(10),""Max: "",AJ34)))"),"")</f>
        <v/>
      </c>
      <c r="AI34" s="42" t="str">
        <f t="array" ref="AI34">_xlfn.XLOOKUP(B34,'Up Min'!A:A,'Up Min'!I:I,)</f>
        <v/>
      </c>
      <c r="AJ34" s="42" t="str">
        <f t="array" ref="AJ34">_xlfn.XLOOKUP(B34,'Up Max'!A:A,'Up Max'!I:I,)</f>
        <v/>
      </c>
      <c r="AK34" s="48" t="str">
        <f t="array" ref="AK34">_xlfn.XLOOKUP(B34,'Up Stats'!A:A,'Up Stats'!J:J,)</f>
        <v/>
      </c>
      <c r="AL34" s="40" t="str">
        <f>IFERROR(__xludf.DUMMYFUNCTION("if(AND(AM34=FALSE,AN34=FALSE),,if(AM34=AN34,JOIN("""",""Static: "",AM34),JOIN("""",""Min:  "",AM34, CHAR(10),""Max: "",AN34)))"),"")</f>
        <v/>
      </c>
      <c r="AM34" s="42" t="str">
        <f t="array" ref="AM34">_xlfn.XLOOKUP(B34,'Up Min'!A:A,'Up Min'!J:J,)</f>
        <v/>
      </c>
      <c r="AN34" s="42" t="str">
        <f t="array" ref="AN34">_xlfn.XLOOKUP(B34,'Up Max'!A:A,'Up Max'!J:J,)</f>
        <v/>
      </c>
      <c r="AO34" s="34" t="str">
        <f t="array" ref="AO34">CONCATENATE(_xlfn.XLOOKUP(B34,'Up Cells'!A:A,'Up Cells'!B:B,))</f>
        <v>3</v>
      </c>
      <c r="AP34" s="34" t="str">
        <f t="array" ref="AP34">CONCATENATE(_xlfn.XLOOKUP(B34,'Up Rarity'!A:A,'Up Rarity'!B:B,),CHAR(10),"-")</f>
        <v>Standard
-</v>
      </c>
    </row>
    <row r="35">
      <c r="A35" s="84" t="str">
        <f t="array" ref="A35">_xlfn.XLOOKUP(B35,'Up Icon'!A:A,'Up Icon'!B:B,)</f>
        <v/>
      </c>
      <c r="B35" s="63" t="str">
        <f t="array" ref="B35">HYPERLINK(_xlfn.XLOOKUP('Up Names'!A32,'Up Wiki'!A:A,'Up Wiki'!B:B,),'Up Names'!A32)</f>
        <v>Compact Cartridge</v>
      </c>
      <c r="C35" s="52" t="str">
        <f t="array" ref="C35">_xlfn.XLOOKUP(B35,'Up Desc'!A:A,'Up Desc'!B:B,)</f>
        <v>Reload speed is increased but magazine size is decreased.</v>
      </c>
      <c r="D35" s="52" t="str">
        <f t="array" ref="D35">_xlfn.XLOOKUP(B35,'Up Turbo'!A:A,'Up Turbo'!B:B,)</f>
        <v>n/a</v>
      </c>
      <c r="E35" s="53" t="str">
        <f t="array" ref="E35">_xlfn.XLOOKUP(B35,'Up Stats'!A:A,'Up Stats'!B:B,)</f>
        <v>Magazine Size</v>
      </c>
      <c r="F35" s="54" t="str">
        <f>IFERROR(__xludf.DUMMYFUNCTION("if(AND(G35=FALSE,H35=FALSE),,if(G35=H35,JOIN("""",""Static: "",G35),JOIN("""",""Min:  "",G35, CHAR(10),""Max: "",H35)))"),"Min:  -9
Max: -7")</f>
        <v>Min:  -9
Max: -7</v>
      </c>
      <c r="G35" s="54">
        <f t="array" ref="G35">_xlfn.XLOOKUP(B35,'Up Min'!A:A,'Up Min'!B:B,)</f>
        <v>-9</v>
      </c>
      <c r="H35" s="65">
        <f t="array" ref="H35">_xlfn.XLOOKUP(B35,'Up Max'!A:A,'Up Max'!B:B,)</f>
        <v>-7</v>
      </c>
      <c r="I35" s="53" t="str">
        <f t="array" ref="I35">_xlfn.XLOOKUP(B35,'Up Stats'!A:A,'Up Stats'!C:C,)</f>
        <v>Reload Speed</v>
      </c>
      <c r="J35" s="54" t="str">
        <f>IFERROR(__xludf.DUMMYFUNCTION("if(AND(K35=FALSE,L35=FALSE),,if(K35=L35,JOIN("""",""Static: "",K35),JOIN("""",""Min:  "",K35, CHAR(10),""Max: "",L35)))"),"Min:  33.93%
Max: 25%")</f>
        <v>Min:  33.93%
Max: 25%</v>
      </c>
      <c r="K35" s="71">
        <f t="array" ref="K35">_xlfn.XLOOKUP(B35,'Up Min'!A:A,'Up Min'!C:C,)</f>
        <v>0.3393</v>
      </c>
      <c r="L35" s="59">
        <f t="array" ref="L35">_xlfn.XLOOKUP(B35,'Up Max'!A:A,'Up Max'!C:C,)</f>
        <v>0.25</v>
      </c>
      <c r="M35" s="53" t="str">
        <f t="array" ref="M35">_xlfn.XLOOKUP(B35,'Up Stats'!A:A,'Up Stats'!D:D,)</f>
        <v/>
      </c>
      <c r="N35" s="54" t="str">
        <f>IFERROR(__xludf.DUMMYFUNCTION("if(AND(O35=FALSE,P35=FALSE),,if(O35=P35,JOIN("""",""Static: "",O35),JOIN("""",""Min:  "",O35, CHAR(10),""Max: "",P35)))"),"")</f>
        <v/>
      </c>
      <c r="O35" s="55" t="str">
        <f t="array" ref="O35">_xlfn.XLOOKUP(B35,'Up Min'!A:A,'Up Min'!D:D,)</f>
        <v/>
      </c>
      <c r="P35" s="55" t="str">
        <f t="array" ref="P35">_xlfn.XLOOKUP(B35,'Up Max'!A:A,'Up Max'!D:D,)</f>
        <v/>
      </c>
      <c r="Q35" s="57" t="str">
        <f t="array" ref="Q35">_xlfn.XLOOKUP(B35,'Up Stats'!A:A,'Up Stats'!E:E,)</f>
        <v/>
      </c>
      <c r="R35" s="54" t="str">
        <f>IFERROR(__xludf.DUMMYFUNCTION("if(AND(S35=FALSE,T35=FALSE),,if(S35=T35,JOIN("""",""Static: "",S35),JOIN("""",""Min:  "",S35, CHAR(10),""Max: "",T35)))"),"")</f>
        <v/>
      </c>
      <c r="S35" s="55" t="str">
        <f t="array" ref="S35">_xlfn.XLOOKUP(B35,'Up Min'!A:A,'Up Min'!E:E,)</f>
        <v/>
      </c>
      <c r="T35" s="55" t="str">
        <f t="array" ref="T35">_xlfn.XLOOKUP(B35,'Up Max'!A:A,'Up Max'!E:E,)</f>
        <v/>
      </c>
      <c r="U35" s="57" t="str">
        <f t="array" ref="U35">_xlfn.XLOOKUP(B35,'Up Stats'!A:A,'Up Stats'!F:F,)</f>
        <v/>
      </c>
      <c r="V35" s="54" t="str">
        <f>IFERROR(__xludf.DUMMYFUNCTION("if(AND(W35=FALSE,X35=FALSE),,if(W35=X35,JOIN("""",""Static: "",W35),JOIN("""",""Min:  "",W35, CHAR(10),""Max: "",X35)))"),"")</f>
        <v/>
      </c>
      <c r="W35" s="55" t="str">
        <f t="array" ref="W35">_xlfn.XLOOKUP(B35,'Up Min'!A:A,'Up Min'!F:F,)</f>
        <v/>
      </c>
      <c r="X35" s="55" t="str">
        <f t="array" ref="X35">_xlfn.XLOOKUP(B35,'Up Max'!A:A,'Up Max'!F:F,)</f>
        <v/>
      </c>
      <c r="Y35" s="57" t="str">
        <f t="array" ref="Y35">_xlfn.XLOOKUP(B35,'Up Stats'!A:A,'Up Stats'!G:G,)</f>
        <v/>
      </c>
      <c r="Z35" s="54" t="str">
        <f>IFERROR(__xludf.DUMMYFUNCTION("if(AND(AA35=FALSE,AB35=FALSE),,if(AA35=AB35,JOIN("""",""Static: "",AA35),JOIN("""",""Min:  "",AA35, CHAR(10),""Max: "",AB35)))"),"")</f>
        <v/>
      </c>
      <c r="AA35" s="55" t="str">
        <f t="array" ref="AA35">_xlfn.XLOOKUP(B35,'Up Min'!A:A,'Up Min'!G:G,)</f>
        <v/>
      </c>
      <c r="AB35" s="55" t="str">
        <f t="array" ref="AB35">_xlfn.XLOOKUP(B35,'Up Max'!A:A,'Up Max'!G:G,)</f>
        <v/>
      </c>
      <c r="AC35" s="57" t="str">
        <f t="array" ref="AC35">_xlfn.XLOOKUP(B35,'Up Stats'!A:A,'Up Stats'!H:H,)</f>
        <v/>
      </c>
      <c r="AD35" s="54" t="str">
        <f>IFERROR(__xludf.DUMMYFUNCTION("if(AND(AE35=FALSE,AF35=FALSE),,if(AE35=AF35,JOIN("""",""Static: "",AE35),JOIN("""",""Min:  "",AE35, CHAR(10),""Max: "",AF35)))"),"")</f>
        <v/>
      </c>
      <c r="AE35" s="55" t="str">
        <f t="array" ref="AE35">_xlfn.XLOOKUP(B35,'Up Min'!A:A,'Up Min'!H:H,)</f>
        <v/>
      </c>
      <c r="AF35" s="55" t="str">
        <f t="array" ref="AF35">_xlfn.XLOOKUP(B35,'Up Max'!A:A,'Up Max'!H:H,)</f>
        <v/>
      </c>
      <c r="AG35" s="57" t="str">
        <f t="array" ref="AG35">_xlfn.XLOOKUP(B35,'Up Stats'!A:A,'Up Stats'!I:I,)</f>
        <v/>
      </c>
      <c r="AH35" s="54" t="str">
        <f>IFERROR(__xludf.DUMMYFUNCTION("if(AND(AI35=FALSE,AJ35=FALSE),,if(AI35=AJ35,JOIN("""",""Static: "",AI35),JOIN("""",""Min:  "",AI35, CHAR(10),""Max: "",AJ35)))"),"")</f>
        <v/>
      </c>
      <c r="AI35" s="55" t="str">
        <f t="array" ref="AI35">_xlfn.XLOOKUP(B35,'Up Min'!A:A,'Up Min'!I:I,)</f>
        <v/>
      </c>
      <c r="AJ35" s="55" t="str">
        <f t="array" ref="AJ35">_xlfn.XLOOKUP(B35,'Up Max'!A:A,'Up Max'!I:I,)</f>
        <v/>
      </c>
      <c r="AK35" s="57" t="str">
        <f t="array" ref="AK35">_xlfn.XLOOKUP(B35,'Up Stats'!A:A,'Up Stats'!J:J,)</f>
        <v/>
      </c>
      <c r="AL35" s="54" t="str">
        <f>IFERROR(__xludf.DUMMYFUNCTION("if(AND(AM35=FALSE,AN35=FALSE),,if(AM35=AN35,JOIN("""",""Static: "",AM35),JOIN("""",""Min:  "",AM35, CHAR(10),""Max: "",AN35)))"),"")</f>
        <v/>
      </c>
      <c r="AM35" s="55" t="str">
        <f t="array" ref="AM35">_xlfn.XLOOKUP(B35,'Up Min'!A:A,'Up Min'!J:J,)</f>
        <v/>
      </c>
      <c r="AN35" s="55" t="str">
        <f t="array" ref="AN35">_xlfn.XLOOKUP(B35,'Up Max'!A:A,'Up Max'!J:J,)</f>
        <v/>
      </c>
      <c r="AO35" s="51" t="str">
        <f t="array" ref="AO35">CONCATENATE(_xlfn.XLOOKUP(B35,'Up Cells'!A:A,'Up Cells'!B:B,))</f>
        <v>3</v>
      </c>
      <c r="AP35" s="51" t="str">
        <f t="array" ref="AP35">CONCATENATE(_xlfn.XLOOKUP(B35,'Up Rarity'!A:A,'Up Rarity'!B:B,),CHAR(10),"-")</f>
        <v>Standard
-</v>
      </c>
    </row>
    <row r="36">
      <c r="A36" s="84" t="str">
        <f t="array" ref="A36">_xlfn.XLOOKUP(B36,'Up Icon'!A:A,'Up Icon'!B:B,)</f>
        <v/>
      </c>
      <c r="B36" s="66" t="str">
        <f t="array" ref="B36">HYPERLINK(_xlfn.XLOOKUP('Up Names'!A33,'Up Wiki'!A:A,'Up Wiki'!B:B,),'Up Names'!A33)</f>
        <v>Doublestack Cartridge</v>
      </c>
      <c r="C36" s="37" t="str">
        <f t="array" ref="C36">_xlfn.XLOOKUP(B36,'Up Desc'!A:A,'Up Desc'!B:B,)</f>
        <v>Magazine size is increased, but damage is slightly decreased.</v>
      </c>
      <c r="D36" s="37" t="str">
        <f t="array" ref="D36">_xlfn.XLOOKUP(B36,'Up Turbo'!A:A,'Up Turbo'!B:B,)</f>
        <v>n/a</v>
      </c>
      <c r="E36" s="39" t="str">
        <f t="array" ref="E36">_xlfn.XLOOKUP(B36,'Up Stats'!A:A,'Up Stats'!B:B,)</f>
        <v>Magazine Size</v>
      </c>
      <c r="F36" s="40" t="str">
        <f>IFERROR(__xludf.DUMMYFUNCTION("if(AND(G36=FALSE,H36=FALSE),,if(G36=H36,JOIN("""",""Static: "",G36),JOIN("""",""Min:  "",G36, CHAR(10),""Max: "",H36)))"),"Min:  20%
Max: 40%")</f>
        <v>Min:  20%
Max: 40%</v>
      </c>
      <c r="G36" s="41">
        <f t="array" ref="G36">_xlfn.XLOOKUP(B36,'Up Min'!A:A,'Up Min'!B:B,)</f>
        <v>0.2</v>
      </c>
      <c r="H36" s="41">
        <f t="array" ref="H36">_xlfn.XLOOKUP(B36,'Up Max'!A:A,'Up Max'!B:B,)</f>
        <v>0.4</v>
      </c>
      <c r="I36" s="39" t="str">
        <f t="array" ref="I36">_xlfn.XLOOKUP(B36,'Up Stats'!A:A,'Up Stats'!C:C,)</f>
        <v>Damage</v>
      </c>
      <c r="J36" s="40" t="str">
        <f>IFERROR(__xludf.DUMMYFUNCTION("if(AND(K36=FALSE,L36=FALSE),,if(K36=L36,JOIN("""",""Static: "",K36),JOIN("""",""Min:  "",K36, CHAR(10),""Max: "",L36)))"),"Min:  -12%
Max: -7%")</f>
        <v>Min:  -12%
Max: -7%</v>
      </c>
      <c r="K36" s="41">
        <f t="array" ref="K36">_xlfn.XLOOKUP(B36,'Up Min'!A:A,'Up Min'!C:C,)</f>
        <v>-0.12</v>
      </c>
      <c r="L36" s="41">
        <f t="array" ref="L36">_xlfn.XLOOKUP(B36,'Up Max'!A:A,'Up Max'!C:C,)</f>
        <v>-0.07</v>
      </c>
      <c r="M36" s="39" t="str">
        <f t="array" ref="M36">_xlfn.XLOOKUP(B36,'Up Stats'!A:A,'Up Stats'!D:D,)</f>
        <v/>
      </c>
      <c r="N36" s="40" t="str">
        <f>IFERROR(__xludf.DUMMYFUNCTION("if(AND(O36=FALSE,P36=FALSE),,if(O36=P36,JOIN("""",""Static: "",O36),JOIN("""",""Min:  "",O36, CHAR(10),""Max: "",P36)))"),"")</f>
        <v/>
      </c>
      <c r="O36" s="42" t="str">
        <f t="array" ref="O36">_xlfn.XLOOKUP(B36,'Up Min'!A:A,'Up Min'!D:D,)</f>
        <v/>
      </c>
      <c r="P36" s="42" t="str">
        <f t="array" ref="P36">_xlfn.XLOOKUP(B36,'Up Max'!A:A,'Up Max'!D:D,)</f>
        <v/>
      </c>
      <c r="Q36" s="48" t="str">
        <f t="array" ref="Q36">_xlfn.XLOOKUP(B36,'Up Stats'!A:A,'Up Stats'!E:E,)</f>
        <v/>
      </c>
      <c r="R36" s="40" t="str">
        <f>IFERROR(__xludf.DUMMYFUNCTION("if(AND(S36=FALSE,T36=FALSE),,if(S36=T36,JOIN("""",""Static: "",S36),JOIN("""",""Min:  "",S36, CHAR(10),""Max: "",T36)))"),"")</f>
        <v/>
      </c>
      <c r="S36" s="42" t="str">
        <f t="array" ref="S36">_xlfn.XLOOKUP(B36,'Up Min'!A:A,'Up Min'!E:E,)</f>
        <v/>
      </c>
      <c r="T36" s="42" t="str">
        <f t="array" ref="T36">_xlfn.XLOOKUP(B36,'Up Max'!A:A,'Up Max'!E:E,)</f>
        <v/>
      </c>
      <c r="U36" s="48" t="str">
        <f t="array" ref="U36">_xlfn.XLOOKUP(B36,'Up Stats'!A:A,'Up Stats'!F:F,)</f>
        <v/>
      </c>
      <c r="V36" s="40" t="str">
        <f>IFERROR(__xludf.DUMMYFUNCTION("if(AND(W36=FALSE,X36=FALSE),,if(W36=X36,JOIN("""",""Static: "",W36),JOIN("""",""Min:  "",W36, CHAR(10),""Max: "",X36)))"),"")</f>
        <v/>
      </c>
      <c r="W36" s="42" t="str">
        <f t="array" ref="W36">_xlfn.XLOOKUP(B36,'Up Min'!A:A,'Up Min'!F:F,)</f>
        <v/>
      </c>
      <c r="X36" s="42" t="str">
        <f t="array" ref="X36">_xlfn.XLOOKUP(B36,'Up Max'!A:A,'Up Max'!F:F,)</f>
        <v/>
      </c>
      <c r="Y36" s="48" t="str">
        <f t="array" ref="Y36">_xlfn.XLOOKUP(B36,'Up Stats'!A:A,'Up Stats'!G:G,)</f>
        <v/>
      </c>
      <c r="Z36" s="40" t="str">
        <f>IFERROR(__xludf.DUMMYFUNCTION("if(AND(AA36=FALSE,AB36=FALSE),,if(AA36=AB36,JOIN("""",""Static: "",AA36),JOIN("""",""Min:  "",AA36, CHAR(10),""Max: "",AB36)))"),"")</f>
        <v/>
      </c>
      <c r="AA36" s="42" t="str">
        <f t="array" ref="AA36">_xlfn.XLOOKUP(B36,'Up Min'!A:A,'Up Min'!G:G,)</f>
        <v/>
      </c>
      <c r="AB36" s="42" t="str">
        <f t="array" ref="AB36">_xlfn.XLOOKUP(B36,'Up Max'!A:A,'Up Max'!G:G,)</f>
        <v/>
      </c>
      <c r="AC36" s="48" t="str">
        <f t="array" ref="AC36">_xlfn.XLOOKUP(B36,'Up Stats'!A:A,'Up Stats'!H:H,)</f>
        <v/>
      </c>
      <c r="AD36" s="40" t="str">
        <f>IFERROR(__xludf.DUMMYFUNCTION("if(AND(AE36=FALSE,AF36=FALSE),,if(AE36=AF36,JOIN("""",""Static: "",AE36),JOIN("""",""Min:  "",AE36, CHAR(10),""Max: "",AF36)))"),"")</f>
        <v/>
      </c>
      <c r="AE36" s="42" t="str">
        <f t="array" ref="AE36">_xlfn.XLOOKUP(B36,'Up Min'!A:A,'Up Min'!H:H,)</f>
        <v/>
      </c>
      <c r="AF36" s="42" t="str">
        <f t="array" ref="AF36">_xlfn.XLOOKUP(B36,'Up Max'!A:A,'Up Max'!H:H,)</f>
        <v/>
      </c>
      <c r="AG36" s="48" t="str">
        <f t="array" ref="AG36">_xlfn.XLOOKUP(B36,'Up Stats'!A:A,'Up Stats'!I:I,)</f>
        <v/>
      </c>
      <c r="AH36" s="40" t="str">
        <f>IFERROR(__xludf.DUMMYFUNCTION("if(AND(AI36=FALSE,AJ36=FALSE),,if(AI36=AJ36,JOIN("""",""Static: "",AI36),JOIN("""",""Min:  "",AI36, CHAR(10),""Max: "",AJ36)))"),"")</f>
        <v/>
      </c>
      <c r="AI36" s="42" t="str">
        <f t="array" ref="AI36">_xlfn.XLOOKUP(B36,'Up Min'!A:A,'Up Min'!I:I,)</f>
        <v/>
      </c>
      <c r="AJ36" s="42" t="str">
        <f t="array" ref="AJ36">_xlfn.XLOOKUP(B36,'Up Max'!A:A,'Up Max'!I:I,)</f>
        <v/>
      </c>
      <c r="AK36" s="48" t="str">
        <f t="array" ref="AK36">_xlfn.XLOOKUP(B36,'Up Stats'!A:A,'Up Stats'!J:J,)</f>
        <v/>
      </c>
      <c r="AL36" s="40" t="str">
        <f>IFERROR(__xludf.DUMMYFUNCTION("if(AND(AM36=FALSE,AN36=FALSE),,if(AM36=AN36,JOIN("""",""Static: "",AM36),JOIN("""",""Min:  "",AM36, CHAR(10),""Max: "",AN36)))"),"")</f>
        <v/>
      </c>
      <c r="AM36" s="42" t="str">
        <f t="array" ref="AM36">_xlfn.XLOOKUP(B36,'Up Min'!A:A,'Up Min'!J:J,)</f>
        <v/>
      </c>
      <c r="AN36" s="42" t="str">
        <f t="array" ref="AN36">_xlfn.XLOOKUP(B36,'Up Max'!A:A,'Up Max'!J:J,)</f>
        <v/>
      </c>
      <c r="AO36" s="34" t="str">
        <f t="array" ref="AO36">CONCATENATE(_xlfn.XLOOKUP(B36,'Up Cells'!A:A,'Up Cells'!B:B,))</f>
        <v>3</v>
      </c>
      <c r="AP36" s="34" t="str">
        <f t="array" ref="AP36">CONCATENATE(_xlfn.XLOOKUP(B36,'Up Rarity'!A:A,'Up Rarity'!B:B,),CHAR(10),"-")</f>
        <v>Standard
-</v>
      </c>
    </row>
    <row r="37">
      <c r="A37" s="84" t="str">
        <f t="array" ref="A37">_xlfn.XLOOKUP(B37,'Up Icon'!A:A,'Up Icon'!B:B,)</f>
        <v/>
      </c>
      <c r="B37" s="63" t="str">
        <f t="array" ref="B37">HYPERLINK(_xlfn.XLOOKUP('Up Names'!A34,'Up Wiki'!A:A,'Up Wiki'!B:B,),'Up Names'!A34)</f>
        <v>Focused Lenses</v>
      </c>
      <c r="C37" s="52" t="str">
        <f t="array" ref="C37">_xlfn.XLOOKUP(B37,'Up Desc'!A:A,'Up Desc'!B:B,)</f>
        <v>Range is increased.</v>
      </c>
      <c r="D37" s="52" t="str">
        <f t="array" ref="D37">_xlfn.XLOOKUP(B37,'Up Turbo'!A:A,'Up Turbo'!B:B,)</f>
        <v>n/a</v>
      </c>
      <c r="E37" s="53" t="str">
        <f t="array" ref="E37">_xlfn.XLOOKUP(B37,'Up Stats'!A:A,'Up Stats'!B:B,)</f>
        <v>Range</v>
      </c>
      <c r="F37" s="54" t="str">
        <f>IFERROR(__xludf.DUMMYFUNCTION("if(AND(G37=FALSE,H37=FALSE),,if(G37=H37,JOIN("""",""Static: "",G37),JOIN("""",""Min:  "",G37, CHAR(10),""Max: "",H37)))"),"Min:  8
Max: 11")</f>
        <v>Min:  8
Max: 11</v>
      </c>
      <c r="G37" s="54">
        <f t="array" ref="G37">_xlfn.XLOOKUP(B37,'Up Min'!A:A,'Up Min'!B:B,)</f>
        <v>8</v>
      </c>
      <c r="H37" s="65">
        <f t="array" ref="H37">_xlfn.XLOOKUP(B37,'Up Max'!A:A,'Up Max'!B:B,)</f>
        <v>11</v>
      </c>
      <c r="I37" s="53" t="str">
        <f t="array" ref="I37">_xlfn.XLOOKUP(B37,'Up Stats'!A:A,'Up Stats'!C:C,)</f>
        <v/>
      </c>
      <c r="J37" s="54" t="str">
        <f>IFERROR(__xludf.DUMMYFUNCTION("if(AND(K37=FALSE,L37=FALSE),,if(K37=L37,JOIN("""",""Static: "",K37),JOIN("""",""Min:  "",K37, CHAR(10),""Max: "",L37)))"),"")</f>
        <v/>
      </c>
      <c r="K37" s="55" t="str">
        <f t="array" ref="K37">_xlfn.XLOOKUP(B37,'Up Min'!A:A,'Up Min'!C:C,)</f>
        <v/>
      </c>
      <c r="L37" s="55" t="str">
        <f t="array" ref="L37">_xlfn.XLOOKUP(B37,'Up Max'!A:A,'Up Max'!C:C,)</f>
        <v/>
      </c>
      <c r="M37" s="53" t="str">
        <f t="array" ref="M37">_xlfn.XLOOKUP(B37,'Up Stats'!A:A,'Up Stats'!D:D,)</f>
        <v/>
      </c>
      <c r="N37" s="54" t="str">
        <f>IFERROR(__xludf.DUMMYFUNCTION("if(AND(O37=FALSE,P37=FALSE),,if(O37=P37,JOIN("""",""Static: "",O37),JOIN("""",""Min:  "",O37, CHAR(10),""Max: "",P37)))"),"")</f>
        <v/>
      </c>
      <c r="O37" s="55" t="str">
        <f t="array" ref="O37">_xlfn.XLOOKUP(B37,'Up Min'!A:A,'Up Min'!D:D,)</f>
        <v/>
      </c>
      <c r="P37" s="55" t="str">
        <f t="array" ref="P37">_xlfn.XLOOKUP(B37,'Up Max'!A:A,'Up Max'!D:D,)</f>
        <v/>
      </c>
      <c r="Q37" s="57" t="str">
        <f t="array" ref="Q37">_xlfn.XLOOKUP(B37,'Up Stats'!A:A,'Up Stats'!E:E,)</f>
        <v/>
      </c>
      <c r="R37" s="54" t="str">
        <f>IFERROR(__xludf.DUMMYFUNCTION("if(AND(S37=FALSE,T37=FALSE),,if(S37=T37,JOIN("""",""Static: "",S37),JOIN("""",""Min:  "",S37, CHAR(10),""Max: "",T37)))"),"")</f>
        <v/>
      </c>
      <c r="S37" s="55" t="str">
        <f t="array" ref="S37">_xlfn.XLOOKUP(B37,'Up Min'!A:A,'Up Min'!E:E,)</f>
        <v/>
      </c>
      <c r="T37" s="55" t="str">
        <f t="array" ref="T37">_xlfn.XLOOKUP(B37,'Up Max'!A:A,'Up Max'!E:E,)</f>
        <v/>
      </c>
      <c r="U37" s="57" t="str">
        <f t="array" ref="U37">_xlfn.XLOOKUP(B37,'Up Stats'!A:A,'Up Stats'!F:F,)</f>
        <v/>
      </c>
      <c r="V37" s="54" t="str">
        <f>IFERROR(__xludf.DUMMYFUNCTION("if(AND(W37=FALSE,X37=FALSE),,if(W37=X37,JOIN("""",""Static: "",W37),JOIN("""",""Min:  "",W37, CHAR(10),""Max: "",X37)))"),"")</f>
        <v/>
      </c>
      <c r="W37" s="55" t="str">
        <f t="array" ref="W37">_xlfn.XLOOKUP(B37,'Up Min'!A:A,'Up Min'!F:F,)</f>
        <v/>
      </c>
      <c r="X37" s="55" t="str">
        <f t="array" ref="X37">_xlfn.XLOOKUP(B37,'Up Max'!A:A,'Up Max'!F:F,)</f>
        <v/>
      </c>
      <c r="Y37" s="57" t="str">
        <f t="array" ref="Y37">_xlfn.XLOOKUP(B37,'Up Stats'!A:A,'Up Stats'!G:G,)</f>
        <v/>
      </c>
      <c r="Z37" s="54" t="str">
        <f>IFERROR(__xludf.DUMMYFUNCTION("if(AND(AA37=FALSE,AB37=FALSE),,if(AA37=AB37,JOIN("""",""Static: "",AA37),JOIN("""",""Min:  "",AA37, CHAR(10),""Max: "",AB37)))"),"")</f>
        <v/>
      </c>
      <c r="AA37" s="55" t="str">
        <f t="array" ref="AA37">_xlfn.XLOOKUP(B37,'Up Min'!A:A,'Up Min'!G:G,)</f>
        <v/>
      </c>
      <c r="AB37" s="55" t="str">
        <f t="array" ref="AB37">_xlfn.XLOOKUP(B37,'Up Max'!A:A,'Up Max'!G:G,)</f>
        <v/>
      </c>
      <c r="AC37" s="57" t="str">
        <f t="array" ref="AC37">_xlfn.XLOOKUP(B37,'Up Stats'!A:A,'Up Stats'!H:H,)</f>
        <v/>
      </c>
      <c r="AD37" s="54" t="str">
        <f>IFERROR(__xludf.DUMMYFUNCTION("if(AND(AE37=FALSE,AF37=FALSE),,if(AE37=AF37,JOIN("""",""Static: "",AE37),JOIN("""",""Min:  "",AE37, CHAR(10),""Max: "",AF37)))"),"")</f>
        <v/>
      </c>
      <c r="AE37" s="55" t="str">
        <f t="array" ref="AE37">_xlfn.XLOOKUP(B37,'Up Min'!A:A,'Up Min'!H:H,)</f>
        <v/>
      </c>
      <c r="AF37" s="55" t="str">
        <f t="array" ref="AF37">_xlfn.XLOOKUP(B37,'Up Max'!A:A,'Up Max'!H:H,)</f>
        <v/>
      </c>
      <c r="AG37" s="57" t="str">
        <f t="array" ref="AG37">_xlfn.XLOOKUP(B37,'Up Stats'!A:A,'Up Stats'!I:I,)</f>
        <v/>
      </c>
      <c r="AH37" s="54" t="str">
        <f>IFERROR(__xludf.DUMMYFUNCTION("if(AND(AI37=FALSE,AJ37=FALSE),,if(AI37=AJ37,JOIN("""",""Static: "",AI37),JOIN("""",""Min:  "",AI37, CHAR(10),""Max: "",AJ37)))"),"")</f>
        <v/>
      </c>
      <c r="AI37" s="55" t="str">
        <f t="array" ref="AI37">_xlfn.XLOOKUP(B37,'Up Min'!A:A,'Up Min'!I:I,)</f>
        <v/>
      </c>
      <c r="AJ37" s="55" t="str">
        <f t="array" ref="AJ37">_xlfn.XLOOKUP(B37,'Up Max'!A:A,'Up Max'!I:I,)</f>
        <v/>
      </c>
      <c r="AK37" s="57" t="str">
        <f t="array" ref="AK37">_xlfn.XLOOKUP(B37,'Up Stats'!A:A,'Up Stats'!J:J,)</f>
        <v/>
      </c>
      <c r="AL37" s="54" t="str">
        <f>IFERROR(__xludf.DUMMYFUNCTION("if(AND(AM37=FALSE,AN37=FALSE),,if(AM37=AN37,JOIN("""",""Static: "",AM37),JOIN("""",""Min:  "",AM37, CHAR(10),""Max: "",AN37)))"),"")</f>
        <v/>
      </c>
      <c r="AM37" s="55" t="str">
        <f t="array" ref="AM37">_xlfn.XLOOKUP(B37,'Up Min'!A:A,'Up Min'!J:J,)</f>
        <v/>
      </c>
      <c r="AN37" s="55" t="str">
        <f t="array" ref="AN37">_xlfn.XLOOKUP(B37,'Up Max'!A:A,'Up Max'!J:J,)</f>
        <v/>
      </c>
      <c r="AO37" s="51" t="str">
        <f t="array" ref="AO37">CONCATENATE(_xlfn.XLOOKUP(B37,'Up Cells'!A:A,'Up Cells'!B:B,))</f>
        <v>3</v>
      </c>
      <c r="AP37" s="51" t="str">
        <f t="array" ref="AP37">CONCATENATE(_xlfn.XLOOKUP(B37,'Up Rarity'!A:A,'Up Rarity'!B:B,),CHAR(10),"-")</f>
        <v>Standard
-</v>
      </c>
    </row>
    <row r="38">
      <c r="A38" s="84" t="str">
        <f t="array" ref="A38">_xlfn.XLOOKUP(B38,'Up Icon'!A:A,'Up Icon'!B:B,)</f>
        <v/>
      </c>
      <c r="B38" s="66" t="str">
        <f t="array" ref="B38">HYPERLINK(_xlfn.XLOOKUP('Up Names'!A35,'Up Wiki'!A:A,'Up Wiki'!B:B,),'Up Names'!A35)</f>
        <v>Precision Fire</v>
      </c>
      <c r="C38" s="37" t="str">
        <f t="array" ref="C38">_xlfn.XLOOKUP(B38,'Up Desc'!A:A,'Up Desc'!B:B,)</f>
        <v>Fire slower with more accuracy.</v>
      </c>
      <c r="D38" s="37" t="str">
        <f t="array" ref="D38">_xlfn.XLOOKUP(B38,'Up Turbo'!A:A,'Up Turbo'!B:B,)</f>
        <v>n/a</v>
      </c>
      <c r="E38" s="39" t="str">
        <f t="array" ref="E38">_xlfn.XLOOKUP(B38,'Up Stats'!A:A,'Up Stats'!B:B,)</f>
        <v>Horizontal Spread</v>
      </c>
      <c r="F38" s="40" t="str">
        <f>IFERROR(__xludf.DUMMYFUNCTION("if(AND(G38=FALSE,H38=FALSE),,if(G38=H38,JOIN("""",""Static: "",G38),JOIN("""",""Min:  "",G38, CHAR(10),""Max: "",H38)))"),"Min:  -80%
Max: -70%")</f>
        <v>Min:  -80%
Max: -70%</v>
      </c>
      <c r="G38" s="41">
        <f t="array" ref="G38">_xlfn.XLOOKUP(B38,'Up Min'!A:A,'Up Min'!B:B,)</f>
        <v>-0.8</v>
      </c>
      <c r="H38" s="41">
        <f t="array" ref="H38">_xlfn.XLOOKUP(B38,'Up Max'!A:A,'Up Max'!B:B,)</f>
        <v>-0.7</v>
      </c>
      <c r="I38" s="39" t="str">
        <f t="array" ref="I38">_xlfn.XLOOKUP(B38,'Up Stats'!A:A,'Up Stats'!C:C,)</f>
        <v>Vertical Spread</v>
      </c>
      <c r="J38" s="40" t="str">
        <f>IFERROR(__xludf.DUMMYFUNCTION("if(AND(K38=FALSE,L38=FALSE),,if(K38=L38,JOIN("""",""Static: "",K38),JOIN("""",""Min:  "",K38, CHAR(10),""Max: "",L38)))"),"Min:  -80%
Max: -70%")</f>
        <v>Min:  -80%
Max: -70%</v>
      </c>
      <c r="K38" s="41">
        <f t="array" ref="K38">_xlfn.XLOOKUP(B38,'Up Min'!A:A,'Up Min'!C:C,)</f>
        <v>-0.8</v>
      </c>
      <c r="L38" s="41">
        <f t="array" ref="L38">_xlfn.XLOOKUP(B38,'Up Max'!A:A,'Up Max'!C:C,)</f>
        <v>-0.7</v>
      </c>
      <c r="M38" s="39" t="str">
        <f t="array" ref="M38">_xlfn.XLOOKUP(B38,'Up Stats'!A:A,'Up Stats'!D:D,)</f>
        <v>Fire Rate</v>
      </c>
      <c r="N38" s="40" t="str">
        <f>IFERROR(__xludf.DUMMYFUNCTION("if(AND(O38=FALSE,P38=FALSE),,if(O38=P38,JOIN("""",""Static: "",O38),JOIN("""",""Min:  "",O38, CHAR(10),""Max: "",P38)))"),"Min:  -18.70%
Max: -21.26%")</f>
        <v>Min:  -18.70%
Max: -21.26%</v>
      </c>
      <c r="O38" s="78">
        <f t="array" ref="O38">_xlfn.XLOOKUP(B38,'Up Min'!A:A,'Up Min'!D:D,)</f>
        <v>-0.187</v>
      </c>
      <c r="P38" s="78">
        <f t="array" ref="P38">_xlfn.XLOOKUP(B38,'Up Max'!A:A,'Up Max'!D:D,)</f>
        <v>-0.2126</v>
      </c>
      <c r="Q38" s="48" t="str">
        <f t="array" ref="Q38">_xlfn.XLOOKUP(B38,'Up Stats'!A:A,'Up Stats'!E:E,)</f>
        <v/>
      </c>
      <c r="R38" s="40" t="str">
        <f>IFERROR(__xludf.DUMMYFUNCTION("if(AND(S38=FALSE,T38=FALSE),,if(S38=T38,JOIN("""",""Static: "",S38),JOIN("""",""Min:  "",S38, CHAR(10),""Max: "",T38)))"),"")</f>
        <v/>
      </c>
      <c r="S38" s="45" t="str">
        <f t="array" ref="S38">_xlfn.XLOOKUP(B38,'Up Min'!A:A,'Up Min'!E:E,)</f>
        <v/>
      </c>
      <c r="T38" s="42" t="str">
        <f t="array" ref="T38">_xlfn.XLOOKUP(B38,'Up Max'!A:A,'Up Max'!E:E,)</f>
        <v/>
      </c>
      <c r="U38" s="48" t="str">
        <f t="array" ref="U38">_xlfn.XLOOKUP(B38,'Up Stats'!A:A,'Up Stats'!F:F,)</f>
        <v/>
      </c>
      <c r="V38" s="40" t="str">
        <f>IFERROR(__xludf.DUMMYFUNCTION("if(AND(W38=FALSE,X38=FALSE),,if(W38=X38,JOIN("""",""Static: "",W38),JOIN("""",""Min:  "",W38, CHAR(10),""Max: "",X38)))"),"")</f>
        <v/>
      </c>
      <c r="W38" s="42" t="str">
        <f t="array" ref="W38">_xlfn.XLOOKUP(B38,'Up Min'!A:A,'Up Min'!F:F,)</f>
        <v/>
      </c>
      <c r="X38" s="42" t="str">
        <f t="array" ref="X38">_xlfn.XLOOKUP(B38,'Up Max'!A:A,'Up Max'!F:F,)</f>
        <v/>
      </c>
      <c r="Y38" s="48" t="str">
        <f t="array" ref="Y38">_xlfn.XLOOKUP(B38,'Up Stats'!A:A,'Up Stats'!G:G,)</f>
        <v/>
      </c>
      <c r="Z38" s="40" t="str">
        <f>IFERROR(__xludf.DUMMYFUNCTION("if(AND(AA38=FALSE,AB38=FALSE),,if(AA38=AB38,JOIN("""",""Static: "",AA38),JOIN("""",""Min:  "",AA38, CHAR(10),""Max: "",AB38)))"),"")</f>
        <v/>
      </c>
      <c r="AA38" s="42" t="str">
        <f t="array" ref="AA38">_xlfn.XLOOKUP(B38,'Up Min'!A:A,'Up Min'!G:G,)</f>
        <v/>
      </c>
      <c r="AB38" s="42" t="str">
        <f t="array" ref="AB38">_xlfn.XLOOKUP(B38,'Up Max'!A:A,'Up Max'!G:G,)</f>
        <v/>
      </c>
      <c r="AC38" s="48" t="str">
        <f t="array" ref="AC38">_xlfn.XLOOKUP(B38,'Up Stats'!A:A,'Up Stats'!H:H,)</f>
        <v/>
      </c>
      <c r="AD38" s="40" t="str">
        <f>IFERROR(__xludf.DUMMYFUNCTION("if(AND(AE38=FALSE,AF38=FALSE),,if(AE38=AF38,JOIN("""",""Static: "",AE38),JOIN("""",""Min:  "",AE38, CHAR(10),""Max: "",AF38)))"),"")</f>
        <v/>
      </c>
      <c r="AE38" s="42" t="str">
        <f t="array" ref="AE38">_xlfn.XLOOKUP(B38,'Up Min'!A:A,'Up Min'!H:H,)</f>
        <v/>
      </c>
      <c r="AF38" s="42" t="str">
        <f t="array" ref="AF38">_xlfn.XLOOKUP(B38,'Up Max'!A:A,'Up Max'!H:H,)</f>
        <v/>
      </c>
      <c r="AG38" s="48" t="str">
        <f t="array" ref="AG38">_xlfn.XLOOKUP(B38,'Up Stats'!A:A,'Up Stats'!I:I,)</f>
        <v/>
      </c>
      <c r="AH38" s="40" t="str">
        <f>IFERROR(__xludf.DUMMYFUNCTION("if(AND(AI38=FALSE,AJ38=FALSE),,if(AI38=AJ38,JOIN("""",""Static: "",AI38),JOIN("""",""Min:  "",AI38, CHAR(10),""Max: "",AJ38)))"),"")</f>
        <v/>
      </c>
      <c r="AI38" s="42" t="str">
        <f t="array" ref="AI38">_xlfn.XLOOKUP(B38,'Up Min'!A:A,'Up Min'!I:I,)</f>
        <v/>
      </c>
      <c r="AJ38" s="42" t="str">
        <f t="array" ref="AJ38">_xlfn.XLOOKUP(B38,'Up Max'!A:A,'Up Max'!I:I,)</f>
        <v/>
      </c>
      <c r="AK38" s="48" t="str">
        <f t="array" ref="AK38">_xlfn.XLOOKUP(B38,'Up Stats'!A:A,'Up Stats'!J:J,)</f>
        <v/>
      </c>
      <c r="AL38" s="40" t="str">
        <f>IFERROR(__xludf.DUMMYFUNCTION("if(AND(AM38=FALSE,AN38=FALSE),,if(AM38=AN38,JOIN("""",""Static: "",AM38),JOIN("""",""Min:  "",AM38, CHAR(10),""Max: "",AN38)))"),"")</f>
        <v/>
      </c>
      <c r="AM38" s="42" t="str">
        <f t="array" ref="AM38">_xlfn.XLOOKUP(B38,'Up Min'!A:A,'Up Min'!J:J,)</f>
        <v/>
      </c>
      <c r="AN38" s="42" t="str">
        <f t="array" ref="AN38">_xlfn.XLOOKUP(B38,'Up Max'!A:A,'Up Max'!J:J,)</f>
        <v/>
      </c>
      <c r="AO38" s="34" t="str">
        <f t="array" ref="AO38">CONCATENATE(_xlfn.XLOOKUP(B38,'Up Cells'!A:A,'Up Cells'!B:B,))</f>
        <v>3</v>
      </c>
      <c r="AP38" s="34" t="str">
        <f t="array" ref="AP38">CONCATENATE(_xlfn.XLOOKUP(B38,'Up Rarity'!A:A,'Up Rarity'!B:B,),CHAR(10),"-")</f>
        <v>Standard
-</v>
      </c>
    </row>
    <row r="39">
      <c r="A39" s="84" t="str">
        <f t="array" ref="A39">_xlfn.XLOOKUP(B39,'Up Icon'!A:A,'Up Icon'!B:B,)</f>
        <v/>
      </c>
      <c r="B39" s="63" t="str">
        <f t="array" ref="B39">HYPERLINK(_xlfn.XLOOKUP('Up Names'!A36,'Up Wiki'!A:A,'Up Wiki'!B:B,),'Up Names'!A36)</f>
        <v>Ricochet</v>
      </c>
      <c r="C39" s="52" t="str">
        <f t="array" ref="C39">_xlfn.XLOOKUP(B39,'Up Desc'!A:A,'Up Desc'!B:B,)</f>
        <v>Bullets ricochet.</v>
      </c>
      <c r="D39" s="52" t="str">
        <f t="array" ref="D39">_xlfn.XLOOKUP(B39,'Up Turbo'!A:A,'Up Turbo'!B:B,)</f>
        <v>n/a</v>
      </c>
      <c r="E39" s="53" t="str">
        <f t="array" ref="E39">_xlfn.XLOOKUP(B39,'Up Stats'!A:A,'Up Stats'!B:B,)</f>
        <v>Bounces</v>
      </c>
      <c r="F39" s="54" t="str">
        <f>IFERROR(__xludf.DUMMYFUNCTION("if(AND(G39=FALSE,H39=FALSE),,if(G39=H39,JOIN("""",""Static: "",G39),JOIN("""",""Min:  "",G39, CHAR(10),""Max: "",H39)))"),"Static: 1")</f>
        <v>Static: 1</v>
      </c>
      <c r="G39" s="54">
        <f t="array" ref="G39">_xlfn.XLOOKUP(B39,'Up Min'!A:A,'Up Min'!B:B,)</f>
        <v>1</v>
      </c>
      <c r="H39" s="65">
        <f t="array" ref="H39">_xlfn.XLOOKUP(B39,'Up Max'!A:A,'Up Max'!B:B,)</f>
        <v>1</v>
      </c>
      <c r="I39" s="53" t="str">
        <f t="array" ref="I39">_xlfn.XLOOKUP(B39,'Up Stats'!A:A,'Up Stats'!C:C,)</f>
        <v/>
      </c>
      <c r="J39" s="54" t="str">
        <f>IFERROR(__xludf.DUMMYFUNCTION("if(AND(K39=FALSE,L39=FALSE),,if(K39=L39,JOIN("""",""Static: "",K39),JOIN("""",""Min:  "",K39, CHAR(10),""Max: "",L39)))"),"")</f>
        <v/>
      </c>
      <c r="K39" s="55" t="str">
        <f t="array" ref="K39">_xlfn.XLOOKUP(B39,'Up Min'!A:A,'Up Min'!C:C,)</f>
        <v/>
      </c>
      <c r="L39" s="55" t="str">
        <f t="array" ref="L39">_xlfn.XLOOKUP(B39,'Up Max'!A:A,'Up Max'!C:C,)</f>
        <v/>
      </c>
      <c r="M39" s="57" t="str">
        <f t="array" ref="M39">_xlfn.XLOOKUP(B39,'Up Stats'!A:A,'Up Stats'!D:D,)</f>
        <v/>
      </c>
      <c r="N39" s="54" t="str">
        <f>IFERROR(__xludf.DUMMYFUNCTION("if(AND(O39=FALSE,P39=FALSE),,if(O39=P39,JOIN("""",""Static: "",O39),JOIN("""",""Min:  "",O39, CHAR(10),""Max: "",P39)))"),"")</f>
        <v/>
      </c>
      <c r="O39" s="55" t="str">
        <f t="array" ref="O39">_xlfn.XLOOKUP(B39,'Up Min'!A:A,'Up Min'!D:D,)</f>
        <v/>
      </c>
      <c r="P39" s="55" t="str">
        <f t="array" ref="P39">_xlfn.XLOOKUP(B39,'Up Max'!A:A,'Up Max'!D:D,)</f>
        <v/>
      </c>
      <c r="Q39" s="57" t="str">
        <f t="array" ref="Q39">_xlfn.XLOOKUP(B39,'Up Stats'!A:A,'Up Stats'!E:E,)</f>
        <v/>
      </c>
      <c r="R39" s="54" t="str">
        <f>IFERROR(__xludf.DUMMYFUNCTION("if(AND(S39=FALSE,T39=FALSE),,if(S39=T39,JOIN("""",""Static: "",S39),JOIN("""",""Min:  "",S39, CHAR(10),""Max: "",T39)))"),"")</f>
        <v/>
      </c>
      <c r="S39" s="55" t="str">
        <f t="array" ref="S39">_xlfn.XLOOKUP(B39,'Up Min'!A:A,'Up Min'!E:E,)</f>
        <v/>
      </c>
      <c r="T39" s="55" t="str">
        <f t="array" ref="T39">_xlfn.XLOOKUP(B39,'Up Max'!A:A,'Up Max'!E:E,)</f>
        <v/>
      </c>
      <c r="U39" s="57" t="str">
        <f t="array" ref="U39">_xlfn.XLOOKUP(B39,'Up Stats'!A:A,'Up Stats'!F:F,)</f>
        <v/>
      </c>
      <c r="V39" s="54" t="str">
        <f>IFERROR(__xludf.DUMMYFUNCTION("if(AND(W39=FALSE,X39=FALSE),,if(W39=X39,JOIN("""",""Static: "",W39),JOIN("""",""Min:  "",W39, CHAR(10),""Max: "",X39)))"),"")</f>
        <v/>
      </c>
      <c r="W39" s="55" t="str">
        <f t="array" ref="W39">_xlfn.XLOOKUP(B39,'Up Min'!A:A,'Up Min'!F:F,)</f>
        <v/>
      </c>
      <c r="X39" s="55" t="str">
        <f t="array" ref="X39">_xlfn.XLOOKUP(B39,'Up Max'!A:A,'Up Max'!F:F,)</f>
        <v/>
      </c>
      <c r="Y39" s="57" t="str">
        <f t="array" ref="Y39">_xlfn.XLOOKUP(B39,'Up Stats'!A:A,'Up Stats'!G:G,)</f>
        <v/>
      </c>
      <c r="Z39" s="54" t="str">
        <f>IFERROR(__xludf.DUMMYFUNCTION("if(AND(AA39=FALSE,AB39=FALSE),,if(AA39=AB39,JOIN("""",""Static: "",AA39),JOIN("""",""Min:  "",AA39, CHAR(10),""Max: "",AB39)))"),"")</f>
        <v/>
      </c>
      <c r="AA39" s="55" t="str">
        <f t="array" ref="AA39">_xlfn.XLOOKUP(B39,'Up Min'!A:A,'Up Min'!G:G,)</f>
        <v/>
      </c>
      <c r="AB39" s="55" t="str">
        <f t="array" ref="AB39">_xlfn.XLOOKUP(B39,'Up Max'!A:A,'Up Max'!G:G,)</f>
        <v/>
      </c>
      <c r="AC39" s="57" t="str">
        <f t="array" ref="AC39">_xlfn.XLOOKUP(B39,'Up Stats'!A:A,'Up Stats'!H:H,)</f>
        <v/>
      </c>
      <c r="AD39" s="54" t="str">
        <f>IFERROR(__xludf.DUMMYFUNCTION("if(AND(AE39=FALSE,AF39=FALSE),,if(AE39=AF39,JOIN("""",""Static: "",AE39),JOIN("""",""Min:  "",AE39, CHAR(10),""Max: "",AF39)))"),"")</f>
        <v/>
      </c>
      <c r="AE39" s="55" t="str">
        <f t="array" ref="AE39">_xlfn.XLOOKUP(B39,'Up Min'!A:A,'Up Min'!H:H,)</f>
        <v/>
      </c>
      <c r="AF39" s="55" t="str">
        <f t="array" ref="AF39">_xlfn.XLOOKUP(B39,'Up Max'!A:A,'Up Max'!H:H,)</f>
        <v/>
      </c>
      <c r="AG39" s="57" t="str">
        <f t="array" ref="AG39">_xlfn.XLOOKUP(B39,'Up Stats'!A:A,'Up Stats'!I:I,)</f>
        <v/>
      </c>
      <c r="AH39" s="54" t="str">
        <f>IFERROR(__xludf.DUMMYFUNCTION("if(AND(AI39=FALSE,AJ39=FALSE),,if(AI39=AJ39,JOIN("""",""Static: "",AI39),JOIN("""",""Min:  "",AI39, CHAR(10),""Max: "",AJ39)))"),"")</f>
        <v/>
      </c>
      <c r="AI39" s="55" t="str">
        <f t="array" ref="AI39">_xlfn.XLOOKUP(B39,'Up Min'!A:A,'Up Min'!I:I,)</f>
        <v/>
      </c>
      <c r="AJ39" s="55" t="str">
        <f t="array" ref="AJ39">_xlfn.XLOOKUP(B39,'Up Max'!A:A,'Up Max'!I:I,)</f>
        <v/>
      </c>
      <c r="AK39" s="57" t="str">
        <f t="array" ref="AK39">_xlfn.XLOOKUP(B39,'Up Stats'!A:A,'Up Stats'!J:J,)</f>
        <v/>
      </c>
      <c r="AL39" s="54" t="str">
        <f>IFERROR(__xludf.DUMMYFUNCTION("if(AND(AM39=FALSE,AN39=FALSE),,if(AM39=AN39,JOIN("""",""Static: "",AM39),JOIN("""",""Min:  "",AM39, CHAR(10),""Max: "",AN39)))"),"")</f>
        <v/>
      </c>
      <c r="AM39" s="55" t="str">
        <f t="array" ref="AM39">_xlfn.XLOOKUP(B39,'Up Min'!A:A,'Up Min'!J:J,)</f>
        <v/>
      </c>
      <c r="AN39" s="55" t="str">
        <f t="array" ref="AN39">_xlfn.XLOOKUP(B39,'Up Max'!A:A,'Up Max'!J:J,)</f>
        <v/>
      </c>
      <c r="AO39" s="51" t="str">
        <f t="array" ref="AO39">CONCATENATE(_xlfn.XLOOKUP(B39,'Up Cells'!A:A,'Up Cells'!B:B,))</f>
        <v>4</v>
      </c>
      <c r="AP39" s="51" t="str">
        <f t="array" ref="AP39">CONCATENATE(_xlfn.XLOOKUP(B39,'Up Rarity'!A:A,'Up Rarity'!B:B,),CHAR(10),"-")</f>
        <v>Standard
-</v>
      </c>
    </row>
    <row r="40">
      <c r="A40" s="84" t="str">
        <f t="array" ref="A40">_xlfn.XLOOKUP(B40,'Up Icon'!A:A,'Up Icon'!B:B,)</f>
        <v/>
      </c>
      <c r="B40" s="66" t="str">
        <f t="array" ref="B40">HYPERLINK(_xlfn.XLOOKUP('Up Names'!A37,'Up Wiki'!A:A,'Up Wiki'!B:B,),'Up Names'!A37)</f>
        <v>Stability Module</v>
      </c>
      <c r="C40" s="37" t="str">
        <f t="array" ref="C40">_xlfn.XLOOKUP(B40,'Up Desc'!A:A,'Up Desc'!B:B,)</f>
        <v>Recoil is reduced while aiming.</v>
      </c>
      <c r="D40" s="37" t="str">
        <f t="array" ref="D40">_xlfn.XLOOKUP(B40,'Up Turbo'!A:A,'Up Turbo'!B:B,)</f>
        <v>n/a</v>
      </c>
      <c r="E40" s="39" t="str">
        <f t="array" ref="E40">_xlfn.XLOOKUP(B40,'Up Stats'!A:A,'Up Stats'!B:B,)</f>
        <v>Aim Recoil</v>
      </c>
      <c r="F40" s="40" t="str">
        <f>IFERROR(__xludf.DUMMYFUNCTION("if(AND(G40=FALSE,H40=FALSE),,if(G40=H40,JOIN("""",""Static: "",G40),JOIN("""",""Min:  "",G40, CHAR(10),""Max: "",H40)))"),"Min:  -42%
Max: -30%")</f>
        <v>Min:  -42%
Max: -30%</v>
      </c>
      <c r="G40" s="41">
        <f t="array" ref="G40">_xlfn.XLOOKUP(B40,'Up Min'!A:A,'Up Min'!B:B,)</f>
        <v>-0.42</v>
      </c>
      <c r="H40" s="41">
        <f t="array" ref="H40">_xlfn.XLOOKUP(B40,'Up Max'!A:A,'Up Max'!B:B,)</f>
        <v>-0.3</v>
      </c>
      <c r="I40" s="39" t="str">
        <f t="array" ref="I40">_xlfn.XLOOKUP(B40,'Up Stats'!A:A,'Up Stats'!C:C,)</f>
        <v/>
      </c>
      <c r="J40" s="40" t="str">
        <f>IFERROR(__xludf.DUMMYFUNCTION("if(AND(K40=FALSE,L40=FALSE),,if(K40=L40,JOIN("""",""Static: "",K40),JOIN("""",""Min:  "",K40, CHAR(10),""Max: "",L40)))"),"")</f>
        <v/>
      </c>
      <c r="K40" s="42" t="str">
        <f t="array" ref="K40">_xlfn.XLOOKUP(B40,'Up Min'!A:A,'Up Min'!C:C,)</f>
        <v/>
      </c>
      <c r="L40" s="42" t="str">
        <f t="array" ref="L40">_xlfn.XLOOKUP(B40,'Up Max'!A:A,'Up Max'!C:C,)</f>
        <v/>
      </c>
      <c r="M40" s="48" t="str">
        <f t="array" ref="M40">_xlfn.XLOOKUP(B40,'Up Stats'!A:A,'Up Stats'!D:D,)</f>
        <v/>
      </c>
      <c r="N40" s="40" t="str">
        <f>IFERROR(__xludf.DUMMYFUNCTION("if(AND(O40=FALSE,P40=FALSE),,if(O40=P40,JOIN("""",""Static: "",O40),JOIN("""",""Min:  "",O40, CHAR(10),""Max: "",P40)))"),"")</f>
        <v/>
      </c>
      <c r="O40" s="42" t="str">
        <f t="array" ref="O40">_xlfn.XLOOKUP(B40,'Up Min'!A:A,'Up Min'!D:D,)</f>
        <v/>
      </c>
      <c r="P40" s="42" t="str">
        <f t="array" ref="P40">_xlfn.XLOOKUP(B40,'Up Max'!A:A,'Up Max'!D:D,)</f>
        <v/>
      </c>
      <c r="Q40" s="48" t="str">
        <f t="array" ref="Q40">_xlfn.XLOOKUP(B40,'Up Stats'!A:A,'Up Stats'!E:E,)</f>
        <v/>
      </c>
      <c r="R40" s="40" t="str">
        <f>IFERROR(__xludf.DUMMYFUNCTION("if(AND(S40=FALSE,T40=FALSE),,if(S40=T40,JOIN("""",""Static: "",S40),JOIN("""",""Min:  "",S40, CHAR(10),""Max: "",T40)))"),"")</f>
        <v/>
      </c>
      <c r="S40" s="42" t="str">
        <f t="array" ref="S40">_xlfn.XLOOKUP(B40,'Up Min'!A:A,'Up Min'!E:E,)</f>
        <v/>
      </c>
      <c r="T40" s="42" t="str">
        <f t="array" ref="T40">_xlfn.XLOOKUP(B40,'Up Max'!A:A,'Up Max'!E:E,)</f>
        <v/>
      </c>
      <c r="U40" s="48" t="str">
        <f t="array" ref="U40">_xlfn.XLOOKUP(B40,'Up Stats'!A:A,'Up Stats'!F:F,)</f>
        <v/>
      </c>
      <c r="V40" s="40" t="str">
        <f>IFERROR(__xludf.DUMMYFUNCTION("if(AND(W40=FALSE,X40=FALSE),,if(W40=X40,JOIN("""",""Static: "",W40),JOIN("""",""Min:  "",W40, CHAR(10),""Max: "",X40)))"),"")</f>
        <v/>
      </c>
      <c r="W40" s="42" t="str">
        <f t="array" ref="W40">_xlfn.XLOOKUP(B40,'Up Min'!A:A,'Up Min'!F:F,)</f>
        <v/>
      </c>
      <c r="X40" s="42" t="str">
        <f t="array" ref="X40">_xlfn.XLOOKUP(B40,'Up Max'!A:A,'Up Max'!F:F,)</f>
        <v/>
      </c>
      <c r="Y40" s="48" t="str">
        <f t="array" ref="Y40">_xlfn.XLOOKUP(B40,'Up Stats'!A:A,'Up Stats'!G:G,)</f>
        <v/>
      </c>
      <c r="Z40" s="40" t="str">
        <f>IFERROR(__xludf.DUMMYFUNCTION("if(AND(AA40=FALSE,AB40=FALSE),,if(AA40=AB40,JOIN("""",""Static: "",AA40),JOIN("""",""Min:  "",AA40, CHAR(10),""Max: "",AB40)))"),"")</f>
        <v/>
      </c>
      <c r="AA40" s="42" t="str">
        <f t="array" ref="AA40">_xlfn.XLOOKUP(B40,'Up Min'!A:A,'Up Min'!G:G,)</f>
        <v/>
      </c>
      <c r="AB40" s="42" t="str">
        <f t="array" ref="AB40">_xlfn.XLOOKUP(B40,'Up Max'!A:A,'Up Max'!G:G,)</f>
        <v/>
      </c>
      <c r="AC40" s="48" t="str">
        <f t="array" ref="AC40">_xlfn.XLOOKUP(B40,'Up Stats'!A:A,'Up Stats'!H:H,)</f>
        <v/>
      </c>
      <c r="AD40" s="40" t="str">
        <f>IFERROR(__xludf.DUMMYFUNCTION("if(AND(AE40=FALSE,AF40=FALSE),,if(AE40=AF40,JOIN("""",""Static: "",AE40),JOIN("""",""Min:  "",AE40, CHAR(10),""Max: "",AF40)))"),"")</f>
        <v/>
      </c>
      <c r="AE40" s="42" t="str">
        <f t="array" ref="AE40">_xlfn.XLOOKUP(B40,'Up Min'!A:A,'Up Min'!H:H,)</f>
        <v/>
      </c>
      <c r="AF40" s="42" t="str">
        <f t="array" ref="AF40">_xlfn.XLOOKUP(B40,'Up Max'!A:A,'Up Max'!H:H,)</f>
        <v/>
      </c>
      <c r="AG40" s="48" t="str">
        <f t="array" ref="AG40">_xlfn.XLOOKUP(B40,'Up Stats'!A:A,'Up Stats'!I:I,)</f>
        <v/>
      </c>
      <c r="AH40" s="40" t="str">
        <f>IFERROR(__xludf.DUMMYFUNCTION("if(AND(AI40=FALSE,AJ40=FALSE),,if(AI40=AJ40,JOIN("""",""Static: "",AI40),JOIN("""",""Min:  "",AI40, CHAR(10),""Max: "",AJ40)))"),"")</f>
        <v/>
      </c>
      <c r="AI40" s="42" t="str">
        <f t="array" ref="AI40">_xlfn.XLOOKUP(B40,'Up Min'!A:A,'Up Min'!I:I,)</f>
        <v/>
      </c>
      <c r="AJ40" s="42" t="str">
        <f t="array" ref="AJ40">_xlfn.XLOOKUP(B40,'Up Max'!A:A,'Up Max'!I:I,)</f>
        <v/>
      </c>
      <c r="AK40" s="48" t="str">
        <f t="array" ref="AK40">_xlfn.XLOOKUP(B40,'Up Stats'!A:A,'Up Stats'!J:J,)</f>
        <v/>
      </c>
      <c r="AL40" s="40" t="str">
        <f>IFERROR(__xludf.DUMMYFUNCTION("if(AND(AM40=FALSE,AN40=FALSE),,if(AM40=AN40,JOIN("""",""Static: "",AM40),JOIN("""",""Min:  "",AM40, CHAR(10),""Max: "",AN40)))"),"")</f>
        <v/>
      </c>
      <c r="AM40" s="42" t="str">
        <f t="array" ref="AM40">_xlfn.XLOOKUP(B40,'Up Min'!A:A,'Up Min'!J:J,)</f>
        <v/>
      </c>
      <c r="AN40" s="42" t="str">
        <f t="array" ref="AN40">_xlfn.XLOOKUP(B40,'Up Max'!A:A,'Up Max'!J:J,)</f>
        <v/>
      </c>
      <c r="AO40" s="34" t="str">
        <f t="array" ref="AO40">CONCATENATE(_xlfn.XLOOKUP(B40,'Up Cells'!A:A,'Up Cells'!B:B,))</f>
        <v>3</v>
      </c>
      <c r="AP40" s="34" t="str">
        <f t="array" ref="AP40">CONCATENATE(_xlfn.XLOOKUP(B40,'Up Rarity'!A:A,'Up Rarity'!B:B,),CHAR(10),"-")</f>
        <v>Standard
-</v>
      </c>
    </row>
    <row r="41">
      <c r="A41" s="86" t="str">
        <f t="array" ref="A41">_xlfn.XLOOKUP(B41,'Up Icon'!A:A,'Up Icon'!B:B,)</f>
        <v/>
      </c>
      <c r="B41" s="51" t="str">
        <f t="array" ref="B41">HYPERLINK(_xlfn.XLOOKUP('Up Names'!A41,'Up Wiki'!A:A,'Up Wiki'!B:B,),'Up Names'!A41)</f>
        <v/>
      </c>
      <c r="C41" s="52" t="str">
        <f t="array" ref="C41">_xlfn.XLOOKUP(B41,'Up Desc'!A:A,'Up Desc'!B:B,)</f>
        <v/>
      </c>
      <c r="D41" s="52" t="str">
        <f t="array" ref="D41">_xlfn.XLOOKUP(B41,'Up Turbo'!A:A,'Up Turbo'!B:B,)</f>
        <v/>
      </c>
      <c r="E41" s="53" t="str">
        <f t="array" ref="E41">_xlfn.XLOOKUP(B41,'Up Stats'!A:A,'Up Stats'!B:B,)</f>
        <v/>
      </c>
      <c r="F41" s="54" t="str">
        <f>IFERROR(__xludf.DUMMYFUNCTION("if(AND(G41=FALSE,H41=FALSE),,if(G41=H41,JOIN("""",""Static: "",G41),JOIN("""",""Min:  "",G41, CHAR(10),""Max: "",H41)))"),"")</f>
        <v/>
      </c>
      <c r="G41" s="59" t="str">
        <f t="array" ref="G41">_xlfn.XLOOKUP(B41,'Up Min'!A:A,'Up Min'!B:B,)</f>
        <v/>
      </c>
      <c r="H41" s="59" t="str">
        <f t="array" ref="H41">_xlfn.XLOOKUP(B41,'Up Max'!A:A,'Up Max'!B:B,)</f>
        <v/>
      </c>
      <c r="I41" s="53" t="str">
        <f t="array" ref="I41">_xlfn.XLOOKUP(B41,'Up Stats'!A:A,'Up Stats'!C:C,)</f>
        <v/>
      </c>
      <c r="J41" s="54" t="str">
        <f>IFERROR(__xludf.DUMMYFUNCTION("if(AND(K41=FALSE,L41=FALSE),,if(K41=L41,JOIN("""",""Static: "",K41),JOIN("""",""Min:  "",K41, CHAR(10),""Max: "",L41)))"),"")</f>
        <v/>
      </c>
      <c r="K41" s="55" t="str">
        <f t="array" ref="K41">_xlfn.XLOOKUP(B41,'Up Min'!A:A,'Up Min'!C:C,)</f>
        <v/>
      </c>
      <c r="L41" s="55" t="str">
        <f t="array" ref="L41">_xlfn.XLOOKUP(B41,'Up Max'!A:A,'Up Max'!C:C,)</f>
        <v/>
      </c>
      <c r="M41" s="57" t="str">
        <f t="array" ref="M41">_xlfn.XLOOKUP(B41,'Up Stats'!A:A,'Up Stats'!D:D,)</f>
        <v/>
      </c>
      <c r="N41" s="54" t="str">
        <f>IFERROR(__xludf.DUMMYFUNCTION("if(AND(O41=FALSE,P41=FALSE),,if(O41=P41,JOIN("""",""Static: "",O41),JOIN("""",""Min:  "",O41, CHAR(10),""Max: "",P41)))"),"")</f>
        <v/>
      </c>
      <c r="O41" s="55" t="str">
        <f t="array" ref="O41">_xlfn.XLOOKUP(B41,'Up Min'!A:A,'Up Min'!D:D,)</f>
        <v/>
      </c>
      <c r="P41" s="55" t="str">
        <f t="array" ref="P41">_xlfn.XLOOKUP(B41,'Up Max'!A:A,'Up Max'!D:D,)</f>
        <v/>
      </c>
      <c r="Q41" s="57" t="str">
        <f t="array" ref="Q41">_xlfn.XLOOKUP(B41,'Up Stats'!A:A,'Up Stats'!E:E,)</f>
        <v/>
      </c>
      <c r="R41" s="54" t="str">
        <f>IFERROR(__xludf.DUMMYFUNCTION("if(AND(S41=FALSE,T41=FALSE),,if(S41=T41,JOIN("""",""Static: "",S41),JOIN("""",""Min:  "",S41, CHAR(10),""Max: "",T41)))"),"")</f>
        <v/>
      </c>
      <c r="S41" s="55" t="str">
        <f t="array" ref="S41">_xlfn.XLOOKUP(B41,'Up Min'!A:A,'Up Min'!E:E,)</f>
        <v/>
      </c>
      <c r="T41" s="55" t="str">
        <f t="array" ref="T41">_xlfn.XLOOKUP(B41,'Up Max'!A:A,'Up Max'!E:E,)</f>
        <v/>
      </c>
      <c r="U41" s="57" t="str">
        <f t="array" ref="U41">_xlfn.XLOOKUP(B41,'Up Stats'!A:A,'Up Stats'!F:F,)</f>
        <v/>
      </c>
      <c r="V41" s="54" t="str">
        <f>IFERROR(__xludf.DUMMYFUNCTION("if(AND(W41=FALSE,X41=FALSE),,if(W41=X41,JOIN("""",""Static: "",W41),JOIN("""",""Min:  "",W41, CHAR(10),""Max: "",X41)))"),"")</f>
        <v/>
      </c>
      <c r="W41" s="55" t="str">
        <f t="array" ref="W41">_xlfn.XLOOKUP(B41,'Up Min'!A:A,'Up Min'!F:F,)</f>
        <v/>
      </c>
      <c r="X41" s="55" t="str">
        <f t="array" ref="X41">_xlfn.XLOOKUP(B41,'Up Max'!A:A,'Up Max'!F:F,)</f>
        <v/>
      </c>
      <c r="Y41" s="57" t="str">
        <f t="array" ref="Y41">_xlfn.XLOOKUP(B41,'Up Stats'!A:A,'Up Stats'!G:G,)</f>
        <v/>
      </c>
      <c r="Z41" s="54" t="str">
        <f>IFERROR(__xludf.DUMMYFUNCTION("if(AND(AA41=FALSE,AB41=FALSE),,if(AA41=AB41,JOIN("""",""Static: "",AA41),JOIN("""",""Min:  "",AA41, CHAR(10),""Max: "",AB41)))"),"")</f>
        <v/>
      </c>
      <c r="AA41" s="55" t="str">
        <f t="array" ref="AA41">_xlfn.XLOOKUP(B41,'Up Min'!A:A,'Up Min'!G:G,)</f>
        <v/>
      </c>
      <c r="AB41" s="55" t="str">
        <f t="array" ref="AB41">_xlfn.XLOOKUP(B41,'Up Max'!A:A,'Up Max'!G:G,)</f>
        <v/>
      </c>
      <c r="AC41" s="57" t="str">
        <f t="array" ref="AC41">_xlfn.XLOOKUP(B41,'Up Stats'!A:A,'Up Stats'!H:H,)</f>
        <v/>
      </c>
      <c r="AD41" s="54" t="str">
        <f>IFERROR(__xludf.DUMMYFUNCTION("if(AND(AE41=FALSE,AF41=FALSE),,if(AE41=AF41,JOIN("""",""Static: "",AE41),JOIN("""",""Min:  "",AE41, CHAR(10),""Max: "",AF41)))"),"")</f>
        <v/>
      </c>
      <c r="AE41" s="55" t="str">
        <f t="array" ref="AE41">_xlfn.XLOOKUP(B41,'Up Min'!A:A,'Up Min'!H:H,)</f>
        <v/>
      </c>
      <c r="AF41" s="55" t="str">
        <f t="array" ref="AF41">_xlfn.XLOOKUP(B41,'Up Max'!A:A,'Up Max'!H:H,)</f>
        <v/>
      </c>
      <c r="AG41" s="57" t="str">
        <f t="array" ref="AG41">_xlfn.XLOOKUP(B41,'Up Stats'!A:A,'Up Stats'!I:I,)</f>
        <v/>
      </c>
      <c r="AH41" s="54" t="str">
        <f>IFERROR(__xludf.DUMMYFUNCTION("if(AND(AI41=FALSE,AJ41=FALSE),,if(AI41=AJ41,JOIN("""",""Static: "",AI41),JOIN("""",""Min:  "",AI41, CHAR(10),""Max: "",AJ41)))"),"")</f>
        <v/>
      </c>
      <c r="AI41" s="55" t="str">
        <f t="array" ref="AI41">_xlfn.XLOOKUP(B41,'Up Min'!A:A,'Up Min'!I:I,)</f>
        <v/>
      </c>
      <c r="AJ41" s="55" t="str">
        <f t="array" ref="AJ41">_xlfn.XLOOKUP(B41,'Up Max'!A:A,'Up Max'!I:I,)</f>
        <v/>
      </c>
      <c r="AK41" s="57" t="str">
        <f t="array" ref="AK41">_xlfn.XLOOKUP(B41,'Up Stats'!A:A,'Up Stats'!J:J,)</f>
        <v/>
      </c>
      <c r="AL41" s="54" t="str">
        <f>IFERROR(__xludf.DUMMYFUNCTION("if(AND(AM41=FALSE,AN41=FALSE),,if(AM41=AN41,JOIN("""",""Static: "",AM41),JOIN("""",""Min:  "",AM41, CHAR(10),""Max: "",AN41)))"),"")</f>
        <v/>
      </c>
      <c r="AM41" s="55" t="str">
        <f t="array" ref="AM41">_xlfn.XLOOKUP(B41,'Up Min'!A:A,'Up Min'!J:J,)</f>
        <v/>
      </c>
      <c r="AN41" s="55" t="str">
        <f t="array" ref="AN41">_xlfn.XLOOKUP(B41,'Up Max'!A:A,'Up Max'!J:J,)</f>
        <v/>
      </c>
      <c r="AO41" s="51" t="str">
        <f t="array" ref="AO41">CONCATENATE(_xlfn.XLOOKUP(B41,'Up Cells'!A:A,'Up Cells'!B:B,))</f>
        <v/>
      </c>
      <c r="AP41" s="51" t="str">
        <f t="array" ref="AP41">CONCATENATE(_xlfn.XLOOKUP(B41,'Up Rarity'!A:A,'Up Rarity'!B:B,),CHAR(10),"-")</f>
        <v>
-</v>
      </c>
    </row>
    <row r="42">
      <c r="A42" s="87" t="str">
        <f t="array" ref="A42">_xlfn.XLOOKUP(B42,'Up Icon'!A:A,'Up Icon'!B:B,)</f>
        <v/>
      </c>
      <c r="B42" s="34" t="str">
        <f t="array" ref="B42">HYPERLINK(_xlfn.XLOOKUP('Up Names'!A42,'Up Wiki'!A:A,'Up Wiki'!B:B,),'Up Names'!A42)</f>
        <v/>
      </c>
      <c r="C42" s="37" t="str">
        <f t="array" ref="C42">_xlfn.XLOOKUP(B42,'Up Desc'!A:A,'Up Desc'!B:B,)</f>
        <v/>
      </c>
      <c r="D42" s="37" t="str">
        <f t="array" ref="D42">_xlfn.XLOOKUP(B42,'Up Turbo'!A:A,'Up Turbo'!B:B,)</f>
        <v/>
      </c>
      <c r="E42" s="39" t="str">
        <f t="array" ref="E42">_xlfn.XLOOKUP(B42,'Up Stats'!A:A,'Up Stats'!B:B,)</f>
        <v/>
      </c>
      <c r="F42" s="40" t="str">
        <f>IFERROR(__xludf.DUMMYFUNCTION("if(AND(G42=FALSE,H42=FALSE),,if(G42=H42,JOIN("""",""Static: "",G42),JOIN("""",""Min:  "",G42, CHAR(10),""Max: "",H42)))"),"")</f>
        <v/>
      </c>
      <c r="G42" s="41" t="str">
        <f t="array" ref="G42">_xlfn.XLOOKUP(B42,'Up Min'!A:A,'Up Min'!B:B,)</f>
        <v/>
      </c>
      <c r="H42" s="41" t="str">
        <f t="array" ref="H42">_xlfn.XLOOKUP(B42,'Up Max'!A:A,'Up Max'!B:B,)</f>
        <v/>
      </c>
      <c r="I42" s="39" t="str">
        <f t="array" ref="I42">_xlfn.XLOOKUP(B42,'Up Stats'!A:A,'Up Stats'!C:C,)</f>
        <v/>
      </c>
      <c r="J42" s="40" t="str">
        <f>IFERROR(__xludf.DUMMYFUNCTION("if(AND(K42=FALSE,L42=FALSE),,if(K42=L42,JOIN("""",""Static: "",K42),JOIN("""",""Min:  "",K42, CHAR(10),""Max: "",L42)))"),"")</f>
        <v/>
      </c>
      <c r="K42" s="42" t="str">
        <f t="array" ref="K42">_xlfn.XLOOKUP(B42,'Up Min'!A:A,'Up Min'!C:C,)</f>
        <v/>
      </c>
      <c r="L42" s="42" t="str">
        <f t="array" ref="L42">_xlfn.XLOOKUP(B42,'Up Max'!A:A,'Up Max'!C:C,)</f>
        <v/>
      </c>
      <c r="M42" s="48" t="str">
        <f t="array" ref="M42">_xlfn.XLOOKUP(B42,'Up Stats'!A:A,'Up Stats'!D:D,)</f>
        <v/>
      </c>
      <c r="N42" s="40" t="str">
        <f>IFERROR(__xludf.DUMMYFUNCTION("if(AND(O42=FALSE,P42=FALSE),,if(O42=P42,JOIN("""",""Static: "",O42),JOIN("""",""Min:  "",O42, CHAR(10),""Max: "",P42)))"),"")</f>
        <v/>
      </c>
      <c r="O42" s="42" t="str">
        <f t="array" ref="O42">_xlfn.XLOOKUP(B42,'Up Min'!A:A,'Up Min'!D:D,)</f>
        <v/>
      </c>
      <c r="P42" s="42" t="str">
        <f t="array" ref="P42">_xlfn.XLOOKUP(B42,'Up Max'!A:A,'Up Max'!D:D,)</f>
        <v/>
      </c>
      <c r="Q42" s="48" t="str">
        <f t="array" ref="Q42">_xlfn.XLOOKUP(B42,'Up Stats'!A:A,'Up Stats'!E:E,)</f>
        <v/>
      </c>
      <c r="R42" s="40" t="str">
        <f>IFERROR(__xludf.DUMMYFUNCTION("if(AND(S42=FALSE,T42=FALSE),,if(S42=T42,JOIN("""",""Static: "",S42),JOIN("""",""Min:  "",S42, CHAR(10),""Max: "",T42)))"),"")</f>
        <v/>
      </c>
      <c r="S42" s="42" t="str">
        <f t="array" ref="S42">_xlfn.XLOOKUP(B42,'Up Min'!A:A,'Up Min'!E:E,)</f>
        <v/>
      </c>
      <c r="T42" s="42" t="str">
        <f t="array" ref="T42">_xlfn.XLOOKUP(B42,'Up Max'!A:A,'Up Max'!E:E,)</f>
        <v/>
      </c>
      <c r="U42" s="48" t="str">
        <f t="array" ref="U42">_xlfn.XLOOKUP(B42,'Up Stats'!A:A,'Up Stats'!F:F,)</f>
        <v/>
      </c>
      <c r="V42" s="40" t="str">
        <f>IFERROR(__xludf.DUMMYFUNCTION("if(AND(W42=FALSE,X42=FALSE),,if(W42=X42,JOIN("""",""Static: "",W42),JOIN("""",""Min:  "",W42, CHAR(10),""Max: "",X42)))"),"")</f>
        <v/>
      </c>
      <c r="W42" s="42" t="str">
        <f t="array" ref="W42">_xlfn.XLOOKUP(B42,'Up Min'!A:A,'Up Min'!F:F,)</f>
        <v/>
      </c>
      <c r="X42" s="42" t="str">
        <f t="array" ref="X42">_xlfn.XLOOKUP(B42,'Up Max'!A:A,'Up Max'!F:F,)</f>
        <v/>
      </c>
      <c r="Y42" s="48" t="str">
        <f t="array" ref="Y42">_xlfn.XLOOKUP(B42,'Up Stats'!A:A,'Up Stats'!G:G,)</f>
        <v/>
      </c>
      <c r="Z42" s="40" t="str">
        <f>IFERROR(__xludf.DUMMYFUNCTION("if(AND(AA42=FALSE,AB42=FALSE),,if(AA42=AB42,JOIN("""",""Static: "",AA42),JOIN("""",""Min:  "",AA42, CHAR(10),""Max: "",AB42)))"),"")</f>
        <v/>
      </c>
      <c r="AA42" s="42" t="str">
        <f t="array" ref="AA42">_xlfn.XLOOKUP(B42,'Up Min'!A:A,'Up Min'!G:G,)</f>
        <v/>
      </c>
      <c r="AB42" s="42" t="str">
        <f t="array" ref="AB42">_xlfn.XLOOKUP(B42,'Up Max'!A:A,'Up Max'!G:G,)</f>
        <v/>
      </c>
      <c r="AC42" s="48" t="str">
        <f t="array" ref="AC42">_xlfn.XLOOKUP(B42,'Up Stats'!A:A,'Up Stats'!H:H,)</f>
        <v/>
      </c>
      <c r="AD42" s="40" t="str">
        <f>IFERROR(__xludf.DUMMYFUNCTION("if(AND(AE42=FALSE,AF42=FALSE),,if(AE42=AF42,JOIN("""",""Static: "",AE42),JOIN("""",""Min:  "",AE42, CHAR(10),""Max: "",AF42)))"),"")</f>
        <v/>
      </c>
      <c r="AE42" s="42" t="str">
        <f t="array" ref="AE42">_xlfn.XLOOKUP(B42,'Up Min'!A:A,'Up Min'!H:H,)</f>
        <v/>
      </c>
      <c r="AF42" s="42" t="str">
        <f t="array" ref="AF42">_xlfn.XLOOKUP(B42,'Up Max'!A:A,'Up Max'!H:H,)</f>
        <v/>
      </c>
      <c r="AG42" s="48" t="str">
        <f t="array" ref="AG42">_xlfn.XLOOKUP(B42,'Up Stats'!A:A,'Up Stats'!I:I,)</f>
        <v/>
      </c>
      <c r="AH42" s="40" t="str">
        <f>IFERROR(__xludf.DUMMYFUNCTION("if(AND(AI42=FALSE,AJ42=FALSE),,if(AI42=AJ42,JOIN("""",""Static: "",AI42),JOIN("""",""Min:  "",AI42, CHAR(10),""Max: "",AJ42)))"),"")</f>
        <v/>
      </c>
      <c r="AI42" s="42" t="str">
        <f t="array" ref="AI42">_xlfn.XLOOKUP(B42,'Up Min'!A:A,'Up Min'!I:I,)</f>
        <v/>
      </c>
      <c r="AJ42" s="42" t="str">
        <f t="array" ref="AJ42">_xlfn.XLOOKUP(B42,'Up Max'!A:A,'Up Max'!I:I,)</f>
        <v/>
      </c>
      <c r="AK42" s="48" t="str">
        <f t="array" ref="AK42">_xlfn.XLOOKUP(B42,'Up Stats'!A:A,'Up Stats'!J:J,)</f>
        <v/>
      </c>
      <c r="AL42" s="40" t="str">
        <f>IFERROR(__xludf.DUMMYFUNCTION("if(AND(AM42=FALSE,AN42=FALSE),,if(AM42=AN42,JOIN("""",""Static: "",AM42),JOIN("""",""Min:  "",AM42, CHAR(10),""Max: "",AN42)))"),"")</f>
        <v/>
      </c>
      <c r="AM42" s="42" t="str">
        <f t="array" ref="AM42">_xlfn.XLOOKUP(B42,'Up Min'!A:A,'Up Min'!J:J,)</f>
        <v/>
      </c>
      <c r="AN42" s="42" t="str">
        <f t="array" ref="AN42">_xlfn.XLOOKUP(B42,'Up Max'!A:A,'Up Max'!J:J,)</f>
        <v/>
      </c>
      <c r="AO42" s="34" t="str">
        <f t="array" ref="AO42">CONCATENATE(_xlfn.XLOOKUP(B42,'Up Cells'!A:A,'Up Cells'!B:B,))</f>
        <v/>
      </c>
      <c r="AP42" s="34" t="str">
        <f t="array" ref="AP42">CONCATENATE(_xlfn.XLOOKUP(B42,'Up Rarity'!A:A,'Up Rarity'!B:B,),CHAR(10),"-")</f>
        <v>
-</v>
      </c>
    </row>
    <row r="43">
      <c r="A43" s="86" t="str">
        <f t="array" ref="A43">_xlfn.XLOOKUP(B43,'Up Icon'!A:A,'Up Icon'!B:B,)</f>
        <v/>
      </c>
      <c r="B43" s="51" t="str">
        <f t="array" ref="B43">HYPERLINK(_xlfn.XLOOKUP('Up Names'!A43,'Up Wiki'!A:A,'Up Wiki'!B:B,),'Up Names'!A43)</f>
        <v/>
      </c>
      <c r="C43" s="52" t="str">
        <f t="array" ref="C43">_xlfn.XLOOKUP(B43,'Up Desc'!A:A,'Up Desc'!B:B,)</f>
        <v/>
      </c>
      <c r="D43" s="52" t="str">
        <f t="array" ref="D43">_xlfn.XLOOKUP(B43,'Up Turbo'!A:A,'Up Turbo'!B:B,)</f>
        <v/>
      </c>
      <c r="E43" s="53" t="str">
        <f t="array" ref="E43">_xlfn.XLOOKUP(B43,'Up Stats'!A:A,'Up Stats'!B:B,)</f>
        <v/>
      </c>
      <c r="F43" s="54" t="str">
        <f>IFERROR(__xludf.DUMMYFUNCTION("if(AND(G43=FALSE,H43=FALSE),,if(G43=H43,JOIN("""",""Static: "",G43),JOIN("""",""Min:  "",G43, CHAR(10),""Max: "",H43)))"),"")</f>
        <v/>
      </c>
      <c r="G43" s="59" t="str">
        <f t="array" ref="G43">_xlfn.XLOOKUP(B43,'Up Min'!A:A,'Up Min'!B:B,)</f>
        <v/>
      </c>
      <c r="H43" s="59" t="str">
        <f t="array" ref="H43">_xlfn.XLOOKUP(B43,'Up Max'!A:A,'Up Max'!B:B,)</f>
        <v/>
      </c>
      <c r="I43" s="53" t="str">
        <f t="array" ref="I43">_xlfn.XLOOKUP(B43,'Up Stats'!A:A,'Up Stats'!C:C,)</f>
        <v/>
      </c>
      <c r="J43" s="54" t="str">
        <f>IFERROR(__xludf.DUMMYFUNCTION("if(AND(K43=FALSE,L43=FALSE),,if(K43=L43,JOIN("""",""Static: "",K43),JOIN("""",""Min:  "",K43, CHAR(10),""Max: "",L43)))"),"")</f>
        <v/>
      </c>
      <c r="K43" s="55" t="str">
        <f t="array" ref="K43">_xlfn.XLOOKUP(B43,'Up Min'!A:A,'Up Min'!C:C,)</f>
        <v/>
      </c>
      <c r="L43" s="55" t="str">
        <f t="array" ref="L43">_xlfn.XLOOKUP(B43,'Up Max'!A:A,'Up Max'!C:C,)</f>
        <v/>
      </c>
      <c r="M43" s="57" t="str">
        <f t="array" ref="M43">_xlfn.XLOOKUP(B43,'Up Stats'!A:A,'Up Stats'!D:D,)</f>
        <v/>
      </c>
      <c r="N43" s="54" t="str">
        <f>IFERROR(__xludf.DUMMYFUNCTION("if(AND(O43=FALSE,P43=FALSE),,if(O43=P43,JOIN("""",""Static: "",O43),JOIN("""",""Min:  "",O43, CHAR(10),""Max: "",P43)))"),"")</f>
        <v/>
      </c>
      <c r="O43" s="55" t="str">
        <f t="array" ref="O43">_xlfn.XLOOKUP(B43,'Up Min'!A:A,'Up Min'!D:D,)</f>
        <v/>
      </c>
      <c r="P43" s="55" t="str">
        <f t="array" ref="P43">_xlfn.XLOOKUP(B43,'Up Max'!A:A,'Up Max'!D:D,)</f>
        <v/>
      </c>
      <c r="Q43" s="57" t="str">
        <f t="array" ref="Q43">_xlfn.XLOOKUP(B43,'Up Stats'!A:A,'Up Stats'!E:E,)</f>
        <v/>
      </c>
      <c r="R43" s="54" t="str">
        <f>IFERROR(__xludf.DUMMYFUNCTION("if(AND(S43=FALSE,T43=FALSE),,if(S43=T43,JOIN("""",""Static: "",S43),JOIN("""",""Min:  "",S43, CHAR(10),""Max: "",T43)))"),"")</f>
        <v/>
      </c>
      <c r="S43" s="55" t="str">
        <f t="array" ref="S43">_xlfn.XLOOKUP(B43,'Up Min'!A:A,'Up Min'!E:E,)</f>
        <v/>
      </c>
      <c r="T43" s="55" t="str">
        <f t="array" ref="T43">_xlfn.XLOOKUP(B43,'Up Max'!A:A,'Up Max'!E:E,)</f>
        <v/>
      </c>
      <c r="U43" s="57" t="str">
        <f t="array" ref="U43">_xlfn.XLOOKUP(B43,'Up Stats'!A:A,'Up Stats'!F:F,)</f>
        <v/>
      </c>
      <c r="V43" s="54" t="str">
        <f>IFERROR(__xludf.DUMMYFUNCTION("if(AND(W43=FALSE,X43=FALSE),,if(W43=X43,JOIN("""",""Static: "",W43),JOIN("""",""Min:  "",W43, CHAR(10),""Max: "",X43)))"),"")</f>
        <v/>
      </c>
      <c r="W43" s="55" t="str">
        <f t="array" ref="W43">_xlfn.XLOOKUP(B43,'Up Min'!A:A,'Up Min'!F:F,)</f>
        <v/>
      </c>
      <c r="X43" s="55" t="str">
        <f t="array" ref="X43">_xlfn.XLOOKUP(B43,'Up Max'!A:A,'Up Max'!F:F,)</f>
        <v/>
      </c>
      <c r="Y43" s="57" t="str">
        <f t="array" ref="Y43">_xlfn.XLOOKUP(B43,'Up Stats'!A:A,'Up Stats'!G:G,)</f>
        <v/>
      </c>
      <c r="Z43" s="54" t="str">
        <f>IFERROR(__xludf.DUMMYFUNCTION("if(AND(AA43=FALSE,AB43=FALSE),,if(AA43=AB43,JOIN("""",""Static: "",AA43),JOIN("""",""Min:  "",AA43, CHAR(10),""Max: "",AB43)))"),"")</f>
        <v/>
      </c>
      <c r="AA43" s="55" t="str">
        <f t="array" ref="AA43">_xlfn.XLOOKUP(B43,'Up Min'!A:A,'Up Min'!G:G,)</f>
        <v/>
      </c>
      <c r="AB43" s="55" t="str">
        <f t="array" ref="AB43">_xlfn.XLOOKUP(B43,'Up Max'!A:A,'Up Max'!G:G,)</f>
        <v/>
      </c>
      <c r="AC43" s="57" t="str">
        <f t="array" ref="AC43">_xlfn.XLOOKUP(B43,'Up Stats'!A:A,'Up Stats'!H:H,)</f>
        <v/>
      </c>
      <c r="AD43" s="54" t="str">
        <f>IFERROR(__xludf.DUMMYFUNCTION("if(AND(AE43=FALSE,AF43=FALSE),,if(AE43=AF43,JOIN("""",""Static: "",AE43),JOIN("""",""Min:  "",AE43, CHAR(10),""Max: "",AF43)))"),"")</f>
        <v/>
      </c>
      <c r="AE43" s="55" t="str">
        <f t="array" ref="AE43">_xlfn.XLOOKUP(B43,'Up Min'!A:A,'Up Min'!H:H,)</f>
        <v/>
      </c>
      <c r="AF43" s="55" t="str">
        <f t="array" ref="AF43">_xlfn.XLOOKUP(B43,'Up Max'!A:A,'Up Max'!H:H,)</f>
        <v/>
      </c>
      <c r="AG43" s="57" t="str">
        <f t="array" ref="AG43">_xlfn.XLOOKUP(B43,'Up Stats'!A:A,'Up Stats'!I:I,)</f>
        <v/>
      </c>
      <c r="AH43" s="54" t="str">
        <f>IFERROR(__xludf.DUMMYFUNCTION("if(AND(AI43=FALSE,AJ43=FALSE),,if(AI43=AJ43,JOIN("""",""Static: "",AI43),JOIN("""",""Min:  "",AI43, CHAR(10),""Max: "",AJ43)))"),"")</f>
        <v/>
      </c>
      <c r="AI43" s="55" t="str">
        <f t="array" ref="AI43">_xlfn.XLOOKUP(B43,'Up Min'!A:A,'Up Min'!I:I,)</f>
        <v/>
      </c>
      <c r="AJ43" s="55" t="str">
        <f t="array" ref="AJ43">_xlfn.XLOOKUP(B43,'Up Max'!A:A,'Up Max'!I:I,)</f>
        <v/>
      </c>
      <c r="AK43" s="57" t="str">
        <f t="array" ref="AK43">_xlfn.XLOOKUP(B43,'Up Stats'!A:A,'Up Stats'!J:J,)</f>
        <v/>
      </c>
      <c r="AL43" s="54" t="str">
        <f>IFERROR(__xludf.DUMMYFUNCTION("if(AND(AM43=FALSE,AN43=FALSE),,if(AM43=AN43,JOIN("""",""Static: "",AM43),JOIN("""",""Min:  "",AM43, CHAR(10),""Max: "",AN43)))"),"")</f>
        <v/>
      </c>
      <c r="AM43" s="55" t="str">
        <f t="array" ref="AM43">_xlfn.XLOOKUP(B43,'Up Min'!A:A,'Up Min'!J:J,)</f>
        <v/>
      </c>
      <c r="AN43" s="55" t="str">
        <f t="array" ref="AN43">_xlfn.XLOOKUP(B43,'Up Max'!A:A,'Up Max'!J:J,)</f>
        <v/>
      </c>
      <c r="AO43" s="51" t="str">
        <f t="array" ref="AO43">CONCATENATE(_xlfn.XLOOKUP(B43,'Up Cells'!A:A,'Up Cells'!B:B,))</f>
        <v/>
      </c>
      <c r="AP43" s="51" t="str">
        <f t="array" ref="AP43">CONCATENATE(_xlfn.XLOOKUP(B43,'Up Rarity'!A:A,'Up Rarity'!B:B,),CHAR(10),"-")</f>
        <v>
-</v>
      </c>
    </row>
    <row r="44">
      <c r="A44" s="87" t="str">
        <f t="array" ref="A44">_xlfn.XLOOKUP(B44,'Up Icon'!A:A,'Up Icon'!B:B,)</f>
        <v/>
      </c>
      <c r="B44" s="34" t="str">
        <f t="array" ref="B44">HYPERLINK(_xlfn.XLOOKUP('Up Names'!A44,'Up Wiki'!A:A,'Up Wiki'!B:B,),'Up Names'!A44)</f>
        <v/>
      </c>
      <c r="C44" s="37" t="str">
        <f t="array" ref="C44">_xlfn.XLOOKUP(B44,'Up Desc'!A:A,'Up Desc'!B:B,)</f>
        <v/>
      </c>
      <c r="D44" s="37" t="str">
        <f t="array" ref="D44">_xlfn.XLOOKUP(B44,'Up Turbo'!A:A,'Up Turbo'!B:B,)</f>
        <v/>
      </c>
      <c r="E44" s="39" t="str">
        <f t="array" ref="E44">_xlfn.XLOOKUP(B44,'Up Stats'!A:A,'Up Stats'!B:B,)</f>
        <v/>
      </c>
      <c r="F44" s="40" t="str">
        <f>IFERROR(__xludf.DUMMYFUNCTION("if(AND(G44=FALSE,H44=FALSE),,if(G44=H44,JOIN("""",""Static: "",G44),JOIN("""",""Min:  "",G44, CHAR(10),""Max: "",H44)))"),"")</f>
        <v/>
      </c>
      <c r="G44" s="41" t="str">
        <f t="array" ref="G44">_xlfn.XLOOKUP(B44,'Up Min'!A:A,'Up Min'!B:B,)</f>
        <v/>
      </c>
      <c r="H44" s="41" t="str">
        <f t="array" ref="H44">_xlfn.XLOOKUP(B44,'Up Max'!A:A,'Up Max'!B:B,)</f>
        <v/>
      </c>
      <c r="I44" s="39" t="str">
        <f t="array" ref="I44">_xlfn.XLOOKUP(B44,'Up Stats'!A:A,'Up Stats'!C:C,)</f>
        <v/>
      </c>
      <c r="J44" s="40" t="str">
        <f>IFERROR(__xludf.DUMMYFUNCTION("if(AND(K44=FALSE,L44=FALSE),,if(K44=L44,JOIN("""",""Static: "",K44),JOIN("""",""Min:  "",K44, CHAR(10),""Max: "",L44)))"),"")</f>
        <v/>
      </c>
      <c r="K44" s="42" t="str">
        <f t="array" ref="K44">_xlfn.XLOOKUP(B44,'Up Min'!A:A,'Up Min'!C:C,)</f>
        <v/>
      </c>
      <c r="L44" s="42" t="str">
        <f t="array" ref="L44">_xlfn.XLOOKUP(B44,'Up Max'!A:A,'Up Max'!C:C,)</f>
        <v/>
      </c>
      <c r="M44" s="48" t="str">
        <f t="array" ref="M44">_xlfn.XLOOKUP(B44,'Up Stats'!A:A,'Up Stats'!D:D,)</f>
        <v/>
      </c>
      <c r="N44" s="40" t="str">
        <f>IFERROR(__xludf.DUMMYFUNCTION("if(AND(O44=FALSE,P44=FALSE),,if(O44=P44,JOIN("""",""Static: "",O44),JOIN("""",""Min:  "",O44, CHAR(10),""Max: "",P44)))"),"")</f>
        <v/>
      </c>
      <c r="O44" s="42" t="str">
        <f t="array" ref="O44">_xlfn.XLOOKUP(B44,'Up Min'!A:A,'Up Min'!D:D,)</f>
        <v/>
      </c>
      <c r="P44" s="42" t="str">
        <f t="array" ref="P44">_xlfn.XLOOKUP(B44,'Up Max'!A:A,'Up Max'!D:D,)</f>
        <v/>
      </c>
      <c r="Q44" s="48" t="str">
        <f t="array" ref="Q44">_xlfn.XLOOKUP(B44,'Up Stats'!A:A,'Up Stats'!E:E,)</f>
        <v/>
      </c>
      <c r="R44" s="40" t="str">
        <f>IFERROR(__xludf.DUMMYFUNCTION("if(AND(S44=FALSE,T44=FALSE),,if(S44=T44,JOIN("""",""Static: "",S44),JOIN("""",""Min:  "",S44, CHAR(10),""Max: "",T44)))"),"")</f>
        <v/>
      </c>
      <c r="S44" s="42" t="str">
        <f t="array" ref="S44">_xlfn.XLOOKUP(B44,'Up Min'!A:A,'Up Min'!E:E,)</f>
        <v/>
      </c>
      <c r="T44" s="42" t="str">
        <f t="array" ref="T44">_xlfn.XLOOKUP(B44,'Up Max'!A:A,'Up Max'!E:E,)</f>
        <v/>
      </c>
      <c r="U44" s="48" t="str">
        <f t="array" ref="U44">_xlfn.XLOOKUP(B44,'Up Stats'!A:A,'Up Stats'!F:F,)</f>
        <v/>
      </c>
      <c r="V44" s="40" t="str">
        <f>IFERROR(__xludf.DUMMYFUNCTION("if(AND(W44=FALSE,X44=FALSE),,if(W44=X44,JOIN("""",""Static: "",W44),JOIN("""",""Min:  "",W44, CHAR(10),""Max: "",X44)))"),"")</f>
        <v/>
      </c>
      <c r="W44" s="42" t="str">
        <f t="array" ref="W44">_xlfn.XLOOKUP(B44,'Up Min'!A:A,'Up Min'!F:F,)</f>
        <v/>
      </c>
      <c r="X44" s="42" t="str">
        <f t="array" ref="X44">_xlfn.XLOOKUP(B44,'Up Max'!A:A,'Up Max'!F:F,)</f>
        <v/>
      </c>
      <c r="Y44" s="48" t="str">
        <f t="array" ref="Y44">_xlfn.XLOOKUP(B44,'Up Stats'!A:A,'Up Stats'!G:G,)</f>
        <v/>
      </c>
      <c r="Z44" s="40" t="str">
        <f>IFERROR(__xludf.DUMMYFUNCTION("if(AND(AA44=FALSE,AB44=FALSE),,if(AA44=AB44,JOIN("""",""Static: "",AA44),JOIN("""",""Min:  "",AA44, CHAR(10),""Max: "",AB44)))"),"")</f>
        <v/>
      </c>
      <c r="AA44" s="42" t="str">
        <f t="array" ref="AA44">_xlfn.XLOOKUP(B44,'Up Min'!A:A,'Up Min'!G:G,)</f>
        <v/>
      </c>
      <c r="AB44" s="42" t="str">
        <f t="array" ref="AB44">_xlfn.XLOOKUP(B44,'Up Max'!A:A,'Up Max'!G:G,)</f>
        <v/>
      </c>
      <c r="AC44" s="48" t="str">
        <f t="array" ref="AC44">_xlfn.XLOOKUP(B44,'Up Stats'!A:A,'Up Stats'!H:H,)</f>
        <v/>
      </c>
      <c r="AD44" s="40" t="str">
        <f>IFERROR(__xludf.DUMMYFUNCTION("if(AND(AE44=FALSE,AF44=FALSE),,if(AE44=AF44,JOIN("""",""Static: "",AE44),JOIN("""",""Min:  "",AE44, CHAR(10),""Max: "",AF44)))"),"")</f>
        <v/>
      </c>
      <c r="AE44" s="42" t="str">
        <f t="array" ref="AE44">_xlfn.XLOOKUP(B44,'Up Min'!A:A,'Up Min'!H:H,)</f>
        <v/>
      </c>
      <c r="AF44" s="42" t="str">
        <f t="array" ref="AF44">_xlfn.XLOOKUP(B44,'Up Max'!A:A,'Up Max'!H:H,)</f>
        <v/>
      </c>
      <c r="AG44" s="48" t="str">
        <f t="array" ref="AG44">_xlfn.XLOOKUP(B44,'Up Stats'!A:A,'Up Stats'!I:I,)</f>
        <v/>
      </c>
      <c r="AH44" s="40" t="str">
        <f>IFERROR(__xludf.DUMMYFUNCTION("if(AND(AI44=FALSE,AJ44=FALSE),,if(AI44=AJ44,JOIN("""",""Static: "",AI44),JOIN("""",""Min:  "",AI44, CHAR(10),""Max: "",AJ44)))"),"")</f>
        <v/>
      </c>
      <c r="AI44" s="42" t="str">
        <f t="array" ref="AI44">_xlfn.XLOOKUP(B44,'Up Min'!A:A,'Up Min'!I:I,)</f>
        <v/>
      </c>
      <c r="AJ44" s="42" t="str">
        <f t="array" ref="AJ44">_xlfn.XLOOKUP(B44,'Up Max'!A:A,'Up Max'!I:I,)</f>
        <v/>
      </c>
      <c r="AK44" s="48" t="str">
        <f t="array" ref="AK44">_xlfn.XLOOKUP(B44,'Up Stats'!A:A,'Up Stats'!J:J,)</f>
        <v/>
      </c>
      <c r="AL44" s="40" t="str">
        <f>IFERROR(__xludf.DUMMYFUNCTION("if(AND(AM44=FALSE,AN44=FALSE),,if(AM44=AN44,JOIN("""",""Static: "",AM44),JOIN("""",""Min:  "",AM44, CHAR(10),""Max: "",AN44)))"),"")</f>
        <v/>
      </c>
      <c r="AM44" s="42" t="str">
        <f t="array" ref="AM44">_xlfn.XLOOKUP(B44,'Up Min'!A:A,'Up Min'!J:J,)</f>
        <v/>
      </c>
      <c r="AN44" s="42" t="str">
        <f t="array" ref="AN44">_xlfn.XLOOKUP(B44,'Up Max'!A:A,'Up Max'!J:J,)</f>
        <v/>
      </c>
      <c r="AO44" s="34" t="str">
        <f t="array" ref="AO44">CONCATENATE(_xlfn.XLOOKUP(B44,'Up Cells'!A:A,'Up Cells'!B:B,))</f>
        <v/>
      </c>
      <c r="AP44" s="34" t="str">
        <f t="array" ref="AP44">CONCATENATE(_xlfn.XLOOKUP(B44,'Up Rarity'!A:A,'Up Rarity'!B:B,),CHAR(10),"-")</f>
        <v>
-</v>
      </c>
    </row>
    <row r="45">
      <c r="A45" s="86" t="str">
        <f t="array" ref="A45">_xlfn.XLOOKUP(B45,'Up Icon'!A:A,'Up Icon'!B:B,)</f>
        <v/>
      </c>
      <c r="B45" s="51" t="str">
        <f t="array" ref="B45">HYPERLINK(_xlfn.XLOOKUP('Up Names'!A45,'Up Wiki'!A:A,'Up Wiki'!B:B,),'Up Names'!A45)</f>
        <v/>
      </c>
      <c r="C45" s="52" t="str">
        <f t="array" ref="C45">_xlfn.XLOOKUP(B45,'Up Desc'!A:A,'Up Desc'!B:B,)</f>
        <v/>
      </c>
      <c r="D45" s="52" t="str">
        <f t="array" ref="D45">_xlfn.XLOOKUP(B45,'Up Turbo'!A:A,'Up Turbo'!B:B,)</f>
        <v/>
      </c>
      <c r="E45" s="53" t="str">
        <f t="array" ref="E45">_xlfn.XLOOKUP(B45,'Up Stats'!A:A,'Up Stats'!B:B,)</f>
        <v/>
      </c>
      <c r="F45" s="54" t="str">
        <f>IFERROR(__xludf.DUMMYFUNCTION("if(AND(G45=FALSE,H45=FALSE),,if(G45=H45,JOIN("""",""Static: "",G45),JOIN("""",""Min:  "",G45, CHAR(10),""Max: "",H45)))"),"")</f>
        <v/>
      </c>
      <c r="G45" s="59" t="str">
        <f t="array" ref="G45">_xlfn.XLOOKUP(B45,'Up Min'!A:A,'Up Min'!B:B,)</f>
        <v/>
      </c>
      <c r="H45" s="59" t="str">
        <f t="array" ref="H45">_xlfn.XLOOKUP(B45,'Up Max'!A:A,'Up Max'!B:B,)</f>
        <v/>
      </c>
      <c r="I45" s="53" t="str">
        <f t="array" ref="I45">_xlfn.XLOOKUP(B45,'Up Stats'!A:A,'Up Stats'!C:C,)</f>
        <v/>
      </c>
      <c r="J45" s="54" t="str">
        <f>IFERROR(__xludf.DUMMYFUNCTION("if(AND(K45=FALSE,L45=FALSE),,if(K45=L45,JOIN("""",""Static: "",K45),JOIN("""",""Min:  "",K45, CHAR(10),""Max: "",L45)))"),"")</f>
        <v/>
      </c>
      <c r="K45" s="55" t="str">
        <f t="array" ref="K45">_xlfn.XLOOKUP(B45,'Up Min'!A:A,'Up Min'!C:C,)</f>
        <v/>
      </c>
      <c r="L45" s="55" t="str">
        <f t="array" ref="L45">_xlfn.XLOOKUP(B45,'Up Max'!A:A,'Up Max'!C:C,)</f>
        <v/>
      </c>
      <c r="M45" s="57" t="str">
        <f t="array" ref="M45">_xlfn.XLOOKUP(B45,'Up Stats'!A:A,'Up Stats'!D:D,)</f>
        <v/>
      </c>
      <c r="N45" s="54" t="str">
        <f>IFERROR(__xludf.DUMMYFUNCTION("if(AND(O45=FALSE,P45=FALSE),,if(O45=P45,JOIN("""",""Static: "",O45),JOIN("""",""Min:  "",O45, CHAR(10),""Max: "",P45)))"),"")</f>
        <v/>
      </c>
      <c r="O45" s="55" t="str">
        <f t="array" ref="O45">_xlfn.XLOOKUP(B45,'Up Min'!A:A,'Up Min'!D:D,)</f>
        <v/>
      </c>
      <c r="P45" s="55" t="str">
        <f t="array" ref="P45">_xlfn.XLOOKUP(B45,'Up Max'!A:A,'Up Max'!D:D,)</f>
        <v/>
      </c>
      <c r="Q45" s="57" t="str">
        <f t="array" ref="Q45">_xlfn.XLOOKUP(B45,'Up Stats'!A:A,'Up Stats'!E:E,)</f>
        <v/>
      </c>
      <c r="R45" s="54" t="str">
        <f>IFERROR(__xludf.DUMMYFUNCTION("if(AND(S45=FALSE,T45=FALSE),,if(S45=T45,JOIN("""",""Static: "",S45),JOIN("""",""Min:  "",S45, CHAR(10),""Max: "",T45)))"),"")</f>
        <v/>
      </c>
      <c r="S45" s="55" t="str">
        <f t="array" ref="S45">_xlfn.XLOOKUP(B45,'Up Min'!A:A,'Up Min'!E:E,)</f>
        <v/>
      </c>
      <c r="T45" s="55" t="str">
        <f t="array" ref="T45">_xlfn.XLOOKUP(B45,'Up Max'!A:A,'Up Max'!E:E,)</f>
        <v/>
      </c>
      <c r="U45" s="57" t="str">
        <f t="array" ref="U45">_xlfn.XLOOKUP(B45,'Up Stats'!A:A,'Up Stats'!F:F,)</f>
        <v/>
      </c>
      <c r="V45" s="54" t="str">
        <f>IFERROR(__xludf.DUMMYFUNCTION("if(AND(W45=FALSE,X45=FALSE),,if(W45=X45,JOIN("""",""Static: "",W45),JOIN("""",""Min:  "",W45, CHAR(10),""Max: "",X45)))"),"")</f>
        <v/>
      </c>
      <c r="W45" s="55" t="str">
        <f t="array" ref="W45">_xlfn.XLOOKUP(B45,'Up Min'!A:A,'Up Min'!F:F,)</f>
        <v/>
      </c>
      <c r="X45" s="55" t="str">
        <f t="array" ref="X45">_xlfn.XLOOKUP(B45,'Up Max'!A:A,'Up Max'!F:F,)</f>
        <v/>
      </c>
      <c r="Y45" s="57" t="str">
        <f t="array" ref="Y45">_xlfn.XLOOKUP(B45,'Up Stats'!A:A,'Up Stats'!G:G,)</f>
        <v/>
      </c>
      <c r="Z45" s="54" t="str">
        <f>IFERROR(__xludf.DUMMYFUNCTION("if(AND(AA45=FALSE,AB45=FALSE),,if(AA45=AB45,JOIN("""",""Static: "",AA45),JOIN("""",""Min:  "",AA45, CHAR(10),""Max: "",AB45)))"),"")</f>
        <v/>
      </c>
      <c r="AA45" s="55" t="str">
        <f t="array" ref="AA45">_xlfn.XLOOKUP(B45,'Up Min'!A:A,'Up Min'!G:G,)</f>
        <v/>
      </c>
      <c r="AB45" s="55" t="str">
        <f t="array" ref="AB45">_xlfn.XLOOKUP(B45,'Up Max'!A:A,'Up Max'!G:G,)</f>
        <v/>
      </c>
      <c r="AC45" s="57" t="str">
        <f t="array" ref="AC45">_xlfn.XLOOKUP(B45,'Up Stats'!A:A,'Up Stats'!H:H,)</f>
        <v/>
      </c>
      <c r="AD45" s="54" t="str">
        <f>IFERROR(__xludf.DUMMYFUNCTION("if(AND(AE45=FALSE,AF45=FALSE),,if(AE45=AF45,JOIN("""",""Static: "",AE45),JOIN("""",""Min:  "",AE45, CHAR(10),""Max: "",AF45)))"),"")</f>
        <v/>
      </c>
      <c r="AE45" s="55" t="str">
        <f t="array" ref="AE45">_xlfn.XLOOKUP(B45,'Up Min'!A:A,'Up Min'!H:H,)</f>
        <v/>
      </c>
      <c r="AF45" s="55" t="str">
        <f t="array" ref="AF45">_xlfn.XLOOKUP(B45,'Up Max'!A:A,'Up Max'!H:H,)</f>
        <v/>
      </c>
      <c r="AG45" s="57" t="str">
        <f t="array" ref="AG45">_xlfn.XLOOKUP(B45,'Up Stats'!A:A,'Up Stats'!I:I,)</f>
        <v/>
      </c>
      <c r="AH45" s="54" t="str">
        <f>IFERROR(__xludf.DUMMYFUNCTION("if(AND(AI45=FALSE,AJ45=FALSE),,if(AI45=AJ45,JOIN("""",""Static: "",AI45),JOIN("""",""Min:  "",AI45, CHAR(10),""Max: "",AJ45)))"),"")</f>
        <v/>
      </c>
      <c r="AI45" s="55" t="str">
        <f t="array" ref="AI45">_xlfn.XLOOKUP(B45,'Up Min'!A:A,'Up Min'!I:I,)</f>
        <v/>
      </c>
      <c r="AJ45" s="55" t="str">
        <f t="array" ref="AJ45">_xlfn.XLOOKUP(B45,'Up Max'!A:A,'Up Max'!I:I,)</f>
        <v/>
      </c>
      <c r="AK45" s="57" t="str">
        <f t="array" ref="AK45">_xlfn.XLOOKUP(B45,'Up Stats'!A:A,'Up Stats'!J:J,)</f>
        <v/>
      </c>
      <c r="AL45" s="54" t="str">
        <f>IFERROR(__xludf.DUMMYFUNCTION("if(AND(AM45=FALSE,AN45=FALSE),,if(AM45=AN45,JOIN("""",""Static: "",AM45),JOIN("""",""Min:  "",AM45, CHAR(10),""Max: "",AN45)))"),"")</f>
        <v/>
      </c>
      <c r="AM45" s="55" t="str">
        <f t="array" ref="AM45">_xlfn.XLOOKUP(B45,'Up Min'!A:A,'Up Min'!J:J,)</f>
        <v/>
      </c>
      <c r="AN45" s="55" t="str">
        <f t="array" ref="AN45">_xlfn.XLOOKUP(B45,'Up Max'!A:A,'Up Max'!J:J,)</f>
        <v/>
      </c>
      <c r="AO45" s="51" t="str">
        <f t="array" ref="AO45">CONCATENATE(_xlfn.XLOOKUP(B45,'Up Cells'!A:A,'Up Cells'!B:B,))</f>
        <v/>
      </c>
      <c r="AP45" s="51" t="str">
        <f t="array" ref="AP45">CONCATENATE(_xlfn.XLOOKUP(B45,'Up Rarity'!A:A,'Up Rarity'!B:B,),CHAR(10),"-")</f>
        <v>
-</v>
      </c>
    </row>
    <row r="46">
      <c r="A46" s="87" t="str">
        <f t="array" ref="A46">_xlfn.XLOOKUP(B46,'Up Icon'!A:A,'Up Icon'!B:B,)</f>
        <v/>
      </c>
      <c r="B46" s="34" t="str">
        <f t="array" ref="B46">HYPERLINK(_xlfn.XLOOKUP('Up Names'!A46,'Up Wiki'!A:A,'Up Wiki'!B:B,),'Up Names'!A46)</f>
        <v/>
      </c>
      <c r="C46" s="37" t="str">
        <f t="array" ref="C46">_xlfn.XLOOKUP(B46,'Up Desc'!A:A,'Up Desc'!B:B,)</f>
        <v/>
      </c>
      <c r="D46" s="37" t="str">
        <f t="array" ref="D46">_xlfn.XLOOKUP(B46,'Up Turbo'!A:A,'Up Turbo'!B:B,)</f>
        <v/>
      </c>
      <c r="E46" s="39" t="str">
        <f t="array" ref="E46">_xlfn.XLOOKUP(B46,'Up Stats'!A:A,'Up Stats'!B:B,)</f>
        <v/>
      </c>
      <c r="F46" s="40" t="str">
        <f>IFERROR(__xludf.DUMMYFUNCTION("if(AND(G46=FALSE,H46=FALSE),,if(G46=H46,JOIN("""",""Static: "",G46),JOIN("""",""Min:  "",G46, CHAR(10),""Max: "",H46)))"),"")</f>
        <v/>
      </c>
      <c r="G46" s="41" t="str">
        <f t="array" ref="G46">_xlfn.XLOOKUP(B46,'Up Min'!A:A,'Up Min'!B:B,)</f>
        <v/>
      </c>
      <c r="H46" s="41" t="str">
        <f t="array" ref="H46">_xlfn.XLOOKUP(B46,'Up Max'!A:A,'Up Max'!B:B,)</f>
        <v/>
      </c>
      <c r="I46" s="39" t="str">
        <f t="array" ref="I46">_xlfn.XLOOKUP(B46,'Up Stats'!A:A,'Up Stats'!C:C,)</f>
        <v/>
      </c>
      <c r="J46" s="40" t="str">
        <f>IFERROR(__xludf.DUMMYFUNCTION("if(AND(K46=FALSE,L46=FALSE),,if(K46=L46,JOIN("""",""Static: "",K46),JOIN("""",""Min:  "",K46, CHAR(10),""Max: "",L46)))"),"")</f>
        <v/>
      </c>
      <c r="K46" s="42" t="str">
        <f t="array" ref="K46">_xlfn.XLOOKUP(B46,'Up Min'!A:A,'Up Min'!C:C,)</f>
        <v/>
      </c>
      <c r="L46" s="42" t="str">
        <f t="array" ref="L46">_xlfn.XLOOKUP(B46,'Up Max'!A:A,'Up Max'!C:C,)</f>
        <v/>
      </c>
      <c r="M46" s="48" t="str">
        <f t="array" ref="M46">_xlfn.XLOOKUP(B46,'Up Stats'!A:A,'Up Stats'!D:D,)</f>
        <v/>
      </c>
      <c r="N46" s="40" t="str">
        <f>IFERROR(__xludf.DUMMYFUNCTION("if(AND(O46=FALSE,P46=FALSE),,if(O46=P46,JOIN("""",""Static: "",O46),JOIN("""",""Min:  "",O46, CHAR(10),""Max: "",P46)))"),"")</f>
        <v/>
      </c>
      <c r="O46" s="42" t="str">
        <f t="array" ref="O46">_xlfn.XLOOKUP(B46,'Up Min'!A:A,'Up Min'!D:D,)</f>
        <v/>
      </c>
      <c r="P46" s="42" t="str">
        <f t="array" ref="P46">_xlfn.XLOOKUP(B46,'Up Max'!A:A,'Up Max'!D:D,)</f>
        <v/>
      </c>
      <c r="Q46" s="48" t="str">
        <f t="array" ref="Q46">_xlfn.XLOOKUP(B46,'Up Stats'!A:A,'Up Stats'!E:E,)</f>
        <v/>
      </c>
      <c r="R46" s="40" t="str">
        <f>IFERROR(__xludf.DUMMYFUNCTION("if(AND(S46=FALSE,T46=FALSE),,if(S46=T46,JOIN("""",""Static: "",S46),JOIN("""",""Min:  "",S46, CHAR(10),""Max: "",T46)))"),"")</f>
        <v/>
      </c>
      <c r="S46" s="42" t="str">
        <f t="array" ref="S46">_xlfn.XLOOKUP(B46,'Up Min'!A:A,'Up Min'!E:E,)</f>
        <v/>
      </c>
      <c r="T46" s="42" t="str">
        <f t="array" ref="T46">_xlfn.XLOOKUP(B46,'Up Max'!A:A,'Up Max'!E:E,)</f>
        <v/>
      </c>
      <c r="U46" s="48" t="str">
        <f t="array" ref="U46">_xlfn.XLOOKUP(B46,'Up Stats'!A:A,'Up Stats'!F:F,)</f>
        <v/>
      </c>
      <c r="V46" s="40" t="str">
        <f>IFERROR(__xludf.DUMMYFUNCTION("if(AND(W46=FALSE,X46=FALSE),,if(W46=X46,JOIN("""",""Static: "",W46),JOIN("""",""Min:  "",W46, CHAR(10),""Max: "",X46)))"),"")</f>
        <v/>
      </c>
      <c r="W46" s="42" t="str">
        <f t="array" ref="W46">_xlfn.XLOOKUP(B46,'Up Min'!A:A,'Up Min'!F:F,)</f>
        <v/>
      </c>
      <c r="X46" s="42" t="str">
        <f t="array" ref="X46">_xlfn.XLOOKUP(B46,'Up Max'!A:A,'Up Max'!F:F,)</f>
        <v/>
      </c>
      <c r="Y46" s="48" t="str">
        <f t="array" ref="Y46">_xlfn.XLOOKUP(B46,'Up Stats'!A:A,'Up Stats'!G:G,)</f>
        <v/>
      </c>
      <c r="Z46" s="40" t="str">
        <f>IFERROR(__xludf.DUMMYFUNCTION("if(AND(AA46=FALSE,AB46=FALSE),,if(AA46=AB46,JOIN("""",""Static: "",AA46),JOIN("""",""Min:  "",AA46, CHAR(10),""Max: "",AB46)))"),"")</f>
        <v/>
      </c>
      <c r="AA46" s="42" t="str">
        <f t="array" ref="AA46">_xlfn.XLOOKUP(B46,'Up Min'!A:A,'Up Min'!G:G,)</f>
        <v/>
      </c>
      <c r="AB46" s="42" t="str">
        <f t="array" ref="AB46">_xlfn.XLOOKUP(B46,'Up Max'!A:A,'Up Max'!G:G,)</f>
        <v/>
      </c>
      <c r="AC46" s="48" t="str">
        <f t="array" ref="AC46">_xlfn.XLOOKUP(B46,'Up Stats'!A:A,'Up Stats'!H:H,)</f>
        <v/>
      </c>
      <c r="AD46" s="40" t="str">
        <f>IFERROR(__xludf.DUMMYFUNCTION("if(AND(AE46=FALSE,AF46=FALSE),,if(AE46=AF46,JOIN("""",""Static: "",AE46),JOIN("""",""Min:  "",AE46, CHAR(10),""Max: "",AF46)))"),"")</f>
        <v/>
      </c>
      <c r="AE46" s="42" t="str">
        <f t="array" ref="AE46">_xlfn.XLOOKUP(B46,'Up Min'!A:A,'Up Min'!H:H,)</f>
        <v/>
      </c>
      <c r="AF46" s="42" t="str">
        <f t="array" ref="AF46">_xlfn.XLOOKUP(B46,'Up Max'!A:A,'Up Max'!H:H,)</f>
        <v/>
      </c>
      <c r="AG46" s="48" t="str">
        <f t="array" ref="AG46">_xlfn.XLOOKUP(B46,'Up Stats'!A:A,'Up Stats'!I:I,)</f>
        <v/>
      </c>
      <c r="AH46" s="40" t="str">
        <f>IFERROR(__xludf.DUMMYFUNCTION("if(AND(AI46=FALSE,AJ46=FALSE),,if(AI46=AJ46,JOIN("""",""Static: "",AI46),JOIN("""",""Min:  "",AI46, CHAR(10),""Max: "",AJ46)))"),"")</f>
        <v/>
      </c>
      <c r="AI46" s="42" t="str">
        <f t="array" ref="AI46">_xlfn.XLOOKUP(B46,'Up Min'!A:A,'Up Min'!I:I,)</f>
        <v/>
      </c>
      <c r="AJ46" s="42" t="str">
        <f t="array" ref="AJ46">_xlfn.XLOOKUP(B46,'Up Max'!A:A,'Up Max'!I:I,)</f>
        <v/>
      </c>
      <c r="AK46" s="48" t="str">
        <f t="array" ref="AK46">_xlfn.XLOOKUP(B46,'Up Stats'!A:A,'Up Stats'!J:J,)</f>
        <v/>
      </c>
      <c r="AL46" s="40" t="str">
        <f>IFERROR(__xludf.DUMMYFUNCTION("if(AND(AM46=FALSE,AN46=FALSE),,if(AM46=AN46,JOIN("""",""Static: "",AM46),JOIN("""",""Min:  "",AM46, CHAR(10),""Max: "",AN46)))"),"")</f>
        <v/>
      </c>
      <c r="AM46" s="42" t="str">
        <f t="array" ref="AM46">_xlfn.XLOOKUP(B46,'Up Min'!A:A,'Up Min'!J:J,)</f>
        <v/>
      </c>
      <c r="AN46" s="42" t="str">
        <f t="array" ref="AN46">_xlfn.XLOOKUP(B46,'Up Max'!A:A,'Up Max'!J:J,)</f>
        <v/>
      </c>
      <c r="AO46" s="34" t="str">
        <f t="array" ref="AO46">CONCATENATE(_xlfn.XLOOKUP(B46,'Up Cells'!A:A,'Up Cells'!B:B,))</f>
        <v/>
      </c>
      <c r="AP46" s="34" t="str">
        <f t="array" ref="AP46">CONCATENATE(_xlfn.XLOOKUP(B46,'Up Rarity'!A:A,'Up Rarity'!B:B,),CHAR(10),"-")</f>
        <v>
-</v>
      </c>
    </row>
    <row r="47">
      <c r="A47" s="86" t="str">
        <f t="array" ref="A47">_xlfn.XLOOKUP(B47,'Up Icon'!A:A,'Up Icon'!B:B,)</f>
        <v/>
      </c>
      <c r="B47" s="51" t="str">
        <f t="array" ref="B47">HYPERLINK(_xlfn.XLOOKUP('Up Names'!A47,'Up Wiki'!A:A,'Up Wiki'!B:B,),'Up Names'!A47)</f>
        <v/>
      </c>
      <c r="C47" s="52" t="str">
        <f t="array" ref="C47">_xlfn.XLOOKUP(B47,'Up Desc'!A:A,'Up Desc'!B:B,)</f>
        <v/>
      </c>
      <c r="D47" s="52" t="str">
        <f t="array" ref="D47">_xlfn.XLOOKUP(B47,'Up Turbo'!A:A,'Up Turbo'!B:B,)</f>
        <v/>
      </c>
      <c r="E47" s="53" t="str">
        <f t="array" ref="E47">_xlfn.XLOOKUP(B47,'Up Stats'!A:A,'Up Stats'!B:B,)</f>
        <v/>
      </c>
      <c r="F47" s="54" t="str">
        <f>IFERROR(__xludf.DUMMYFUNCTION("if(AND(G47=FALSE,H47=FALSE),,if(G47=H47,JOIN("""",""Static: "",G47),JOIN("""",""Min:  "",G47, CHAR(10),""Max: "",H47)))"),"")</f>
        <v/>
      </c>
      <c r="G47" s="59" t="str">
        <f t="array" ref="G47">_xlfn.XLOOKUP(B47,'Up Min'!A:A,'Up Min'!B:B,)</f>
        <v/>
      </c>
      <c r="H47" s="59" t="str">
        <f t="array" ref="H47">_xlfn.XLOOKUP(B47,'Up Max'!A:A,'Up Max'!B:B,)</f>
        <v/>
      </c>
      <c r="I47" s="53" t="str">
        <f t="array" ref="I47">_xlfn.XLOOKUP(B47,'Up Stats'!A:A,'Up Stats'!C:C,)</f>
        <v/>
      </c>
      <c r="J47" s="54" t="str">
        <f>IFERROR(__xludf.DUMMYFUNCTION("if(AND(K47=FALSE,L47=FALSE),,if(K47=L47,JOIN("""",""Static: "",K47),JOIN("""",""Min:  "",K47, CHAR(10),""Max: "",L47)))"),"")</f>
        <v/>
      </c>
      <c r="K47" s="55" t="str">
        <f t="array" ref="K47">_xlfn.XLOOKUP(B47,'Up Min'!A:A,'Up Min'!C:C,)</f>
        <v/>
      </c>
      <c r="L47" s="55" t="str">
        <f t="array" ref="L47">_xlfn.XLOOKUP(B47,'Up Max'!A:A,'Up Max'!C:C,)</f>
        <v/>
      </c>
      <c r="M47" s="57" t="str">
        <f t="array" ref="M47">_xlfn.XLOOKUP(B47,'Up Stats'!A:A,'Up Stats'!D:D,)</f>
        <v/>
      </c>
      <c r="N47" s="54" t="str">
        <f>IFERROR(__xludf.DUMMYFUNCTION("if(AND(O47=FALSE,P47=FALSE),,if(O47=P47,JOIN("""",""Static: "",O47),JOIN("""",""Min:  "",O47, CHAR(10),""Max: "",P47)))"),"")</f>
        <v/>
      </c>
      <c r="O47" s="55" t="str">
        <f t="array" ref="O47">_xlfn.XLOOKUP(B47,'Up Min'!A:A,'Up Min'!D:D,)</f>
        <v/>
      </c>
      <c r="P47" s="55" t="str">
        <f t="array" ref="P47">_xlfn.XLOOKUP(B47,'Up Max'!A:A,'Up Max'!D:D,)</f>
        <v/>
      </c>
      <c r="Q47" s="57" t="str">
        <f t="array" ref="Q47">_xlfn.XLOOKUP(B47,'Up Stats'!A:A,'Up Stats'!E:E,)</f>
        <v/>
      </c>
      <c r="R47" s="54" t="str">
        <f>IFERROR(__xludf.DUMMYFUNCTION("if(AND(S47=FALSE,T47=FALSE),,if(S47=T47,JOIN("""",""Static: "",S47),JOIN("""",""Min:  "",S47, CHAR(10),""Max: "",T47)))"),"")</f>
        <v/>
      </c>
      <c r="S47" s="55" t="str">
        <f t="array" ref="S47">_xlfn.XLOOKUP(B47,'Up Min'!A:A,'Up Min'!E:E,)</f>
        <v/>
      </c>
      <c r="T47" s="55" t="str">
        <f t="array" ref="T47">_xlfn.XLOOKUP(B47,'Up Max'!A:A,'Up Max'!E:E,)</f>
        <v/>
      </c>
      <c r="U47" s="57" t="str">
        <f t="array" ref="U47">_xlfn.XLOOKUP(B47,'Up Stats'!A:A,'Up Stats'!F:F,)</f>
        <v/>
      </c>
      <c r="V47" s="54" t="str">
        <f>IFERROR(__xludf.DUMMYFUNCTION("if(AND(W47=FALSE,X47=FALSE),,if(W47=X47,JOIN("""",""Static: "",W47),JOIN("""",""Min:  "",W47, CHAR(10),""Max: "",X47)))"),"")</f>
        <v/>
      </c>
      <c r="W47" s="55" t="str">
        <f t="array" ref="W47">_xlfn.XLOOKUP(B47,'Up Min'!A:A,'Up Min'!F:F,)</f>
        <v/>
      </c>
      <c r="X47" s="55" t="str">
        <f t="array" ref="X47">_xlfn.XLOOKUP(B47,'Up Max'!A:A,'Up Max'!F:F,)</f>
        <v/>
      </c>
      <c r="Y47" s="57" t="str">
        <f t="array" ref="Y47">_xlfn.XLOOKUP(B47,'Up Stats'!A:A,'Up Stats'!G:G,)</f>
        <v/>
      </c>
      <c r="Z47" s="54" t="str">
        <f>IFERROR(__xludf.DUMMYFUNCTION("if(AND(AA47=FALSE,AB47=FALSE),,if(AA47=AB47,JOIN("""",""Static: "",AA47),JOIN("""",""Min:  "",AA47, CHAR(10),""Max: "",AB47)))"),"")</f>
        <v/>
      </c>
      <c r="AA47" s="55" t="str">
        <f t="array" ref="AA47">_xlfn.XLOOKUP(B47,'Up Min'!A:A,'Up Min'!G:G,)</f>
        <v/>
      </c>
      <c r="AB47" s="55" t="str">
        <f t="array" ref="AB47">_xlfn.XLOOKUP(B47,'Up Max'!A:A,'Up Max'!G:G,)</f>
        <v/>
      </c>
      <c r="AC47" s="57" t="str">
        <f t="array" ref="AC47">_xlfn.XLOOKUP(B47,'Up Stats'!A:A,'Up Stats'!H:H,)</f>
        <v/>
      </c>
      <c r="AD47" s="54" t="str">
        <f>IFERROR(__xludf.DUMMYFUNCTION("if(AND(AE47=FALSE,AF47=FALSE),,if(AE47=AF47,JOIN("""",""Static: "",AE47),JOIN("""",""Min:  "",AE47, CHAR(10),""Max: "",AF47)))"),"")</f>
        <v/>
      </c>
      <c r="AE47" s="55" t="str">
        <f t="array" ref="AE47">_xlfn.XLOOKUP(B47,'Up Min'!A:A,'Up Min'!H:H,)</f>
        <v/>
      </c>
      <c r="AF47" s="55" t="str">
        <f t="array" ref="AF47">_xlfn.XLOOKUP(B47,'Up Max'!A:A,'Up Max'!H:H,)</f>
        <v/>
      </c>
      <c r="AG47" s="57" t="str">
        <f t="array" ref="AG47">_xlfn.XLOOKUP(B47,'Up Stats'!A:A,'Up Stats'!I:I,)</f>
        <v/>
      </c>
      <c r="AH47" s="54" t="str">
        <f>IFERROR(__xludf.DUMMYFUNCTION("if(AND(AI47=FALSE,AJ47=FALSE),,if(AI47=AJ47,JOIN("""",""Static: "",AI47),JOIN("""",""Min:  "",AI47, CHAR(10),""Max: "",AJ47)))"),"")</f>
        <v/>
      </c>
      <c r="AI47" s="55" t="str">
        <f t="array" ref="AI47">_xlfn.XLOOKUP(B47,'Up Min'!A:A,'Up Min'!I:I,)</f>
        <v/>
      </c>
      <c r="AJ47" s="55" t="str">
        <f t="array" ref="AJ47">_xlfn.XLOOKUP(B47,'Up Max'!A:A,'Up Max'!I:I,)</f>
        <v/>
      </c>
      <c r="AK47" s="57" t="str">
        <f t="array" ref="AK47">_xlfn.XLOOKUP(B47,'Up Stats'!A:A,'Up Stats'!J:J,)</f>
        <v/>
      </c>
      <c r="AL47" s="54" t="str">
        <f>IFERROR(__xludf.DUMMYFUNCTION("if(AND(AM47=FALSE,AN47=FALSE),,if(AM47=AN47,JOIN("""",""Static: "",AM47),JOIN("""",""Min:  "",AM47, CHAR(10),""Max: "",AN47)))"),"")</f>
        <v/>
      </c>
      <c r="AM47" s="55" t="str">
        <f t="array" ref="AM47">_xlfn.XLOOKUP(B47,'Up Min'!A:A,'Up Min'!J:J,)</f>
        <v/>
      </c>
      <c r="AN47" s="55" t="str">
        <f t="array" ref="AN47">_xlfn.XLOOKUP(B47,'Up Max'!A:A,'Up Max'!J:J,)</f>
        <v/>
      </c>
      <c r="AO47" s="51" t="str">
        <f t="array" ref="AO47">CONCATENATE(_xlfn.XLOOKUP(B47,'Up Cells'!A:A,'Up Cells'!B:B,))</f>
        <v/>
      </c>
      <c r="AP47" s="51" t="str">
        <f t="array" ref="AP47">CONCATENATE(_xlfn.XLOOKUP(B47,'Up Rarity'!A:A,'Up Rarity'!B:B,),CHAR(10),"-")</f>
        <v>
-</v>
      </c>
    </row>
  </sheetData>
  <autoFilter ref="$A$1:$AP$47">
    <sortState ref="A1:AP47">
      <sortCondition descending="1" sortBy="cellColor" ref="AP1:AP47" dxfId="2"/>
    </sortState>
  </autoFilter>
  <conditionalFormatting sqref="AO1:AP47">
    <cfRule type="containsText" dxfId="3" priority="1" operator="containsText" text="Oddity">
      <formula>NOT(ISERROR(SEARCH(("Oddity"),(AO1))))</formula>
    </cfRule>
  </conditionalFormatting>
  <conditionalFormatting sqref="AO1:AP47">
    <cfRule type="containsText" dxfId="4" priority="2" operator="containsText" text="Exotic">
      <formula>NOT(ISERROR(SEARCH(("Exotic"),(AO1))))</formula>
    </cfRule>
  </conditionalFormatting>
  <conditionalFormatting sqref="AO1:AP47">
    <cfRule type="containsText" dxfId="5" priority="3" operator="containsText" text="Epic">
      <formula>NOT(ISERROR(SEARCH(("Epic"),(AO1))))</formula>
    </cfRule>
  </conditionalFormatting>
  <conditionalFormatting sqref="AO1:AP47">
    <cfRule type="containsText" dxfId="6" priority="4" operator="containsText" text="Rare">
      <formula>NOT(ISERROR(SEARCH(("Rare"),(AO1))))</formula>
    </cfRule>
  </conditionalFormatting>
  <conditionalFormatting sqref="AO1:AP47">
    <cfRule type="containsText" dxfId="7" priority="5" operator="containsText" text="Standard">
      <formula>NOT(ISERROR(SEARCH(("Standard"),(AO1))))</formula>
    </cfRule>
  </conditionalFormatting>
  <conditionalFormatting sqref="AO1:AP47">
    <cfRule type="containsText" dxfId="8" priority="6" operator="containsText" text="Contraband">
      <formula>NOT(ISERROR(SEARCH(("Contraband"),(AO1))))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12.63"/>
    <col customWidth="1" min="3" max="4" width="31.38"/>
    <col customWidth="1" min="5" max="6" width="12.63"/>
    <col customWidth="1" hidden="1" min="7" max="8" width="12.63"/>
    <col customWidth="1" min="9" max="10" width="12.63"/>
    <col customWidth="1" hidden="1" min="11" max="12" width="12.63"/>
    <col customWidth="1" min="13" max="14" width="12.63"/>
    <col customWidth="1" hidden="1" min="15" max="16" width="12.63"/>
    <col customWidth="1" min="17" max="18" width="12.63"/>
    <col customWidth="1" hidden="1" min="19" max="20" width="12.63"/>
    <col customWidth="1" min="21" max="22" width="12.63"/>
    <col customWidth="1" hidden="1" min="23" max="24" width="12.63"/>
    <col customWidth="1" min="25" max="26" width="12.63"/>
    <col customWidth="1" hidden="1" min="27" max="28" width="12.63"/>
    <col customWidth="1" min="29" max="30" width="12.63"/>
    <col customWidth="1" hidden="1" min="31" max="32" width="12.63"/>
    <col customWidth="1" min="33" max="34" width="12.63"/>
    <col customWidth="1" hidden="1" min="35" max="36" width="12.63"/>
    <col customWidth="1" min="37" max="38" width="12.63"/>
    <col customWidth="1" hidden="1" min="39" max="40" width="12.63"/>
    <col customWidth="1" min="41" max="42" width="8.25"/>
  </cols>
  <sheetData>
    <row r="1">
      <c r="A1" s="3" t="s">
        <v>1</v>
      </c>
      <c r="B1" s="9" t="s">
        <v>2</v>
      </c>
      <c r="C1" s="9" t="s">
        <v>3</v>
      </c>
      <c r="D1" s="11" t="s">
        <v>4</v>
      </c>
      <c r="E1" s="16" t="s">
        <v>6</v>
      </c>
      <c r="F1" s="19" t="s">
        <v>7</v>
      </c>
      <c r="G1" s="21" t="s">
        <v>8</v>
      </c>
      <c r="H1" s="21" t="s">
        <v>9</v>
      </c>
      <c r="I1" s="16" t="s">
        <v>6</v>
      </c>
      <c r="J1" s="19" t="s">
        <v>7</v>
      </c>
      <c r="K1" s="21" t="s">
        <v>8</v>
      </c>
      <c r="L1" s="21" t="s">
        <v>9</v>
      </c>
      <c r="M1" s="16" t="s">
        <v>6</v>
      </c>
      <c r="N1" s="19" t="s">
        <v>7</v>
      </c>
      <c r="O1" s="21" t="s">
        <v>8</v>
      </c>
      <c r="P1" s="21" t="s">
        <v>9</v>
      </c>
      <c r="Q1" s="16" t="s">
        <v>6</v>
      </c>
      <c r="R1" s="19" t="s">
        <v>7</v>
      </c>
      <c r="S1" s="21" t="s">
        <v>8</v>
      </c>
      <c r="T1" s="21" t="s">
        <v>9</v>
      </c>
      <c r="U1" s="16" t="s">
        <v>6</v>
      </c>
      <c r="V1" s="19" t="s">
        <v>7</v>
      </c>
      <c r="W1" s="21" t="s">
        <v>8</v>
      </c>
      <c r="X1" s="21" t="s">
        <v>9</v>
      </c>
      <c r="Y1" s="16" t="s">
        <v>6</v>
      </c>
      <c r="Z1" s="19" t="s">
        <v>7</v>
      </c>
      <c r="AA1" s="21" t="s">
        <v>8</v>
      </c>
      <c r="AB1" s="21" t="s">
        <v>9</v>
      </c>
      <c r="AC1" s="16" t="s">
        <v>6</v>
      </c>
      <c r="AD1" s="19" t="s">
        <v>7</v>
      </c>
      <c r="AE1" s="21" t="s">
        <v>8</v>
      </c>
      <c r="AF1" s="25" t="s">
        <v>9</v>
      </c>
      <c r="AG1" s="16" t="s">
        <v>6</v>
      </c>
      <c r="AH1" s="19" t="s">
        <v>7</v>
      </c>
      <c r="AI1" s="21" t="s">
        <v>8</v>
      </c>
      <c r="AJ1" s="21" t="s">
        <v>9</v>
      </c>
      <c r="AK1" s="16" t="s">
        <v>6</v>
      </c>
      <c r="AL1" s="19" t="s">
        <v>7</v>
      </c>
      <c r="AM1" s="21" t="s">
        <v>8</v>
      </c>
      <c r="AN1" s="21" t="s">
        <v>9</v>
      </c>
      <c r="AO1" s="11" t="s">
        <v>12</v>
      </c>
      <c r="AP1" s="22" t="s">
        <v>13</v>
      </c>
    </row>
    <row r="2">
      <c r="A2" s="31" t="str">
        <f t="array" ref="A2">_xlfn.XLOOKUP(B2,'Up Icon'!A:A,'Up Icon'!B:B,)</f>
        <v/>
      </c>
      <c r="B2" s="34" t="str">
        <f t="array" ref="B2">HYPERLINK(_xlfn.XLOOKUP('Up Names'!B32,'Up Wiki'!A:A,'Up Wiki'!B:B,),'Up Names'!B32)</f>
        <v>Edge Fault</v>
      </c>
      <c r="C2" s="37" t="str">
        <f t="array" ref="C2">_xlfn.XLOOKUP(B2,'Up Desc'!A:A,'Up Desc'!B:B,)</f>
        <v>Increases the size of your upgrade grid.</v>
      </c>
      <c r="D2" s="37" t="str">
        <f t="array" ref="D2">_xlfn.XLOOKUP(B2,'Up Turbo'!A:A,'Up Turbo'!B:B,)</f>
        <v>n/a</v>
      </c>
      <c r="E2" s="39" t="str">
        <f t="array" ref="E2">_xlfn.XLOOKUP(B2,'Up Stats'!A:A,'Up Stats'!B:B,)</f>
        <v/>
      </c>
      <c r="F2" s="40" t="str">
        <f>IFERROR(__xludf.DUMMYFUNCTION("if(AND(G2=FALSE,H2=FALSE),,if(G2=H2,JOIN("""",""Static: "",G2),JOIN("""",""Min:  "",G2, CHAR(10),""Max: "",H2)))"),"")</f>
        <v/>
      </c>
      <c r="G2" s="42" t="str">
        <f t="array" ref="G2">_xlfn.XLOOKUP(B2,'Up Min'!A:A,'Up Min'!B:B,)</f>
        <v/>
      </c>
      <c r="H2" s="45" t="str">
        <f t="array" ref="H2">_xlfn.XLOOKUP(B2,'Up Max'!A:A,'Up Max'!B:B,)</f>
        <v/>
      </c>
      <c r="I2" s="39" t="str">
        <f t="array" ref="I2">_xlfn.XLOOKUP(B2,'Up Stats'!A:A,'Up Stats'!C:C,)</f>
        <v/>
      </c>
      <c r="J2" s="40" t="str">
        <f>IFERROR(__xludf.DUMMYFUNCTION("if(AND(K2=FALSE,L2=FALSE),,if(K2=L2,JOIN("""",""Static: "",K2),JOIN("""",""Min:  "",K2, CHAR(10),""Max: "",L2)))"),"")</f>
        <v/>
      </c>
      <c r="K2" s="42" t="str">
        <f t="array" ref="K2">_xlfn.XLOOKUP(B2,'Up Min'!A:A,'Up Min'!C:C,)</f>
        <v/>
      </c>
      <c r="L2" s="42" t="str">
        <f t="array" ref="L2">_xlfn.XLOOKUP(B2,'Up Max'!A:A,'Up Max'!C:C,)</f>
        <v/>
      </c>
      <c r="M2" s="48" t="str">
        <f t="array" ref="M2">_xlfn.XLOOKUP(B2,'Up Stats'!A:A,'Up Stats'!D:D,)</f>
        <v/>
      </c>
      <c r="N2" s="40" t="str">
        <f>IFERROR(__xludf.DUMMYFUNCTION("if(AND(O2=FALSE,P2=FALSE),,if(O2=P2,JOIN("""",""Static: "",O2),JOIN("""",""Min:  "",O2, CHAR(10),""Max: "",P2)))"),"")</f>
        <v/>
      </c>
      <c r="O2" s="42" t="str">
        <f t="array" ref="O2">_xlfn.XLOOKUP(B2,'Up Min'!A:A,'Up Min'!D:D,)</f>
        <v/>
      </c>
      <c r="P2" s="42" t="str">
        <f t="array" ref="P2">_xlfn.XLOOKUP(B2,'Up Max'!A:A,'Up Max'!D:D,)</f>
        <v/>
      </c>
      <c r="Q2" s="48" t="str">
        <f t="array" ref="Q2">_xlfn.XLOOKUP(B2,'Up Stats'!A:A,'Up Stats'!E:E,)</f>
        <v/>
      </c>
      <c r="R2" s="40" t="str">
        <f>IFERROR(__xludf.DUMMYFUNCTION("if(AND(S2=FALSE,T2=FALSE),,if(S2=T2,JOIN("""",""Static: "",S2),JOIN("""",""Min:  "",S2, CHAR(10),""Max: "",T2)))"),"")</f>
        <v/>
      </c>
      <c r="S2" s="42" t="str">
        <f t="array" ref="S2">_xlfn.XLOOKUP(B2,'Up Min'!A:A,'Up Min'!E:E,)</f>
        <v/>
      </c>
      <c r="T2" s="42" t="str">
        <f t="array" ref="T2">_xlfn.XLOOKUP(B2,'Up Max'!A:A,'Up Max'!E:E,)</f>
        <v/>
      </c>
      <c r="U2" s="48" t="str">
        <f t="array" ref="U2">_xlfn.XLOOKUP(B2,'Up Stats'!A:A,'Up Stats'!F:F,)</f>
        <v/>
      </c>
      <c r="V2" s="40" t="str">
        <f>IFERROR(__xludf.DUMMYFUNCTION("if(AND(W2=FALSE,X2=FALSE),,if(W2=X2,JOIN("""",""Static: "",W2),JOIN("""",""Min:  "",W2, CHAR(10),""Max: "",X2)))"),"")</f>
        <v/>
      </c>
      <c r="W2" s="42" t="str">
        <f t="array" ref="W2">_xlfn.XLOOKUP(B2,'Up Min'!A:A,'Up Min'!F:F,)</f>
        <v/>
      </c>
      <c r="X2" s="42" t="str">
        <f t="array" ref="X2">_xlfn.XLOOKUP(B2,'Up Max'!A:A,'Up Max'!F:F,)</f>
        <v/>
      </c>
      <c r="Y2" s="48" t="str">
        <f t="array" ref="Y2">_xlfn.XLOOKUP(B2,'Up Stats'!A:A,'Up Stats'!G:G,)</f>
        <v/>
      </c>
      <c r="Z2" s="40" t="str">
        <f>IFERROR(__xludf.DUMMYFUNCTION("if(AND(AA2=FALSE,AB2=FALSE),,if(AA2=AB2,JOIN("""",""Static: "",AA2),JOIN("""",""Min:  "",AA2, CHAR(10),""Max: "",AB2)))"),"")</f>
        <v/>
      </c>
      <c r="AA2" s="42" t="str">
        <f t="array" ref="AA2">_xlfn.XLOOKUP(B2,'Up Min'!A:A,'Up Min'!G:G,)</f>
        <v/>
      </c>
      <c r="AB2" s="42" t="str">
        <f t="array" ref="AB2">_xlfn.XLOOKUP(B2,'Up Max'!A:A,'Up Max'!G:G,)</f>
        <v/>
      </c>
      <c r="AC2" s="48" t="str">
        <f t="array" ref="AC2">_xlfn.XLOOKUP(B2,'Up Stats'!A:A,'Up Stats'!H:H,)</f>
        <v/>
      </c>
      <c r="AD2" s="40" t="str">
        <f>IFERROR(__xludf.DUMMYFUNCTION("if(AND(AE2=FALSE,AF2=FALSE),,if(AE2=AF2,JOIN("""",""Static: "",AE2),JOIN("""",""Min:  "",AE2, CHAR(10),""Max: "",AF2)))"),"")</f>
        <v/>
      </c>
      <c r="AE2" s="45" t="str">
        <f t="array" ref="AE2">_xlfn.XLOOKUP(B2,'Up Min'!A:A,'Up Min'!H:H,)</f>
        <v/>
      </c>
      <c r="AF2" s="42" t="str">
        <f t="array" ref="AF2">_xlfn.XLOOKUP(B2,'Up Max'!A:A,'Up Max'!H:H,)</f>
        <v/>
      </c>
      <c r="AG2" s="39" t="str">
        <f t="array" ref="AG2">_xlfn.XLOOKUP(B2,'Up Stats'!A:A,'Up Stats'!I:I,)</f>
        <v/>
      </c>
      <c r="AH2" s="40" t="str">
        <f>IFERROR(__xludf.DUMMYFUNCTION("if(AND(AI2=FALSE,AJ2=FALSE),,if(AI2=AJ2,JOIN("""",""Static: "",AI2),JOIN("""",""Min:  "",AI2, CHAR(10),""Max: "",AJ2)))"),"")</f>
        <v/>
      </c>
      <c r="AI2" s="45" t="str">
        <f t="array" ref="AI2">_xlfn.XLOOKUP(B2,'Up Min'!A:A,'Up Min'!I:I,)</f>
        <v/>
      </c>
      <c r="AJ2" s="45" t="str">
        <f t="array" ref="AJ2">_xlfn.XLOOKUP(B2,'Up Max'!A:A,'Up Max'!I:I,)</f>
        <v/>
      </c>
      <c r="AK2" s="39" t="str">
        <f t="array" ref="AK2">_xlfn.XLOOKUP(B2,'Up Stats'!A:A,'Up Stats'!J:J,)</f>
        <v/>
      </c>
      <c r="AL2" s="40" t="str">
        <f>IFERROR(__xludf.DUMMYFUNCTION("if(AND(AM2=FALSE,AN2=FALSE),,if(AM2=AN2,JOIN("""",""Static: "",AM2),JOIN("""",""Min:  "",AM2, CHAR(10),""Max: "",AN2)))"),"")</f>
        <v/>
      </c>
      <c r="AM2" s="45" t="str">
        <f t="array" ref="AM2">_xlfn.XLOOKUP(B2,'Up Min'!A:A,'Up Min'!J:J,)</f>
        <v/>
      </c>
      <c r="AN2" s="45" t="str">
        <f t="array" ref="AN2">_xlfn.XLOOKUP(B2,'Up Max'!A:A,'Up Max'!J:J,)</f>
        <v/>
      </c>
      <c r="AO2" s="34" t="str">
        <f t="array" ref="AO2">CONCATENATE(_xlfn.XLOOKUP(B2,'Up Cells'!A:A,'Up Cells'!B:B,))</f>
        <v>1</v>
      </c>
      <c r="AP2" s="58" t="str">
        <f t="array" ref="AP2">CONCATENATE(_xlfn.XLOOKUP(B2,'Up Rarity'!A:A,'Up Rarity'!B:B,),CHAR(10),"-")</f>
        <v>Contraband
-</v>
      </c>
    </row>
    <row r="3">
      <c r="A3" s="31" t="str">
        <f t="array" ref="A3">_xlfn.XLOOKUP(B3,'Up Icon'!A:A,'Up Icon'!B:B,)</f>
        <v/>
      </c>
      <c r="B3" s="51" t="str">
        <f t="array" ref="B3">HYPERLINK(_xlfn.XLOOKUP('Up Names'!B33,'Up Wiki'!A:A,'Up Wiki'!B:B,),'Up Names'!B33)</f>
        <v>Multiversal Thievery</v>
      </c>
      <c r="C3" s="52" t="str">
        <f t="array" ref="C3">_xlfn.XLOOKUP(B3,'Up Desc'!A:A,'Up Desc'!B:B,)</f>
        <v>Commandeers 1 column from each of your other upgrade grids.</v>
      </c>
      <c r="D3" s="52" t="str">
        <f t="array" ref="D3">_xlfn.XLOOKUP(B3,'Up Turbo'!A:A,'Up Turbo'!B:B,)</f>
        <v>n/a</v>
      </c>
      <c r="E3" s="53" t="str">
        <f t="array" ref="E3">_xlfn.XLOOKUP(B3,'Up Stats'!A:A,'Up Stats'!B:B,)</f>
        <v/>
      </c>
      <c r="F3" s="54" t="str">
        <f>IFERROR(__xludf.DUMMYFUNCTION("if(AND(G3=FALSE,H3=FALSE),,if(G3=H3,JOIN("""",""Static: "",G3),JOIN("""",""Min:  "",G3, CHAR(10),""Max: "",H3)))"),"")</f>
        <v/>
      </c>
      <c r="G3" s="55" t="str">
        <f t="array" ref="G3">_xlfn.XLOOKUP(B3,'Up Min'!A:A,'Up Min'!B:B,)</f>
        <v/>
      </c>
      <c r="H3" s="56" t="str">
        <f t="array" ref="H3">_xlfn.XLOOKUP(B3,'Up Max'!A:A,'Up Max'!B:B,)</f>
        <v/>
      </c>
      <c r="I3" s="53" t="str">
        <f t="array" ref="I3">_xlfn.XLOOKUP(B3,'Up Stats'!A:A,'Up Stats'!C:C,)</f>
        <v/>
      </c>
      <c r="J3" s="54" t="str">
        <f>IFERROR(__xludf.DUMMYFUNCTION("if(AND(K3=FALSE,L3=FALSE),,if(K3=L3,JOIN("""",""Static: "",K3),JOIN("""",""Min:  "",K3, CHAR(10),""Max: "",L3)))"),"")</f>
        <v/>
      </c>
      <c r="K3" s="55" t="str">
        <f t="array" ref="K3">_xlfn.XLOOKUP(B3,'Up Min'!A:A,'Up Min'!C:C,)</f>
        <v/>
      </c>
      <c r="L3" s="55" t="str">
        <f t="array" ref="L3">_xlfn.XLOOKUP(B3,'Up Max'!A:A,'Up Max'!C:C,)</f>
        <v/>
      </c>
      <c r="M3" s="57" t="str">
        <f t="array" ref="M3">_xlfn.XLOOKUP(B3,'Up Stats'!A:A,'Up Stats'!D:D,)</f>
        <v/>
      </c>
      <c r="N3" s="54" t="str">
        <f>IFERROR(__xludf.DUMMYFUNCTION("if(AND(O3=FALSE,P3=FALSE),,if(O3=P3,JOIN("""",""Static: "",O3),JOIN("""",""Min:  "",O3, CHAR(10),""Max: "",P3)))"),"")</f>
        <v/>
      </c>
      <c r="O3" s="55" t="str">
        <f t="array" ref="O3">_xlfn.XLOOKUP(B3,'Up Min'!A:A,'Up Min'!D:D,)</f>
        <v/>
      </c>
      <c r="P3" s="55" t="str">
        <f t="array" ref="P3">_xlfn.XLOOKUP(B3,'Up Max'!A:A,'Up Max'!D:D,)</f>
        <v/>
      </c>
      <c r="Q3" s="57" t="str">
        <f t="array" ref="Q3">_xlfn.XLOOKUP(B3,'Up Stats'!A:A,'Up Stats'!E:E,)</f>
        <v/>
      </c>
      <c r="R3" s="54" t="str">
        <f>IFERROR(__xludf.DUMMYFUNCTION("if(AND(S3=FALSE,T3=FALSE),,if(S3=T3,JOIN("""",""Static: "",S3),JOIN("""",""Min:  "",S3, CHAR(10),""Max: "",T3)))"),"")</f>
        <v/>
      </c>
      <c r="S3" s="55" t="str">
        <f t="array" ref="S3">_xlfn.XLOOKUP(B3,'Up Min'!A:A,'Up Min'!E:E,)</f>
        <v/>
      </c>
      <c r="T3" s="55" t="str">
        <f t="array" ref="T3">_xlfn.XLOOKUP(B3,'Up Max'!A:A,'Up Max'!E:E,)</f>
        <v/>
      </c>
      <c r="U3" s="57" t="str">
        <f t="array" ref="U3">_xlfn.XLOOKUP(B3,'Up Stats'!A:A,'Up Stats'!F:F,)</f>
        <v/>
      </c>
      <c r="V3" s="54" t="str">
        <f>IFERROR(__xludf.DUMMYFUNCTION("if(AND(W3=FALSE,X3=FALSE),,if(W3=X3,JOIN("""",""Static: "",W3),JOIN("""",""Min:  "",W3, CHAR(10),""Max: "",X3)))"),"")</f>
        <v/>
      </c>
      <c r="W3" s="55" t="str">
        <f t="array" ref="W3">_xlfn.XLOOKUP(B3,'Up Min'!A:A,'Up Min'!F:F,)</f>
        <v/>
      </c>
      <c r="X3" s="55" t="str">
        <f t="array" ref="X3">_xlfn.XLOOKUP(B3,'Up Max'!A:A,'Up Max'!F:F,)</f>
        <v/>
      </c>
      <c r="Y3" s="57" t="str">
        <f t="array" ref="Y3">_xlfn.XLOOKUP(B3,'Up Stats'!A:A,'Up Stats'!G:G,)</f>
        <v/>
      </c>
      <c r="Z3" s="54" t="str">
        <f>IFERROR(__xludf.DUMMYFUNCTION("if(AND(AA3=FALSE,AB3=FALSE),,if(AA3=AB3,JOIN("""",""Static: "",AA3),JOIN("""",""Min:  "",AA3, CHAR(10),""Max: "",AB3)))"),"")</f>
        <v/>
      </c>
      <c r="AA3" s="55" t="str">
        <f t="array" ref="AA3">_xlfn.XLOOKUP(B3,'Up Min'!A:A,'Up Min'!G:G,)</f>
        <v/>
      </c>
      <c r="AB3" s="55" t="str">
        <f t="array" ref="AB3">_xlfn.XLOOKUP(B3,'Up Max'!A:A,'Up Max'!G:G,)</f>
        <v/>
      </c>
      <c r="AC3" s="57" t="str">
        <f t="array" ref="AC3">_xlfn.XLOOKUP(B3,'Up Stats'!A:A,'Up Stats'!H:H,)</f>
        <v/>
      </c>
      <c r="AD3" s="54" t="str">
        <f>IFERROR(__xludf.DUMMYFUNCTION("if(AND(AE3=FALSE,AF3=FALSE),,if(AE3=AF3,JOIN("""",""Static: "",AE3),JOIN("""",""Min:  "",AE3, CHAR(10),""Max: "",AF3)))"),"")</f>
        <v/>
      </c>
      <c r="AE3" s="56" t="str">
        <f t="array" ref="AE3">_xlfn.XLOOKUP(B3,'Up Min'!A:A,'Up Min'!H:H,)</f>
        <v/>
      </c>
      <c r="AF3" s="55" t="str">
        <f t="array" ref="AF3">_xlfn.XLOOKUP(B3,'Up Max'!A:A,'Up Max'!H:H,)</f>
        <v/>
      </c>
      <c r="AG3" s="53" t="str">
        <f t="array" ref="AG3">_xlfn.XLOOKUP(B3,'Up Stats'!A:A,'Up Stats'!I:I,)</f>
        <v/>
      </c>
      <c r="AH3" s="54" t="str">
        <f>IFERROR(__xludf.DUMMYFUNCTION("if(AND(AI3=FALSE,AJ3=FALSE),,if(AI3=AJ3,JOIN("""",""Static: "",AI3),JOIN("""",""Min:  "",AI3, CHAR(10),""Max: "",AJ3)))"),"")</f>
        <v/>
      </c>
      <c r="AI3" s="56" t="str">
        <f t="array" ref="AI3">_xlfn.XLOOKUP(B3,'Up Min'!A:A,'Up Min'!I:I,)</f>
        <v/>
      </c>
      <c r="AJ3" s="56" t="str">
        <f t="array" ref="AJ3">_xlfn.XLOOKUP(B3,'Up Max'!A:A,'Up Max'!I:I,)</f>
        <v/>
      </c>
      <c r="AK3" s="53" t="str">
        <f t="array" ref="AK3">_xlfn.XLOOKUP(B3,'Up Stats'!A:A,'Up Stats'!J:J,)</f>
        <v/>
      </c>
      <c r="AL3" s="54" t="str">
        <f>IFERROR(__xludf.DUMMYFUNCTION("if(AND(AM3=FALSE,AN3=FALSE),,if(AM3=AN3,JOIN("""",""Static: "",AM3),JOIN("""",""Min:  "",AM3, CHAR(10),""Max: "",AN3)))"),"")</f>
        <v/>
      </c>
      <c r="AM3" s="56" t="str">
        <f t="array" ref="AM3">_xlfn.XLOOKUP(B3,'Up Min'!A:A,'Up Min'!J:J,)</f>
        <v/>
      </c>
      <c r="AN3" s="56" t="str">
        <f t="array" ref="AN3">_xlfn.XLOOKUP(B3,'Up Max'!A:A,'Up Max'!J:J,)</f>
        <v/>
      </c>
      <c r="AO3" s="51" t="str">
        <f t="array" ref="AO3">CONCATENATE(_xlfn.XLOOKUP(B3,'Up Cells'!A:A,'Up Cells'!B:B,))</f>
        <v>1</v>
      </c>
      <c r="AP3" s="61" t="str">
        <f t="array" ref="AP3">CONCATENATE(_xlfn.XLOOKUP(B3,'Up Rarity'!A:A,'Up Rarity'!B:B,),CHAR(10),"-")</f>
        <v>Contraband
-</v>
      </c>
    </row>
    <row r="4">
      <c r="A4" s="60" t="str">
        <f t="array" ref="A4">_xlfn.XLOOKUP(B4,'Up Icon'!A:A,'Up Icon'!B:B,)</f>
        <v/>
      </c>
      <c r="B4" s="34" t="str">
        <f t="array" ref="B4">HYPERLINK(_xlfn.XLOOKUP('Up Names'!B34,'Up Wiki'!A:A,'Up Wiki'!B:B,),'Up Names'!B34)</f>
        <v>Boundary Incursion</v>
      </c>
      <c r="C4" s="37" t="str">
        <f t="array" ref="C4">_xlfn.XLOOKUP(B4,'Up Desc'!A:A,'Up Desc'!B:B,)</f>
        <v>Increases the size of your upgrade grid.</v>
      </c>
      <c r="D4" s="37" t="str">
        <f t="array" ref="D4">_xlfn.XLOOKUP(B4,'Up Turbo'!A:A,'Up Turbo'!B:B,)</f>
        <v>n/a</v>
      </c>
      <c r="E4" s="39" t="str">
        <f t="array" ref="E4">_xlfn.XLOOKUP(B4,'Up Stats'!A:A,'Up Stats'!B:B,)</f>
        <v/>
      </c>
      <c r="F4" s="40" t="str">
        <f>IFERROR(__xludf.DUMMYFUNCTION("if(AND(G4=FALSE,H4=FALSE),,if(G4=H4,JOIN("""",""Static: "",G4),JOIN("""",""Min:  "",G4, CHAR(10),""Max: "",H4)))"),"")</f>
        <v/>
      </c>
      <c r="G4" s="42" t="str">
        <f t="array" ref="G4">_xlfn.XLOOKUP(B4,'Up Min'!A:A,'Up Min'!B:B,)</f>
        <v/>
      </c>
      <c r="H4" s="45" t="str">
        <f t="array" ref="H4">_xlfn.XLOOKUP(B4,'Up Max'!A:A,'Up Max'!B:B,)</f>
        <v/>
      </c>
      <c r="I4" s="39" t="str">
        <f t="array" ref="I4">_xlfn.XLOOKUP(B4,'Up Stats'!A:A,'Up Stats'!C:C,)</f>
        <v/>
      </c>
      <c r="J4" s="40" t="str">
        <f>IFERROR(__xludf.DUMMYFUNCTION("if(AND(K4=FALSE,L4=FALSE),,if(K4=L4,JOIN("""",""Static: "",K4),JOIN("""",""Min:  "",K4, CHAR(10),""Max: "",L4)))"),"")</f>
        <v/>
      </c>
      <c r="K4" s="42" t="str">
        <f t="array" ref="K4">_xlfn.XLOOKUP(B4,'Up Min'!A:A,'Up Min'!C:C,)</f>
        <v/>
      </c>
      <c r="L4" s="42" t="str">
        <f t="array" ref="L4">_xlfn.XLOOKUP(B4,'Up Max'!A:A,'Up Max'!C:C,)</f>
        <v/>
      </c>
      <c r="M4" s="48" t="str">
        <f t="array" ref="M4">_xlfn.XLOOKUP(B4,'Up Stats'!A:A,'Up Stats'!D:D,)</f>
        <v/>
      </c>
      <c r="N4" s="40" t="str">
        <f>IFERROR(__xludf.DUMMYFUNCTION("if(AND(O4=FALSE,P4=FALSE),,if(O4=P4,JOIN("""",""Static: "",O4),JOIN("""",""Min:  "",O4, CHAR(10),""Max: "",P4)))"),"")</f>
        <v/>
      </c>
      <c r="O4" s="42" t="str">
        <f t="array" ref="O4">_xlfn.XLOOKUP(B4,'Up Min'!A:A,'Up Min'!D:D,)</f>
        <v/>
      </c>
      <c r="P4" s="42" t="str">
        <f t="array" ref="P4">_xlfn.XLOOKUP(B4,'Up Max'!A:A,'Up Max'!D:D,)</f>
        <v/>
      </c>
      <c r="Q4" s="48" t="str">
        <f t="array" ref="Q4">_xlfn.XLOOKUP(B4,'Up Stats'!A:A,'Up Stats'!E:E,)</f>
        <v/>
      </c>
      <c r="R4" s="40" t="str">
        <f>IFERROR(__xludf.DUMMYFUNCTION("if(AND(S4=FALSE,T4=FALSE),,if(S4=T4,JOIN("""",""Static: "",S4),JOIN("""",""Min:  "",S4, CHAR(10),""Max: "",T4)))"),"")</f>
        <v/>
      </c>
      <c r="S4" s="42" t="str">
        <f t="array" ref="S4">_xlfn.XLOOKUP(B4,'Up Min'!A:A,'Up Min'!E:E,)</f>
        <v/>
      </c>
      <c r="T4" s="42" t="str">
        <f t="array" ref="T4">_xlfn.XLOOKUP(B4,'Up Max'!A:A,'Up Max'!E:E,)</f>
        <v/>
      </c>
      <c r="U4" s="48" t="str">
        <f t="array" ref="U4">_xlfn.XLOOKUP(B4,'Up Stats'!A:A,'Up Stats'!F:F,)</f>
        <v/>
      </c>
      <c r="V4" s="40" t="str">
        <f>IFERROR(__xludf.DUMMYFUNCTION("if(AND(W4=FALSE,X4=FALSE),,if(W4=X4,JOIN("""",""Static: "",W4),JOIN("""",""Min:  "",W4, CHAR(10),""Max: "",X4)))"),"")</f>
        <v/>
      </c>
      <c r="W4" s="42" t="str">
        <f t="array" ref="W4">_xlfn.XLOOKUP(B4,'Up Min'!A:A,'Up Min'!F:F,)</f>
        <v/>
      </c>
      <c r="X4" s="42" t="str">
        <f t="array" ref="X4">_xlfn.XLOOKUP(B4,'Up Max'!A:A,'Up Max'!F:F,)</f>
        <v/>
      </c>
      <c r="Y4" s="48" t="str">
        <f t="array" ref="Y4">_xlfn.XLOOKUP(B4,'Up Stats'!A:A,'Up Stats'!G:G,)</f>
        <v/>
      </c>
      <c r="Z4" s="40" t="str">
        <f>IFERROR(__xludf.DUMMYFUNCTION("if(AND(AA4=FALSE,AB4=FALSE),,if(AA4=AB4,JOIN("""",""Static: "",AA4),JOIN("""",""Min:  "",AA4, CHAR(10),""Max: "",AB4)))"),"")</f>
        <v/>
      </c>
      <c r="AA4" s="42" t="str">
        <f t="array" ref="AA4">_xlfn.XLOOKUP(B4,'Up Min'!A:A,'Up Min'!G:G,)</f>
        <v/>
      </c>
      <c r="AB4" s="42" t="str">
        <f t="array" ref="AB4">_xlfn.XLOOKUP(B4,'Up Max'!A:A,'Up Max'!G:G,)</f>
        <v/>
      </c>
      <c r="AC4" s="48" t="str">
        <f t="array" ref="AC4">_xlfn.XLOOKUP(B4,'Up Stats'!A:A,'Up Stats'!H:H,)</f>
        <v/>
      </c>
      <c r="AD4" s="40" t="str">
        <f>IFERROR(__xludf.DUMMYFUNCTION("if(AND(AE4=FALSE,AF4=FALSE),,if(AE4=AF4,JOIN("""",""Static: "",AE4),JOIN("""",""Min:  "",AE4, CHAR(10),""Max: "",AF4)))"),"")</f>
        <v/>
      </c>
      <c r="AE4" s="45" t="str">
        <f t="array" ref="AE4">_xlfn.XLOOKUP(B4,'Up Min'!A:A,'Up Min'!H:H,)</f>
        <v/>
      </c>
      <c r="AF4" s="42" t="str">
        <f t="array" ref="AF4">_xlfn.XLOOKUP(B4,'Up Max'!A:A,'Up Max'!H:H,)</f>
        <v/>
      </c>
      <c r="AG4" s="39" t="str">
        <f t="array" ref="AG4">_xlfn.XLOOKUP(B4,'Up Stats'!A:A,'Up Stats'!I:I,)</f>
        <v/>
      </c>
      <c r="AH4" s="40" t="str">
        <f>IFERROR(__xludf.DUMMYFUNCTION("if(AND(AI4=FALSE,AJ4=FALSE),,if(AI4=AJ4,JOIN("""",""Static: "",AI4),JOIN("""",""Min:  "",AI4, CHAR(10),""Max: "",AJ4)))"),"")</f>
        <v/>
      </c>
      <c r="AI4" s="45" t="str">
        <f t="array" ref="AI4">_xlfn.XLOOKUP(B4,'Up Min'!A:A,'Up Min'!I:I,)</f>
        <v/>
      </c>
      <c r="AJ4" s="45" t="str">
        <f t="array" ref="AJ4">_xlfn.XLOOKUP(B4,'Up Max'!A:A,'Up Max'!I:I,)</f>
        <v/>
      </c>
      <c r="AK4" s="39" t="str">
        <f t="array" ref="AK4">_xlfn.XLOOKUP(B4,'Up Stats'!A:A,'Up Stats'!J:J,)</f>
        <v/>
      </c>
      <c r="AL4" s="40" t="str">
        <f>IFERROR(__xludf.DUMMYFUNCTION("if(AND(AM4=FALSE,AN4=FALSE),,if(AM4=AN4,JOIN("""",""Static: "",AM4),JOIN("""",""Min:  "",AM4, CHAR(10),""Max: "",AN4)))"),"")</f>
        <v/>
      </c>
      <c r="AM4" s="45" t="str">
        <f t="array" ref="AM4">_xlfn.XLOOKUP(B4,'Up Min'!A:A,'Up Min'!J:J,)</f>
        <v/>
      </c>
      <c r="AN4" s="45" t="str">
        <f t="array" ref="AN4">_xlfn.XLOOKUP(B4,'Up Max'!A:A,'Up Max'!J:J,)</f>
        <v/>
      </c>
      <c r="AO4" s="34" t="str">
        <f t="array" ref="AO4">CONCATENATE(_xlfn.XLOOKUP(B4,'Up Cells'!A:A,'Up Cells'!B:B,))</f>
        <v>1</v>
      </c>
      <c r="AP4" s="58" t="str">
        <f t="array" ref="AP4">CONCATENATE(_xlfn.XLOOKUP(B4,'Up Rarity'!A:A,'Up Rarity'!B:B,),CHAR(10),"-")</f>
        <v>Oddity
-</v>
      </c>
    </row>
    <row r="5">
      <c r="A5" s="62" t="str">
        <f t="array" ref="A5">_xlfn.XLOOKUP(B5,'Up Icon'!A:A,'Up Icon'!B:B,)</f>
        <v/>
      </c>
      <c r="B5" s="63" t="str">
        <f t="array" ref="B5">HYPERLINK(_xlfn.XLOOKUP('Up Names'!B2,'Up Wiki'!A:A,'Up Wiki'!B:B,),'Up Names'!B2)</f>
        <v>All Powdered Up</v>
      </c>
      <c r="C5" s="52" t="str">
        <f t="array" ref="C5">_xlfn.XLOOKUP(B5,'Up Desc'!A:A,'Up Desc'!B:B,)</f>
        <v>While airborne, firing a shot pushes you backwards. Force increases as mag size decreases.</v>
      </c>
      <c r="D5" s="52" t="str">
        <f t="array" ref="D5">_xlfn.XLOOKUP(B5,'Up Turbo'!A:A,'Up Turbo'!B:B,)</f>
        <v>[Redacted]</v>
      </c>
      <c r="E5" s="53" t="str">
        <f t="array" ref="E5">_xlfn.XLOOKUP(B5,'Up Stats'!A:A,'Up Stats'!B:B,)</f>
        <v>Force</v>
      </c>
      <c r="F5" s="54" t="str">
        <f>IFERROR(__xludf.DUMMYFUNCTION("if(AND(G5=FALSE,H5=FALSE),,if(G5=H5,JOIN("""",""Static: "",G5),JOIN("""",""Min:  "",G5, CHAR(10),""Max: "",H5)))"),"Min:  49.2
Max: 60")</f>
        <v>Min:  49.2
Max: 60</v>
      </c>
      <c r="G5" s="64">
        <f t="array" ref="G5">_xlfn.XLOOKUP(B5,'Up Min'!A:A,'Up Min'!B:B,)</f>
        <v>49.2</v>
      </c>
      <c r="H5" s="65">
        <f t="array" ref="H5">_xlfn.XLOOKUP(B5,'Up Max'!A:A,'Up Max'!B:B,)</f>
        <v>60</v>
      </c>
      <c r="I5" s="53" t="str">
        <f t="array" ref="I5">_xlfn.XLOOKUP(B5,'Up Stats'!A:A,'Up Stats'!C:C,)</f>
        <v>Range</v>
      </c>
      <c r="J5" s="54" t="str">
        <f>IFERROR(__xludf.DUMMYFUNCTION("if(AND(K5=FALSE,L5=FALSE),,if(K5=L5,JOIN("""",""Static: "",K5),JOIN("""",""Min:  "",K5, CHAR(10),""Max: "",L5)))"),"Min:  4.5
Max: 6.5")</f>
        <v>Min:  4.5
Max: 6.5</v>
      </c>
      <c r="K5" s="55">
        <f t="array" ref="K5">_xlfn.XLOOKUP(B5,'Up Min'!A:A,'Up Min'!C:C,)</f>
        <v>4.5</v>
      </c>
      <c r="L5" s="55">
        <f t="array" ref="L5">_xlfn.XLOOKUP(B5,'Up Max'!A:A,'Up Max'!C:C,)</f>
        <v>6.5</v>
      </c>
      <c r="M5" s="57" t="str">
        <f t="array" ref="M5">_xlfn.XLOOKUP(B5,'Up Stats'!A:A,'Up Stats'!D:D,)</f>
        <v/>
      </c>
      <c r="N5" s="54" t="str">
        <f>IFERROR(__xludf.DUMMYFUNCTION("if(AND(O5=FALSE,P5=FALSE),,if(O5=P5,JOIN("""",""Static: "",O5),JOIN("""",""Min:  "",O5, CHAR(10),""Max: "",P5)))"),"")</f>
        <v/>
      </c>
      <c r="O5" s="72" t="str">
        <f t="array" ref="O5">_xlfn.XLOOKUP(B5,'Up Min'!A:A,'Up Min'!D:D,)</f>
        <v/>
      </c>
      <c r="P5" s="73" t="str">
        <f t="array" ref="P5">_xlfn.XLOOKUP(B5,'Up Max'!A:A,'Up Max'!D:D,)</f>
        <v/>
      </c>
      <c r="Q5" s="57" t="str">
        <f t="array" ref="Q5">_xlfn.XLOOKUP(B5,'Up Stats'!A:A,'Up Stats'!E:E,)</f>
        <v/>
      </c>
      <c r="R5" s="54" t="str">
        <f>IFERROR(__xludf.DUMMYFUNCTION("if(AND(S5=FALSE,T5=FALSE),,if(S5=T5,JOIN("""",""Static: "",S5),JOIN("""",""Min:  "",S5, CHAR(10),""Max: "",T5)))"),"")</f>
        <v/>
      </c>
      <c r="S5" s="55" t="str">
        <f t="array" ref="S5">_xlfn.XLOOKUP(B5,'Up Min'!A:A,'Up Min'!E:E,)</f>
        <v/>
      </c>
      <c r="T5" s="55" t="str">
        <f t="array" ref="T5">_xlfn.XLOOKUP(B5,'Up Max'!A:A,'Up Max'!E:E,)</f>
        <v/>
      </c>
      <c r="U5" s="57" t="str">
        <f t="array" ref="U5">_xlfn.XLOOKUP(B5,'Up Stats'!A:A,'Up Stats'!F:F,)</f>
        <v/>
      </c>
      <c r="V5" s="54" t="str">
        <f>IFERROR(__xludf.DUMMYFUNCTION("if(AND(W5=FALSE,X5=FALSE),,if(W5=X5,JOIN("""",""Static: "",W5),JOIN("""",""Min:  "",W5, CHAR(10),""Max: "",X5)))"),"")</f>
        <v/>
      </c>
      <c r="W5" s="55" t="str">
        <f t="array" ref="W5">_xlfn.XLOOKUP(B5,'Up Min'!A:A,'Up Min'!F:F,)</f>
        <v/>
      </c>
      <c r="X5" s="55" t="str">
        <f t="array" ref="X5">_xlfn.XLOOKUP(B5,'Up Max'!A:A,'Up Max'!F:F,)</f>
        <v/>
      </c>
      <c r="Y5" s="57" t="str">
        <f t="array" ref="Y5">_xlfn.XLOOKUP(B5,'Up Stats'!A:A,'Up Stats'!G:G,)</f>
        <v/>
      </c>
      <c r="Z5" s="54" t="str">
        <f>IFERROR(__xludf.DUMMYFUNCTION("if(AND(AA5=FALSE,AB5=FALSE),,if(AA5=AB5,JOIN("""",""Static: "",AA5),JOIN("""",""Min:  "",AA5, CHAR(10),""Max: "",AB5)))"),"")</f>
        <v/>
      </c>
      <c r="AA5" s="55" t="str">
        <f t="array" ref="AA5">_xlfn.XLOOKUP(B5,'Up Min'!A:A,'Up Min'!G:G,)</f>
        <v/>
      </c>
      <c r="AB5" s="55" t="str">
        <f t="array" ref="AB5">_xlfn.XLOOKUP(B5,'Up Max'!A:A,'Up Max'!G:G,)</f>
        <v/>
      </c>
      <c r="AC5" s="57" t="str">
        <f t="array" ref="AC5">_xlfn.XLOOKUP(B5,'Up Stats'!A:A,'Up Stats'!H:H,)</f>
        <v/>
      </c>
      <c r="AD5" s="54" t="str">
        <f>IFERROR(__xludf.DUMMYFUNCTION("if(AND(AE5=FALSE,AF5=FALSE),,if(AE5=AF5,JOIN("""",""Static: "",AE5),JOIN("""",""Min:  "",AE5, CHAR(10),""Max: "",AF5)))"),"")</f>
        <v/>
      </c>
      <c r="AE5" s="56" t="str">
        <f t="array" ref="AE5">_xlfn.XLOOKUP(B5,'Up Min'!A:A,'Up Min'!H:H,)</f>
        <v/>
      </c>
      <c r="AF5" s="56" t="str">
        <f t="array" ref="AF5">_xlfn.XLOOKUP(B5,'Up Max'!A:A,'Up Max'!H:H,)</f>
        <v/>
      </c>
      <c r="AG5" s="53" t="str">
        <f t="array" ref="AG5">_xlfn.XLOOKUP(B5,'Up Stats'!A:A,'Up Stats'!I:I,)</f>
        <v/>
      </c>
      <c r="AH5" s="54" t="str">
        <f>IFERROR(__xludf.DUMMYFUNCTION("if(AND(AI5=FALSE,AJ5=FALSE),,if(AI5=AJ5,JOIN("""",""Static: "",AI5),JOIN("""",""Min:  "",AI5, CHAR(10),""Max: "",AJ5)))"),"")</f>
        <v/>
      </c>
      <c r="AI5" s="56" t="str">
        <f t="array" ref="AI5">_xlfn.XLOOKUP(B5,'Up Min'!A:A,'Up Min'!I:I,)</f>
        <v/>
      </c>
      <c r="AJ5" s="56" t="str">
        <f t="array" ref="AJ5">_xlfn.XLOOKUP(B5,'Up Max'!A:A,'Up Max'!I:I,)</f>
        <v/>
      </c>
      <c r="AK5" s="53" t="str">
        <f t="array" ref="AK5">_xlfn.XLOOKUP(B5,'Up Stats'!A:A,'Up Stats'!J:J,)</f>
        <v/>
      </c>
      <c r="AL5" s="54" t="str">
        <f>IFERROR(__xludf.DUMMYFUNCTION("if(AND(AM5=FALSE,AN5=FALSE),,if(AM5=AN5,JOIN("""",""Static: "",AM5),JOIN("""",""Min:  "",AM5, CHAR(10),""Max: "",AN5)))"),"")</f>
        <v/>
      </c>
      <c r="AM5" s="56" t="str">
        <f t="array" ref="AM5">_xlfn.XLOOKUP(B5,'Up Min'!A:A,'Up Min'!J:J,)</f>
        <v/>
      </c>
      <c r="AN5" s="56" t="str">
        <f t="array" ref="AN5">_xlfn.XLOOKUP(B5,'Up Max'!A:A,'Up Max'!J:J,)</f>
        <v/>
      </c>
      <c r="AO5" s="51" t="str">
        <f t="array" ref="AO5">CONCATENATE(_xlfn.XLOOKUP(B5,'Up Cells'!A:A,'Up Cells'!B:B,))</f>
        <v>6</v>
      </c>
      <c r="AP5" s="61" t="str">
        <f t="array" ref="AP5">CONCATENATE(_xlfn.XLOOKUP(B5,'Up Rarity'!A:A,'Up Rarity'!B:B,),CHAR(10),"-")</f>
        <v>Exotic
-</v>
      </c>
    </row>
    <row r="6">
      <c r="A6" s="62" t="str">
        <f t="array" ref="A6">_xlfn.XLOOKUP(B6,'Up Icon'!A:A,'Up Icon'!B:B,)</f>
        <v/>
      </c>
      <c r="B6" s="66" t="str">
        <f t="array" ref="B6">HYPERLINK(_xlfn.XLOOKUP('Up Names'!B3,'Up Wiki'!A:A,'Up Wiki'!B:B,),'Up Names'!B3)</f>
        <v>Immolator</v>
      </c>
      <c r="C6" s="37" t="str">
        <f t="array" ref="C6">_xlfn.XLOOKUP(B6,'Up Desc'!A:A,'Up Desc'!B:B,)</f>
        <v>Applying fire to a target also applies it to you. When you ignite yourself, you gain immolation for 6.5 seconds.</v>
      </c>
      <c r="D6" s="37" t="str">
        <f t="array" ref="D6">_xlfn.XLOOKUP(B6,'Up Turbo'!A:A,'Up Turbo'!B:B,)</f>
        <v/>
      </c>
      <c r="E6" s="39" t="str">
        <f t="array" ref="E6">_xlfn.XLOOKUP(B6,'Up Stats'!A:A,'Up Stats'!B:B,)</f>
        <v>Self Fire</v>
      </c>
      <c r="F6" s="40" t="str">
        <f>IFERROR(__xludf.DUMMYFUNCTION("if(AND(G6=FALSE,H6=FALSE),,if(G6=H6,JOIN("""",""Static: "",G6),JOIN("""",""Min:  "",G6, CHAR(10),""Max: "",H6)))"),"Min:  0.1
Max: 0.2")</f>
        <v>Min:  0.1
Max: 0.2</v>
      </c>
      <c r="G6" s="69">
        <f t="array" ref="G6">_xlfn.XLOOKUP(B6,'Up Min'!A:A,'Up Min'!B:B,)</f>
        <v>0.1</v>
      </c>
      <c r="H6" s="68">
        <f t="array" ref="H6">_xlfn.XLOOKUP(B6,'Up Max'!A:A,'Up Max'!B:B,)</f>
        <v>0.2</v>
      </c>
      <c r="I6" s="39" t="str">
        <f t="array" ref="I6">_xlfn.XLOOKUP(B6,'Up Stats'!A:A,'Up Stats'!C:C,)</f>
        <v/>
      </c>
      <c r="J6" s="40" t="str">
        <f>IFERROR(__xludf.DUMMYFUNCTION("if(AND(K6=FALSE,L6=FALSE),,if(K6=L6,JOIN("""",""Static: "",K6),JOIN("""",""Min:  "",K6, CHAR(10),""Max: "",L6)))"),"")</f>
        <v/>
      </c>
      <c r="K6" s="74" t="str">
        <f t="array" ref="K6">_xlfn.XLOOKUP(B6,'Up Min'!A:A,'Up Min'!C:C,)</f>
        <v/>
      </c>
      <c r="L6" s="74" t="str">
        <f t="array" ref="L6">_xlfn.XLOOKUP(B6,'Up Max'!A:A,'Up Max'!C:C,)</f>
        <v/>
      </c>
      <c r="M6" s="48" t="str">
        <f t="array" ref="M6">_xlfn.XLOOKUP(B6,'Up Stats'!A:A,'Up Stats'!D:D,)</f>
        <v/>
      </c>
      <c r="N6" s="40" t="str">
        <f>IFERROR(__xludf.DUMMYFUNCTION("if(AND(O6=FALSE,P6=FALSE),,if(O6=P6,JOIN("""",""Static: "",O6),JOIN("""",""Min:  "",O6, CHAR(10),""Max: "",P6)))"),"")</f>
        <v/>
      </c>
      <c r="O6" s="74" t="str">
        <f t="array" ref="O6">_xlfn.XLOOKUP(B6,'Up Min'!A:A,'Up Min'!D:D,)</f>
        <v/>
      </c>
      <c r="P6" s="74" t="str">
        <f t="array" ref="P6">_xlfn.XLOOKUP(B6,'Up Max'!A:A,'Up Max'!D:D,)</f>
        <v/>
      </c>
      <c r="Q6" s="48" t="str">
        <f t="array" ref="Q6">_xlfn.XLOOKUP(B6,'Up Stats'!A:A,'Up Stats'!E:E,)</f>
        <v/>
      </c>
      <c r="R6" s="40" t="str">
        <f>IFERROR(__xludf.DUMMYFUNCTION("if(AND(S6=FALSE,T6=FALSE),,if(S6=T6,JOIN("""",""Static: "",S6),JOIN("""",""Min:  "",S6, CHAR(10),""Max: "",T6)))"),"")</f>
        <v/>
      </c>
      <c r="S6" s="42" t="str">
        <f t="array" ref="S6">_xlfn.XLOOKUP(B6,'Up Min'!A:A,'Up Min'!E:E,)</f>
        <v/>
      </c>
      <c r="T6" s="42" t="str">
        <f t="array" ref="T6">_xlfn.XLOOKUP(B6,'Up Max'!A:A,'Up Max'!E:E,)</f>
        <v/>
      </c>
      <c r="U6" s="48" t="str">
        <f t="array" ref="U6">_xlfn.XLOOKUP(B6,'Up Stats'!A:A,'Up Stats'!F:F,)</f>
        <v/>
      </c>
      <c r="V6" s="40" t="str">
        <f>IFERROR(__xludf.DUMMYFUNCTION("if(AND(W6=FALSE,X6=FALSE),,if(W6=X6,JOIN("""",""Static: "",W6),JOIN("""",""Min:  "",W6, CHAR(10),""Max: "",X6)))"),"")</f>
        <v/>
      </c>
      <c r="W6" s="42" t="str">
        <f t="array" ref="W6">_xlfn.XLOOKUP(B6,'Up Min'!A:A,'Up Min'!F:F,)</f>
        <v/>
      </c>
      <c r="X6" s="42" t="str">
        <f t="array" ref="X6">_xlfn.XLOOKUP(B6,'Up Max'!A:A,'Up Max'!F:F,)</f>
        <v/>
      </c>
      <c r="Y6" s="48" t="str">
        <f t="array" ref="Y6">_xlfn.XLOOKUP(B6,'Up Stats'!A:A,'Up Stats'!G:G,)</f>
        <v/>
      </c>
      <c r="Z6" s="40" t="str">
        <f>IFERROR(__xludf.DUMMYFUNCTION("if(AND(AA6=FALSE,AB6=FALSE),,if(AA6=AB6,JOIN("""",""Static: "",AA6),JOIN("""",""Min:  "",AA6, CHAR(10),""Max: "",AB6)))"),"")</f>
        <v/>
      </c>
      <c r="AA6" s="42" t="str">
        <f t="array" ref="AA6">_xlfn.XLOOKUP(B6,'Up Min'!A:A,'Up Min'!G:G,)</f>
        <v/>
      </c>
      <c r="AB6" s="42" t="str">
        <f t="array" ref="AB6">_xlfn.XLOOKUP(B6,'Up Max'!A:A,'Up Max'!G:G,)</f>
        <v/>
      </c>
      <c r="AC6" s="48" t="str">
        <f t="array" ref="AC6">_xlfn.XLOOKUP(B6,'Up Stats'!A:A,'Up Stats'!H:H,)</f>
        <v/>
      </c>
      <c r="AD6" s="40" t="str">
        <f>IFERROR(__xludf.DUMMYFUNCTION("if(AND(AE6=FALSE,AF6=FALSE),,if(AE6=AF6,JOIN("""",""Static: "",AE6),JOIN("""",""Min:  "",AE6, CHAR(10),""Max: "",AF6)))"),"")</f>
        <v/>
      </c>
      <c r="AE6" s="45" t="str">
        <f t="array" ref="AE6">_xlfn.XLOOKUP(B6,'Up Min'!A:A,'Up Min'!H:H,)</f>
        <v/>
      </c>
      <c r="AF6" s="45" t="str">
        <f t="array" ref="AF6">_xlfn.XLOOKUP(B6,'Up Max'!A:A,'Up Max'!H:H,)</f>
        <v/>
      </c>
      <c r="AG6" s="39" t="str">
        <f t="array" ref="AG6">_xlfn.XLOOKUP(B6,'Up Stats'!A:A,'Up Stats'!I:I,)</f>
        <v/>
      </c>
      <c r="AH6" s="40" t="str">
        <f>IFERROR(__xludf.DUMMYFUNCTION("if(AND(AI6=FALSE,AJ6=FALSE),,if(AI6=AJ6,JOIN("""",""Static: "",AI6),JOIN("""",""Min:  "",AI6, CHAR(10),""Max: "",AJ6)))"),"")</f>
        <v/>
      </c>
      <c r="AI6" s="45" t="str">
        <f t="array" ref="AI6">_xlfn.XLOOKUP(B6,'Up Min'!A:A,'Up Min'!I:I,)</f>
        <v/>
      </c>
      <c r="AJ6" s="45" t="str">
        <f t="array" ref="AJ6">_xlfn.XLOOKUP(B6,'Up Max'!A:A,'Up Max'!I:I,)</f>
        <v/>
      </c>
      <c r="AK6" s="39" t="str">
        <f t="array" ref="AK6">_xlfn.XLOOKUP(B6,'Up Stats'!A:A,'Up Stats'!J:J,)</f>
        <v/>
      </c>
      <c r="AL6" s="40" t="str">
        <f>IFERROR(__xludf.DUMMYFUNCTION("if(AND(AM6=FALSE,AN6=FALSE),,if(AM6=AN6,JOIN("""",""Static: "",AM6),JOIN("""",""Min:  "",AM6, CHAR(10),""Max: "",AN6)))"),"")</f>
        <v/>
      </c>
      <c r="AM6" s="45" t="str">
        <f t="array" ref="AM6">_xlfn.XLOOKUP(B6,'Up Min'!A:A,'Up Min'!J:J,)</f>
        <v/>
      </c>
      <c r="AN6" s="45" t="str">
        <f t="array" ref="AN6">_xlfn.XLOOKUP(B6,'Up Max'!A:A,'Up Max'!J:J,)</f>
        <v/>
      </c>
      <c r="AO6" s="34" t="str">
        <f t="array" ref="AO6">CONCATENATE(_xlfn.XLOOKUP(B6,'Up Cells'!A:A,'Up Cells'!B:B,))</f>
        <v>8</v>
      </c>
      <c r="AP6" s="58" t="str">
        <f t="array" ref="AP6">CONCATENATE(_xlfn.XLOOKUP(B6,'Up Rarity'!A:A,'Up Rarity'!B:B,),CHAR(10),"-")</f>
        <v>Exotic
-</v>
      </c>
    </row>
    <row r="7">
      <c r="A7" s="62" t="str">
        <f t="array" ref="A7">_xlfn.XLOOKUP(B7,'Up Icon'!A:A,'Up Icon'!B:B,)</f>
        <v/>
      </c>
      <c r="B7" s="63" t="str">
        <f t="array" ref="B7">HYPERLINK(_xlfn.XLOOKUP('Up Names'!B4,'Up Wiki'!A:A,'Up Wiki'!B:B,),'Up Names'!B4)</f>
        <v>Pesticide</v>
      </c>
      <c r="C7" s="70" t="str">
        <f t="array" ref="C7">_xlfn.XLOOKUP(B7,'Up Desc'!A:A,'Up Desc'!B:B,)</f>
        <v>Hold AIM to fire a flamethrower.</v>
      </c>
      <c r="D7" s="52" t="str">
        <f t="array" ref="D7">_xlfn.XLOOKUP(B7,'Up Turbo'!A:A,'Up Turbo'!B:B,)</f>
        <v/>
      </c>
      <c r="E7" s="53" t="str">
        <f t="array" ref="E7">_xlfn.XLOOKUP(B7,'Up Stats'!A:A,'Up Stats'!B:B,)</f>
        <v>Damage</v>
      </c>
      <c r="F7" s="54" t="str">
        <f>IFERROR(__xludf.DUMMYFUNCTION("if(AND(G7=FALSE,H7=FALSE),,if(G7=H7,JOIN("""",""Static: "",G7),JOIN("""",""Min:  "",G7, CHAR(10),""Max: "",H7)))"),"Min:  100
Max: 140")</f>
        <v>Min:  100
Max: 140</v>
      </c>
      <c r="G7" s="64">
        <f t="array" ref="G7">_xlfn.XLOOKUP(B7,'Up Min'!A:A,'Up Min'!B:B,)</f>
        <v>100</v>
      </c>
      <c r="H7" s="65">
        <f t="array" ref="H7">_xlfn.XLOOKUP(B7,'Up Max'!A:A,'Up Max'!B:B,)</f>
        <v>140</v>
      </c>
      <c r="I7" s="53" t="str">
        <f t="array" ref="I7">_xlfn.XLOOKUP(B7,'Up Stats'!A:A,'Up Stats'!C:C,)</f>
        <v>Fire</v>
      </c>
      <c r="J7" s="54" t="str">
        <f>IFERROR(__xludf.DUMMYFUNCTION("if(AND(K7=FALSE,L7=FALSE),,if(K7=L7,JOIN("""",""Static: "",K7),JOIN("""",""Min:  "",K7, CHAR(10),""Max: "",L7)))"),"Min:  10
Max: 20")</f>
        <v>Min:  10
Max: 20</v>
      </c>
      <c r="K7" s="65">
        <f t="array" ref="K7">_xlfn.XLOOKUP(B7,'Up Min'!A:A,'Up Min'!C:C,)</f>
        <v>10</v>
      </c>
      <c r="L7" s="64">
        <f t="array" ref="L7">_xlfn.XLOOKUP(B7,'Up Max'!A:A,'Up Max'!C:C,)</f>
        <v>20</v>
      </c>
      <c r="M7" s="53" t="str">
        <f t="array" ref="M7">_xlfn.XLOOKUP(B7,'Up Stats'!A:A,'Up Stats'!D:D,)</f>
        <v>Range</v>
      </c>
      <c r="N7" s="54" t="str">
        <f>IFERROR(__xludf.DUMMYFUNCTION("if(AND(O7=FALSE,P7=FALSE),,if(O7=P7,JOIN("""",""Static: "",O7),JOIN("""",""Min:  "",O7, CHAR(10),""Max: "",P7)))"),"Min:  4.8
Max: 7")</f>
        <v>Min:  4.8
Max: 7</v>
      </c>
      <c r="O7" s="65">
        <f t="array" ref="O7">_xlfn.XLOOKUP(B7,'Up Min'!A:A,'Up Min'!D:D,)</f>
        <v>4.8</v>
      </c>
      <c r="P7" s="65">
        <f t="array" ref="P7">_xlfn.XLOOKUP(B7,'Up Max'!A:A,'Up Max'!D:D,)</f>
        <v>7</v>
      </c>
      <c r="Q7" s="57" t="str">
        <f t="array" ref="Q7">_xlfn.XLOOKUP(B7,'Up Stats'!A:A,'Up Stats'!E:E,)</f>
        <v>Radius</v>
      </c>
      <c r="R7" s="54" t="str">
        <f>IFERROR(__xludf.DUMMYFUNCTION("if(AND(S7=FALSE,T7=FALSE),,if(S7=T7,JOIN("""",""Static: "",S7),JOIN("""",""Min:  "",S7, CHAR(10),""Max: "",T7)))"),"Static: 1")</f>
        <v>Static: 1</v>
      </c>
      <c r="S7" s="65">
        <f t="array" ref="S7">_xlfn.XLOOKUP(B7,'Up Min'!A:A,'Up Min'!E:E,)</f>
        <v>1</v>
      </c>
      <c r="T7" s="65">
        <f t="array" ref="T7">_xlfn.XLOOKUP(B7,'Up Max'!A:A,'Up Max'!E:E,)</f>
        <v>1</v>
      </c>
      <c r="U7" s="53" t="str">
        <f t="array" ref="U7">_xlfn.XLOOKUP(B7,'Up Stats'!A:A,'Up Stats'!F:F,)</f>
        <v/>
      </c>
      <c r="V7" s="54" t="str">
        <f>IFERROR(__xludf.DUMMYFUNCTION("if(AND(W7=FALSE,X7=FALSE),,if(W7=X7,JOIN("""",""Static: "",W7),JOIN("""",""Min:  "",W7, CHAR(10),""Max: "",X7)))"),"")</f>
        <v/>
      </c>
      <c r="W7" s="56" t="str">
        <f t="array" ref="W7">_xlfn.XLOOKUP(B7,'Up Min'!A:A,'Up Min'!F:F,)</f>
        <v/>
      </c>
      <c r="X7" s="56" t="str">
        <f t="array" ref="X7">_xlfn.XLOOKUP(B7,'Up Max'!A:A,'Up Max'!F:F,)</f>
        <v/>
      </c>
      <c r="Y7" s="57" t="str">
        <f t="array" ref="Y7">_xlfn.XLOOKUP(B7,'Up Stats'!A:A,'Up Stats'!G:G,)</f>
        <v/>
      </c>
      <c r="Z7" s="54" t="str">
        <f>IFERROR(__xludf.DUMMYFUNCTION("if(AND(AA7=FALSE,AB7=FALSE),,if(AA7=AB7,JOIN("""",""Static: "",AA7),JOIN("""",""Min:  "",AA7, CHAR(10),""Max: "",AB7)))"),"")</f>
        <v/>
      </c>
      <c r="AA7" s="55" t="str">
        <f t="array" ref="AA7">_xlfn.XLOOKUP(B7,'Up Min'!A:A,'Up Min'!G:G,)</f>
        <v/>
      </c>
      <c r="AB7" s="55" t="str">
        <f t="array" ref="AB7">_xlfn.XLOOKUP(B7,'Up Max'!A:A,'Up Max'!G:G,)</f>
        <v/>
      </c>
      <c r="AC7" s="57" t="str">
        <f t="array" ref="AC7">_xlfn.XLOOKUP(B7,'Up Stats'!A:A,'Up Stats'!H:H,)</f>
        <v/>
      </c>
      <c r="AD7" s="54" t="str">
        <f>IFERROR(__xludf.DUMMYFUNCTION("if(AND(AE7=FALSE,AF7=FALSE),,if(AE7=AF7,JOIN("""",""Static: "",AE7),JOIN("""",""Min:  "",AE7, CHAR(10),""Max: "",AF7)))"),"")</f>
        <v/>
      </c>
      <c r="AE7" s="56" t="str">
        <f t="array" ref="AE7">_xlfn.XLOOKUP(B7,'Up Min'!A:A,'Up Min'!H:H,)</f>
        <v/>
      </c>
      <c r="AF7" s="56" t="str">
        <f t="array" ref="AF7">_xlfn.XLOOKUP(B7,'Up Max'!A:A,'Up Max'!H:H,)</f>
        <v/>
      </c>
      <c r="AG7" s="53" t="str">
        <f t="array" ref="AG7">_xlfn.XLOOKUP(B7,'Up Stats'!A:A,'Up Stats'!I:I,)</f>
        <v/>
      </c>
      <c r="AH7" s="54" t="str">
        <f>IFERROR(__xludf.DUMMYFUNCTION("if(AND(AI7=FALSE,AJ7=FALSE),,if(AI7=AJ7,JOIN("""",""Static: "",AI7),JOIN("""",""Min:  "",AI7, CHAR(10),""Max: "",AJ7)))"),"")</f>
        <v/>
      </c>
      <c r="AI7" s="56" t="str">
        <f t="array" ref="AI7">_xlfn.XLOOKUP(B7,'Up Min'!A:A,'Up Min'!I:I,)</f>
        <v/>
      </c>
      <c r="AJ7" s="56" t="str">
        <f t="array" ref="AJ7">_xlfn.XLOOKUP(B7,'Up Max'!A:A,'Up Max'!I:I,)</f>
        <v/>
      </c>
      <c r="AK7" s="53" t="str">
        <f t="array" ref="AK7">_xlfn.XLOOKUP(B7,'Up Stats'!A:A,'Up Stats'!J:J,)</f>
        <v/>
      </c>
      <c r="AL7" s="54" t="str">
        <f>IFERROR(__xludf.DUMMYFUNCTION("if(AND(AM7=FALSE,AN7=FALSE),,if(AM7=AN7,JOIN("""",""Static: "",AM7),JOIN("""",""Min:  "",AM7, CHAR(10),""Max: "",AN7)))"),"")</f>
        <v/>
      </c>
      <c r="AM7" s="56" t="str">
        <f t="array" ref="AM7">_xlfn.XLOOKUP(B7,'Up Min'!A:A,'Up Min'!J:J,)</f>
        <v/>
      </c>
      <c r="AN7" s="56" t="str">
        <f t="array" ref="AN7">_xlfn.XLOOKUP(B7,'Up Max'!A:A,'Up Max'!J:J,)</f>
        <v/>
      </c>
      <c r="AO7" s="51" t="str">
        <f t="array" ref="AO7">CONCATENATE(_xlfn.XLOOKUP(B7,'Up Cells'!A:A,'Up Cells'!B:B,))</f>
        <v>6</v>
      </c>
      <c r="AP7" s="61" t="str">
        <f t="array" ref="AP7">CONCATENATE(_xlfn.XLOOKUP(B7,'Up Rarity'!A:A,'Up Rarity'!B:B,),CHAR(10),"-")</f>
        <v>Exotic
-</v>
      </c>
    </row>
    <row r="8">
      <c r="A8" s="62" t="str">
        <f t="array" ref="A8">_xlfn.XLOOKUP(B8,'Up Icon'!A:A,'Up Icon'!B:B,)</f>
        <v/>
      </c>
      <c r="B8" s="66" t="str">
        <f t="array" ref="B8">HYPERLINK(_xlfn.XLOOKUP('Up Names'!B5,'Up Wiki'!A:A,'Up Wiki'!B:B,),'Up Names'!B5)</f>
        <v>Pummeler</v>
      </c>
      <c r="C8" s="67" t="str">
        <f t="array" ref="C8">_xlfn.XLOOKUP(B8,'Up Desc'!A:A,'Up Desc'!B:B,)</f>
        <v>Hold RELOAD to charge up bullets. Release to fire all charged bullets in a rapid burst.</v>
      </c>
      <c r="D8" s="37" t="str">
        <f t="array" ref="D8">_xlfn.XLOOKUP(B8,'Up Turbo'!A:A,'Up Turbo'!B:B,)</f>
        <v/>
      </c>
      <c r="E8" s="39" t="str">
        <f t="array" ref="E8">_xlfn.XLOOKUP(B8,'Up Stats'!A:A,'Up Stats'!B:B,)</f>
        <v>Charge Speed</v>
      </c>
      <c r="F8" s="40" t="str">
        <f>IFERROR(__xludf.DUMMYFUNCTION("if(AND(G8=FALSE,H8=FALSE),,if(G8=H8,JOIN("""",""Static: "",G8),JOIN("""",""Min:  "",G8, CHAR(10),""Max: "",H8)))"),"Min:  9.74
Max: 11.76")</f>
        <v>Min:  9.74
Max: 11.76</v>
      </c>
      <c r="G8" s="69">
        <f t="array" ref="G8">_xlfn.XLOOKUP(B8,'Up Min'!A:A,'Up Min'!B:B,)</f>
        <v>9.74</v>
      </c>
      <c r="H8" s="68">
        <f t="array" ref="H8">_xlfn.XLOOKUP(B8,'Up Max'!A:A,'Up Max'!B:B,)</f>
        <v>11.76</v>
      </c>
      <c r="I8" s="39" t="str">
        <f t="array" ref="I8">_xlfn.XLOOKUP(B8,'Up Stats'!A:A,'Up Stats'!C:C,)</f>
        <v>Fire Rate</v>
      </c>
      <c r="J8" s="40" t="str">
        <f>IFERROR(__xludf.DUMMYFUNCTION("if(AND(K8=FALSE,L8=FALSE),,if(K8=L8,JOIN("""",""Static: "",K8),JOIN("""",""Min:  "",K8, CHAR(10),""Max: "",L8)))"),"Min:  122.22%
Max: 112.77%")</f>
        <v>Min:  122.22%
Max: 112.77%</v>
      </c>
      <c r="K8" s="78">
        <f t="array" ref="K8">_xlfn.XLOOKUP(B8,'Up Min'!A:A,'Up Min'!C:C,)</f>
        <v>1.2222</v>
      </c>
      <c r="L8" s="78">
        <f t="array" ref="L8">_xlfn.XLOOKUP(B8,'Up Max'!A:A,'Up Max'!C:C,)</f>
        <v>1.1277</v>
      </c>
      <c r="M8" s="39" t="str">
        <f t="array" ref="M8">_xlfn.XLOOKUP(B8,'Up Stats'!A:A,'Up Stats'!D:D,)</f>
        <v>Magazine Size</v>
      </c>
      <c r="N8" s="40" t="str">
        <f>IFERROR(__xludf.DUMMYFUNCTION("if(AND(O8=FALSE,P8=FALSE),,if(O8=P8,JOIN("""",""Static: "",O8),JOIN("""",""Min:  "",O8, CHAR(10),""Max: "",P8)))"),"Min:  3
Max: 5")</f>
        <v>Min:  3
Max: 5</v>
      </c>
      <c r="O8" s="68">
        <f t="array" ref="O8">_xlfn.XLOOKUP(B8,'Up Min'!A:A,'Up Min'!D:D,)</f>
        <v>3</v>
      </c>
      <c r="P8" s="68">
        <f t="array" ref="P8">_xlfn.XLOOKUP(B8,'Up Max'!A:A,'Up Max'!D:D,)</f>
        <v>5</v>
      </c>
      <c r="Q8" s="48" t="str">
        <f t="array" ref="Q8">_xlfn.XLOOKUP(B8,'Up Stats'!A:A,'Up Stats'!E:E,)</f>
        <v/>
      </c>
      <c r="R8" s="40" t="str">
        <f>IFERROR(__xludf.DUMMYFUNCTION("if(AND(S8=FALSE,T8=FALSE),,if(S8=T8,JOIN("""",""Static: "",S8),JOIN("""",""Min:  "",S8, CHAR(10),""Max: "",T8)))"),"")</f>
        <v/>
      </c>
      <c r="S8" s="74" t="str">
        <f t="array" ref="S8">_xlfn.XLOOKUP(B8,'Up Min'!A:A,'Up Min'!E:E,)</f>
        <v/>
      </c>
      <c r="T8" s="74" t="str">
        <f t="array" ref="T8">_xlfn.XLOOKUP(B8,'Up Max'!A:A,'Up Max'!E:E,)</f>
        <v/>
      </c>
      <c r="U8" s="48" t="str">
        <f t="array" ref="U8">_xlfn.XLOOKUP(B8,'Up Stats'!A:A,'Up Stats'!F:F,)</f>
        <v/>
      </c>
      <c r="V8" s="40" t="str">
        <f>IFERROR(__xludf.DUMMYFUNCTION("if(AND(W8=FALSE,X8=FALSE),,if(W8=X8,JOIN("""",""Static: "",W8),JOIN("""",""Min:  "",W8, CHAR(10),""Max: "",X8)))"),"")</f>
        <v/>
      </c>
      <c r="W8" s="74" t="str">
        <f t="array" ref="W8">_xlfn.XLOOKUP(B8,'Up Min'!A:A,'Up Min'!F:F,)</f>
        <v/>
      </c>
      <c r="X8" s="74" t="str">
        <f t="array" ref="X8">_xlfn.XLOOKUP(B8,'Up Max'!A:A,'Up Max'!F:F,)</f>
        <v/>
      </c>
      <c r="Y8" s="48" t="str">
        <f t="array" ref="Y8">_xlfn.XLOOKUP(B8,'Up Stats'!A:A,'Up Stats'!G:G,)</f>
        <v/>
      </c>
      <c r="Z8" s="40" t="str">
        <f>IFERROR(__xludf.DUMMYFUNCTION("if(AND(AA8=FALSE,AB8=FALSE),,if(AA8=AB8,JOIN("""",""Static: "",AA8),JOIN("""",""Min:  "",AA8, CHAR(10),""Max: "",AB8)))"),"")</f>
        <v/>
      </c>
      <c r="AA8" s="42" t="str">
        <f t="array" ref="AA8">_xlfn.XLOOKUP(B8,'Up Min'!A:A,'Up Min'!G:G,)</f>
        <v/>
      </c>
      <c r="AB8" s="42" t="str">
        <f t="array" ref="AB8">_xlfn.XLOOKUP(B8,'Up Max'!A:A,'Up Max'!G:G,)</f>
        <v/>
      </c>
      <c r="AC8" s="48" t="str">
        <f t="array" ref="AC8">_xlfn.XLOOKUP(B8,'Up Stats'!A:A,'Up Stats'!H:H,)</f>
        <v/>
      </c>
      <c r="AD8" s="40" t="str">
        <f>IFERROR(__xludf.DUMMYFUNCTION("if(AND(AE8=FALSE,AF8=FALSE),,if(AE8=AF8,JOIN("""",""Static: "",AE8),JOIN("""",""Min:  "",AE8, CHAR(10),""Max: "",AF8)))"),"")</f>
        <v/>
      </c>
      <c r="AE8" s="45" t="str">
        <f t="array" ref="AE8">_xlfn.XLOOKUP(B8,'Up Min'!A:A,'Up Min'!H:H,)</f>
        <v/>
      </c>
      <c r="AF8" s="45" t="str">
        <f t="array" ref="AF8">_xlfn.XLOOKUP(B8,'Up Max'!A:A,'Up Max'!H:H,)</f>
        <v/>
      </c>
      <c r="AG8" s="39" t="str">
        <f t="array" ref="AG8">_xlfn.XLOOKUP(B8,'Up Stats'!A:A,'Up Stats'!I:I,)</f>
        <v/>
      </c>
      <c r="AH8" s="40" t="str">
        <f>IFERROR(__xludf.DUMMYFUNCTION("if(AND(AI8=FALSE,AJ8=FALSE),,if(AI8=AJ8,JOIN("""",""Static: "",AI8),JOIN("""",""Min:  "",AI8, CHAR(10),""Max: "",AJ8)))"),"")</f>
        <v/>
      </c>
      <c r="AI8" s="45" t="str">
        <f t="array" ref="AI8">_xlfn.XLOOKUP(B8,'Up Min'!A:A,'Up Min'!I:I,)</f>
        <v/>
      </c>
      <c r="AJ8" s="45" t="str">
        <f t="array" ref="AJ8">_xlfn.XLOOKUP(B8,'Up Max'!A:A,'Up Max'!I:I,)</f>
        <v/>
      </c>
      <c r="AK8" s="39" t="str">
        <f t="array" ref="AK8">_xlfn.XLOOKUP(B8,'Up Stats'!A:A,'Up Stats'!J:J,)</f>
        <v/>
      </c>
      <c r="AL8" s="40" t="str">
        <f>IFERROR(__xludf.DUMMYFUNCTION("if(AND(AM8=FALSE,AN8=FALSE),,if(AM8=AN8,JOIN("""",""Static: "",AM8),JOIN("""",""Min:  "",AM8, CHAR(10),""Max: "",AN8)))"),"")</f>
        <v/>
      </c>
      <c r="AM8" s="45" t="str">
        <f t="array" ref="AM8">_xlfn.XLOOKUP(B8,'Up Min'!A:A,'Up Min'!J:J,)</f>
        <v/>
      </c>
      <c r="AN8" s="45" t="str">
        <f t="array" ref="AN8">_xlfn.XLOOKUP(B8,'Up Max'!A:A,'Up Max'!J:J,)</f>
        <v/>
      </c>
      <c r="AO8" s="34" t="str">
        <f t="array" ref="AO8">CONCATENATE(_xlfn.XLOOKUP(B8,'Up Cells'!A:A,'Up Cells'!B:B,))</f>
        <v>5</v>
      </c>
      <c r="AP8" s="58" t="str">
        <f t="array" ref="AP8">CONCATENATE(_xlfn.XLOOKUP(B8,'Up Rarity'!A:A,'Up Rarity'!B:B,),CHAR(10),"-")</f>
        <v>Exotic
-</v>
      </c>
    </row>
    <row r="9">
      <c r="A9" s="75" t="str">
        <f t="array" ref="A9">_xlfn.XLOOKUP(B9,'Up Icon'!A:A,'Up Icon'!B:B,)</f>
        <v/>
      </c>
      <c r="B9" s="63" t="str">
        <f t="array" ref="B9">HYPERLINK(_xlfn.XLOOKUP('Up Names'!B6,'Up Wiki'!A:A,'Up Wiki'!B:B,),'Up Names'!B6)</f>
        <v>Delicious Cores</v>
      </c>
      <c r="C9" s="70" t="str">
        <f t="array" ref="C9">_xlfn.XLOOKUP(B9,'Up Desc'!A:A,'Up Desc'!B:B,)</f>
        <v>Killing a core returns ammo to the magazine.</v>
      </c>
      <c r="D9" s="52" t="str">
        <f t="array" ref="D9">_xlfn.XLOOKUP(B9,'Up Turbo'!A:A,'Up Turbo'!B:B,)</f>
        <v>n/a</v>
      </c>
      <c r="E9" s="53" t="str">
        <f t="array" ref="E9">_xlfn.XLOOKUP(B9,'Up Stats'!A:A,'Up Stats'!B:B,)</f>
        <v>Ammo Refunded</v>
      </c>
      <c r="F9" s="54" t="str">
        <f>IFERROR(__xludf.DUMMYFUNCTION("if(AND(G9=FALSE,H9=FALSE),,if(G9=H9,JOIN("""",""Static: "",G9),JOIN("""",""Min:  "",G9, CHAR(10),""Max: "",H9)))"),"Min:  1
Max: 3")</f>
        <v>Min:  1
Max: 3</v>
      </c>
      <c r="G9" s="64">
        <f t="array" ref="G9">_xlfn.XLOOKUP(B9,'Up Min'!A:A,'Up Min'!B:B,)</f>
        <v>1</v>
      </c>
      <c r="H9" s="65">
        <f t="array" ref="H9">_xlfn.XLOOKUP(B9,'Up Max'!A:A,'Up Max'!B:B,)</f>
        <v>3</v>
      </c>
      <c r="I9" s="53" t="str">
        <f t="array" ref="I9">_xlfn.XLOOKUP(B9,'Up Stats'!A:A,'Up Stats'!C:C,)</f>
        <v/>
      </c>
      <c r="J9" s="54" t="str">
        <f>IFERROR(__xludf.DUMMYFUNCTION("if(AND(K9=FALSE,L9=FALSE),,if(K9=L9,JOIN("""",""Static: "",K9),JOIN("""",""Min:  "",K9, CHAR(10),""Max: "",L9)))"),"")</f>
        <v/>
      </c>
      <c r="K9" s="55" t="str">
        <f t="array" ref="K9">_xlfn.XLOOKUP(B9,'Up Min'!A:A,'Up Min'!C:C,)</f>
        <v/>
      </c>
      <c r="L9" s="55" t="str">
        <f t="array" ref="L9">_xlfn.XLOOKUP(B9,'Up Max'!A:A,'Up Max'!C:C,)</f>
        <v/>
      </c>
      <c r="M9" s="57" t="str">
        <f t="array" ref="M9">_xlfn.XLOOKUP(B9,'Up Stats'!A:A,'Up Stats'!D:D,)</f>
        <v/>
      </c>
      <c r="N9" s="54" t="str">
        <f>IFERROR(__xludf.DUMMYFUNCTION("if(AND(O9=FALSE,P9=FALSE),,if(O9=P9,JOIN("""",""Static: "",O9),JOIN("""",""Min:  "",O9, CHAR(10),""Max: "",P9)))"),"")</f>
        <v/>
      </c>
      <c r="O9" s="55" t="str">
        <f t="array" ref="O9">_xlfn.XLOOKUP(B9,'Up Min'!A:A,'Up Min'!D:D,)</f>
        <v/>
      </c>
      <c r="P9" s="55" t="str">
        <f t="array" ref="P9">_xlfn.XLOOKUP(B9,'Up Max'!A:A,'Up Max'!D:D,)</f>
        <v/>
      </c>
      <c r="Q9" s="57" t="str">
        <f t="array" ref="Q9">_xlfn.XLOOKUP(B9,'Up Stats'!A:A,'Up Stats'!E:E,)</f>
        <v/>
      </c>
      <c r="R9" s="54" t="str">
        <f>IFERROR(__xludf.DUMMYFUNCTION("if(AND(S9=FALSE,T9=FALSE),,if(S9=T9,JOIN("""",""Static: "",S9),JOIN("""",""Min:  "",S9, CHAR(10),""Max: "",T9)))"),"")</f>
        <v/>
      </c>
      <c r="S9" s="55" t="str">
        <f t="array" ref="S9">_xlfn.XLOOKUP(B9,'Up Min'!A:A,'Up Min'!E:E,)</f>
        <v/>
      </c>
      <c r="T9" s="55" t="str">
        <f t="array" ref="T9">_xlfn.XLOOKUP(B9,'Up Max'!A:A,'Up Max'!E:E,)</f>
        <v/>
      </c>
      <c r="U9" s="57" t="str">
        <f t="array" ref="U9">_xlfn.XLOOKUP(B9,'Up Stats'!A:A,'Up Stats'!F:F,)</f>
        <v/>
      </c>
      <c r="V9" s="54" t="str">
        <f>IFERROR(__xludf.DUMMYFUNCTION("if(AND(W9=FALSE,X9=FALSE),,if(W9=X9,JOIN("""",""Static: "",W9),JOIN("""",""Min:  "",W9, CHAR(10),""Max: "",X9)))"),"")</f>
        <v/>
      </c>
      <c r="W9" s="55" t="str">
        <f t="array" ref="W9">_xlfn.XLOOKUP(B9,'Up Min'!A:A,'Up Min'!F:F,)</f>
        <v/>
      </c>
      <c r="X9" s="55" t="str">
        <f t="array" ref="X9">_xlfn.XLOOKUP(B9,'Up Max'!A:A,'Up Max'!F:F,)</f>
        <v/>
      </c>
      <c r="Y9" s="57" t="str">
        <f t="array" ref="Y9">_xlfn.XLOOKUP(B9,'Up Stats'!A:A,'Up Stats'!G:G,)</f>
        <v/>
      </c>
      <c r="Z9" s="54" t="str">
        <f>IFERROR(__xludf.DUMMYFUNCTION("if(AND(AA9=FALSE,AB9=FALSE),,if(AA9=AB9,JOIN("""",""Static: "",AA9),JOIN("""",""Min:  "",AA9, CHAR(10),""Max: "",AB9)))"),"")</f>
        <v/>
      </c>
      <c r="AA9" s="55" t="str">
        <f t="array" ref="AA9">_xlfn.XLOOKUP(B9,'Up Min'!A:A,'Up Min'!G:G,)</f>
        <v/>
      </c>
      <c r="AB9" s="55" t="str">
        <f t="array" ref="AB9">_xlfn.XLOOKUP(B9,'Up Max'!A:A,'Up Max'!G:G,)</f>
        <v/>
      </c>
      <c r="AC9" s="57" t="str">
        <f t="array" ref="AC9">_xlfn.XLOOKUP(B9,'Up Stats'!A:A,'Up Stats'!H:H,)</f>
        <v/>
      </c>
      <c r="AD9" s="54" t="str">
        <f>IFERROR(__xludf.DUMMYFUNCTION("if(AND(AE9=FALSE,AF9=FALSE),,if(AE9=AF9,JOIN("""",""Static: "",AE9),JOIN("""",""Min:  "",AE9, CHAR(10),""Max: "",AF9)))"),"")</f>
        <v/>
      </c>
      <c r="AE9" s="56" t="str">
        <f t="array" ref="AE9">_xlfn.XLOOKUP(B9,'Up Min'!A:A,'Up Min'!H:H,)</f>
        <v/>
      </c>
      <c r="AF9" s="56" t="str">
        <f t="array" ref="AF9">_xlfn.XLOOKUP(B9,'Up Max'!A:A,'Up Max'!H:H,)</f>
        <v/>
      </c>
      <c r="AG9" s="53" t="str">
        <f t="array" ref="AG9">_xlfn.XLOOKUP(B9,'Up Stats'!A:A,'Up Stats'!I:I,)</f>
        <v/>
      </c>
      <c r="AH9" s="54" t="str">
        <f>IFERROR(__xludf.DUMMYFUNCTION("if(AND(AI9=FALSE,AJ9=FALSE),,if(AI9=AJ9,JOIN("""",""Static: "",AI9),JOIN("""",""Min:  "",AI9, CHAR(10),""Max: "",AJ9)))"),"")</f>
        <v/>
      </c>
      <c r="AI9" s="56" t="str">
        <f t="array" ref="AI9">_xlfn.XLOOKUP(B9,'Up Min'!A:A,'Up Min'!I:I,)</f>
        <v/>
      </c>
      <c r="AJ9" s="56" t="str">
        <f t="array" ref="AJ9">_xlfn.XLOOKUP(B9,'Up Max'!A:A,'Up Max'!I:I,)</f>
        <v/>
      </c>
      <c r="AK9" s="53" t="str">
        <f t="array" ref="AK9">_xlfn.XLOOKUP(B9,'Up Stats'!A:A,'Up Stats'!J:J,)</f>
        <v/>
      </c>
      <c r="AL9" s="54" t="str">
        <f>IFERROR(__xludf.DUMMYFUNCTION("if(AND(AM9=FALSE,AN9=FALSE),,if(AM9=AN9,JOIN("""",""Static: "",AM9),JOIN("""",""Min:  "",AM9, CHAR(10),""Max: "",AN9)))"),"")</f>
        <v/>
      </c>
      <c r="AM9" s="56" t="str">
        <f t="array" ref="AM9">_xlfn.XLOOKUP(B9,'Up Min'!A:A,'Up Min'!J:J,)</f>
        <v/>
      </c>
      <c r="AN9" s="56" t="str">
        <f t="array" ref="AN9">_xlfn.XLOOKUP(B9,'Up Max'!A:A,'Up Max'!J:J,)</f>
        <v/>
      </c>
      <c r="AO9" s="51" t="str">
        <f t="array" ref="AO9">CONCATENATE(_xlfn.XLOOKUP(B9,'Up Cells'!A:A,'Up Cells'!B:B,))</f>
        <v>4</v>
      </c>
      <c r="AP9" s="61" t="str">
        <f t="array" ref="AP9">CONCATENATE(_xlfn.XLOOKUP(B9,'Up Rarity'!A:A,'Up Rarity'!B:B,),CHAR(10),"-")</f>
        <v>Epic
-</v>
      </c>
    </row>
    <row r="10">
      <c r="A10" s="75" t="str">
        <f t="array" ref="A10">_xlfn.XLOOKUP(B10,'Up Icon'!A:A,'Up Icon'!B:B,)</f>
        <v/>
      </c>
      <c r="B10" s="66" t="str">
        <f t="array" ref="B10">HYPERLINK(_xlfn.XLOOKUP('Up Names'!B7,'Up Wiki'!A:A,'Up Wiki'!B:B,),'Up Names'!B7)</f>
        <v>Fire In My Heart</v>
      </c>
      <c r="C10" s="37" t="str">
        <f t="array" ref="C10">_xlfn.XLOOKUP(B10,'Up Desc'!A:A,'Up Desc'!B:B,)</f>
        <v>Move faster while ignited and holding this weapon.</v>
      </c>
      <c r="D10" s="37" t="str">
        <f t="array" ref="D10">_xlfn.XLOOKUP(B10,'Up Turbo'!A:A,'Up Turbo'!B:B,)</f>
        <v>n/a</v>
      </c>
      <c r="E10" s="39" t="str">
        <f t="array" ref="E10">_xlfn.XLOOKUP(B10,'Up Stats'!A:A,'Up Stats'!B:B,)</f>
        <v>Speed</v>
      </c>
      <c r="F10" s="78" t="str">
        <f>IFERROR(__xludf.DUMMYFUNCTION("if(AND(G10=FALSE,H10=FALSE),,if(G10=H10,JOIN("""",""Static: "",G10),JOIN("""",""Min:  "",G10, CHAR(10),""Max: "",H10)))"),"Min:  2.5
Max: 3.3")</f>
        <v>Min:  2.5
Max: 3.3</v>
      </c>
      <c r="G10" s="40">
        <f t="array" ref="G10">_xlfn.XLOOKUP(B10,'Up Min'!A:A,'Up Min'!B:B,)</f>
        <v>2.5</v>
      </c>
      <c r="H10" s="40">
        <f t="array" ref="H10">_xlfn.XLOOKUP(B10,'Up Max'!A:A,'Up Max'!B:B,)</f>
        <v>3.3</v>
      </c>
      <c r="I10" s="39" t="str">
        <f t="array" ref="I10">_xlfn.XLOOKUP(B10,'Up Stats'!A:A,'Up Stats'!C:C,)</f>
        <v/>
      </c>
      <c r="J10" s="40" t="str">
        <f>IFERROR(__xludf.DUMMYFUNCTION("if(AND(K10=FALSE,L10=FALSE),,if(K10=L10,JOIN("""",""Static: "",K10),JOIN("""",""Min:  "",K10, CHAR(10),""Max: "",L10)))"),"")</f>
        <v/>
      </c>
      <c r="K10" s="42" t="str">
        <f t="array" ref="K10">_xlfn.XLOOKUP(B10,'Up Min'!A:A,'Up Min'!C:C,)</f>
        <v/>
      </c>
      <c r="L10" s="42" t="str">
        <f t="array" ref="L10">_xlfn.XLOOKUP(B10,'Up Max'!A:A,'Up Max'!C:C,)</f>
        <v/>
      </c>
      <c r="M10" s="48" t="str">
        <f t="array" ref="M10">_xlfn.XLOOKUP(B10,'Up Stats'!A:A,'Up Stats'!D:D,)</f>
        <v/>
      </c>
      <c r="N10" s="40" t="str">
        <f>IFERROR(__xludf.DUMMYFUNCTION("if(AND(O10=FALSE,P10=FALSE),,if(O10=P10,JOIN("""",""Static: "",O10),JOIN("""",""Min:  "",O10, CHAR(10),""Max: "",P10)))"),"")</f>
        <v/>
      </c>
      <c r="O10" s="42" t="str">
        <f t="array" ref="O10">_xlfn.XLOOKUP(B10,'Up Min'!A:A,'Up Min'!D:D,)</f>
        <v/>
      </c>
      <c r="P10" s="42" t="str">
        <f t="array" ref="P10">_xlfn.XLOOKUP(B10,'Up Max'!A:A,'Up Max'!D:D,)</f>
        <v/>
      </c>
      <c r="Q10" s="48" t="str">
        <f t="array" ref="Q10">_xlfn.XLOOKUP(B10,'Up Stats'!A:A,'Up Stats'!E:E,)</f>
        <v/>
      </c>
      <c r="R10" s="40" t="str">
        <f>IFERROR(__xludf.DUMMYFUNCTION("if(AND(S10=FALSE,T10=FALSE),,if(S10=T10,JOIN("""",""Static: "",S10),JOIN("""",""Min:  "",S10, CHAR(10),""Max: "",T10)))"),"")</f>
        <v/>
      </c>
      <c r="S10" s="42" t="str">
        <f t="array" ref="S10">_xlfn.XLOOKUP(B10,'Up Min'!A:A,'Up Min'!E:E,)</f>
        <v/>
      </c>
      <c r="T10" s="42" t="str">
        <f t="array" ref="T10">_xlfn.XLOOKUP(B10,'Up Max'!A:A,'Up Max'!E:E,)</f>
        <v/>
      </c>
      <c r="U10" s="48" t="str">
        <f t="array" ref="U10">_xlfn.XLOOKUP(B10,'Up Stats'!A:A,'Up Stats'!F:F,)</f>
        <v/>
      </c>
      <c r="V10" s="40" t="str">
        <f>IFERROR(__xludf.DUMMYFUNCTION("if(AND(W10=FALSE,X10=FALSE),,if(W10=X10,JOIN("""",""Static: "",W10),JOIN("""",""Min:  "",W10, CHAR(10),""Max: "",X10)))"),"")</f>
        <v/>
      </c>
      <c r="W10" s="42" t="str">
        <f t="array" ref="W10">_xlfn.XLOOKUP(B10,'Up Min'!A:A,'Up Min'!F:F,)</f>
        <v/>
      </c>
      <c r="X10" s="42" t="str">
        <f t="array" ref="X10">_xlfn.XLOOKUP(B10,'Up Max'!A:A,'Up Max'!F:F,)</f>
        <v/>
      </c>
      <c r="Y10" s="48" t="str">
        <f t="array" ref="Y10">_xlfn.XLOOKUP(B10,'Up Stats'!A:A,'Up Stats'!G:G,)</f>
        <v/>
      </c>
      <c r="Z10" s="40" t="str">
        <f>IFERROR(__xludf.DUMMYFUNCTION("if(AND(AA10=FALSE,AB10=FALSE),,if(AA10=AB10,JOIN("""",""Static: "",AA10),JOIN("""",""Min:  "",AA10, CHAR(10),""Max: "",AB10)))"),"")</f>
        <v/>
      </c>
      <c r="AA10" s="42" t="str">
        <f t="array" ref="AA10">_xlfn.XLOOKUP(B10,'Up Min'!A:A,'Up Min'!G:G,)</f>
        <v/>
      </c>
      <c r="AB10" s="42" t="str">
        <f t="array" ref="AB10">_xlfn.XLOOKUP(B10,'Up Max'!A:A,'Up Max'!G:G,)</f>
        <v/>
      </c>
      <c r="AC10" s="48" t="str">
        <f t="array" ref="AC10">_xlfn.XLOOKUP(B10,'Up Stats'!A:A,'Up Stats'!H:H,)</f>
        <v/>
      </c>
      <c r="AD10" s="40" t="str">
        <f>IFERROR(__xludf.DUMMYFUNCTION("if(AND(AE10=FALSE,AF10=FALSE),,if(AE10=AF10,JOIN("""",""Static: "",AE10),JOIN("""",""Min:  "",AE10, CHAR(10),""Max: "",AF10)))"),"")</f>
        <v/>
      </c>
      <c r="AE10" s="45" t="str">
        <f t="array" ref="AE10">_xlfn.XLOOKUP(B10,'Up Min'!A:A,'Up Min'!H:H,)</f>
        <v/>
      </c>
      <c r="AF10" s="45" t="str">
        <f t="array" ref="AF10">_xlfn.XLOOKUP(B10,'Up Max'!A:A,'Up Max'!H:H,)</f>
        <v/>
      </c>
      <c r="AG10" s="39" t="str">
        <f t="array" ref="AG10">_xlfn.XLOOKUP(B10,'Up Stats'!A:A,'Up Stats'!I:I,)</f>
        <v/>
      </c>
      <c r="AH10" s="40" t="str">
        <f>IFERROR(__xludf.DUMMYFUNCTION("if(AND(AI10=FALSE,AJ10=FALSE),,if(AI10=AJ10,JOIN("""",""Static: "",AI10),JOIN("""",""Min:  "",AI10, CHAR(10),""Max: "",AJ10)))"),"")</f>
        <v/>
      </c>
      <c r="AI10" s="45" t="str">
        <f t="array" ref="AI10">_xlfn.XLOOKUP(B10,'Up Min'!A:A,'Up Min'!I:I,)</f>
        <v/>
      </c>
      <c r="AJ10" s="45" t="str">
        <f t="array" ref="AJ10">_xlfn.XLOOKUP(B10,'Up Max'!A:A,'Up Max'!I:I,)</f>
        <v/>
      </c>
      <c r="AK10" s="39" t="str">
        <f t="array" ref="AK10">_xlfn.XLOOKUP(B10,'Up Stats'!A:A,'Up Stats'!J:J,)</f>
        <v/>
      </c>
      <c r="AL10" s="40" t="str">
        <f>IFERROR(__xludf.DUMMYFUNCTION("if(AND(AM10=FALSE,AN10=FALSE),,if(AM10=AN10,JOIN("""",""Static: "",AM10),JOIN("""",""Min:  "",AM10, CHAR(10),""Max: "",AN10)))"),"")</f>
        <v/>
      </c>
      <c r="AM10" s="45" t="str">
        <f t="array" ref="AM10">_xlfn.XLOOKUP(B10,'Up Min'!A:A,'Up Min'!J:J,)</f>
        <v/>
      </c>
      <c r="AN10" s="45" t="str">
        <f t="array" ref="AN10">_xlfn.XLOOKUP(B10,'Up Max'!A:A,'Up Max'!J:J,)</f>
        <v/>
      </c>
      <c r="AO10" s="34" t="str">
        <f t="array" ref="AO10">CONCATENATE(_xlfn.XLOOKUP(B10,'Up Cells'!A:A,'Up Cells'!B:B,))</f>
        <v>4</v>
      </c>
      <c r="AP10" s="58" t="str">
        <f t="array" ref="AP10">CONCATENATE(_xlfn.XLOOKUP(B10,'Up Rarity'!A:A,'Up Rarity'!B:B,),CHAR(10),"-")</f>
        <v>Epic
-</v>
      </c>
    </row>
    <row r="11">
      <c r="A11" s="75" t="str">
        <f t="array" ref="A11">_xlfn.XLOOKUP(B11,'Up Icon'!A:A,'Up Icon'!B:B,)</f>
        <v/>
      </c>
      <c r="B11" s="63" t="str">
        <f t="array" ref="B11">HYPERLINK(_xlfn.XLOOKUP('Up Names'!B8,'Up Wiki'!A:A,'Up Wiki'!B:B,),'Up Names'!B8)</f>
        <v>Friction Compensators</v>
      </c>
      <c r="C11" s="52" t="str">
        <f t="array" ref="C11">_xlfn.XLOOKUP(B11,'Up Desc'!A:A,'Up Desc'!B:B,)</f>
        <v>Damage falloff is reset when a bullet bounces.</v>
      </c>
      <c r="D11" s="52" t="str">
        <f t="array" ref="D11">_xlfn.XLOOKUP(B11,'Up Turbo'!A:A,'Up Turbo'!B:B,)</f>
        <v>n/a</v>
      </c>
      <c r="E11" s="57" t="str">
        <f t="array" ref="E11">_xlfn.XLOOKUP(B11,'Up Stats'!A:A,'Up Stats'!B:B,)</f>
        <v/>
      </c>
      <c r="F11" s="54" t="str">
        <f>IFERROR(__xludf.DUMMYFUNCTION("if(AND(G11=FALSE,H11=FALSE),,if(G11=H11,JOIN("""",""Static: "",G11),JOIN("""",""Min:  "",G11, CHAR(10),""Max: "",H11)))"),"")</f>
        <v/>
      </c>
      <c r="G11" s="72" t="str">
        <f t="array" ref="G11">_xlfn.XLOOKUP(B11,'Up Min'!A:A,'Up Min'!B:B,)</f>
        <v/>
      </c>
      <c r="H11" s="73" t="str">
        <f t="array" ref="H11">_xlfn.XLOOKUP(B11,'Up Max'!A:A,'Up Max'!B:B,)</f>
        <v/>
      </c>
      <c r="I11" s="57" t="str">
        <f t="array" ref="I11">_xlfn.XLOOKUP(B11,'Up Stats'!A:A,'Up Stats'!C:C,)</f>
        <v/>
      </c>
      <c r="J11" s="54" t="str">
        <f>IFERROR(__xludf.DUMMYFUNCTION("if(AND(K11=FALSE,L11=FALSE),,if(K11=L11,JOIN("""",""Static: "",K11),JOIN("""",""Min:  "",K11, CHAR(10),""Max: "",L11)))"),"")</f>
        <v/>
      </c>
      <c r="K11" s="72" t="str">
        <f t="array" ref="K11">_xlfn.XLOOKUP(B11,'Up Min'!A:A,'Up Min'!C:C,)</f>
        <v/>
      </c>
      <c r="L11" s="72" t="str">
        <f t="array" ref="L11">_xlfn.XLOOKUP(B11,'Up Max'!A:A,'Up Max'!C:C,)</f>
        <v/>
      </c>
      <c r="M11" s="57" t="str">
        <f t="array" ref="M11">_xlfn.XLOOKUP(B11,'Up Stats'!A:A,'Up Stats'!D:D,)</f>
        <v/>
      </c>
      <c r="N11" s="54" t="str">
        <f>IFERROR(__xludf.DUMMYFUNCTION("if(AND(O11=FALSE,P11=FALSE),,if(O11=P11,JOIN("""",""Static: "",O11),JOIN("""",""Min:  "",O11, CHAR(10),""Max: "",P11)))"),"")</f>
        <v/>
      </c>
      <c r="O11" s="55" t="str">
        <f t="array" ref="O11">_xlfn.XLOOKUP(B11,'Up Min'!A:A,'Up Min'!D:D,)</f>
        <v/>
      </c>
      <c r="P11" s="55" t="str">
        <f t="array" ref="P11">_xlfn.XLOOKUP(B11,'Up Max'!A:A,'Up Max'!D:D,)</f>
        <v/>
      </c>
      <c r="Q11" s="57" t="str">
        <f t="array" ref="Q11">_xlfn.XLOOKUP(B11,'Up Stats'!A:A,'Up Stats'!E:E,)</f>
        <v/>
      </c>
      <c r="R11" s="54" t="str">
        <f>IFERROR(__xludf.DUMMYFUNCTION("if(AND(S11=FALSE,T11=FALSE),,if(S11=T11,JOIN("""",""Static: "",S11),JOIN("""",""Min:  "",S11, CHAR(10),""Max: "",T11)))"),"")</f>
        <v/>
      </c>
      <c r="S11" s="55" t="str">
        <f t="array" ref="S11">_xlfn.XLOOKUP(B11,'Up Min'!A:A,'Up Min'!E:E,)</f>
        <v/>
      </c>
      <c r="T11" s="55" t="str">
        <f t="array" ref="T11">_xlfn.XLOOKUP(B11,'Up Max'!A:A,'Up Max'!E:E,)</f>
        <v/>
      </c>
      <c r="U11" s="57" t="str">
        <f t="array" ref="U11">_xlfn.XLOOKUP(B11,'Up Stats'!A:A,'Up Stats'!F:F,)</f>
        <v/>
      </c>
      <c r="V11" s="54" t="str">
        <f>IFERROR(__xludf.DUMMYFUNCTION("if(AND(W11=FALSE,X11=FALSE),,if(W11=X11,JOIN("""",""Static: "",W11),JOIN("""",""Min:  "",W11, CHAR(10),""Max: "",X11)))"),"")</f>
        <v/>
      </c>
      <c r="W11" s="55" t="str">
        <f t="array" ref="W11">_xlfn.XLOOKUP(B11,'Up Min'!A:A,'Up Min'!F:F,)</f>
        <v/>
      </c>
      <c r="X11" s="55" t="str">
        <f t="array" ref="X11">_xlfn.XLOOKUP(B11,'Up Max'!A:A,'Up Max'!F:F,)</f>
        <v/>
      </c>
      <c r="Y11" s="57" t="str">
        <f t="array" ref="Y11">_xlfn.XLOOKUP(B11,'Up Stats'!A:A,'Up Stats'!G:G,)</f>
        <v/>
      </c>
      <c r="Z11" s="54" t="str">
        <f>IFERROR(__xludf.DUMMYFUNCTION("if(AND(AA11=FALSE,AB11=FALSE),,if(AA11=AB11,JOIN("""",""Static: "",AA11),JOIN("""",""Min:  "",AA11, CHAR(10),""Max: "",AB11)))"),"")</f>
        <v/>
      </c>
      <c r="AA11" s="55" t="str">
        <f t="array" ref="AA11">_xlfn.XLOOKUP(B11,'Up Min'!A:A,'Up Min'!G:G,)</f>
        <v/>
      </c>
      <c r="AB11" s="55" t="str">
        <f t="array" ref="AB11">_xlfn.XLOOKUP(B11,'Up Max'!A:A,'Up Max'!G:G,)</f>
        <v/>
      </c>
      <c r="AC11" s="57" t="str">
        <f t="array" ref="AC11">_xlfn.XLOOKUP(B11,'Up Stats'!A:A,'Up Stats'!H:H,)</f>
        <v/>
      </c>
      <c r="AD11" s="54" t="str">
        <f>IFERROR(__xludf.DUMMYFUNCTION("if(AND(AE11=FALSE,AF11=FALSE),,if(AE11=AF11,JOIN("""",""Static: "",AE11),JOIN("""",""Min:  "",AE11, CHAR(10),""Max: "",AF11)))"),"")</f>
        <v/>
      </c>
      <c r="AE11" s="56" t="str">
        <f t="array" ref="AE11">_xlfn.XLOOKUP(B11,'Up Min'!A:A,'Up Min'!H:H,)</f>
        <v/>
      </c>
      <c r="AF11" s="55" t="str">
        <f t="array" ref="AF11">_xlfn.XLOOKUP(B11,'Up Max'!A:A,'Up Max'!H:H,)</f>
        <v/>
      </c>
      <c r="AG11" s="53" t="str">
        <f t="array" ref="AG11">_xlfn.XLOOKUP(B11,'Up Stats'!A:A,'Up Stats'!I:I,)</f>
        <v/>
      </c>
      <c r="AH11" s="54" t="str">
        <f>IFERROR(__xludf.DUMMYFUNCTION("if(AND(AI11=FALSE,AJ11=FALSE),,if(AI11=AJ11,JOIN("""",""Static: "",AI11),JOIN("""",""Min:  "",AI11, CHAR(10),""Max: "",AJ11)))"),"")</f>
        <v/>
      </c>
      <c r="AI11" s="56" t="str">
        <f t="array" ref="AI11">_xlfn.XLOOKUP(B11,'Up Min'!A:A,'Up Min'!I:I,)</f>
        <v/>
      </c>
      <c r="AJ11" s="56" t="str">
        <f t="array" ref="AJ11">_xlfn.XLOOKUP(B11,'Up Max'!A:A,'Up Max'!I:I,)</f>
        <v/>
      </c>
      <c r="AK11" s="53" t="str">
        <f t="array" ref="AK11">_xlfn.XLOOKUP(B11,'Up Stats'!A:A,'Up Stats'!J:J,)</f>
        <v/>
      </c>
      <c r="AL11" s="54" t="str">
        <f>IFERROR(__xludf.DUMMYFUNCTION("if(AND(AM11=FALSE,AN11=FALSE),,if(AM11=AN11,JOIN("""",""Static: "",AM11),JOIN("""",""Min:  "",AM11, CHAR(10),""Max: "",AN11)))"),"")</f>
        <v/>
      </c>
      <c r="AM11" s="56" t="str">
        <f t="array" ref="AM11">_xlfn.XLOOKUP(B11,'Up Min'!A:A,'Up Min'!J:J,)</f>
        <v/>
      </c>
      <c r="AN11" s="56" t="str">
        <f t="array" ref="AN11">_xlfn.XLOOKUP(B11,'Up Max'!A:A,'Up Max'!J:J,)</f>
        <v/>
      </c>
      <c r="AO11" s="51" t="str">
        <f t="array" ref="AO11">CONCATENATE(_xlfn.XLOOKUP(B11,'Up Cells'!A:A,'Up Cells'!B:B,))</f>
        <v>4</v>
      </c>
      <c r="AP11" s="61" t="str">
        <f t="array" ref="AP11">CONCATENATE(_xlfn.XLOOKUP(B11,'Up Rarity'!A:A,'Up Rarity'!B:B,),CHAR(10),"-")</f>
        <v>Epic
-</v>
      </c>
    </row>
    <row r="12">
      <c r="A12" s="75" t="str">
        <f t="array" ref="A12">_xlfn.XLOOKUP(B12,'Up Icon'!A:A,'Up Icon'!B:B,)</f>
        <v/>
      </c>
      <c r="B12" s="66" t="str">
        <f t="array" ref="B12">HYPERLINK(_xlfn.XLOOKUP('Up Names'!B18,'Up Wiki'!A:A,'Up Wiki'!B:B,),'Up Names'!B18)</f>
        <v>Ghosting</v>
      </c>
      <c r="C12" s="82" t="s">
        <v>29</v>
      </c>
      <c r="D12" s="37" t="str">
        <f t="array" ref="D12">_xlfn.XLOOKUP(B12,'Up Turbo'!A:A,'Up Turbo'!B:B,)</f>
        <v>n/a</v>
      </c>
      <c r="E12" s="48" t="str">
        <f t="array" ref="E12">_xlfn.XLOOKUP(B12,'Up Stats'!A:A,'Up Stats'!B:B,)</f>
        <v/>
      </c>
      <c r="F12" s="40" t="str">
        <f>IFERROR(__xludf.DUMMYFUNCTION("if(AND(G12=FALSE,H12=FALSE),,if(G12=H12,JOIN("""",""Static: "",G12),JOIN("""",""Min:  "",G12, CHAR(10),""Max: "",H12)))"),"")</f>
        <v/>
      </c>
      <c r="G12" s="42" t="str">
        <f t="array" ref="G12">_xlfn.XLOOKUP(B12,'Up Min'!A:A,'Up Min'!B:B,)</f>
        <v/>
      </c>
      <c r="H12" s="42" t="str">
        <f t="array" ref="H12">_xlfn.XLOOKUP(B12,'Up Max'!A:A,'Up Max'!B:B,)</f>
        <v/>
      </c>
      <c r="I12" s="48" t="str">
        <f t="array" ref="I12">_xlfn.XLOOKUP(B12,'Up Stats'!A:A,'Up Stats'!C:C,)</f>
        <v/>
      </c>
      <c r="J12" s="40" t="str">
        <f>IFERROR(__xludf.DUMMYFUNCTION("if(AND(K12=FALSE,L12=FALSE),,if(K12=L12,JOIN("""",""Static: "",K12),JOIN("""",""Min:  "",K12, CHAR(10),""Max: "",L12)))"),"")</f>
        <v/>
      </c>
      <c r="K12" s="42" t="str">
        <f t="array" ref="K12">_xlfn.XLOOKUP(B12,'Up Min'!A:A,'Up Min'!C:C,)</f>
        <v/>
      </c>
      <c r="L12" s="42" t="str">
        <f t="array" ref="L12">_xlfn.XLOOKUP(B12,'Up Max'!A:A,'Up Max'!C:C,)</f>
        <v/>
      </c>
      <c r="M12" s="48" t="str">
        <f t="array" ref="M12">_xlfn.XLOOKUP(B12,'Up Stats'!A:A,'Up Stats'!D:D,)</f>
        <v/>
      </c>
      <c r="N12" s="40" t="str">
        <f>IFERROR(__xludf.DUMMYFUNCTION("if(AND(O12=FALSE,P12=FALSE),,if(O12=P12,JOIN("""",""Static: "",O12),JOIN("""",""Min:  "",O12, CHAR(10),""Max: "",P12)))"),"")</f>
        <v/>
      </c>
      <c r="O12" s="42" t="str">
        <f t="array" ref="O12">_xlfn.XLOOKUP(B12,'Up Min'!A:A,'Up Min'!D:D,)</f>
        <v/>
      </c>
      <c r="P12" s="42" t="str">
        <f t="array" ref="P12">_xlfn.XLOOKUP(B12,'Up Max'!A:A,'Up Max'!D:D,)</f>
        <v/>
      </c>
      <c r="Q12" s="48" t="str">
        <f t="array" ref="Q12">_xlfn.XLOOKUP(B12,'Up Stats'!A:A,'Up Stats'!E:E,)</f>
        <v/>
      </c>
      <c r="R12" s="40" t="str">
        <f>IFERROR(__xludf.DUMMYFUNCTION("if(AND(S12=FALSE,T12=FALSE),,if(S12=T12,JOIN("""",""Static: "",S12),JOIN("""",""Min:  "",S12, CHAR(10),""Max: "",T12)))"),"")</f>
        <v/>
      </c>
      <c r="S12" s="42" t="str">
        <f t="array" ref="S12">_xlfn.XLOOKUP(B12,'Up Min'!A:A,'Up Min'!E:E,)</f>
        <v/>
      </c>
      <c r="T12" s="42" t="str">
        <f t="array" ref="T12">_xlfn.XLOOKUP(B12,'Up Max'!A:A,'Up Max'!E:E,)</f>
        <v/>
      </c>
      <c r="U12" s="48" t="str">
        <f t="array" ref="U12">_xlfn.XLOOKUP(B12,'Up Stats'!A:A,'Up Stats'!F:F,)</f>
        <v/>
      </c>
      <c r="V12" s="40" t="str">
        <f>IFERROR(__xludf.DUMMYFUNCTION("if(AND(W12=FALSE,X12=FALSE),,if(W12=X12,JOIN("""",""Static: "",W12),JOIN("""",""Min:  "",W12, CHAR(10),""Max: "",X12)))"),"")</f>
        <v/>
      </c>
      <c r="W12" s="42" t="str">
        <f t="array" ref="W12">_xlfn.XLOOKUP(B12,'Up Min'!A:A,'Up Min'!F:F,)</f>
        <v/>
      </c>
      <c r="X12" s="42" t="str">
        <f t="array" ref="X12">_xlfn.XLOOKUP(B12,'Up Max'!A:A,'Up Max'!F:F,)</f>
        <v/>
      </c>
      <c r="Y12" s="48" t="str">
        <f t="array" ref="Y12">_xlfn.XLOOKUP(B12,'Up Stats'!A:A,'Up Stats'!G:G,)</f>
        <v/>
      </c>
      <c r="Z12" s="40" t="str">
        <f>IFERROR(__xludf.DUMMYFUNCTION("if(AND(AA12=FALSE,AB12=FALSE),,if(AA12=AB12,JOIN("""",""Static: "",AA12),JOIN("""",""Min:  "",AA12, CHAR(10),""Max: "",AB12)))"),"")</f>
        <v/>
      </c>
      <c r="AA12" s="42" t="str">
        <f t="array" ref="AA12">_xlfn.XLOOKUP(B12,'Up Min'!A:A,'Up Min'!G:G,)</f>
        <v/>
      </c>
      <c r="AB12" s="42" t="str">
        <f t="array" ref="AB12">_xlfn.XLOOKUP(B12,'Up Max'!A:A,'Up Max'!G:G,)</f>
        <v/>
      </c>
      <c r="AC12" s="48" t="str">
        <f t="array" ref="AC12">_xlfn.XLOOKUP(B12,'Up Stats'!A:A,'Up Stats'!H:H,)</f>
        <v/>
      </c>
      <c r="AD12" s="40" t="str">
        <f>IFERROR(__xludf.DUMMYFUNCTION("if(AND(AE12=FALSE,AF12=FALSE),,if(AE12=AF12,JOIN("""",""Static: "",AE12),JOIN("""",""Min:  "",AE12, CHAR(10),""Max: "",AF12)))"),"")</f>
        <v/>
      </c>
      <c r="AE12" s="45" t="str">
        <f t="array" ref="AE12">_xlfn.XLOOKUP(B12,'Up Min'!A:A,'Up Min'!H:H,)</f>
        <v/>
      </c>
      <c r="AF12" s="42" t="str">
        <f t="array" ref="AF12">_xlfn.XLOOKUP(B12,'Up Max'!A:A,'Up Max'!H:H,)</f>
        <v/>
      </c>
      <c r="AG12" s="39" t="str">
        <f t="array" ref="AG12">_xlfn.XLOOKUP(B12,'Up Stats'!A:A,'Up Stats'!I:I,)</f>
        <v/>
      </c>
      <c r="AH12" s="40" t="str">
        <f>IFERROR(__xludf.DUMMYFUNCTION("if(AND(AI12=FALSE,AJ12=FALSE),,if(AI12=AJ12,JOIN("""",""Static: "",AI12),JOIN("""",""Min:  "",AI12, CHAR(10),""Max: "",AJ12)))"),"")</f>
        <v/>
      </c>
      <c r="AI12" s="45" t="str">
        <f t="array" ref="AI12">_xlfn.XLOOKUP(B12,'Up Min'!A:A,'Up Min'!I:I,)</f>
        <v/>
      </c>
      <c r="AJ12" s="45" t="str">
        <f t="array" ref="AJ12">_xlfn.XLOOKUP(B12,'Up Max'!A:A,'Up Max'!I:I,)</f>
        <v/>
      </c>
      <c r="AK12" s="39" t="str">
        <f t="array" ref="AK12">_xlfn.XLOOKUP(B12,'Up Stats'!A:A,'Up Stats'!J:J,)</f>
        <v/>
      </c>
      <c r="AL12" s="40" t="str">
        <f>IFERROR(__xludf.DUMMYFUNCTION("if(AND(AM12=FALSE,AN12=FALSE),,if(AM12=AN12,JOIN("""",""Static: "",AM12),JOIN("""",""Min:  "",AM12, CHAR(10),""Max: "",AN12)))"),"")</f>
        <v/>
      </c>
      <c r="AM12" s="45" t="str">
        <f t="array" ref="AM12">_xlfn.XLOOKUP(B12,'Up Min'!A:A,'Up Min'!J:J,)</f>
        <v/>
      </c>
      <c r="AN12" s="45" t="str">
        <f t="array" ref="AN12">_xlfn.XLOOKUP(B12,'Up Max'!A:A,'Up Max'!J:J,)</f>
        <v/>
      </c>
      <c r="AO12" s="34" t="str">
        <f t="array" ref="AO12">CONCATENATE(_xlfn.XLOOKUP(B12,'Up Cells'!A:A,'Up Cells'!B:B,))</f>
        <v>3</v>
      </c>
      <c r="AP12" s="58" t="str">
        <f t="array" ref="AP12">CONCATENATE(_xlfn.XLOOKUP(B12,'Up Rarity'!A:A,'Up Rarity'!B:B,),CHAR(10),"-")</f>
        <v>Epic
-</v>
      </c>
    </row>
    <row r="13">
      <c r="A13" s="75" t="str">
        <f t="array" ref="A13">_xlfn.XLOOKUP(B13,'Up Icon'!A:A,'Up Icon'!B:B,)</f>
        <v/>
      </c>
      <c r="B13" s="63" t="str">
        <f t="array" ref="B13">HYPERLINK(_xlfn.XLOOKUP('Up Names'!B9,'Up Wiki'!A:A,'Up Wiki'!B:B,),'Up Names'!B9)</f>
        <v>Molotov</v>
      </c>
      <c r="C13" s="52" t="str">
        <f t="array" ref="C13">_xlfn.XLOOKUP(B13,'Up Desc'!A:A,'Up Desc'!B:B,)</f>
        <v>Hold RELOAD to charge up an igniting grenade shot.</v>
      </c>
      <c r="D13" s="52" t="str">
        <f t="array" ref="D13">_xlfn.XLOOKUP(B13,'Up Turbo'!A:A,'Up Turbo'!B:B,)</f>
        <v>n/a</v>
      </c>
      <c r="E13" s="53" t="str">
        <f t="array" ref="E13">_xlfn.XLOOKUP(B13,'Up Stats'!A:A,'Up Stats'!B:B,)</f>
        <v>Charge Time</v>
      </c>
      <c r="F13" s="54" t="str">
        <f>IFERROR(__xludf.DUMMYFUNCTION("if(AND(G13=FALSE,H13=FALSE),,if(G13=H13,JOIN("""",""Static: "",G13),JOIN("""",""Min:  "",G13, CHAR(10),""Max: "",H13)))"),"Min:  0.6
Max: 1.1")</f>
        <v>Min:  0.6
Max: 1.1</v>
      </c>
      <c r="G13" s="64">
        <f t="array" ref="G13">_xlfn.XLOOKUP(B13,'Up Min'!A:A,'Up Min'!B:B,)</f>
        <v>0.6</v>
      </c>
      <c r="H13" s="65">
        <f t="array" ref="H13">_xlfn.XLOOKUP(B13,'Up Max'!A:A,'Up Max'!B:B,)</f>
        <v>1.1</v>
      </c>
      <c r="I13" s="53" t="str">
        <f t="array" ref="I13">_xlfn.XLOOKUP(B13,'Up Stats'!A:A,'Up Stats'!C:C,)</f>
        <v>Explosion Size</v>
      </c>
      <c r="J13" s="54" t="str">
        <f>IFERROR(__xludf.DUMMYFUNCTION("if(AND(K13=FALSE,L13=FALSE),,if(K13=L13,JOIN("""",""Static: "",K13),JOIN("""",""Min:  "",K13, CHAR(10),""Max: "",L13)))"),"Min:  2.5
Max: 4.16")</f>
        <v>Min:  2.5
Max: 4.16</v>
      </c>
      <c r="K13" s="64">
        <f t="array" ref="K13">_xlfn.XLOOKUP(B13,'Up Min'!A:A,'Up Min'!C:C,)</f>
        <v>2.5</v>
      </c>
      <c r="L13" s="64">
        <f t="array" ref="L13">_xlfn.XLOOKUP(B13,'Up Max'!A:A,'Up Max'!C:C,)</f>
        <v>4.16</v>
      </c>
      <c r="M13" s="53" t="str">
        <f t="array" ref="M13">_xlfn.XLOOKUP(B13,'Up Stats'!A:A,'Up Stats'!D:D,)</f>
        <v/>
      </c>
      <c r="N13" s="54" t="str">
        <f>IFERROR(__xludf.DUMMYFUNCTION("if(AND(O13=FALSE,P13=FALSE),,if(O13=P13,JOIN("""",""Static: "",O13),JOIN("""",""Min:  "",O13, CHAR(10),""Max: "",P13)))"),"")</f>
        <v/>
      </c>
      <c r="O13" s="55" t="str">
        <f t="array" ref="O13">_xlfn.XLOOKUP(B13,'Up Min'!A:A,'Up Min'!D:D,)</f>
        <v/>
      </c>
      <c r="P13" s="55" t="str">
        <f t="array" ref="P13">_xlfn.XLOOKUP(B13,'Up Max'!A:A,'Up Max'!D:D,)</f>
        <v/>
      </c>
      <c r="Q13" s="57" t="str">
        <f t="array" ref="Q13">_xlfn.XLOOKUP(B13,'Up Stats'!A:A,'Up Stats'!E:E,)</f>
        <v/>
      </c>
      <c r="R13" s="54" t="str">
        <f>IFERROR(__xludf.DUMMYFUNCTION("if(AND(S13=FALSE,T13=FALSE),,if(S13=T13,JOIN("""",""Static: "",S13),JOIN("""",""Min:  "",S13, CHAR(10),""Max: "",T13)))"),"")</f>
        <v/>
      </c>
      <c r="S13" s="55" t="str">
        <f t="array" ref="S13">_xlfn.XLOOKUP(B13,'Up Min'!A:A,'Up Min'!E:E,)</f>
        <v/>
      </c>
      <c r="T13" s="55" t="str">
        <f t="array" ref="T13">_xlfn.XLOOKUP(B13,'Up Max'!A:A,'Up Max'!E:E,)</f>
        <v/>
      </c>
      <c r="U13" s="57" t="str">
        <f t="array" ref="U13">_xlfn.XLOOKUP(B13,'Up Stats'!A:A,'Up Stats'!F:F,)</f>
        <v/>
      </c>
      <c r="V13" s="54" t="str">
        <f>IFERROR(__xludf.DUMMYFUNCTION("if(AND(W13=FALSE,X13=FALSE),,if(W13=X13,JOIN("""",""Static: "",W13),JOIN("""",""Min:  "",W13, CHAR(10),""Max: "",X13)))"),"")</f>
        <v/>
      </c>
      <c r="W13" s="55" t="str">
        <f t="array" ref="W13">_xlfn.XLOOKUP(B13,'Up Min'!A:A,'Up Min'!F:F,)</f>
        <v/>
      </c>
      <c r="X13" s="55" t="str">
        <f t="array" ref="X13">_xlfn.XLOOKUP(B13,'Up Max'!A:A,'Up Max'!F:F,)</f>
        <v/>
      </c>
      <c r="Y13" s="57" t="str">
        <f t="array" ref="Y13">_xlfn.XLOOKUP(B13,'Up Stats'!A:A,'Up Stats'!G:G,)</f>
        <v/>
      </c>
      <c r="Z13" s="54" t="str">
        <f>IFERROR(__xludf.DUMMYFUNCTION("if(AND(AA13=FALSE,AB13=FALSE),,if(AA13=AB13,JOIN("""",""Static: "",AA13),JOIN("""",""Min:  "",AA13, CHAR(10),""Max: "",AB13)))"),"")</f>
        <v/>
      </c>
      <c r="AA13" s="55" t="str">
        <f t="array" ref="AA13">_xlfn.XLOOKUP(B13,'Up Min'!A:A,'Up Min'!G:G,)</f>
        <v/>
      </c>
      <c r="AB13" s="55" t="str">
        <f t="array" ref="AB13">_xlfn.XLOOKUP(B13,'Up Max'!A:A,'Up Max'!G:G,)</f>
        <v/>
      </c>
      <c r="AC13" s="57" t="str">
        <f t="array" ref="AC13">_xlfn.XLOOKUP(B13,'Up Stats'!A:A,'Up Stats'!H:H,)</f>
        <v/>
      </c>
      <c r="AD13" s="54" t="str">
        <f>IFERROR(__xludf.DUMMYFUNCTION("if(AND(AE13=FALSE,AF13=FALSE),,if(AE13=AF13,JOIN("""",""Static: "",AE13),JOIN("""",""Min:  "",AE13, CHAR(10),""Max: "",AF13)))"),"")</f>
        <v/>
      </c>
      <c r="AE13" s="56" t="str">
        <f t="array" ref="AE13">_xlfn.XLOOKUP(B13,'Up Min'!A:A,'Up Min'!H:H,)</f>
        <v/>
      </c>
      <c r="AF13" s="55" t="str">
        <f t="array" ref="AF13">_xlfn.XLOOKUP(B13,'Up Max'!A:A,'Up Max'!H:H,)</f>
        <v/>
      </c>
      <c r="AG13" s="53" t="str">
        <f t="array" ref="AG13">_xlfn.XLOOKUP(B13,'Up Stats'!A:A,'Up Stats'!I:I,)</f>
        <v/>
      </c>
      <c r="AH13" s="54" t="str">
        <f>IFERROR(__xludf.DUMMYFUNCTION("if(AND(AI13=FALSE,AJ13=FALSE),,if(AI13=AJ13,JOIN("""",""Static: "",AI13),JOIN("""",""Min:  "",AI13, CHAR(10),""Max: "",AJ13)))"),"")</f>
        <v/>
      </c>
      <c r="AI13" s="56" t="str">
        <f t="array" ref="AI13">_xlfn.XLOOKUP(B13,'Up Min'!A:A,'Up Min'!I:I,)</f>
        <v/>
      </c>
      <c r="AJ13" s="56" t="str">
        <f t="array" ref="AJ13">_xlfn.XLOOKUP(B13,'Up Max'!A:A,'Up Max'!I:I,)</f>
        <v/>
      </c>
      <c r="AK13" s="53" t="str">
        <f t="array" ref="AK13">_xlfn.XLOOKUP(B13,'Up Stats'!A:A,'Up Stats'!J:J,)</f>
        <v/>
      </c>
      <c r="AL13" s="54" t="str">
        <f>IFERROR(__xludf.DUMMYFUNCTION("if(AND(AM13=FALSE,AN13=FALSE),,if(AM13=AN13,JOIN("""",""Static: "",AM13),JOIN("""",""Min:  "",AM13, CHAR(10),""Max: "",AN13)))"),"")</f>
        <v/>
      </c>
      <c r="AM13" s="56" t="str">
        <f t="array" ref="AM13">_xlfn.XLOOKUP(B13,'Up Min'!A:A,'Up Min'!J:J,)</f>
        <v/>
      </c>
      <c r="AN13" s="56" t="str">
        <f t="array" ref="AN13">_xlfn.XLOOKUP(B13,'Up Max'!A:A,'Up Max'!J:J,)</f>
        <v/>
      </c>
      <c r="AO13" s="51" t="str">
        <f t="array" ref="AO13">CONCATENATE(_xlfn.XLOOKUP(B13,'Up Cells'!A:A,'Up Cells'!B:B,))</f>
        <v>5</v>
      </c>
      <c r="AP13" s="61" t="str">
        <f t="array" ref="AP13">CONCATENATE(_xlfn.XLOOKUP(B13,'Up Rarity'!A:A,'Up Rarity'!B:B,),CHAR(10),"-")</f>
        <v>Epic
-</v>
      </c>
    </row>
    <row r="14">
      <c r="A14" s="75" t="str">
        <f t="array" ref="A14">_xlfn.XLOOKUP(B14,'Up Icon'!A:A,'Up Icon'!B:B,)</f>
        <v/>
      </c>
      <c r="B14" s="66" t="str">
        <f t="array" ref="B14">HYPERLINK(_xlfn.XLOOKUP('Up Names'!B10,'Up Wiki'!A:A,'Up Wiki'!B:B,),'Up Names'!B10)</f>
        <v>Opening Charge</v>
      </c>
      <c r="C14" s="37" t="str">
        <f t="array" ref="C14">_xlfn.XLOOKUP(B14,'Up Desc'!A:A,'Up Desc'!B:B,)</f>
        <v>Bullets apply shock before bouncing.</v>
      </c>
      <c r="D14" s="37" t="str">
        <f t="array" ref="D14">_xlfn.XLOOKUP(B14,'Up Turbo'!A:A,'Up Turbo'!B:B,)</f>
        <v>n/a</v>
      </c>
      <c r="E14" s="39" t="str">
        <f t="array" ref="E14">_xlfn.XLOOKUP(B14,'Up Stats'!A:A,'Up Stats'!B:B,)</f>
        <v>Element</v>
      </c>
      <c r="F14" s="40" t="str">
        <f>IFERROR(__xludf.DUMMYFUNCTION("if(AND(G14=FALSE,H14=FALSE),,if(G14=H14,JOIN("""",""Static: "",G14),JOIN("""",""Min:  "",G14, CHAR(10),""Max: "",H14)))"),"Min:  0.4
Max: 0.85")</f>
        <v>Min:  0.4
Max: 0.85</v>
      </c>
      <c r="G14" s="69">
        <f t="array" ref="G14">_xlfn.XLOOKUP(B14,'Up Min'!A:A,'Up Min'!B:B,)</f>
        <v>0.4</v>
      </c>
      <c r="H14" s="68">
        <f t="array" ref="H14">_xlfn.XLOOKUP(B14,'Up Max'!A:A,'Up Max'!B:B,)</f>
        <v>0.85</v>
      </c>
      <c r="I14" s="39" t="str">
        <f t="array" ref="I14">_xlfn.XLOOKUP(B14,'Up Stats'!A:A,'Up Stats'!C:C,)</f>
        <v/>
      </c>
      <c r="J14" s="40" t="str">
        <f>IFERROR(__xludf.DUMMYFUNCTION("if(AND(K14=FALSE,L14=FALSE),,if(K14=L14,JOIN("""",""Static: "",K14),JOIN("""",""Min:  "",K14, CHAR(10),""Max: "",L14)))"),"")</f>
        <v/>
      </c>
      <c r="K14" s="42" t="str">
        <f t="array" ref="K14">_xlfn.XLOOKUP(B14,'Up Min'!A:A,'Up Min'!C:C,)</f>
        <v/>
      </c>
      <c r="L14" s="42" t="str">
        <f t="array" ref="L14">_xlfn.XLOOKUP(B14,'Up Max'!A:A,'Up Max'!C:C,)</f>
        <v/>
      </c>
      <c r="M14" s="48" t="str">
        <f t="array" ref="M14">_xlfn.XLOOKUP(B14,'Up Stats'!A:A,'Up Stats'!D:D,)</f>
        <v/>
      </c>
      <c r="N14" s="40" t="str">
        <f>IFERROR(__xludf.DUMMYFUNCTION("if(AND(O14=FALSE,P14=FALSE),,if(O14=P14,JOIN("""",""Static: "",O14),JOIN("""",""Min:  "",O14, CHAR(10),""Max: "",P14)))"),"")</f>
        <v/>
      </c>
      <c r="O14" s="42" t="str">
        <f t="array" ref="O14">_xlfn.XLOOKUP(B14,'Up Min'!A:A,'Up Min'!D:D,)</f>
        <v/>
      </c>
      <c r="P14" s="42" t="str">
        <f t="array" ref="P14">_xlfn.XLOOKUP(B14,'Up Max'!A:A,'Up Max'!D:D,)</f>
        <v/>
      </c>
      <c r="Q14" s="48" t="str">
        <f t="array" ref="Q14">_xlfn.XLOOKUP(B14,'Up Stats'!A:A,'Up Stats'!E:E,)</f>
        <v/>
      </c>
      <c r="R14" s="40" t="str">
        <f>IFERROR(__xludf.DUMMYFUNCTION("if(AND(S14=FALSE,T14=FALSE),,if(S14=T14,JOIN("""",""Static: "",S14),JOIN("""",""Min:  "",S14, CHAR(10),""Max: "",T14)))"),"")</f>
        <v/>
      </c>
      <c r="S14" s="42" t="str">
        <f t="array" ref="S14">_xlfn.XLOOKUP(B14,'Up Min'!A:A,'Up Min'!E:E,)</f>
        <v/>
      </c>
      <c r="T14" s="42" t="str">
        <f t="array" ref="T14">_xlfn.XLOOKUP(B14,'Up Max'!A:A,'Up Max'!E:E,)</f>
        <v/>
      </c>
      <c r="U14" s="48" t="str">
        <f t="array" ref="U14">_xlfn.XLOOKUP(B14,'Up Stats'!A:A,'Up Stats'!F:F,)</f>
        <v/>
      </c>
      <c r="V14" s="40" t="str">
        <f>IFERROR(__xludf.DUMMYFUNCTION("if(AND(W14=FALSE,X14=FALSE),,if(W14=X14,JOIN("""",""Static: "",W14),JOIN("""",""Min:  "",W14, CHAR(10),""Max: "",X14)))"),"")</f>
        <v/>
      </c>
      <c r="W14" s="42" t="str">
        <f t="array" ref="W14">_xlfn.XLOOKUP(B14,'Up Min'!A:A,'Up Min'!F:F,)</f>
        <v/>
      </c>
      <c r="X14" s="42" t="str">
        <f t="array" ref="X14">_xlfn.XLOOKUP(B14,'Up Max'!A:A,'Up Max'!F:F,)</f>
        <v/>
      </c>
      <c r="Y14" s="48" t="str">
        <f t="array" ref="Y14">_xlfn.XLOOKUP(B14,'Up Stats'!A:A,'Up Stats'!G:G,)</f>
        <v/>
      </c>
      <c r="Z14" s="40" t="str">
        <f>IFERROR(__xludf.DUMMYFUNCTION("if(AND(AA14=FALSE,AB14=FALSE),,if(AA14=AB14,JOIN("""",""Static: "",AA14),JOIN("""",""Min:  "",AA14, CHAR(10),""Max: "",AB14)))"),"")</f>
        <v/>
      </c>
      <c r="AA14" s="42" t="str">
        <f t="array" ref="AA14">_xlfn.XLOOKUP(B14,'Up Min'!A:A,'Up Min'!G:G,)</f>
        <v/>
      </c>
      <c r="AB14" s="42" t="str">
        <f t="array" ref="AB14">_xlfn.XLOOKUP(B14,'Up Max'!A:A,'Up Max'!G:G,)</f>
        <v/>
      </c>
      <c r="AC14" s="48" t="str">
        <f t="array" ref="AC14">_xlfn.XLOOKUP(B14,'Up Stats'!A:A,'Up Stats'!H:H,)</f>
        <v/>
      </c>
      <c r="AD14" s="40" t="str">
        <f>IFERROR(__xludf.DUMMYFUNCTION("if(AND(AE14=FALSE,AF14=FALSE),,if(AE14=AF14,JOIN("""",""Static: "",AE14),JOIN("""",""Min:  "",AE14, CHAR(10),""Max: "",AF14)))"),"")</f>
        <v/>
      </c>
      <c r="AE14" s="45" t="str">
        <f t="array" ref="AE14">_xlfn.XLOOKUP(B14,'Up Min'!A:A,'Up Min'!H:H,)</f>
        <v/>
      </c>
      <c r="AF14" s="42" t="str">
        <f t="array" ref="AF14">_xlfn.XLOOKUP(B14,'Up Max'!A:A,'Up Max'!H:H,)</f>
        <v/>
      </c>
      <c r="AG14" s="39" t="str">
        <f t="array" ref="AG14">_xlfn.XLOOKUP(B14,'Up Stats'!A:A,'Up Stats'!I:I,)</f>
        <v/>
      </c>
      <c r="AH14" s="40" t="str">
        <f>IFERROR(__xludf.DUMMYFUNCTION("if(AND(AI14=FALSE,AJ14=FALSE),,if(AI14=AJ14,JOIN("""",""Static: "",AI14),JOIN("""",""Min:  "",AI14, CHAR(10),""Max: "",AJ14)))"),"")</f>
        <v/>
      </c>
      <c r="AI14" s="45" t="str">
        <f t="array" ref="AI14">_xlfn.XLOOKUP(B14,'Up Min'!A:A,'Up Min'!I:I,)</f>
        <v/>
      </c>
      <c r="AJ14" s="45" t="str">
        <f t="array" ref="AJ14">_xlfn.XLOOKUP(B14,'Up Max'!A:A,'Up Max'!I:I,)</f>
        <v/>
      </c>
      <c r="AK14" s="39" t="str">
        <f t="array" ref="AK14">_xlfn.XLOOKUP(B14,'Up Stats'!A:A,'Up Stats'!J:J,)</f>
        <v/>
      </c>
      <c r="AL14" s="40" t="str">
        <f>IFERROR(__xludf.DUMMYFUNCTION("if(AND(AM14=FALSE,AN14=FALSE),,if(AM14=AN14,JOIN("""",""Static: "",AM14),JOIN("""",""Min:  "",AM14, CHAR(10),""Max: "",AN14)))"),"")</f>
        <v/>
      </c>
      <c r="AM14" s="45" t="str">
        <f t="array" ref="AM14">_xlfn.XLOOKUP(B14,'Up Min'!A:A,'Up Min'!J:J,)</f>
        <v/>
      </c>
      <c r="AN14" s="45" t="str">
        <f t="array" ref="AN14">_xlfn.XLOOKUP(B14,'Up Max'!A:A,'Up Max'!J:J,)</f>
        <v/>
      </c>
      <c r="AO14" s="34" t="str">
        <f t="array" ref="AO14">CONCATENATE(_xlfn.XLOOKUP(B14,'Up Cells'!A:A,'Up Cells'!B:B,))</f>
        <v>6</v>
      </c>
      <c r="AP14" s="58" t="str">
        <f t="array" ref="AP14">CONCATENATE(_xlfn.XLOOKUP(B14,'Up Rarity'!A:A,'Up Rarity'!B:B,),CHAR(10),"-")</f>
        <v>Epic
-</v>
      </c>
    </row>
    <row r="15">
      <c r="A15" s="75" t="str">
        <f t="array" ref="A15">_xlfn.XLOOKUP(B15,'Up Icon'!A:A,'Up Icon'!B:B,)</f>
        <v/>
      </c>
      <c r="B15" s="63" t="str">
        <f t="array" ref="B15">HYPERLINK(_xlfn.XLOOKUP('Up Names'!B11,'Up Wiki'!A:A,'Up Wiki'!B:B,),'Up Names'!B11)</f>
        <v>Power Ricochet</v>
      </c>
      <c r="C15" s="52" t="str">
        <f t="array" ref="C15">_xlfn.XLOOKUP(B15,'Up Desc'!A:A,'Up Desc'!B:B,)</f>
        <v>Bullets gain an extra bounce. Damage increases with each bounce.</v>
      </c>
      <c r="D15" s="52" t="str">
        <f t="array" ref="D15">_xlfn.XLOOKUP(B15,'Up Turbo'!A:A,'Up Turbo'!B:B,)</f>
        <v>n/a</v>
      </c>
      <c r="E15" s="53" t="str">
        <f t="array" ref="E15">_xlfn.XLOOKUP(B15,'Up Stats'!A:A,'Up Stats'!B:B,)</f>
        <v>Bounces</v>
      </c>
      <c r="F15" s="54" t="str">
        <f>IFERROR(__xludf.DUMMYFUNCTION("if(AND(G15=FALSE,H15=FALSE),,if(G15=H15,JOIN("""",""Static: "",G15),JOIN("""",""Min:  "",G15, CHAR(10),""Max: "",H15)))"),"Static: 1")</f>
        <v>Static: 1</v>
      </c>
      <c r="G15" s="64">
        <f t="array" ref="G15">_xlfn.XLOOKUP(B15,'Up Min'!A:A,'Up Min'!B:B,)</f>
        <v>1</v>
      </c>
      <c r="H15" s="65">
        <f t="array" ref="H15">_xlfn.XLOOKUP(B15,'Up Max'!A:A,'Up Max'!B:B,)</f>
        <v>1</v>
      </c>
      <c r="I15" s="53" t="str">
        <f t="array" ref="I15">_xlfn.XLOOKUP(B15,'Up Stats'!A:A,'Up Stats'!C:C,)</f>
        <v>Damage per Bounce</v>
      </c>
      <c r="J15" s="54" t="str">
        <f>IFERROR(__xludf.DUMMYFUNCTION("if(AND(K15=FALSE,L15=FALSE),,if(K15=L15,JOIN("""",""Static: "",K15),JOIN("""",""Min:  "",K15, CHAR(10),""Max: "",L15)))"),"Min:  3
Max: 7")</f>
        <v>Min:  3
Max: 7</v>
      </c>
      <c r="K15" s="64">
        <f t="array" ref="K15">_xlfn.XLOOKUP(B15,'Up Min'!A:A,'Up Min'!C:C,)</f>
        <v>3</v>
      </c>
      <c r="L15" s="64">
        <f t="array" ref="L15">_xlfn.XLOOKUP(B15,'Up Max'!A:A,'Up Max'!C:C,)</f>
        <v>7</v>
      </c>
      <c r="M15" s="53" t="str">
        <f t="array" ref="M15">_xlfn.XLOOKUP(B15,'Up Stats'!A:A,'Up Stats'!D:D,)</f>
        <v/>
      </c>
      <c r="N15" s="54" t="str">
        <f>IFERROR(__xludf.DUMMYFUNCTION("if(AND(O15=FALSE,P15=FALSE),,if(O15=P15,JOIN("""",""Static: "",O15),JOIN("""",""Min:  "",O15, CHAR(10),""Max: "",P15)))"),"")</f>
        <v/>
      </c>
      <c r="O15" s="55" t="str">
        <f t="array" ref="O15">_xlfn.XLOOKUP(B15,'Up Min'!A:A,'Up Min'!D:D,)</f>
        <v/>
      </c>
      <c r="P15" s="55" t="str">
        <f t="array" ref="P15">_xlfn.XLOOKUP(B15,'Up Max'!A:A,'Up Max'!D:D,)</f>
        <v/>
      </c>
      <c r="Q15" s="57" t="str">
        <f t="array" ref="Q15">_xlfn.XLOOKUP(B15,'Up Stats'!A:A,'Up Stats'!E:E,)</f>
        <v/>
      </c>
      <c r="R15" s="54" t="str">
        <f>IFERROR(__xludf.DUMMYFUNCTION("if(AND(S15=FALSE,T15=FALSE),,if(S15=T15,JOIN("""",""Static: "",S15),JOIN("""",""Min:  "",S15, CHAR(10),""Max: "",T15)))"),"")</f>
        <v/>
      </c>
      <c r="S15" s="55" t="str">
        <f t="array" ref="S15">_xlfn.XLOOKUP(B15,'Up Min'!A:A,'Up Min'!E:E,)</f>
        <v/>
      </c>
      <c r="T15" s="55" t="str">
        <f t="array" ref="T15">_xlfn.XLOOKUP(B15,'Up Max'!A:A,'Up Max'!E:E,)</f>
        <v/>
      </c>
      <c r="U15" s="57" t="str">
        <f t="array" ref="U15">_xlfn.XLOOKUP(B15,'Up Stats'!A:A,'Up Stats'!F:F,)</f>
        <v/>
      </c>
      <c r="V15" s="54" t="str">
        <f>IFERROR(__xludf.DUMMYFUNCTION("if(AND(W15=FALSE,X15=FALSE),,if(W15=X15,JOIN("""",""Static: "",W15),JOIN("""",""Min:  "",W15, CHAR(10),""Max: "",X15)))"),"")</f>
        <v/>
      </c>
      <c r="W15" s="55" t="str">
        <f t="array" ref="W15">_xlfn.XLOOKUP(B15,'Up Min'!A:A,'Up Min'!F:F,)</f>
        <v/>
      </c>
      <c r="X15" s="55" t="str">
        <f t="array" ref="X15">_xlfn.XLOOKUP(B15,'Up Max'!A:A,'Up Max'!F:F,)</f>
        <v/>
      </c>
      <c r="Y15" s="57" t="str">
        <f t="array" ref="Y15">_xlfn.XLOOKUP(B15,'Up Stats'!A:A,'Up Stats'!G:G,)</f>
        <v/>
      </c>
      <c r="Z15" s="54" t="str">
        <f>IFERROR(__xludf.DUMMYFUNCTION("if(AND(AA15=FALSE,AB15=FALSE),,if(AA15=AB15,JOIN("""",""Static: "",AA15),JOIN("""",""Min:  "",AA15, CHAR(10),""Max: "",AB15)))"),"")</f>
        <v/>
      </c>
      <c r="AA15" s="55" t="str">
        <f t="array" ref="AA15">_xlfn.XLOOKUP(B15,'Up Min'!A:A,'Up Min'!G:G,)</f>
        <v/>
      </c>
      <c r="AB15" s="55" t="str">
        <f t="array" ref="AB15">_xlfn.XLOOKUP(B15,'Up Max'!A:A,'Up Max'!G:G,)</f>
        <v/>
      </c>
      <c r="AC15" s="57" t="str">
        <f t="array" ref="AC15">_xlfn.XLOOKUP(B15,'Up Stats'!A:A,'Up Stats'!H:H,)</f>
        <v/>
      </c>
      <c r="AD15" s="54" t="str">
        <f>IFERROR(__xludf.DUMMYFUNCTION("if(AND(AE15=FALSE,AF15=FALSE),,if(AE15=AF15,JOIN("""",""Static: "",AE15),JOIN("""",""Min:  "",AE15, CHAR(10),""Max: "",AF15)))"),"")</f>
        <v/>
      </c>
      <c r="AE15" s="56" t="str">
        <f t="array" ref="AE15">_xlfn.XLOOKUP(B15,'Up Min'!A:A,'Up Min'!H:H,)</f>
        <v/>
      </c>
      <c r="AF15" s="55" t="str">
        <f t="array" ref="AF15">_xlfn.XLOOKUP(B15,'Up Max'!A:A,'Up Max'!H:H,)</f>
        <v/>
      </c>
      <c r="AG15" s="53" t="str">
        <f t="array" ref="AG15">_xlfn.XLOOKUP(B15,'Up Stats'!A:A,'Up Stats'!I:I,)</f>
        <v/>
      </c>
      <c r="AH15" s="54" t="str">
        <f>IFERROR(__xludf.DUMMYFUNCTION("if(AND(AI15=FALSE,AJ15=FALSE),,if(AI15=AJ15,JOIN("""",""Static: "",AI15),JOIN("""",""Min:  "",AI15, CHAR(10),""Max: "",AJ15)))"),"")</f>
        <v/>
      </c>
      <c r="AI15" s="56" t="str">
        <f t="array" ref="AI15">_xlfn.XLOOKUP(B15,'Up Min'!A:A,'Up Min'!I:I,)</f>
        <v/>
      </c>
      <c r="AJ15" s="56" t="str">
        <f t="array" ref="AJ15">_xlfn.XLOOKUP(B15,'Up Max'!A:A,'Up Max'!I:I,)</f>
        <v/>
      </c>
      <c r="AK15" s="53" t="str">
        <f t="array" ref="AK15">_xlfn.XLOOKUP(B15,'Up Stats'!A:A,'Up Stats'!J:J,)</f>
        <v/>
      </c>
      <c r="AL15" s="54" t="str">
        <f>IFERROR(__xludf.DUMMYFUNCTION("if(AND(AM15=FALSE,AN15=FALSE),,if(AM15=AN15,JOIN("""",""Static: "",AM15),JOIN("""",""Min:  "",AM15, CHAR(10),""Max: "",AN15)))"),"")</f>
        <v/>
      </c>
      <c r="AM15" s="56" t="str">
        <f t="array" ref="AM15">_xlfn.XLOOKUP(B15,'Up Min'!A:A,'Up Min'!J:J,)</f>
        <v/>
      </c>
      <c r="AN15" s="56" t="str">
        <f t="array" ref="AN15">_xlfn.XLOOKUP(B15,'Up Max'!A:A,'Up Max'!J:J,)</f>
        <v/>
      </c>
      <c r="AO15" s="51" t="str">
        <f t="array" ref="AO15">CONCATENATE(_xlfn.XLOOKUP(B15,'Up Cells'!A:A,'Up Cells'!B:B,))</f>
        <v>5</v>
      </c>
      <c r="AP15" s="61" t="str">
        <f t="array" ref="AP15">CONCATENATE(_xlfn.XLOOKUP(B15,'Up Rarity'!A:A,'Up Rarity'!B:B,),CHAR(10),"-")</f>
        <v>Epic
-</v>
      </c>
    </row>
    <row r="16">
      <c r="A16" s="75" t="str">
        <f t="array" ref="A16">_xlfn.XLOOKUP(B16,'Up Icon'!A:A,'Up Icon'!B:B,)</f>
        <v/>
      </c>
      <c r="B16" s="66" t="str">
        <f t="array" ref="B16">HYPERLINK(_xlfn.XLOOKUP('Up Names'!B12,'Up Wiki'!A:A,'Up Wiki'!B:B,),'Up Names'!B12)</f>
        <v>Reactive Coating</v>
      </c>
      <c r="C16" s="37" t="str">
        <f t="array" ref="C16">_xlfn.XLOOKUP(B16,'Up Desc'!A:A,'Up Desc'!B:B,)</f>
        <v>Bullets always apply fire to enemy cores.</v>
      </c>
      <c r="D16" s="37" t="str">
        <f t="array" ref="D16">_xlfn.XLOOKUP(B16,'Up Turbo'!A:A,'Up Turbo'!B:B,)</f>
        <v>n/a</v>
      </c>
      <c r="E16" s="48" t="str">
        <f t="array" ref="E16">_xlfn.XLOOKUP(B16,'Up Stats'!A:A,'Up Stats'!B:B,)</f>
        <v/>
      </c>
      <c r="F16" s="40" t="str">
        <f>IFERROR(__xludf.DUMMYFUNCTION("if(AND(G16=FALSE,H16=FALSE),,if(G16=H16,JOIN("""",""Static: "",G16),JOIN("""",""Min:  "",G16, CHAR(10),""Max: "",H16)))"),"")</f>
        <v/>
      </c>
      <c r="G16" s="42" t="str">
        <f t="array" ref="G16">_xlfn.XLOOKUP(B16,'Up Min'!A:A,'Up Min'!B:B,)</f>
        <v/>
      </c>
      <c r="H16" s="42" t="str">
        <f t="array" ref="H16">_xlfn.XLOOKUP(B16,'Up Max'!A:A,'Up Max'!B:B,)</f>
        <v/>
      </c>
      <c r="I16" s="48" t="str">
        <f t="array" ref="I16">_xlfn.XLOOKUP(B16,'Up Stats'!A:A,'Up Stats'!C:C,)</f>
        <v/>
      </c>
      <c r="J16" s="40" t="str">
        <f>IFERROR(__xludf.DUMMYFUNCTION("if(AND(K16=FALSE,L16=FALSE),,if(K16=L16,JOIN("""",""Static: "",K16),JOIN("""",""Min:  "",K16, CHAR(10),""Max: "",L16)))"),"")</f>
        <v/>
      </c>
      <c r="K16" s="42" t="str">
        <f t="array" ref="K16">_xlfn.XLOOKUP(B16,'Up Min'!A:A,'Up Min'!C:C,)</f>
        <v/>
      </c>
      <c r="L16" s="42" t="str">
        <f t="array" ref="L16">_xlfn.XLOOKUP(B16,'Up Max'!A:A,'Up Max'!C:C,)</f>
        <v/>
      </c>
      <c r="M16" s="48" t="str">
        <f t="array" ref="M16">_xlfn.XLOOKUP(B16,'Up Stats'!A:A,'Up Stats'!D:D,)</f>
        <v/>
      </c>
      <c r="N16" s="40" t="str">
        <f>IFERROR(__xludf.DUMMYFUNCTION("if(AND(O16=FALSE,P16=FALSE),,if(O16=P16,JOIN("""",""Static: "",O16),JOIN("""",""Min:  "",O16, CHAR(10),""Max: "",P16)))"),"")</f>
        <v/>
      </c>
      <c r="O16" s="42" t="str">
        <f t="array" ref="O16">_xlfn.XLOOKUP(B16,'Up Min'!A:A,'Up Min'!D:D,)</f>
        <v/>
      </c>
      <c r="P16" s="42" t="str">
        <f t="array" ref="P16">_xlfn.XLOOKUP(B16,'Up Max'!A:A,'Up Max'!D:D,)</f>
        <v/>
      </c>
      <c r="Q16" s="48" t="str">
        <f t="array" ref="Q16">_xlfn.XLOOKUP(B16,'Up Stats'!A:A,'Up Stats'!E:E,)</f>
        <v/>
      </c>
      <c r="R16" s="40" t="str">
        <f>IFERROR(__xludf.DUMMYFUNCTION("if(AND(S16=FALSE,T16=FALSE),,if(S16=T16,JOIN("""",""Static: "",S16),JOIN("""",""Min:  "",S16, CHAR(10),""Max: "",T16)))"),"")</f>
        <v/>
      </c>
      <c r="S16" s="42" t="str">
        <f t="array" ref="S16">_xlfn.XLOOKUP(B16,'Up Min'!A:A,'Up Min'!E:E,)</f>
        <v/>
      </c>
      <c r="T16" s="42" t="str">
        <f t="array" ref="T16">_xlfn.XLOOKUP(B16,'Up Max'!A:A,'Up Max'!E:E,)</f>
        <v/>
      </c>
      <c r="U16" s="48" t="str">
        <f t="array" ref="U16">_xlfn.XLOOKUP(B16,'Up Stats'!A:A,'Up Stats'!F:F,)</f>
        <v/>
      </c>
      <c r="V16" s="40" t="str">
        <f>IFERROR(__xludf.DUMMYFUNCTION("if(AND(W16=FALSE,X16=FALSE),,if(W16=X16,JOIN("""",""Static: "",W16),JOIN("""",""Min:  "",W16, CHAR(10),""Max: "",X16)))"),"")</f>
        <v/>
      </c>
      <c r="W16" s="42" t="str">
        <f t="array" ref="W16">_xlfn.XLOOKUP(B16,'Up Min'!A:A,'Up Min'!F:F,)</f>
        <v/>
      </c>
      <c r="X16" s="42" t="str">
        <f t="array" ref="X16">_xlfn.XLOOKUP(B16,'Up Max'!A:A,'Up Max'!F:F,)</f>
        <v/>
      </c>
      <c r="Y16" s="48" t="str">
        <f t="array" ref="Y16">_xlfn.XLOOKUP(B16,'Up Stats'!A:A,'Up Stats'!G:G,)</f>
        <v/>
      </c>
      <c r="Z16" s="40" t="str">
        <f>IFERROR(__xludf.DUMMYFUNCTION("if(AND(AA16=FALSE,AB16=FALSE),,if(AA16=AB16,JOIN("""",""Static: "",AA16),JOIN("""",""Min:  "",AA16, CHAR(10),""Max: "",AB16)))"),"")</f>
        <v/>
      </c>
      <c r="AA16" s="42" t="str">
        <f t="array" ref="AA16">_xlfn.XLOOKUP(B16,'Up Min'!A:A,'Up Min'!G:G,)</f>
        <v/>
      </c>
      <c r="AB16" s="42" t="str">
        <f t="array" ref="AB16">_xlfn.XLOOKUP(B16,'Up Max'!A:A,'Up Max'!G:G,)</f>
        <v/>
      </c>
      <c r="AC16" s="48" t="str">
        <f t="array" ref="AC16">_xlfn.XLOOKUP(B16,'Up Stats'!A:A,'Up Stats'!H:H,)</f>
        <v/>
      </c>
      <c r="AD16" s="40" t="str">
        <f>IFERROR(__xludf.DUMMYFUNCTION("if(AND(AE16=FALSE,AF16=FALSE),,if(AE16=AF16,JOIN("""",""Static: "",AE16),JOIN("""",""Min:  "",AE16, CHAR(10),""Max: "",AF16)))"),"")</f>
        <v/>
      </c>
      <c r="AE16" s="45" t="str">
        <f t="array" ref="AE16">_xlfn.XLOOKUP(B16,'Up Min'!A:A,'Up Min'!H:H,)</f>
        <v/>
      </c>
      <c r="AF16" s="42" t="str">
        <f t="array" ref="AF16">_xlfn.XLOOKUP(B16,'Up Max'!A:A,'Up Max'!H:H,)</f>
        <v/>
      </c>
      <c r="AG16" s="39" t="str">
        <f t="array" ref="AG16">_xlfn.XLOOKUP(B16,'Up Stats'!A:A,'Up Stats'!I:I,)</f>
        <v/>
      </c>
      <c r="AH16" s="40" t="str">
        <f>IFERROR(__xludf.DUMMYFUNCTION("if(AND(AI16=FALSE,AJ16=FALSE),,if(AI16=AJ16,JOIN("""",""Static: "",AI16),JOIN("""",""Min:  "",AI16, CHAR(10),""Max: "",AJ16)))"),"")</f>
        <v/>
      </c>
      <c r="AI16" s="45" t="str">
        <f t="array" ref="AI16">_xlfn.XLOOKUP(B16,'Up Min'!A:A,'Up Min'!I:I,)</f>
        <v/>
      </c>
      <c r="AJ16" s="45" t="str">
        <f t="array" ref="AJ16">_xlfn.XLOOKUP(B16,'Up Max'!A:A,'Up Max'!I:I,)</f>
        <v/>
      </c>
      <c r="AK16" s="39" t="str">
        <f t="array" ref="AK16">_xlfn.XLOOKUP(B16,'Up Stats'!A:A,'Up Stats'!J:J,)</f>
        <v/>
      </c>
      <c r="AL16" s="40" t="str">
        <f>IFERROR(__xludf.DUMMYFUNCTION("if(AND(AM16=FALSE,AN16=FALSE),,if(AM16=AN16,JOIN("""",""Static: "",AM16),JOIN("""",""Min:  "",AM16, CHAR(10),""Max: "",AN16)))"),"")</f>
        <v/>
      </c>
      <c r="AM16" s="45" t="str">
        <f t="array" ref="AM16">_xlfn.XLOOKUP(B16,'Up Min'!A:A,'Up Min'!J:J,)</f>
        <v/>
      </c>
      <c r="AN16" s="45" t="str">
        <f t="array" ref="AN16">_xlfn.XLOOKUP(B16,'Up Max'!A:A,'Up Max'!J:J,)</f>
        <v/>
      </c>
      <c r="AO16" s="34" t="str">
        <f t="array" ref="AO16">CONCATENATE(_xlfn.XLOOKUP(B16,'Up Cells'!A:A,'Up Cells'!B:B,))</f>
        <v>3</v>
      </c>
      <c r="AP16" s="58" t="str">
        <f t="array" ref="AP16">CONCATENATE(_xlfn.XLOOKUP(B16,'Up Rarity'!A:A,'Up Rarity'!B:B,),CHAR(10),"-")</f>
        <v>Epic
-</v>
      </c>
    </row>
    <row r="17">
      <c r="A17" s="75" t="str">
        <f t="array" ref="A17">_xlfn.XLOOKUP(B17,'Up Icon'!A:A,'Up Icon'!B:B,)</f>
        <v/>
      </c>
      <c r="B17" s="63" t="str">
        <f t="array" ref="B17">HYPERLINK(_xlfn.XLOOKUP('Up Names'!B13,'Up Wiki'!A:A,'Up Wiki'!B:B,),'Up Names'!B13)</f>
        <v>Shell Packer</v>
      </c>
      <c r="C17" s="52" t="str">
        <f t="array" ref="C17">_xlfn.XLOOKUP(B17,'Up Desc'!A:A,'Up Desc'!B:B,)</f>
        <v>Adds an extra pellet to each shot. This upgrade can stack.</v>
      </c>
      <c r="D17" s="52" t="str">
        <f t="array" ref="D17">_xlfn.XLOOKUP(B17,'Up Turbo'!A:A,'Up Turbo'!B:B,)</f>
        <v>n/a</v>
      </c>
      <c r="E17" s="53" t="str">
        <f t="array" ref="E17">_xlfn.XLOOKUP(B17,'Up Stats'!A:A,'Up Stats'!B:B,)</f>
        <v>Bullets per Shot</v>
      </c>
      <c r="F17" s="54" t="str">
        <f>IFERROR(__xludf.DUMMYFUNCTION("if(AND(G17=FALSE,H17=FALSE),,if(G17=H17,JOIN("""",""Static: "",G17),JOIN("""",""Min:  "",G17, CHAR(10),""Max: "",H17)))"),"Static: 1")</f>
        <v>Static: 1</v>
      </c>
      <c r="G17" s="64">
        <f t="array" ref="G17">_xlfn.XLOOKUP(B17,'Up Min'!A:A,'Up Min'!B:B,)</f>
        <v>1</v>
      </c>
      <c r="H17" s="65">
        <f t="array" ref="H17">_xlfn.XLOOKUP(B17,'Up Max'!A:A,'Up Max'!B:B,)</f>
        <v>1</v>
      </c>
      <c r="I17" s="53" t="str">
        <f t="array" ref="I17">_xlfn.XLOOKUP(B17,'Up Stats'!A:A,'Up Stats'!C:C,)</f>
        <v>Damage</v>
      </c>
      <c r="J17" s="54" t="str">
        <f>IFERROR(__xludf.DUMMYFUNCTION("if(AND(K17=FALSE,L17=FALSE),,if(K17=L17,JOIN("""",""Static: "",K17),JOIN("""",""Min:  "",K17, CHAR(10),""Max: "",L17)))"),"Min:  -9%
Max: -4%")</f>
        <v>Min:  -9%
Max: -4%</v>
      </c>
      <c r="K17" s="59">
        <f t="array" ref="K17">_xlfn.XLOOKUP(B17,'Up Min'!A:A,'Up Min'!C:C,)</f>
        <v>-0.09</v>
      </c>
      <c r="L17" s="59">
        <f t="array" ref="L17">_xlfn.XLOOKUP(B17,'Up Max'!A:A,'Up Max'!C:C,)</f>
        <v>-0.04</v>
      </c>
      <c r="M17" s="53" t="str">
        <f t="array" ref="M17">_xlfn.XLOOKUP(B17,'Up Stats'!A:A,'Up Stats'!D:D,)</f>
        <v/>
      </c>
      <c r="N17" s="54" t="str">
        <f>IFERROR(__xludf.DUMMYFUNCTION("if(AND(O17=FALSE,P17=FALSE),,if(O17=P17,JOIN("""",""Static: "",O17),JOIN("""",""Min:  "",O17, CHAR(10),""Max: "",P17)))"),"")</f>
        <v/>
      </c>
      <c r="O17" s="55" t="str">
        <f t="array" ref="O17">_xlfn.XLOOKUP(B17,'Up Min'!A:A,'Up Min'!D:D,)</f>
        <v/>
      </c>
      <c r="P17" s="55" t="str">
        <f t="array" ref="P17">_xlfn.XLOOKUP(B17,'Up Max'!A:A,'Up Max'!D:D,)</f>
        <v/>
      </c>
      <c r="Q17" s="57" t="str">
        <f t="array" ref="Q17">_xlfn.XLOOKUP(B17,'Up Stats'!A:A,'Up Stats'!E:E,)</f>
        <v/>
      </c>
      <c r="R17" s="54" t="str">
        <f>IFERROR(__xludf.DUMMYFUNCTION("if(AND(S17=FALSE,T17=FALSE),,if(S17=T17,JOIN("""",""Static: "",S17),JOIN("""",""Min:  "",S17, CHAR(10),""Max: "",T17)))"),"")</f>
        <v/>
      </c>
      <c r="S17" s="55" t="str">
        <f t="array" ref="S17">_xlfn.XLOOKUP(B17,'Up Min'!A:A,'Up Min'!E:E,)</f>
        <v/>
      </c>
      <c r="T17" s="55" t="str">
        <f t="array" ref="T17">_xlfn.XLOOKUP(B17,'Up Max'!A:A,'Up Max'!E:E,)</f>
        <v/>
      </c>
      <c r="U17" s="57" t="str">
        <f t="array" ref="U17">_xlfn.XLOOKUP(B17,'Up Stats'!A:A,'Up Stats'!F:F,)</f>
        <v/>
      </c>
      <c r="V17" s="54" t="str">
        <f>IFERROR(__xludf.DUMMYFUNCTION("if(AND(W17=FALSE,X17=FALSE),,if(W17=X17,JOIN("""",""Static: "",W17),JOIN("""",""Min:  "",W17, CHAR(10),""Max: "",X17)))"),"")</f>
        <v/>
      </c>
      <c r="W17" s="55" t="str">
        <f t="array" ref="W17">_xlfn.XLOOKUP(B17,'Up Min'!A:A,'Up Min'!F:F,)</f>
        <v/>
      </c>
      <c r="X17" s="55" t="str">
        <f t="array" ref="X17">_xlfn.XLOOKUP(B17,'Up Max'!A:A,'Up Max'!F:F,)</f>
        <v/>
      </c>
      <c r="Y17" s="57" t="str">
        <f t="array" ref="Y17">_xlfn.XLOOKUP(B17,'Up Stats'!A:A,'Up Stats'!G:G,)</f>
        <v/>
      </c>
      <c r="Z17" s="54" t="str">
        <f>IFERROR(__xludf.DUMMYFUNCTION("if(AND(AA17=FALSE,AB17=FALSE),,if(AA17=AB17,JOIN("""",""Static: "",AA17),JOIN("""",""Min:  "",AA17, CHAR(10),""Max: "",AB17)))"),"")</f>
        <v/>
      </c>
      <c r="AA17" s="55" t="str">
        <f t="array" ref="AA17">_xlfn.XLOOKUP(B17,'Up Min'!A:A,'Up Min'!G:G,)</f>
        <v/>
      </c>
      <c r="AB17" s="55" t="str">
        <f t="array" ref="AB17">_xlfn.XLOOKUP(B17,'Up Max'!A:A,'Up Max'!G:G,)</f>
        <v/>
      </c>
      <c r="AC17" s="57" t="str">
        <f t="array" ref="AC17">_xlfn.XLOOKUP(B17,'Up Stats'!A:A,'Up Stats'!H:H,)</f>
        <v/>
      </c>
      <c r="AD17" s="54" t="str">
        <f>IFERROR(__xludf.DUMMYFUNCTION("if(AND(AE17=FALSE,AF17=FALSE),,if(AE17=AF17,JOIN("""",""Static: "",AE17),JOIN("""",""Min:  "",AE17, CHAR(10),""Max: "",AF17)))"),"")</f>
        <v/>
      </c>
      <c r="AE17" s="56" t="str">
        <f t="array" ref="AE17">_xlfn.XLOOKUP(B17,'Up Min'!A:A,'Up Min'!H:H,)</f>
        <v/>
      </c>
      <c r="AF17" s="56" t="str">
        <f t="array" ref="AF17">_xlfn.XLOOKUP(B17,'Up Max'!A:A,'Up Max'!H:H,)</f>
        <v/>
      </c>
      <c r="AG17" s="53" t="str">
        <f t="array" ref="AG17">_xlfn.XLOOKUP(B17,'Up Stats'!A:A,'Up Stats'!I:I,)</f>
        <v/>
      </c>
      <c r="AH17" s="54" t="str">
        <f>IFERROR(__xludf.DUMMYFUNCTION("if(AND(AI17=FALSE,AJ17=FALSE),,if(AI17=AJ17,JOIN("""",""Static: "",AI17),JOIN("""",""Min:  "",AI17, CHAR(10),""Max: "",AJ17)))"),"")</f>
        <v/>
      </c>
      <c r="AI17" s="56" t="str">
        <f t="array" ref="AI17">_xlfn.XLOOKUP(B17,'Up Min'!A:A,'Up Min'!I:I,)</f>
        <v/>
      </c>
      <c r="AJ17" s="56" t="str">
        <f t="array" ref="AJ17">_xlfn.XLOOKUP(B17,'Up Max'!A:A,'Up Max'!I:I,)</f>
        <v/>
      </c>
      <c r="AK17" s="53" t="str">
        <f t="array" ref="AK17">_xlfn.XLOOKUP(B17,'Up Stats'!A:A,'Up Stats'!J:J,)</f>
        <v/>
      </c>
      <c r="AL17" s="54" t="str">
        <f>IFERROR(__xludf.DUMMYFUNCTION("if(AND(AM17=FALSE,AN17=FALSE),,if(AM17=AN17,JOIN("""",""Static: "",AM17),JOIN("""",""Min:  "",AM17, CHAR(10),""Max: "",AN17)))"),"")</f>
        <v/>
      </c>
      <c r="AM17" s="56" t="str">
        <f t="array" ref="AM17">_xlfn.XLOOKUP(B17,'Up Min'!A:A,'Up Min'!J:J,)</f>
        <v/>
      </c>
      <c r="AN17" s="56" t="str">
        <f t="array" ref="AN17">_xlfn.XLOOKUP(B17,'Up Max'!A:A,'Up Max'!J:J,)</f>
        <v/>
      </c>
      <c r="AO17" s="51" t="str">
        <f t="array" ref="AO17">CONCATENATE(_xlfn.XLOOKUP(B17,'Up Cells'!A:A,'Up Cells'!B:B,))</f>
        <v>3</v>
      </c>
      <c r="AP17" s="61" t="str">
        <f t="array" ref="AP17">CONCATENATE(_xlfn.XLOOKUP(B17,'Up Rarity'!A:A,'Up Rarity'!B:B,),CHAR(10),"-")</f>
        <v>Epic
-</v>
      </c>
    </row>
    <row r="18">
      <c r="A18" s="75" t="str">
        <f t="array" ref="A18">_xlfn.XLOOKUP(B18,'Up Icon'!A:A,'Up Icon'!B:B,)</f>
        <v/>
      </c>
      <c r="B18" s="66" t="str">
        <f t="array" ref="B18">HYPERLINK(_xlfn.XLOOKUP('Up Names'!B14,'Up Wiki'!A:A,'Up Wiki'!B:B,),'Up Names'!B14)</f>
        <v>Stand the Heat</v>
      </c>
      <c r="C18" s="37" t="str">
        <f t="array" ref="C18">_xlfn.XLOOKUP(B18,'Up Desc'!A:A,'Up Desc'!B:B,)</f>
        <v>Extra ammo is added to the magazine when you gain immolation.</v>
      </c>
      <c r="D18" s="37" t="str">
        <f t="array" ref="D18">_xlfn.XLOOKUP(B18,'Up Turbo'!A:A,'Up Turbo'!B:B,)</f>
        <v>n/a</v>
      </c>
      <c r="E18" s="39" t="str">
        <f t="array" ref="E18">_xlfn.XLOOKUP(B18,'Up Stats'!A:A,'Up Stats'!B:B,)</f>
        <v>Ammo Refunded</v>
      </c>
      <c r="F18" s="40" t="str">
        <f>IFERROR(__xludf.DUMMYFUNCTION("if(AND(G18=FALSE,H18=FALSE),,if(G18=H18,JOIN("""",""Static: "",G18),JOIN("""",""Min:  "",G18, CHAR(10),""Max: "",H18)))"),"Min:  5
Max: 10")</f>
        <v>Min:  5
Max: 10</v>
      </c>
      <c r="G18" s="69">
        <f t="array" ref="G18">_xlfn.XLOOKUP(B18,'Up Min'!A:A,'Up Min'!B:B,)</f>
        <v>5</v>
      </c>
      <c r="H18" s="68">
        <f t="array" ref="H18">_xlfn.XLOOKUP(B18,'Up Max'!A:A,'Up Max'!B:B,)</f>
        <v>10</v>
      </c>
      <c r="I18" s="39" t="str">
        <f t="array" ref="I18">_xlfn.XLOOKUP(B18,'Up Stats'!A:A,'Up Stats'!C:C,)</f>
        <v/>
      </c>
      <c r="J18" s="40" t="str">
        <f>IFERROR(__xludf.DUMMYFUNCTION("if(AND(K18=FALSE,L18=FALSE),,if(K18=L18,JOIN("""",""Static: "",K18),JOIN("""",""Min:  "",K18, CHAR(10),""Max: "",L18)))"),"")</f>
        <v/>
      </c>
      <c r="K18" s="42" t="str">
        <f t="array" ref="K18">_xlfn.XLOOKUP(B18,'Up Min'!A:A,'Up Min'!C:C,)</f>
        <v/>
      </c>
      <c r="L18" s="42" t="str">
        <f t="array" ref="L18">_xlfn.XLOOKUP(B18,'Up Max'!A:A,'Up Max'!C:C,)</f>
        <v/>
      </c>
      <c r="M18" s="48" t="str">
        <f t="array" ref="M18">_xlfn.XLOOKUP(B18,'Up Stats'!A:A,'Up Stats'!D:D,)</f>
        <v/>
      </c>
      <c r="N18" s="40" t="str">
        <f>IFERROR(__xludf.DUMMYFUNCTION("if(AND(O18=FALSE,P18=FALSE),,if(O18=P18,JOIN("""",""Static: "",O18),JOIN("""",""Min:  "",O18, CHAR(10),""Max: "",P18)))"),"")</f>
        <v/>
      </c>
      <c r="O18" s="42" t="str">
        <f t="array" ref="O18">_xlfn.XLOOKUP(B18,'Up Min'!A:A,'Up Min'!D:D,)</f>
        <v/>
      </c>
      <c r="P18" s="42" t="str">
        <f t="array" ref="P18">_xlfn.XLOOKUP(B18,'Up Max'!A:A,'Up Max'!D:D,)</f>
        <v/>
      </c>
      <c r="Q18" s="48" t="str">
        <f t="array" ref="Q18">_xlfn.XLOOKUP(B18,'Up Stats'!A:A,'Up Stats'!E:E,)</f>
        <v/>
      </c>
      <c r="R18" s="40" t="str">
        <f>IFERROR(__xludf.DUMMYFUNCTION("if(AND(S18=FALSE,T18=FALSE),,if(S18=T18,JOIN("""",""Static: "",S18),JOIN("""",""Min:  "",S18, CHAR(10),""Max: "",T18)))"),"")</f>
        <v/>
      </c>
      <c r="S18" s="42" t="str">
        <f t="array" ref="S18">_xlfn.XLOOKUP(B18,'Up Min'!A:A,'Up Min'!E:E,)</f>
        <v/>
      </c>
      <c r="T18" s="42" t="str">
        <f t="array" ref="T18">_xlfn.XLOOKUP(B18,'Up Max'!A:A,'Up Max'!E:E,)</f>
        <v/>
      </c>
      <c r="U18" s="48" t="str">
        <f t="array" ref="U18">_xlfn.XLOOKUP(B18,'Up Stats'!A:A,'Up Stats'!F:F,)</f>
        <v/>
      </c>
      <c r="V18" s="40" t="str">
        <f>IFERROR(__xludf.DUMMYFUNCTION("if(AND(W18=FALSE,X18=FALSE),,if(W18=X18,JOIN("""",""Static: "",W18),JOIN("""",""Min:  "",W18, CHAR(10),""Max: "",X18)))"),"")</f>
        <v/>
      </c>
      <c r="W18" s="42" t="str">
        <f t="array" ref="W18">_xlfn.XLOOKUP(B18,'Up Min'!A:A,'Up Min'!F:F,)</f>
        <v/>
      </c>
      <c r="X18" s="42" t="str">
        <f t="array" ref="X18">_xlfn.XLOOKUP(B18,'Up Max'!A:A,'Up Max'!F:F,)</f>
        <v/>
      </c>
      <c r="Y18" s="48" t="str">
        <f t="array" ref="Y18">_xlfn.XLOOKUP(B18,'Up Stats'!A:A,'Up Stats'!G:G,)</f>
        <v/>
      </c>
      <c r="Z18" s="40" t="str">
        <f>IFERROR(__xludf.DUMMYFUNCTION("if(AND(AA18=FALSE,AB18=FALSE),,if(AA18=AB18,JOIN("""",""Static: "",AA18),JOIN("""",""Min:  "",AA18, CHAR(10),""Max: "",AB18)))"),"")</f>
        <v/>
      </c>
      <c r="AA18" s="42" t="str">
        <f t="array" ref="AA18">_xlfn.XLOOKUP(B18,'Up Min'!A:A,'Up Min'!G:G,)</f>
        <v/>
      </c>
      <c r="AB18" s="42" t="str">
        <f t="array" ref="AB18">_xlfn.XLOOKUP(B18,'Up Max'!A:A,'Up Max'!G:G,)</f>
        <v/>
      </c>
      <c r="AC18" s="48" t="str">
        <f t="array" ref="AC18">_xlfn.XLOOKUP(B18,'Up Stats'!A:A,'Up Stats'!H:H,)</f>
        <v/>
      </c>
      <c r="AD18" s="40" t="str">
        <f>IFERROR(__xludf.DUMMYFUNCTION("if(AND(AE18=FALSE,AF18=FALSE),,if(AE18=AF18,JOIN("""",""Static: "",AE18),JOIN("""",""Min:  "",AE18, CHAR(10),""Max: "",AF18)))"),"")</f>
        <v/>
      </c>
      <c r="AE18" s="45" t="str">
        <f t="array" ref="AE18">_xlfn.XLOOKUP(B18,'Up Min'!A:A,'Up Min'!H:H,)</f>
        <v/>
      </c>
      <c r="AF18" s="45" t="str">
        <f t="array" ref="AF18">_xlfn.XLOOKUP(B18,'Up Max'!A:A,'Up Max'!H:H,)</f>
        <v/>
      </c>
      <c r="AG18" s="39" t="str">
        <f t="array" ref="AG18">_xlfn.XLOOKUP(B18,'Up Stats'!A:A,'Up Stats'!I:I,)</f>
        <v/>
      </c>
      <c r="AH18" s="40" t="str">
        <f>IFERROR(__xludf.DUMMYFUNCTION("if(AND(AI18=FALSE,AJ18=FALSE),,if(AI18=AJ18,JOIN("""",""Static: "",AI18),JOIN("""",""Min:  "",AI18, CHAR(10),""Max: "",AJ18)))"),"")</f>
        <v/>
      </c>
      <c r="AI18" s="45" t="str">
        <f t="array" ref="AI18">_xlfn.XLOOKUP(B18,'Up Min'!A:A,'Up Min'!I:I,)</f>
        <v/>
      </c>
      <c r="AJ18" s="45" t="str">
        <f t="array" ref="AJ18">_xlfn.XLOOKUP(B18,'Up Max'!A:A,'Up Max'!I:I,)</f>
        <v/>
      </c>
      <c r="AK18" s="39" t="str">
        <f t="array" ref="AK18">_xlfn.XLOOKUP(B18,'Up Stats'!A:A,'Up Stats'!J:J,)</f>
        <v/>
      </c>
      <c r="AL18" s="40" t="str">
        <f>IFERROR(__xludf.DUMMYFUNCTION("if(AND(AM18=FALSE,AN18=FALSE),,if(AM18=AN18,JOIN("""",""Static: "",AM18),JOIN("""",""Min:  "",AM18, CHAR(10),""Max: "",AN18)))"),"")</f>
        <v/>
      </c>
      <c r="AM18" s="45" t="str">
        <f t="array" ref="AM18">_xlfn.XLOOKUP(B18,'Up Min'!A:A,'Up Min'!J:J,)</f>
        <v/>
      </c>
      <c r="AN18" s="45" t="str">
        <f t="array" ref="AN18">_xlfn.XLOOKUP(B18,'Up Max'!A:A,'Up Max'!J:J,)</f>
        <v/>
      </c>
      <c r="AO18" s="34" t="str">
        <f t="array" ref="AO18">CONCATENATE(_xlfn.XLOOKUP(B18,'Up Cells'!A:A,'Up Cells'!B:B,))</f>
        <v>4</v>
      </c>
      <c r="AP18" s="58" t="str">
        <f t="array" ref="AP18">CONCATENATE(_xlfn.XLOOKUP(B18,'Up Rarity'!A:A,'Up Rarity'!B:B,),CHAR(10),"-")</f>
        <v>Epic
-</v>
      </c>
    </row>
    <row r="19">
      <c r="A19" s="83" t="str">
        <f t="array" ref="A19">_xlfn.XLOOKUP(B19,'Up Icon'!A:A,'Up Icon'!B:B,)</f>
        <v/>
      </c>
      <c r="B19" s="63" t="str">
        <f t="array" ref="B19">HYPERLINK(_xlfn.XLOOKUP('Up Names'!B15,'Up Wiki'!A:A,'Up Wiki'!B:B,),'Up Names'!B15)</f>
        <v>Double Barrel</v>
      </c>
      <c r="C19" s="52" t="str">
        <f t="array" ref="C19">_xlfn.XLOOKUP(B19,'Up Desc'!A:A,'Up Desc'!B:B,)</f>
        <v>Fires 2 shots before reloading. Damage and reload speed are increased. Spread is decreased.</v>
      </c>
      <c r="D19" s="52" t="str">
        <f t="array" ref="D19">_xlfn.XLOOKUP(B19,'Up Turbo'!A:A,'Up Turbo'!B:B,)</f>
        <v>n/a</v>
      </c>
      <c r="E19" s="53" t="str">
        <f t="array" ref="E19">_xlfn.XLOOKUP(B19,'Up Stats'!A:A,'Up Stats'!B:B,)</f>
        <v>Magazine Size</v>
      </c>
      <c r="F19" s="54" t="str">
        <f>IFERROR(__xludf.DUMMYFUNCTION("if(AND(G19=FALSE,H19=FALSE),,if(G19=H19,JOIN("""",""Static: "",G19),JOIN("""",""Min:  "",G19, CHAR(10),""Max: "",H19)))"),"Static: 2")</f>
        <v>Static: 2</v>
      </c>
      <c r="G19" s="64">
        <f t="array" ref="G19">_xlfn.XLOOKUP(B19,'Up Min'!A:A,'Up Min'!B:B,)</f>
        <v>2</v>
      </c>
      <c r="H19" s="65">
        <f t="array" ref="H19">_xlfn.XLOOKUP(B19,'Up Max'!A:A,'Up Max'!B:B,)</f>
        <v>2</v>
      </c>
      <c r="I19" s="53" t="str">
        <f t="array" ref="I19">_xlfn.XLOOKUP(B19,'Up Stats'!A:A,'Up Stats'!C:C,)</f>
        <v>Damage</v>
      </c>
      <c r="J19" s="54" t="str">
        <f>IFERROR(__xludf.DUMMYFUNCTION("if(AND(K19=FALSE,L19=FALSE),,if(K19=L19,JOIN("""",""Static: "",K19),JOIN("""",""Min:  "",K19, CHAR(10),""Max: "",L19)))"),"Min:  45%
Max: 60%")</f>
        <v>Min:  45%
Max: 60%</v>
      </c>
      <c r="K19" s="59">
        <f t="array" ref="K19">_xlfn.XLOOKUP(B19,'Up Min'!A:A,'Up Min'!C:C,)</f>
        <v>0.45</v>
      </c>
      <c r="L19" s="59">
        <f t="array" ref="L19">_xlfn.XLOOKUP(B19,'Up Max'!A:A,'Up Max'!C:C,)</f>
        <v>0.6</v>
      </c>
      <c r="M19" s="53" t="str">
        <f t="array" ref="M19">_xlfn.XLOOKUP(B19,'Up Stats'!A:A,'Up Stats'!D:D,)</f>
        <v>Horizontal Spread</v>
      </c>
      <c r="N19" s="54" t="str">
        <f>IFERROR(__xludf.DUMMYFUNCTION("if(AND(O19=FALSE,P19=FALSE),,if(O19=P19,JOIN("""",""Static: "",O19),JOIN("""",""Min:  "",O19, CHAR(10),""Max: "",P19)))"),"Min:  -20%
Max: -11%")</f>
        <v>Min:  -20%
Max: -11%</v>
      </c>
      <c r="O19" s="59">
        <f t="array" ref="O19">_xlfn.XLOOKUP(B19,'Up Min'!A:A,'Up Min'!D:D,)</f>
        <v>-0.2</v>
      </c>
      <c r="P19" s="59">
        <f t="array" ref="P19">_xlfn.XLOOKUP(B19,'Up Max'!A:A,'Up Max'!D:D,)</f>
        <v>-0.11</v>
      </c>
      <c r="Q19" s="57" t="str">
        <f t="array" ref="Q19">_xlfn.XLOOKUP(B19,'Up Stats'!A:A,'Up Stats'!E:E,)</f>
        <v>Vertical Spread</v>
      </c>
      <c r="R19" s="54" t="str">
        <f>IFERROR(__xludf.DUMMYFUNCTION("if(AND(S19=FALSE,T19=FALSE),,if(S19=T19,JOIN("""",""Static: "",S19),JOIN("""",""Min:  "",S19, CHAR(10),""Max: "",T19)))"),"Min:  -20%
Max: -11%")</f>
        <v>Min:  -20%
Max: -11%</v>
      </c>
      <c r="S19" s="59">
        <f t="array" ref="S19">_xlfn.XLOOKUP(B19,'Up Min'!A:A,'Up Min'!E:E,)</f>
        <v>-0.2</v>
      </c>
      <c r="T19" s="59">
        <f t="array" ref="T19">_xlfn.XLOOKUP(B19,'Up Max'!A:A,'Up Max'!E:E,)</f>
        <v>-0.11</v>
      </c>
      <c r="U19" s="57" t="str">
        <f t="array" ref="U19">_xlfn.XLOOKUP(B19,'Up Stats'!A:A,'Up Stats'!F:F,)</f>
        <v>Reload Speed</v>
      </c>
      <c r="V19" s="54" t="str">
        <f>IFERROR(__xludf.DUMMYFUNCTION("if(AND(W19=FALSE,X19=FALSE),,if(W19=X19,JOIN("""",""Static: "",W19),JOIN("""",""Min:  "",W19, CHAR(10),""Max: "",X19)))"),"Min:  122.22%
Max: 81.82%")</f>
        <v>Min:  122.22%
Max: 81.82%</v>
      </c>
      <c r="W19" s="71">
        <f t="array" ref="W19">_xlfn.XLOOKUP(B19,'Up Min'!A:A,'Up Min'!F:F,)</f>
        <v>1.2222</v>
      </c>
      <c r="X19" s="71">
        <f t="array" ref="X19">_xlfn.XLOOKUP(B19,'Up Max'!A:A,'Up Max'!F:F,)</f>
        <v>0.8182</v>
      </c>
      <c r="Y19" s="53" t="str">
        <f t="array" ref="Y19">_xlfn.XLOOKUP(B19,'Up Stats'!A:A,'Up Stats'!G:G,)</f>
        <v/>
      </c>
      <c r="Z19" s="54" t="str">
        <f>IFERROR(__xludf.DUMMYFUNCTION("if(AND(AA19=FALSE,AB19=FALSE),,if(AA19=AB19,JOIN("""",""Static: "",AA19),JOIN("""",""Min:  "",AA19, CHAR(10),""Max: "",AB19)))"),"")</f>
        <v/>
      </c>
      <c r="AA19" s="55" t="str">
        <f t="array" ref="AA19">_xlfn.XLOOKUP(B19,'Up Min'!A:A,'Up Min'!G:G,)</f>
        <v/>
      </c>
      <c r="AB19" s="56" t="str">
        <f t="array" ref="AB19">_xlfn.XLOOKUP(B19,'Up Max'!A:A,'Up Max'!G:G,)</f>
        <v/>
      </c>
      <c r="AC19" s="53" t="str">
        <f t="array" ref="AC19">_xlfn.XLOOKUP(B19,'Up Stats'!A:A,'Up Stats'!H:H,)</f>
        <v/>
      </c>
      <c r="AD19" s="54" t="str">
        <f>IFERROR(__xludf.DUMMYFUNCTION("if(AND(AE19=FALSE,AF19=FALSE),,if(AE19=AF19,JOIN("""",""Static: "",AE19),JOIN("""",""Min:  "",AE19, CHAR(10),""Max: "",AF19)))"),"")</f>
        <v/>
      </c>
      <c r="AE19" s="56" t="str">
        <f t="array" ref="AE19">_xlfn.XLOOKUP(B19,'Up Min'!A:A,'Up Min'!H:H,)</f>
        <v/>
      </c>
      <c r="AF19" s="55" t="str">
        <f t="array" ref="AF19">_xlfn.XLOOKUP(B19,'Up Max'!A:A,'Up Max'!H:H,)</f>
        <v/>
      </c>
      <c r="AG19" s="53" t="str">
        <f t="array" ref="AG19">_xlfn.XLOOKUP(B19,'Up Stats'!A:A,'Up Stats'!I:I,)</f>
        <v/>
      </c>
      <c r="AH19" s="54" t="str">
        <f>IFERROR(__xludf.DUMMYFUNCTION("if(AND(AI19=FALSE,AJ19=FALSE),,if(AI19=AJ19,JOIN("""",""Static: "",AI19),JOIN("""",""Min:  "",AI19, CHAR(10),""Max: "",AJ19)))"),"")</f>
        <v/>
      </c>
      <c r="AI19" s="56" t="str">
        <f t="array" ref="AI19">_xlfn.XLOOKUP(B19,'Up Min'!A:A,'Up Min'!I:I,)</f>
        <v/>
      </c>
      <c r="AJ19" s="56" t="str">
        <f t="array" ref="AJ19">_xlfn.XLOOKUP(B19,'Up Max'!A:A,'Up Max'!I:I,)</f>
        <v/>
      </c>
      <c r="AK19" s="53" t="str">
        <f t="array" ref="AK19">_xlfn.XLOOKUP(B19,'Up Stats'!A:A,'Up Stats'!J:J,)</f>
        <v/>
      </c>
      <c r="AL19" s="54" t="str">
        <f>IFERROR(__xludf.DUMMYFUNCTION("if(AND(AM19=FALSE,AN19=FALSE),,if(AM19=AN19,JOIN("""",""Static: "",AM19),JOIN("""",""Min:  "",AM19, CHAR(10),""Max: "",AN19)))"),"")</f>
        <v/>
      </c>
      <c r="AM19" s="56" t="str">
        <f t="array" ref="AM19">_xlfn.XLOOKUP(B19,'Up Min'!A:A,'Up Min'!J:J,)</f>
        <v/>
      </c>
      <c r="AN19" s="56" t="str">
        <f t="array" ref="AN19">_xlfn.XLOOKUP(B19,'Up Max'!A:A,'Up Max'!J:J,)</f>
        <v/>
      </c>
      <c r="AO19" s="51" t="str">
        <f t="array" ref="AO19">CONCATENATE(_xlfn.XLOOKUP(B19,'Up Cells'!A:A,'Up Cells'!B:B,))</f>
        <v>3</v>
      </c>
      <c r="AP19" s="61" t="str">
        <f t="array" ref="AP19">CONCATENATE(_xlfn.XLOOKUP(B19,'Up Rarity'!A:A,'Up Rarity'!B:B,),CHAR(10),"-")</f>
        <v>Rare
-</v>
      </c>
    </row>
    <row r="20">
      <c r="A20" s="83" t="str">
        <f t="array" ref="A20">_xlfn.XLOOKUP(B20,'Up Icon'!A:A,'Up Icon'!B:B,)</f>
        <v/>
      </c>
      <c r="B20" s="66" t="str">
        <f t="array" ref="B20">HYPERLINK(_xlfn.XLOOKUP('Up Names'!B16,'Up Wiki'!A:A,'Up Wiki'!B:B,),'Up Names'!B16)</f>
        <v>Double Time</v>
      </c>
      <c r="C20" s="37" t="str">
        <f t="array" ref="C20">_xlfn.XLOOKUP(B20,'Up Desc'!A:A,'Up Desc'!B:B,)</f>
        <v>Fire a 2-shot burst.</v>
      </c>
      <c r="D20" s="37" t="str">
        <f t="array" ref="D20">_xlfn.XLOOKUP(B20,'Up Turbo'!A:A,'Up Turbo'!B:B,)</f>
        <v>n/a</v>
      </c>
      <c r="E20" s="39" t="str">
        <f t="array" ref="E20">_xlfn.XLOOKUP(B20,'Up Stats'!A:A,'Up Stats'!B:B,)</f>
        <v>Burst Size</v>
      </c>
      <c r="F20" s="40" t="str">
        <f>IFERROR(__xludf.DUMMYFUNCTION("if(AND(G20=FALSE,H20=FALSE),,if(G20=H20,JOIN("""",""Static: "",G20),JOIN("""",""Min:  "",G20, CHAR(10),""Max: "",H20)))"),"Static: 2")</f>
        <v>Static: 2</v>
      </c>
      <c r="G20" s="69">
        <f t="array" ref="G20">_xlfn.XLOOKUP(B20,'Up Min'!A:A,'Up Min'!B:B,)</f>
        <v>2</v>
      </c>
      <c r="H20" s="68">
        <f t="array" ref="H20">_xlfn.XLOOKUP(B20,'Up Max'!A:A,'Up Max'!B:B,)</f>
        <v>2</v>
      </c>
      <c r="I20" s="39" t="str">
        <f t="array" ref="I20">_xlfn.XLOOKUP(B20,'Up Stats'!A:A,'Up Stats'!C:C,)</f>
        <v>Burst Interval</v>
      </c>
      <c r="J20" s="40" t="str">
        <f>IFERROR(__xludf.DUMMYFUNCTION("if(AND(K20=FALSE,L20=FALSE),,if(K20=L20,JOIN("""",""Static: "",K20),JOIN("""",""Min:  "",K20, CHAR(10),""Max: "",L20)))"),"Min:  0.28
Max: 0.34")</f>
        <v>Min:  0.28
Max: 0.34</v>
      </c>
      <c r="K20" s="69">
        <f t="array" ref="K20">_xlfn.XLOOKUP(B20,'Up Min'!A:A,'Up Min'!C:C,)</f>
        <v>0.28</v>
      </c>
      <c r="L20" s="69">
        <f t="array" ref="L20">_xlfn.XLOOKUP(B20,'Up Max'!A:A,'Up Max'!C:C,)</f>
        <v>0.34</v>
      </c>
      <c r="M20" s="39" t="str">
        <f t="array" ref="M20">_xlfn.XLOOKUP(B20,'Up Stats'!A:A,'Up Stats'!D:D,)</f>
        <v>Fire Rate</v>
      </c>
      <c r="N20" s="40" t="str">
        <f>IFERROR(__xludf.DUMMYFUNCTION("if(AND(O20=FALSE,P20=FALSE),,if(O20=P20,JOIN("""",""Static: "",O20),JOIN("""",""Min:  "",O20, CHAR(10),""Max: "",P20)))"),"Min:  100%
Max: 74.83%")</f>
        <v>Min:  100%
Max: 74.83%</v>
      </c>
      <c r="O20" s="41">
        <f t="array" ref="O20">_xlfn.XLOOKUP(B20,'Up Min'!A:A,'Up Min'!D:D,)</f>
        <v>1</v>
      </c>
      <c r="P20" s="78">
        <f t="array" ref="P20">_xlfn.XLOOKUP(B20,'Up Max'!A:A,'Up Max'!D:D,)</f>
        <v>0.7483</v>
      </c>
      <c r="Q20" s="48" t="str">
        <f t="array" ref="Q20">_xlfn.XLOOKUP(B20,'Up Stats'!A:A,'Up Stats'!E:E,)</f>
        <v/>
      </c>
      <c r="R20" s="40" t="str">
        <f>IFERROR(__xludf.DUMMYFUNCTION("if(AND(S20=FALSE,T20=FALSE),,if(S20=T20,JOIN("""",""Static: "",S20),JOIN("""",""Min:  "",S20, CHAR(10),""Max: "",T20)))"),"")</f>
        <v/>
      </c>
      <c r="S20" s="45" t="str">
        <f t="array" ref="S20">_xlfn.XLOOKUP(B20,'Up Min'!A:A,'Up Min'!E:E,)</f>
        <v/>
      </c>
      <c r="T20" s="42" t="str">
        <f t="array" ref="T20">_xlfn.XLOOKUP(B20,'Up Max'!A:A,'Up Max'!E:E,)</f>
        <v/>
      </c>
      <c r="U20" s="48" t="str">
        <f t="array" ref="U20">_xlfn.XLOOKUP(B20,'Up Stats'!A:A,'Up Stats'!F:F,)</f>
        <v/>
      </c>
      <c r="V20" s="40" t="str">
        <f>IFERROR(__xludf.DUMMYFUNCTION("if(AND(W20=FALSE,X20=FALSE),,if(W20=X20,JOIN("""",""Static: "",W20),JOIN("""",""Min:  "",W20, CHAR(10),""Max: "",X20)))"),"")</f>
        <v/>
      </c>
      <c r="W20" s="42" t="str">
        <f t="array" ref="W20">_xlfn.XLOOKUP(B20,'Up Min'!A:A,'Up Min'!F:F,)</f>
        <v/>
      </c>
      <c r="X20" s="42" t="str">
        <f t="array" ref="X20">_xlfn.XLOOKUP(B20,'Up Max'!A:A,'Up Max'!F:F,)</f>
        <v/>
      </c>
      <c r="Y20" s="48" t="str">
        <f t="array" ref="Y20">_xlfn.XLOOKUP(B20,'Up Stats'!A:A,'Up Stats'!G:G,)</f>
        <v/>
      </c>
      <c r="Z20" s="40" t="str">
        <f>IFERROR(__xludf.DUMMYFUNCTION("if(AND(AA20=FALSE,AB20=FALSE),,if(AA20=AB20,JOIN("""",""Static: "",AA20),JOIN("""",""Min:  "",AA20, CHAR(10),""Max: "",AB20)))"),"")</f>
        <v/>
      </c>
      <c r="AA20" s="42" t="str">
        <f t="array" ref="AA20">_xlfn.XLOOKUP(B20,'Up Min'!A:A,'Up Min'!G:G,)</f>
        <v/>
      </c>
      <c r="AB20" s="42" t="str">
        <f t="array" ref="AB20">_xlfn.XLOOKUP(B20,'Up Max'!A:A,'Up Max'!G:G,)</f>
        <v/>
      </c>
      <c r="AC20" s="48" t="str">
        <f t="array" ref="AC20">_xlfn.XLOOKUP(B20,'Up Stats'!A:A,'Up Stats'!H:H,)</f>
        <v/>
      </c>
      <c r="AD20" s="40" t="str">
        <f>IFERROR(__xludf.DUMMYFUNCTION("if(AND(AE20=FALSE,AF20=FALSE),,if(AE20=AF20,JOIN("""",""Static: "",AE20),JOIN("""",""Min:  "",AE20, CHAR(10),""Max: "",AF20)))"),"")</f>
        <v/>
      </c>
      <c r="AE20" s="45" t="str">
        <f t="array" ref="AE20">_xlfn.XLOOKUP(B20,'Up Min'!A:A,'Up Min'!H:H,)</f>
        <v/>
      </c>
      <c r="AF20" s="42" t="str">
        <f t="array" ref="AF20">_xlfn.XLOOKUP(B20,'Up Max'!A:A,'Up Max'!H:H,)</f>
        <v/>
      </c>
      <c r="AG20" s="39" t="str">
        <f t="array" ref="AG20">_xlfn.XLOOKUP(B20,'Up Stats'!A:A,'Up Stats'!I:I,)</f>
        <v/>
      </c>
      <c r="AH20" s="40" t="str">
        <f>IFERROR(__xludf.DUMMYFUNCTION("if(AND(AI20=FALSE,AJ20=FALSE),,if(AI20=AJ20,JOIN("""",""Static: "",AI20),JOIN("""",""Min:  "",AI20, CHAR(10),""Max: "",AJ20)))"),"")</f>
        <v/>
      </c>
      <c r="AI20" s="45" t="str">
        <f t="array" ref="AI20">_xlfn.XLOOKUP(B20,'Up Min'!A:A,'Up Min'!I:I,)</f>
        <v/>
      </c>
      <c r="AJ20" s="45" t="str">
        <f t="array" ref="AJ20">_xlfn.XLOOKUP(B20,'Up Max'!A:A,'Up Max'!I:I,)</f>
        <v/>
      </c>
      <c r="AK20" s="39" t="str">
        <f t="array" ref="AK20">_xlfn.XLOOKUP(B20,'Up Stats'!A:A,'Up Stats'!J:J,)</f>
        <v/>
      </c>
      <c r="AL20" s="40" t="str">
        <f>IFERROR(__xludf.DUMMYFUNCTION("if(AND(AM20=FALSE,AN20=FALSE),,if(AM20=AN20,JOIN("""",""Static: "",AM20),JOIN("""",""Min:  "",AM20, CHAR(10),""Max: "",AN20)))"),"")</f>
        <v/>
      </c>
      <c r="AM20" s="45" t="str">
        <f t="array" ref="AM20">_xlfn.XLOOKUP(B20,'Up Min'!A:A,'Up Min'!J:J,)</f>
        <v/>
      </c>
      <c r="AN20" s="45" t="str">
        <f t="array" ref="AN20">_xlfn.XLOOKUP(B20,'Up Max'!A:A,'Up Max'!J:J,)</f>
        <v/>
      </c>
      <c r="AO20" s="34" t="str">
        <f t="array" ref="AO20">CONCATENATE(_xlfn.XLOOKUP(B20,'Up Cells'!A:A,'Up Cells'!B:B,))</f>
        <v>2</v>
      </c>
      <c r="AP20" s="58" t="str">
        <f t="array" ref="AP20">CONCATENATE(_xlfn.XLOOKUP(B20,'Up Rarity'!A:A,'Up Rarity'!B:B,),CHAR(10),"-")</f>
        <v>Rare
-</v>
      </c>
    </row>
    <row r="21">
      <c r="A21" s="83" t="str">
        <f t="array" ref="A21">_xlfn.XLOOKUP(B21,'Up Icon'!A:A,'Up Icon'!B:B,)</f>
        <v/>
      </c>
      <c r="B21" s="63" t="str">
        <f t="array" ref="B21">HYPERLINK(_xlfn.XLOOKUP('Up Names'!B17,'Up Wiki'!A:A,'Up Wiki'!B:B,),'Up Names'!B17)</f>
        <v>Focus Spread</v>
      </c>
      <c r="C21" s="52" t="str">
        <f t="array" ref="C21">_xlfn.XLOOKUP(B21,'Up Desc'!A:A,'Up Desc'!B:B,)</f>
        <v>Bullets fire in a tighter spread but deal less damage.</v>
      </c>
      <c r="D21" s="52" t="str">
        <f t="array" ref="D21">_xlfn.XLOOKUP(B21,'Up Turbo'!A:A,'Up Turbo'!B:B,)</f>
        <v>n/a</v>
      </c>
      <c r="E21" s="53" t="str">
        <f t="array" ref="E21">_xlfn.XLOOKUP(B21,'Up Stats'!A:A,'Up Stats'!B:B,)</f>
        <v>Horizontal Spread</v>
      </c>
      <c r="F21" s="54" t="str">
        <f>IFERROR(__xludf.DUMMYFUNCTION("if(AND(G21=FALSE,H21=FALSE),,if(G21=H21,JOIN("""",""Static: "",G21),JOIN("""",""Min:  "",G21, CHAR(10),""Max: "",H21)))"),"Min:  -46%
Max: -30%")</f>
        <v>Min:  -46%
Max: -30%</v>
      </c>
      <c r="G21" s="59">
        <f t="array" ref="G21">_xlfn.XLOOKUP(B21,'Up Min'!A:A,'Up Min'!B:B,)</f>
        <v>-0.46</v>
      </c>
      <c r="H21" s="59">
        <f t="array" ref="H21">_xlfn.XLOOKUP(B21,'Up Max'!A:A,'Up Max'!B:B,)</f>
        <v>-0.3</v>
      </c>
      <c r="I21" s="53" t="str">
        <f t="array" ref="I21">_xlfn.XLOOKUP(B21,'Up Stats'!A:A,'Up Stats'!C:C,)</f>
        <v>Vertical Spread</v>
      </c>
      <c r="J21" s="54" t="str">
        <f>IFERROR(__xludf.DUMMYFUNCTION("if(AND(K21=FALSE,L21=FALSE),,if(K21=L21,JOIN("""",""Static: "",K21),JOIN("""",""Min:  "",K21, CHAR(10),""Max: "",L21)))"),"Min:  -46%
Max: -30%")</f>
        <v>Min:  -46%
Max: -30%</v>
      </c>
      <c r="K21" s="59">
        <f t="array" ref="K21">_xlfn.XLOOKUP(B21,'Up Min'!A:A,'Up Min'!C:C,)</f>
        <v>-0.46</v>
      </c>
      <c r="L21" s="59">
        <f t="array" ref="L21">_xlfn.XLOOKUP(B21,'Up Max'!A:A,'Up Max'!C:C,)</f>
        <v>-0.3</v>
      </c>
      <c r="M21" s="53" t="str">
        <f t="array" ref="M21">_xlfn.XLOOKUP(B21,'Up Stats'!A:A,'Up Stats'!D:D,)</f>
        <v>Damage</v>
      </c>
      <c r="N21" s="54" t="str">
        <f>IFERROR(__xludf.DUMMYFUNCTION("if(AND(O21=FALSE,P21=FALSE),,if(O21=P21,JOIN("""",""Static: "",O21),JOIN("""",""Min:  "",O21, CHAR(10),""Max: "",P21)))"),"Min:  -22%
Max: -14%")</f>
        <v>Min:  -22%
Max: -14%</v>
      </c>
      <c r="O21" s="59">
        <f t="array" ref="O21">_xlfn.XLOOKUP(B21,'Up Min'!A:A,'Up Min'!D:D,)</f>
        <v>-0.22</v>
      </c>
      <c r="P21" s="59">
        <f t="array" ref="P21">_xlfn.XLOOKUP(B21,'Up Max'!A:A,'Up Max'!D:D,)</f>
        <v>-0.14</v>
      </c>
      <c r="Q21" s="57" t="str">
        <f t="array" ref="Q21">_xlfn.XLOOKUP(B21,'Up Stats'!A:A,'Up Stats'!E:E,)</f>
        <v/>
      </c>
      <c r="R21" s="54" t="str">
        <f>IFERROR(__xludf.DUMMYFUNCTION("if(AND(S21=FALSE,T21=FALSE),,if(S21=T21,JOIN("""",""Static: "",S21),JOIN("""",""Min:  "",S21, CHAR(10),""Max: "",T21)))"),"")</f>
        <v/>
      </c>
      <c r="S21" s="56" t="str">
        <f t="array" ref="S21">_xlfn.XLOOKUP(B21,'Up Min'!A:A,'Up Min'!E:E,)</f>
        <v/>
      </c>
      <c r="T21" s="55" t="str">
        <f t="array" ref="T21">_xlfn.XLOOKUP(B21,'Up Max'!A:A,'Up Max'!E:E,)</f>
        <v/>
      </c>
      <c r="U21" s="57" t="str">
        <f t="array" ref="U21">_xlfn.XLOOKUP(B21,'Up Stats'!A:A,'Up Stats'!F:F,)</f>
        <v/>
      </c>
      <c r="V21" s="54" t="str">
        <f>IFERROR(__xludf.DUMMYFUNCTION("if(AND(W21=FALSE,X21=FALSE),,if(W21=X21,JOIN("""",""Static: "",W21),JOIN("""",""Min:  "",W21, CHAR(10),""Max: "",X21)))"),"")</f>
        <v/>
      </c>
      <c r="W21" s="55" t="str">
        <f t="array" ref="W21">_xlfn.XLOOKUP(B21,'Up Min'!A:A,'Up Min'!F:F,)</f>
        <v/>
      </c>
      <c r="X21" s="55" t="str">
        <f t="array" ref="X21">_xlfn.XLOOKUP(B21,'Up Max'!A:A,'Up Max'!F:F,)</f>
        <v/>
      </c>
      <c r="Y21" s="57" t="str">
        <f t="array" ref="Y21">_xlfn.XLOOKUP(B21,'Up Stats'!A:A,'Up Stats'!G:G,)</f>
        <v/>
      </c>
      <c r="Z21" s="54" t="str">
        <f>IFERROR(__xludf.DUMMYFUNCTION("if(AND(AA21=FALSE,AB21=FALSE),,if(AA21=AB21,JOIN("""",""Static: "",AA21),JOIN("""",""Min:  "",AA21, CHAR(10),""Max: "",AB21)))"),"")</f>
        <v/>
      </c>
      <c r="AA21" s="55" t="str">
        <f t="array" ref="AA21">_xlfn.XLOOKUP(B21,'Up Min'!A:A,'Up Min'!G:G,)</f>
        <v/>
      </c>
      <c r="AB21" s="55" t="str">
        <f t="array" ref="AB21">_xlfn.XLOOKUP(B21,'Up Max'!A:A,'Up Max'!G:G,)</f>
        <v/>
      </c>
      <c r="AC21" s="57" t="str">
        <f t="array" ref="AC21">_xlfn.XLOOKUP(B21,'Up Stats'!A:A,'Up Stats'!H:H,)</f>
        <v/>
      </c>
      <c r="AD21" s="54" t="str">
        <f>IFERROR(__xludf.DUMMYFUNCTION("if(AND(AE21=FALSE,AF21=FALSE),,if(AE21=AF21,JOIN("""",""Static: "",AE21),JOIN("""",""Min:  "",AE21, CHAR(10),""Max: "",AF21)))"),"")</f>
        <v/>
      </c>
      <c r="AE21" s="56" t="str">
        <f t="array" ref="AE21">_xlfn.XLOOKUP(B21,'Up Min'!A:A,'Up Min'!H:H,)</f>
        <v/>
      </c>
      <c r="AF21" s="55" t="str">
        <f t="array" ref="AF21">_xlfn.XLOOKUP(B21,'Up Max'!A:A,'Up Max'!H:H,)</f>
        <v/>
      </c>
      <c r="AG21" s="53" t="str">
        <f t="array" ref="AG21">_xlfn.XLOOKUP(B21,'Up Stats'!A:A,'Up Stats'!I:I,)</f>
        <v/>
      </c>
      <c r="AH21" s="54" t="str">
        <f>IFERROR(__xludf.DUMMYFUNCTION("if(AND(AI21=FALSE,AJ21=FALSE),,if(AI21=AJ21,JOIN("""",""Static: "",AI21),JOIN("""",""Min:  "",AI21, CHAR(10),""Max: "",AJ21)))"),"")</f>
        <v/>
      </c>
      <c r="AI21" s="56" t="str">
        <f t="array" ref="AI21">_xlfn.XLOOKUP(B21,'Up Min'!A:A,'Up Min'!I:I,)</f>
        <v/>
      </c>
      <c r="AJ21" s="56" t="str">
        <f t="array" ref="AJ21">_xlfn.XLOOKUP(B21,'Up Max'!A:A,'Up Max'!I:I,)</f>
        <v/>
      </c>
      <c r="AK21" s="53" t="str">
        <f t="array" ref="AK21">_xlfn.XLOOKUP(B21,'Up Stats'!A:A,'Up Stats'!J:J,)</f>
        <v/>
      </c>
      <c r="AL21" s="54" t="str">
        <f>IFERROR(__xludf.DUMMYFUNCTION("if(AND(AM21=FALSE,AN21=FALSE),,if(AM21=AN21,JOIN("""",""Static: "",AM21),JOIN("""",""Min:  "",AM21, CHAR(10),""Max: "",AN21)))"),"")</f>
        <v/>
      </c>
      <c r="AM21" s="56" t="str">
        <f t="array" ref="AM21">_xlfn.XLOOKUP(B21,'Up Min'!A:A,'Up Min'!J:J,)</f>
        <v/>
      </c>
      <c r="AN21" s="56" t="str">
        <f t="array" ref="AN21">_xlfn.XLOOKUP(B21,'Up Max'!A:A,'Up Max'!J:J,)</f>
        <v/>
      </c>
      <c r="AO21" s="51" t="str">
        <f t="array" ref="AO21">CONCATENATE(_xlfn.XLOOKUP(B21,'Up Cells'!A:A,'Up Cells'!B:B,))</f>
        <v>4</v>
      </c>
      <c r="AP21" s="61" t="str">
        <f t="array" ref="AP21">CONCATENATE(_xlfn.XLOOKUP(B21,'Up Rarity'!A:A,'Up Rarity'!B:B,),CHAR(10),"-")</f>
        <v>Rare
-</v>
      </c>
    </row>
    <row r="22">
      <c r="A22" s="83" t="str">
        <f t="array" ref="A22">_xlfn.XLOOKUP(B22,'Up Icon'!A:A,'Up Icon'!B:B,)</f>
        <v/>
      </c>
      <c r="B22" s="66" t="str">
        <f t="array" ref="B22">HYPERLINK(_xlfn.XLOOKUP('Up Names'!B19,'Up Wiki'!A:A,'Up Wiki'!B:B,),'Up Names'!B19)</f>
        <v>Heavy</v>
      </c>
      <c r="C22" s="37" t="str">
        <f t="array" ref="C22">_xlfn.XLOOKUP(B22,'Up Desc'!A:A,'Up Desc'!B:B,)</f>
        <v>Fire slower, deal more damage, and apply more fire.</v>
      </c>
      <c r="D22" s="37" t="str">
        <f t="array" ref="D22">_xlfn.XLOOKUP(B22,'Up Turbo'!A:A,'Up Turbo'!B:B,)</f>
        <v>n/a</v>
      </c>
      <c r="E22" s="39" t="str">
        <f t="array" ref="E22">_xlfn.XLOOKUP(B22,'Up Stats'!A:A,'Up Stats'!B:B,)</f>
        <v>Fire Rate</v>
      </c>
      <c r="F22" s="40" t="str">
        <f>IFERROR(__xludf.DUMMYFUNCTION("if(AND(G22=FALSE,H22=FALSE),,if(G22=H22,JOIN("""",""Static: "",G22),JOIN("""",""Min:  "",G22, CHAR(10),""Max: "",H22)))"),"Min:  -21.05%
Max: -33.33%")</f>
        <v>Min:  -21.05%
Max: -33.33%</v>
      </c>
      <c r="G22" s="78">
        <f t="array" ref="G22">_xlfn.XLOOKUP(B22,'Up Min'!A:A,'Up Min'!B:B,)</f>
        <v>-0.2105</v>
      </c>
      <c r="H22" s="78">
        <f t="array" ref="H22">_xlfn.XLOOKUP(B22,'Up Max'!A:A,'Up Max'!B:B,)</f>
        <v>-0.3333</v>
      </c>
      <c r="I22" s="39" t="str">
        <f t="array" ref="I22">_xlfn.XLOOKUP(B22,'Up Stats'!A:A,'Up Stats'!C:C,)</f>
        <v>Damage</v>
      </c>
      <c r="J22" s="40" t="str">
        <f>IFERROR(__xludf.DUMMYFUNCTION("if(AND(K22=FALSE,L22=FALSE),,if(K22=L22,JOIN("""",""Static: "",K22),JOIN("""",""Min:  "",K22, CHAR(10),""Max: "",L22)))"),"Min:  70%
Max: 110%")</f>
        <v>Min:  70%
Max: 110%</v>
      </c>
      <c r="K22" s="41">
        <f t="array" ref="K22">_xlfn.XLOOKUP(B22,'Up Min'!A:A,'Up Min'!C:C,)</f>
        <v>0.7</v>
      </c>
      <c r="L22" s="41">
        <f t="array" ref="L22">_xlfn.XLOOKUP(B22,'Up Max'!A:A,'Up Max'!C:C,)</f>
        <v>1.1</v>
      </c>
      <c r="M22" s="39" t="str">
        <f t="array" ref="M22">_xlfn.XLOOKUP(B22,'Up Stats'!A:A,'Up Stats'!D:D,)</f>
        <v>Element</v>
      </c>
      <c r="N22" s="40" t="str">
        <f>IFERROR(__xludf.DUMMYFUNCTION("if(AND(O22=FALSE,P22=FALSE),,if(O22=P22,JOIN("""",""Static: "",O22),JOIN("""",""Min:  "",O22, CHAR(10),""Max: "",P22)))"),"Min:  5%
Max: 15%")</f>
        <v>Min:  5%
Max: 15%</v>
      </c>
      <c r="O22" s="41">
        <f t="array" ref="O22">_xlfn.XLOOKUP(B22,'Up Min'!A:A,'Up Min'!D:D,)</f>
        <v>0.05</v>
      </c>
      <c r="P22" s="41">
        <f t="array" ref="P22">_xlfn.XLOOKUP(B22,'Up Max'!A:A,'Up Max'!D:D,)</f>
        <v>0.15</v>
      </c>
      <c r="Q22" s="48" t="str">
        <f t="array" ref="Q22">_xlfn.XLOOKUP(B22,'Up Stats'!A:A,'Up Stats'!E:E,)</f>
        <v>Horizontal Recoil</v>
      </c>
      <c r="R22" s="40" t="str">
        <f>IFERROR(__xludf.DUMMYFUNCTION("if(AND(S22=FALSE,T22=FALSE),,if(S22=T22,JOIN("""",""Static: "",S22),JOIN("""",""Min:  "",S22, CHAR(10),""Max: "",T22)))"),"Min:  10%
Max: 30%")</f>
        <v>Min:  10%
Max: 30%</v>
      </c>
      <c r="S22" s="41">
        <f t="array" ref="S22">_xlfn.XLOOKUP(B22,'Up Min'!A:A,'Up Min'!E:E,)</f>
        <v>0.1</v>
      </c>
      <c r="T22" s="41">
        <f t="array" ref="T22">_xlfn.XLOOKUP(B22,'Up Max'!A:A,'Up Max'!E:E,)</f>
        <v>0.3</v>
      </c>
      <c r="U22" s="48" t="str">
        <f t="array" ref="U22">_xlfn.XLOOKUP(B22,'Up Stats'!A:A,'Up Stats'!F:F,)</f>
        <v>Vertical Recoil</v>
      </c>
      <c r="V22" s="40" t="str">
        <f>IFERROR(__xludf.DUMMYFUNCTION("if(AND(W22=FALSE,X22=FALSE),,if(W22=X22,JOIN("""",""Static: "",W22),JOIN("""",""Min:  "",W22, CHAR(10),""Max: "",X22)))"),"Min:  10%
Max: 30%")</f>
        <v>Min:  10%
Max: 30%</v>
      </c>
      <c r="W22" s="41">
        <f t="array" ref="W22">_xlfn.XLOOKUP(B22,'Up Min'!A:A,'Up Min'!F:F,)</f>
        <v>0.1</v>
      </c>
      <c r="X22" s="41">
        <f t="array" ref="X22">_xlfn.XLOOKUP(B22,'Up Max'!A:A,'Up Max'!F:F,)</f>
        <v>0.3</v>
      </c>
      <c r="Y22" s="39" t="str">
        <f t="array" ref="Y22">_xlfn.XLOOKUP(B22,'Up Stats'!A:A,'Up Stats'!G:G,)</f>
        <v/>
      </c>
      <c r="Z22" s="40" t="str">
        <f>IFERROR(__xludf.DUMMYFUNCTION("if(AND(AA22=FALSE,AB22=FALSE),,if(AA22=AB22,JOIN("""",""Static: "",AA22),JOIN("""",""Min:  "",AA22, CHAR(10),""Max: "",AB22)))"),"")</f>
        <v/>
      </c>
      <c r="AA22" s="42" t="str">
        <f t="array" ref="AA22">_xlfn.XLOOKUP(B22,'Up Min'!A:A,'Up Min'!G:G,)</f>
        <v/>
      </c>
      <c r="AB22" s="45" t="str">
        <f t="array" ref="AB22">_xlfn.XLOOKUP(B22,'Up Max'!A:A,'Up Max'!G:G,)</f>
        <v/>
      </c>
      <c r="AC22" s="39" t="str">
        <f t="array" ref="AC22">_xlfn.XLOOKUP(B22,'Up Stats'!A:A,'Up Stats'!H:H,)</f>
        <v/>
      </c>
      <c r="AD22" s="40" t="str">
        <f>IFERROR(__xludf.DUMMYFUNCTION("if(AND(AE22=FALSE,AF22=FALSE),,if(AE22=AF22,JOIN("""",""Static: "",AE22),JOIN("""",""Min:  "",AE22, CHAR(10),""Max: "",AF22)))"),"")</f>
        <v/>
      </c>
      <c r="AE22" s="45" t="str">
        <f t="array" ref="AE22">_xlfn.XLOOKUP(B22,'Up Min'!A:A,'Up Min'!H:H,)</f>
        <v/>
      </c>
      <c r="AF22" s="42" t="str">
        <f t="array" ref="AF22">_xlfn.XLOOKUP(B22,'Up Max'!A:A,'Up Max'!H:H,)</f>
        <v/>
      </c>
      <c r="AG22" s="39" t="str">
        <f t="array" ref="AG22">_xlfn.XLOOKUP(B22,'Up Stats'!A:A,'Up Stats'!I:I,)</f>
        <v/>
      </c>
      <c r="AH22" s="40" t="str">
        <f>IFERROR(__xludf.DUMMYFUNCTION("if(AND(AI22=FALSE,AJ22=FALSE),,if(AI22=AJ22,JOIN("""",""Static: "",AI22),JOIN("""",""Min:  "",AI22, CHAR(10),""Max: "",AJ22)))"),"")</f>
        <v/>
      </c>
      <c r="AI22" s="45" t="str">
        <f t="array" ref="AI22">_xlfn.XLOOKUP(B22,'Up Min'!A:A,'Up Min'!I:I,)</f>
        <v/>
      </c>
      <c r="AJ22" s="45" t="str">
        <f t="array" ref="AJ22">_xlfn.XLOOKUP(B22,'Up Max'!A:A,'Up Max'!I:I,)</f>
        <v/>
      </c>
      <c r="AK22" s="39" t="str">
        <f t="array" ref="AK22">_xlfn.XLOOKUP(B22,'Up Stats'!A:A,'Up Stats'!J:J,)</f>
        <v/>
      </c>
      <c r="AL22" s="40" t="str">
        <f>IFERROR(__xludf.DUMMYFUNCTION("if(AND(AM22=FALSE,AN22=FALSE),,if(AM22=AN22,JOIN("""",""Static: "",AM22),JOIN("""",""Min:  "",AM22, CHAR(10),""Max: "",AN22)))"),"")</f>
        <v/>
      </c>
      <c r="AM22" s="45" t="str">
        <f t="array" ref="AM22">_xlfn.XLOOKUP(B22,'Up Min'!A:A,'Up Min'!J:J,)</f>
        <v/>
      </c>
      <c r="AN22" s="45" t="str">
        <f t="array" ref="AN22">_xlfn.XLOOKUP(B22,'Up Max'!A:A,'Up Max'!J:J,)</f>
        <v/>
      </c>
      <c r="AO22" s="34" t="str">
        <f t="array" ref="AO22">CONCATENATE(_xlfn.XLOOKUP(B22,'Up Cells'!A:A,'Up Cells'!B:B,))</f>
        <v>4</v>
      </c>
      <c r="AP22" s="58" t="str">
        <f t="array" ref="AP22">CONCATENATE(_xlfn.XLOOKUP(B22,'Up Rarity'!A:A,'Up Rarity'!B:B,),CHAR(10),"-")</f>
        <v>Rare
-</v>
      </c>
    </row>
    <row r="23">
      <c r="A23" s="83" t="str">
        <f t="array" ref="A23">_xlfn.XLOOKUP(B23,'Up Icon'!A:A,'Up Icon'!B:B,)</f>
        <v/>
      </c>
      <c r="B23" s="63" t="str">
        <f t="array" ref="B23">HYPERLINK(_xlfn.XLOOKUP('Up Names'!B20,'Up Wiki'!A:A,'Up Wiki'!B:B,),'Up Names'!B20)</f>
        <v>Hot Potato</v>
      </c>
      <c r="C23" s="70" t="str">
        <f t="array" ref="C23">_xlfn.XLOOKUP(B23,'Up Desc'!A:A,'Up Desc'!B:B,)</f>
        <v>Fire faster while you are ignited.</v>
      </c>
      <c r="D23" s="52" t="str">
        <f t="array" ref="D23">_xlfn.XLOOKUP(B23,'Up Turbo'!A:A,'Up Turbo'!B:B,)</f>
        <v>n/a</v>
      </c>
      <c r="E23" s="53" t="str">
        <f t="array" ref="E23">_xlfn.XLOOKUP(B23,'Up Stats'!A:A,'Up Stats'!B:B,)</f>
        <v>Ignited Fire Rate</v>
      </c>
      <c r="F23" s="54" t="str">
        <f>IFERROR(__xludf.DUMMYFUNCTION("if(AND(G23=FALSE,H23=FALSE),,if(G23=H23,JOIN("""",""Static: "",G23),JOIN("""",""Min:  "",G23, CHAR(10),""Max: "",H23)))"),"Min:  25%
Max: 11.11%")</f>
        <v>Min:  25%
Max: 11.11%</v>
      </c>
      <c r="G23" s="59">
        <f t="array" ref="G23">_xlfn.XLOOKUP(B23,'Up Min'!A:A,'Up Min'!B:B,)</f>
        <v>0.25</v>
      </c>
      <c r="H23" s="71">
        <f t="array" ref="H23">_xlfn.XLOOKUP(B23,'Up Max'!A:A,'Up Max'!B:B,)</f>
        <v>0.1111</v>
      </c>
      <c r="I23" s="53" t="str">
        <f t="array" ref="I23">_xlfn.XLOOKUP(B23,'Up Stats'!A:A,'Up Stats'!C:C,)</f>
        <v/>
      </c>
      <c r="J23" s="54" t="str">
        <f>IFERROR(__xludf.DUMMYFUNCTION("if(AND(K23=FALSE,L23=FALSE),,if(K23=L23,JOIN("""",""Static: "",K23),JOIN("""",""Min:  "",K23, CHAR(10),""Max: "",L23)))"),"")</f>
        <v/>
      </c>
      <c r="K23" s="55" t="str">
        <f t="array" ref="K23">_xlfn.XLOOKUP(B23,'Up Min'!A:A,'Up Min'!C:C,)</f>
        <v/>
      </c>
      <c r="L23" s="55" t="str">
        <f t="array" ref="L23">_xlfn.XLOOKUP(B23,'Up Max'!A:A,'Up Max'!C:C,)</f>
        <v/>
      </c>
      <c r="M23" s="57" t="str">
        <f t="array" ref="M23">_xlfn.XLOOKUP(B23,'Up Stats'!A:A,'Up Stats'!D:D,)</f>
        <v/>
      </c>
      <c r="N23" s="54" t="str">
        <f>IFERROR(__xludf.DUMMYFUNCTION("if(AND(O23=FALSE,P23=FALSE),,if(O23=P23,JOIN("""",""Static: "",O23),JOIN("""",""Min:  "",O23, CHAR(10),""Max: "",P23)))"),"")</f>
        <v/>
      </c>
      <c r="O23" s="72" t="str">
        <f t="array" ref="O23">_xlfn.XLOOKUP(B23,'Up Min'!A:A,'Up Min'!D:D,)</f>
        <v/>
      </c>
      <c r="P23" s="72" t="str">
        <f t="array" ref="P23">_xlfn.XLOOKUP(B23,'Up Max'!A:A,'Up Max'!D:D,)</f>
        <v/>
      </c>
      <c r="Q23" s="57" t="str">
        <f t="array" ref="Q23">_xlfn.XLOOKUP(B23,'Up Stats'!A:A,'Up Stats'!E:E,)</f>
        <v/>
      </c>
      <c r="R23" s="54" t="str">
        <f>IFERROR(__xludf.DUMMYFUNCTION("if(AND(S23=FALSE,T23=FALSE),,if(S23=T23,JOIN("""",""Static: "",S23),JOIN("""",""Min:  "",S23, CHAR(10),""Max: "",T23)))"),"")</f>
        <v/>
      </c>
      <c r="S23" s="55" t="str">
        <f t="array" ref="S23">_xlfn.XLOOKUP(B23,'Up Min'!A:A,'Up Min'!E:E,)</f>
        <v/>
      </c>
      <c r="T23" s="55" t="str">
        <f t="array" ref="T23">_xlfn.XLOOKUP(B23,'Up Max'!A:A,'Up Max'!E:E,)</f>
        <v/>
      </c>
      <c r="U23" s="57" t="str">
        <f t="array" ref="U23">_xlfn.XLOOKUP(B23,'Up Stats'!A:A,'Up Stats'!F:F,)</f>
        <v/>
      </c>
      <c r="V23" s="54" t="str">
        <f>IFERROR(__xludf.DUMMYFUNCTION("if(AND(W23=FALSE,X23=FALSE),,if(W23=X23,JOIN("""",""Static: "",W23),JOIN("""",""Min:  "",W23, CHAR(10),""Max: "",X23)))"),"")</f>
        <v/>
      </c>
      <c r="W23" s="55" t="str">
        <f t="array" ref="W23">_xlfn.XLOOKUP(B23,'Up Min'!A:A,'Up Min'!F:F,)</f>
        <v/>
      </c>
      <c r="X23" s="55" t="str">
        <f t="array" ref="X23">_xlfn.XLOOKUP(B23,'Up Max'!A:A,'Up Max'!F:F,)</f>
        <v/>
      </c>
      <c r="Y23" s="57" t="str">
        <f t="array" ref="Y23">_xlfn.XLOOKUP(B23,'Up Stats'!A:A,'Up Stats'!G:G,)</f>
        <v/>
      </c>
      <c r="Z23" s="54" t="str">
        <f>IFERROR(__xludf.DUMMYFUNCTION("if(AND(AA23=FALSE,AB23=FALSE),,if(AA23=AB23,JOIN("""",""Static: "",AA23),JOIN("""",""Min:  "",AA23, CHAR(10),""Max: "",AB23)))"),"")</f>
        <v/>
      </c>
      <c r="AA23" s="55" t="str">
        <f t="array" ref="AA23">_xlfn.XLOOKUP(B23,'Up Min'!A:A,'Up Min'!G:G,)</f>
        <v/>
      </c>
      <c r="AB23" s="55" t="str">
        <f t="array" ref="AB23">_xlfn.XLOOKUP(B23,'Up Max'!A:A,'Up Max'!G:G,)</f>
        <v/>
      </c>
      <c r="AC23" s="57" t="str">
        <f t="array" ref="AC23">_xlfn.XLOOKUP(B23,'Up Stats'!A:A,'Up Stats'!H:H,)</f>
        <v/>
      </c>
      <c r="AD23" s="54" t="str">
        <f>IFERROR(__xludf.DUMMYFUNCTION("if(AND(AE23=FALSE,AF23=FALSE),,if(AE23=AF23,JOIN("""",""Static: "",AE23),JOIN("""",""Min:  "",AE23, CHAR(10),""Max: "",AF23)))"),"")</f>
        <v/>
      </c>
      <c r="AE23" s="56" t="str">
        <f t="array" ref="AE23">_xlfn.XLOOKUP(B23,'Up Min'!A:A,'Up Min'!H:H,)</f>
        <v/>
      </c>
      <c r="AF23" s="56" t="str">
        <f t="array" ref="AF23">_xlfn.XLOOKUP(B23,'Up Max'!A:A,'Up Max'!H:H,)</f>
        <v/>
      </c>
      <c r="AG23" s="53" t="str">
        <f t="array" ref="AG23">_xlfn.XLOOKUP(B23,'Up Stats'!A:A,'Up Stats'!I:I,)</f>
        <v/>
      </c>
      <c r="AH23" s="54" t="str">
        <f>IFERROR(__xludf.DUMMYFUNCTION("if(AND(AI23=FALSE,AJ23=FALSE),,if(AI23=AJ23,JOIN("""",""Static: "",AI23),JOIN("""",""Min:  "",AI23, CHAR(10),""Max: "",AJ23)))"),"")</f>
        <v/>
      </c>
      <c r="AI23" s="56" t="str">
        <f t="array" ref="AI23">_xlfn.XLOOKUP(B23,'Up Min'!A:A,'Up Min'!I:I,)</f>
        <v/>
      </c>
      <c r="AJ23" s="56" t="str">
        <f t="array" ref="AJ23">_xlfn.XLOOKUP(B23,'Up Max'!A:A,'Up Max'!I:I,)</f>
        <v/>
      </c>
      <c r="AK23" s="53" t="str">
        <f t="array" ref="AK23">_xlfn.XLOOKUP(B23,'Up Stats'!A:A,'Up Stats'!J:J,)</f>
        <v/>
      </c>
      <c r="AL23" s="54" t="str">
        <f>IFERROR(__xludf.DUMMYFUNCTION("if(AND(AM23=FALSE,AN23=FALSE),,if(AM23=AN23,JOIN("""",""Static: "",AM23),JOIN("""",""Min:  "",AM23, CHAR(10),""Max: "",AN23)))"),"")</f>
        <v/>
      </c>
      <c r="AM23" s="56" t="str">
        <f t="array" ref="AM23">_xlfn.XLOOKUP(B23,'Up Min'!A:A,'Up Min'!J:J,)</f>
        <v/>
      </c>
      <c r="AN23" s="56" t="str">
        <f t="array" ref="AN23">_xlfn.XLOOKUP(B23,'Up Max'!A:A,'Up Max'!J:J,)</f>
        <v/>
      </c>
      <c r="AO23" s="51" t="str">
        <f t="array" ref="AO23">CONCATENATE(_xlfn.XLOOKUP(B23,'Up Cells'!A:A,'Up Cells'!B:B,))</f>
        <v>5</v>
      </c>
      <c r="AP23" s="61" t="str">
        <f t="array" ref="AP23">CONCATENATE(_xlfn.XLOOKUP(B23,'Up Rarity'!A:A,'Up Rarity'!B:B,),CHAR(10),"-")</f>
        <v>Rare
-</v>
      </c>
    </row>
    <row r="24">
      <c r="A24" s="83" t="str">
        <f t="array" ref="A24">_xlfn.XLOOKUP(B24,'Up Icon'!A:A,'Up Icon'!B:B,)</f>
        <v/>
      </c>
      <c r="B24" s="66" t="str">
        <f t="array" ref="B24">HYPERLINK(_xlfn.XLOOKUP('Up Names'!B21,'Up Wiki'!A:A,'Up Wiki'!B:B,),'Up Names'!B21)</f>
        <v>Hot Reload</v>
      </c>
      <c r="C24" s="37" t="str">
        <f t="array" ref="C24">_xlfn.XLOOKUP(B24,'Up Desc'!A:A,'Up Desc'!B:B,)</f>
        <v>Reload faster while ignited.</v>
      </c>
      <c r="D24" s="37" t="str">
        <f t="array" ref="D24">_xlfn.XLOOKUP(B24,'Up Turbo'!A:A,'Up Turbo'!B:B,)</f>
        <v>n/a</v>
      </c>
      <c r="E24" s="39" t="str">
        <f t="array" ref="E24">_xlfn.XLOOKUP(B24,'Up Stats'!A:A,'Up Stats'!B:B,)</f>
        <v>Ignited Reload Speed</v>
      </c>
      <c r="F24" s="40" t="str">
        <f>IFERROR(__xludf.DUMMYFUNCTION("if(AND(G24=FALSE,H24=FALSE),,if(G24=H24,JOIN("""",""Static: "",G24),JOIN("""",""Min:  "",G24, CHAR(10),""Max: "",H24)))"),"Min:  233.33%
Max: 66.67%")</f>
        <v>Min:  233.33%
Max: 66.67%</v>
      </c>
      <c r="G24" s="78">
        <f t="array" ref="G24">_xlfn.XLOOKUP(B24,'Up Min'!A:A,'Up Min'!B:B,)</f>
        <v>2.3333</v>
      </c>
      <c r="H24" s="78">
        <f t="array" ref="H24">_xlfn.XLOOKUP(B24,'Up Max'!A:A,'Up Max'!B:B,)</f>
        <v>0.6667</v>
      </c>
      <c r="I24" s="39" t="str">
        <f t="array" ref="I24">_xlfn.XLOOKUP(B24,'Up Stats'!A:A,'Up Stats'!C:C,)</f>
        <v/>
      </c>
      <c r="J24" s="40" t="str">
        <f>IFERROR(__xludf.DUMMYFUNCTION("if(AND(K24=FALSE,L24=FALSE),,if(K24=L24,JOIN("""",""Static: "",K24),JOIN("""",""Min:  "",K24, CHAR(10),""Max: "",L24)))"),"")</f>
        <v/>
      </c>
      <c r="K24" s="42" t="str">
        <f t="array" ref="K24">_xlfn.XLOOKUP(B24,'Up Min'!A:A,'Up Min'!C:C,)</f>
        <v/>
      </c>
      <c r="L24" s="42" t="str">
        <f t="array" ref="L24">_xlfn.XLOOKUP(B24,'Up Max'!A:A,'Up Max'!C:C,)</f>
        <v/>
      </c>
      <c r="M24" s="48" t="str">
        <f t="array" ref="M24">_xlfn.XLOOKUP(B24,'Up Stats'!A:A,'Up Stats'!D:D,)</f>
        <v/>
      </c>
      <c r="N24" s="40" t="str">
        <f>IFERROR(__xludf.DUMMYFUNCTION("if(AND(O24=FALSE,P24=FALSE),,if(O24=P24,JOIN("""",""Static: "",O24),JOIN("""",""Min:  "",O24, CHAR(10),""Max: "",P24)))"),"")</f>
        <v/>
      </c>
      <c r="O24" s="42" t="str">
        <f t="array" ref="O24">_xlfn.XLOOKUP(B24,'Up Min'!A:A,'Up Min'!D:D,)</f>
        <v/>
      </c>
      <c r="P24" s="42" t="str">
        <f t="array" ref="P24">_xlfn.XLOOKUP(B24,'Up Max'!A:A,'Up Max'!D:D,)</f>
        <v/>
      </c>
      <c r="Q24" s="48" t="str">
        <f t="array" ref="Q24">_xlfn.XLOOKUP(B24,'Up Stats'!A:A,'Up Stats'!E:E,)</f>
        <v/>
      </c>
      <c r="R24" s="40" t="str">
        <f>IFERROR(__xludf.DUMMYFUNCTION("if(AND(S24=FALSE,T24=FALSE),,if(S24=T24,JOIN("""",""Static: "",S24),JOIN("""",""Min:  "",S24, CHAR(10),""Max: "",T24)))"),"")</f>
        <v/>
      </c>
      <c r="S24" s="42" t="str">
        <f t="array" ref="S24">_xlfn.XLOOKUP(B24,'Up Min'!A:A,'Up Min'!E:E,)</f>
        <v/>
      </c>
      <c r="T24" s="42" t="str">
        <f t="array" ref="T24">_xlfn.XLOOKUP(B24,'Up Max'!A:A,'Up Max'!E:E,)</f>
        <v/>
      </c>
      <c r="U24" s="48" t="str">
        <f t="array" ref="U24">_xlfn.XLOOKUP(B24,'Up Stats'!A:A,'Up Stats'!F:F,)</f>
        <v/>
      </c>
      <c r="V24" s="40" t="str">
        <f>IFERROR(__xludf.DUMMYFUNCTION("if(AND(W24=FALSE,X24=FALSE),,if(W24=X24,JOIN("""",""Static: "",W24),JOIN("""",""Min:  "",W24, CHAR(10),""Max: "",X24)))"),"")</f>
        <v/>
      </c>
      <c r="W24" s="42" t="str">
        <f t="array" ref="W24">_xlfn.XLOOKUP(B24,'Up Min'!A:A,'Up Min'!F:F,)</f>
        <v/>
      </c>
      <c r="X24" s="42" t="str">
        <f t="array" ref="X24">_xlfn.XLOOKUP(B24,'Up Max'!A:A,'Up Max'!F:F,)</f>
        <v/>
      </c>
      <c r="Y24" s="48" t="str">
        <f t="array" ref="Y24">_xlfn.XLOOKUP(B24,'Up Stats'!A:A,'Up Stats'!G:G,)</f>
        <v/>
      </c>
      <c r="Z24" s="40" t="str">
        <f>IFERROR(__xludf.DUMMYFUNCTION("if(AND(AA24=FALSE,AB24=FALSE),,if(AA24=AB24,JOIN("""",""Static: "",AA24),JOIN("""",""Min:  "",AA24, CHAR(10),""Max: "",AB24)))"),"")</f>
        <v/>
      </c>
      <c r="AA24" s="42" t="str">
        <f t="array" ref="AA24">_xlfn.XLOOKUP(B24,'Up Min'!A:A,'Up Min'!G:G,)</f>
        <v/>
      </c>
      <c r="AB24" s="42" t="str">
        <f t="array" ref="AB24">_xlfn.XLOOKUP(B24,'Up Max'!A:A,'Up Max'!G:G,)</f>
        <v/>
      </c>
      <c r="AC24" s="48" t="str">
        <f t="array" ref="AC24">_xlfn.XLOOKUP(B24,'Up Stats'!A:A,'Up Stats'!H:H,)</f>
        <v/>
      </c>
      <c r="AD24" s="40" t="str">
        <f>IFERROR(__xludf.DUMMYFUNCTION("if(AND(AE24=FALSE,AF24=FALSE),,if(AE24=AF24,JOIN("""",""Static: "",AE24),JOIN("""",""Min:  "",AE24, CHAR(10),""Max: "",AF24)))"),"")</f>
        <v/>
      </c>
      <c r="AE24" s="45" t="str">
        <f t="array" ref="AE24">_xlfn.XLOOKUP(B24,'Up Min'!A:A,'Up Min'!H:H,)</f>
        <v/>
      </c>
      <c r="AF24" s="42" t="str">
        <f t="array" ref="AF24">_xlfn.XLOOKUP(B24,'Up Max'!A:A,'Up Max'!H:H,)</f>
        <v/>
      </c>
      <c r="AG24" s="39" t="str">
        <f t="array" ref="AG24">_xlfn.XLOOKUP(B24,'Up Stats'!A:A,'Up Stats'!I:I,)</f>
        <v/>
      </c>
      <c r="AH24" s="40" t="str">
        <f>IFERROR(__xludf.DUMMYFUNCTION("if(AND(AI24=FALSE,AJ24=FALSE),,if(AI24=AJ24,JOIN("""",""Static: "",AI24),JOIN("""",""Min:  "",AI24, CHAR(10),""Max: "",AJ24)))"),"")</f>
        <v/>
      </c>
      <c r="AI24" s="45" t="str">
        <f t="array" ref="AI24">_xlfn.XLOOKUP(B24,'Up Min'!A:A,'Up Min'!I:I,)</f>
        <v/>
      </c>
      <c r="AJ24" s="45" t="str">
        <f t="array" ref="AJ24">_xlfn.XLOOKUP(B24,'Up Max'!A:A,'Up Max'!I:I,)</f>
        <v/>
      </c>
      <c r="AK24" s="39" t="str">
        <f t="array" ref="AK24">_xlfn.XLOOKUP(B24,'Up Stats'!A:A,'Up Stats'!J:J,)</f>
        <v/>
      </c>
      <c r="AL24" s="40" t="str">
        <f>IFERROR(__xludf.DUMMYFUNCTION("if(AND(AM24=FALSE,AN24=FALSE),,if(AM24=AN24,JOIN("""",""Static: "",AM24),JOIN("""",""Min:  "",AM24, CHAR(10),""Max: "",AN24)))"),"")</f>
        <v/>
      </c>
      <c r="AM24" s="45" t="str">
        <f t="array" ref="AM24">_xlfn.XLOOKUP(B24,'Up Min'!A:A,'Up Min'!J:J,)</f>
        <v/>
      </c>
      <c r="AN24" s="45" t="str">
        <f t="array" ref="AN24">_xlfn.XLOOKUP(B24,'Up Max'!A:A,'Up Max'!J:J,)</f>
        <v/>
      </c>
      <c r="AO24" s="34" t="str">
        <f t="array" ref="AO24">CONCATENATE(_xlfn.XLOOKUP(B24,'Up Cells'!A:A,'Up Cells'!B:B,))</f>
        <v>4</v>
      </c>
      <c r="AP24" s="58" t="str">
        <f t="array" ref="AP24">CONCATENATE(_xlfn.XLOOKUP(B24,'Up Rarity'!A:A,'Up Rarity'!B:B,),CHAR(10),"-")</f>
        <v>Rare
-</v>
      </c>
    </row>
    <row r="25">
      <c r="A25" s="83" t="str">
        <f t="array" ref="A25">_xlfn.XLOOKUP(B25,'Up Icon'!A:A,'Up Icon'!B:B,)</f>
        <v/>
      </c>
      <c r="B25" s="63" t="str">
        <f t="array" ref="B25">HYPERLINK(_xlfn.XLOOKUP('Up Names'!B22,'Up Wiki'!A:A,'Up Wiki'!B:B,),'Up Names'!B22)</f>
        <v>Simplest Solution</v>
      </c>
      <c r="C25" s="52" t="str">
        <f t="array" ref="C25">_xlfn.XLOOKUP(B25,'Up Desc'!A:A,'Up Desc'!B:B,)</f>
        <v>Reload speed is increased, but magazine size is decreased.</v>
      </c>
      <c r="D25" s="52" t="str">
        <f t="array" ref="D25">_xlfn.XLOOKUP(B25,'Up Turbo'!A:A,'Up Turbo'!B:B,)</f>
        <v>n/a</v>
      </c>
      <c r="E25" s="53" t="str">
        <f t="array" ref="E25">_xlfn.XLOOKUP(B25,'Up Stats'!A:A,'Up Stats'!B:B,)</f>
        <v>Reload Speed</v>
      </c>
      <c r="F25" s="54" t="str">
        <f>IFERROR(__xludf.DUMMYFUNCTION("if(AND(G25=FALSE,H25=FALSE),,if(G25=H25,JOIN("""",""Static: "",G25),JOIN("""",""Min:  "",G25, CHAR(10),""Max: "",H25)))"),"Min:  150%
Max: 66.67%")</f>
        <v>Min:  150%
Max: 66.67%</v>
      </c>
      <c r="G25" s="59">
        <f t="array" ref="G25">_xlfn.XLOOKUP(B25,'Up Min'!A:A,'Up Min'!B:B,)</f>
        <v>1.5</v>
      </c>
      <c r="H25" s="71">
        <f t="array" ref="H25">_xlfn.XLOOKUP(B25,'Up Max'!A:A,'Up Max'!B:B,)</f>
        <v>0.6667</v>
      </c>
      <c r="I25" s="53" t="str">
        <f t="array" ref="I25">_xlfn.XLOOKUP(B25,'Up Stats'!A:A,'Up Stats'!C:C,)</f>
        <v>Magazine Size</v>
      </c>
      <c r="J25" s="54" t="str">
        <f>IFERROR(__xludf.DUMMYFUNCTION("if(AND(K25=FALSE,L25=FALSE),,if(K25=L25,JOIN("""",""Static: "",K25),JOIN("""",""Min:  "",K25, CHAR(10),""Max: "",L25)))"),"Min:  -65%
Max: -40%")</f>
        <v>Min:  -65%
Max: -40%</v>
      </c>
      <c r="K25" s="59">
        <f t="array" ref="K25">_xlfn.XLOOKUP(B25,'Up Min'!A:A,'Up Min'!C:C,)</f>
        <v>-0.65</v>
      </c>
      <c r="L25" s="59">
        <f t="array" ref="L25">_xlfn.XLOOKUP(B25,'Up Max'!A:A,'Up Max'!C:C,)</f>
        <v>-0.4</v>
      </c>
      <c r="M25" s="53" t="str">
        <f t="array" ref="M25">_xlfn.XLOOKUP(B25,'Up Stats'!A:A,'Up Stats'!D:D,)</f>
        <v/>
      </c>
      <c r="N25" s="54" t="str">
        <f>IFERROR(__xludf.DUMMYFUNCTION("if(AND(O25=FALSE,P25=FALSE),,if(O25=P25,JOIN("""",""Static: "",O25),JOIN("""",""Min:  "",O25, CHAR(10),""Max: "",P25)))"),"")</f>
        <v/>
      </c>
      <c r="O25" s="55" t="str">
        <f t="array" ref="O25">_xlfn.XLOOKUP(B25,'Up Min'!A:A,'Up Min'!D:D,)</f>
        <v/>
      </c>
      <c r="P25" s="55" t="str">
        <f t="array" ref="P25">_xlfn.XLOOKUP(B25,'Up Max'!A:A,'Up Max'!D:D,)</f>
        <v/>
      </c>
      <c r="Q25" s="57" t="str">
        <f t="array" ref="Q25">_xlfn.XLOOKUP(B25,'Up Stats'!A:A,'Up Stats'!E:E,)</f>
        <v/>
      </c>
      <c r="R25" s="54" t="str">
        <f>IFERROR(__xludf.DUMMYFUNCTION("if(AND(S25=FALSE,T25=FALSE),,if(S25=T25,JOIN("""",""Static: "",S25),JOIN("""",""Min:  "",S25, CHAR(10),""Max: "",T25)))"),"")</f>
        <v/>
      </c>
      <c r="S25" s="55" t="str">
        <f t="array" ref="S25">_xlfn.XLOOKUP(B25,'Up Min'!A:A,'Up Min'!E:E,)</f>
        <v/>
      </c>
      <c r="T25" s="55" t="str">
        <f t="array" ref="T25">_xlfn.XLOOKUP(B25,'Up Max'!A:A,'Up Max'!E:E,)</f>
        <v/>
      </c>
      <c r="U25" s="57" t="str">
        <f t="array" ref="U25">_xlfn.XLOOKUP(B25,'Up Stats'!A:A,'Up Stats'!F:F,)</f>
        <v/>
      </c>
      <c r="V25" s="54" t="str">
        <f>IFERROR(__xludf.DUMMYFUNCTION("if(AND(W25=FALSE,X25=FALSE),,if(W25=X25,JOIN("""",""Static: "",W25),JOIN("""",""Min:  "",W25, CHAR(10),""Max: "",X25)))"),"")</f>
        <v/>
      </c>
      <c r="W25" s="55" t="str">
        <f t="array" ref="W25">_xlfn.XLOOKUP(B25,'Up Min'!A:A,'Up Min'!F:F,)</f>
        <v/>
      </c>
      <c r="X25" s="55" t="str">
        <f t="array" ref="X25">_xlfn.XLOOKUP(B25,'Up Max'!A:A,'Up Max'!F:F,)</f>
        <v/>
      </c>
      <c r="Y25" s="57" t="str">
        <f t="array" ref="Y25">_xlfn.XLOOKUP(B25,'Up Stats'!A:A,'Up Stats'!G:G,)</f>
        <v/>
      </c>
      <c r="Z25" s="54" t="str">
        <f>IFERROR(__xludf.DUMMYFUNCTION("if(AND(AA25=FALSE,AB25=FALSE),,if(AA25=AB25,JOIN("""",""Static: "",AA25),JOIN("""",""Min:  "",AA25, CHAR(10),""Max: "",AB25)))"),"")</f>
        <v/>
      </c>
      <c r="AA25" s="55" t="str">
        <f t="array" ref="AA25">_xlfn.XLOOKUP(B25,'Up Min'!A:A,'Up Min'!G:G,)</f>
        <v/>
      </c>
      <c r="AB25" s="55" t="str">
        <f t="array" ref="AB25">_xlfn.XLOOKUP(B25,'Up Max'!A:A,'Up Max'!G:G,)</f>
        <v/>
      </c>
      <c r="AC25" s="57" t="str">
        <f t="array" ref="AC25">_xlfn.XLOOKUP(B25,'Up Stats'!A:A,'Up Stats'!H:H,)</f>
        <v/>
      </c>
      <c r="AD25" s="54" t="str">
        <f>IFERROR(__xludf.DUMMYFUNCTION("if(AND(AE25=FALSE,AF25=FALSE),,if(AE25=AF25,JOIN("""",""Static: "",AE25),JOIN("""",""Min:  "",AE25, CHAR(10),""Max: "",AF25)))"),"")</f>
        <v/>
      </c>
      <c r="AE25" s="56" t="str">
        <f t="array" ref="AE25">_xlfn.XLOOKUP(B25,'Up Min'!A:A,'Up Min'!H:H,)</f>
        <v/>
      </c>
      <c r="AF25" s="55" t="str">
        <f t="array" ref="AF25">_xlfn.XLOOKUP(B25,'Up Max'!A:A,'Up Max'!H:H,)</f>
        <v/>
      </c>
      <c r="AG25" s="53" t="str">
        <f t="array" ref="AG25">_xlfn.XLOOKUP(B25,'Up Stats'!A:A,'Up Stats'!I:I,)</f>
        <v/>
      </c>
      <c r="AH25" s="54" t="str">
        <f>IFERROR(__xludf.DUMMYFUNCTION("if(AND(AI25=FALSE,AJ25=FALSE),,if(AI25=AJ25,JOIN("""",""Static: "",AI25),JOIN("""",""Min:  "",AI25, CHAR(10),""Max: "",AJ25)))"),"")</f>
        <v/>
      </c>
      <c r="AI25" s="56" t="str">
        <f t="array" ref="AI25">_xlfn.XLOOKUP(B25,'Up Min'!A:A,'Up Min'!I:I,)</f>
        <v/>
      </c>
      <c r="AJ25" s="56" t="str">
        <f t="array" ref="AJ25">_xlfn.XLOOKUP(B25,'Up Max'!A:A,'Up Max'!I:I,)</f>
        <v/>
      </c>
      <c r="AK25" s="53" t="str">
        <f t="array" ref="AK25">_xlfn.XLOOKUP(B25,'Up Stats'!A:A,'Up Stats'!J:J,)</f>
        <v/>
      </c>
      <c r="AL25" s="54" t="str">
        <f>IFERROR(__xludf.DUMMYFUNCTION("if(AND(AM25=FALSE,AN25=FALSE),,if(AM25=AN25,JOIN("""",""Static: "",AM25),JOIN("""",""Min:  "",AM25, CHAR(10),""Max: "",AN25)))"),"")</f>
        <v/>
      </c>
      <c r="AM25" s="56" t="str">
        <f t="array" ref="AM25">_xlfn.XLOOKUP(B25,'Up Min'!A:A,'Up Min'!J:J,)</f>
        <v/>
      </c>
      <c r="AN25" s="56" t="str">
        <f t="array" ref="AN25">_xlfn.XLOOKUP(B25,'Up Max'!A:A,'Up Max'!J:J,)</f>
        <v/>
      </c>
      <c r="AO25" s="51" t="str">
        <f t="array" ref="AO25">CONCATENATE(_xlfn.XLOOKUP(B25,'Up Cells'!A:A,'Up Cells'!B:B,))</f>
        <v>4</v>
      </c>
      <c r="AP25" s="61" t="str">
        <f t="array" ref="AP25">CONCATENATE(_xlfn.XLOOKUP(B25,'Up Rarity'!A:A,'Up Rarity'!B:B,),CHAR(10),"-")</f>
        <v>Rare
-</v>
      </c>
    </row>
    <row r="26">
      <c r="A26" s="83" t="str">
        <f t="array" ref="A26">_xlfn.XLOOKUP(B26,'Up Icon'!A:A,'Up Icon'!B:B,)</f>
        <v/>
      </c>
      <c r="B26" s="66" t="str">
        <f t="array" ref="B26">HYPERLINK(_xlfn.XLOOKUP('Up Names'!B23,'Up Wiki'!A:A,'Up Wiki'!B:B,),'Up Names'!B23)</f>
        <v>Slam Fire</v>
      </c>
      <c r="C26" s="37" t="str">
        <f t="array" ref="C26">_xlfn.XLOOKUP(B26,'Up Desc'!A:A,'Up Desc'!B:B,)</f>
        <v>Fire faster in a larger spread. Magazine size is greatly increased.</v>
      </c>
      <c r="D26" s="37" t="str">
        <f t="array" ref="D26">_xlfn.XLOOKUP(B26,'Up Turbo'!A:A,'Up Turbo'!B:B,)</f>
        <v>n/a</v>
      </c>
      <c r="E26" s="39" t="str">
        <f t="array" ref="E26">_xlfn.XLOOKUP(B26,'Up Stats'!A:A,'Up Stats'!B:B,)</f>
        <v>Fire Rate</v>
      </c>
      <c r="F26" s="40" t="str">
        <f>IFERROR(__xludf.DUMMYFUNCTION("if(AND(G26=FALSE,H26=FALSE),,if(G26=H26,JOIN("""",""Static: "",G26),JOIN("""",""Min:  "",G26, CHAR(10),""Max: "",H26)))"),"Min:  66.70%
Max: 33.33%")</f>
        <v>Min:  66.70%
Max: 33.33%</v>
      </c>
      <c r="G26" s="78">
        <f t="array" ref="G26">_xlfn.XLOOKUP(B26,'Up Min'!A:A,'Up Min'!B:B,)</f>
        <v>0.667</v>
      </c>
      <c r="H26" s="78">
        <f t="array" ref="H26">_xlfn.XLOOKUP(B26,'Up Max'!A:A,'Up Max'!B:B,)</f>
        <v>0.3333</v>
      </c>
      <c r="I26" s="39" t="str">
        <f t="array" ref="I26">_xlfn.XLOOKUP(B26,'Up Stats'!A:A,'Up Stats'!C:C,)</f>
        <v>Horizontal Spread</v>
      </c>
      <c r="J26" s="40" t="str">
        <f>IFERROR(__xludf.DUMMYFUNCTION("if(AND(K26=FALSE,L26=FALSE),,if(K26=L26,JOIN("""",""Static: "",K26),JOIN("""",""Min:  "",K26, CHAR(10),""Max: "",L26)))"),"Min:  6
Max: 7.4")</f>
        <v>Min:  6
Max: 7.4</v>
      </c>
      <c r="K26" s="69">
        <f t="array" ref="K26">_xlfn.XLOOKUP(B26,'Up Min'!A:A,'Up Min'!C:C,)</f>
        <v>6</v>
      </c>
      <c r="L26" s="69">
        <f t="array" ref="L26">_xlfn.XLOOKUP(B26,'Up Max'!A:A,'Up Max'!C:C,)</f>
        <v>7.4</v>
      </c>
      <c r="M26" s="39" t="str">
        <f t="array" ref="M26">_xlfn.XLOOKUP(B26,'Up Stats'!A:A,'Up Stats'!D:D,)</f>
        <v>Vertical Spread</v>
      </c>
      <c r="N26" s="40" t="str">
        <f>IFERROR(__xludf.DUMMYFUNCTION("if(AND(O26=FALSE,P26=FALSE),,if(O26=P26,JOIN("""",""Static: "",O26),JOIN("""",""Min:  "",O26, CHAR(10),""Max: "",P26)))"),"Min:  6
Max: 7.4")</f>
        <v>Min:  6
Max: 7.4</v>
      </c>
      <c r="O26" s="68">
        <f t="array" ref="O26">_xlfn.XLOOKUP(B26,'Up Min'!A:A,'Up Min'!D:D,)</f>
        <v>6</v>
      </c>
      <c r="P26" s="69">
        <f t="array" ref="P26">_xlfn.XLOOKUP(B26,'Up Max'!A:A,'Up Max'!D:D,)</f>
        <v>7.4</v>
      </c>
      <c r="Q26" s="48" t="str">
        <f t="array" ref="Q26">_xlfn.XLOOKUP(B26,'Up Stats'!A:A,'Up Stats'!E:E,)</f>
        <v>Magazine Size</v>
      </c>
      <c r="R26" s="40" t="str">
        <f>IFERROR(__xludf.DUMMYFUNCTION("if(AND(S26=FALSE,T26=FALSE),,if(S26=T26,JOIN("""",""Static: "",S26),JOIN("""",""Min:  "",S26, CHAR(10),""Max: "",T26)))"),"Min:  6
Max: 9")</f>
        <v>Min:  6
Max: 9</v>
      </c>
      <c r="S26" s="68">
        <f t="array" ref="S26">_xlfn.XLOOKUP(B26,'Up Min'!A:A,'Up Min'!E:E,)</f>
        <v>6</v>
      </c>
      <c r="T26" s="68">
        <f t="array" ref="T26">_xlfn.XLOOKUP(B26,'Up Max'!A:A,'Up Max'!E:E,)</f>
        <v>9</v>
      </c>
      <c r="U26" s="48" t="str">
        <f t="array" ref="U26">_xlfn.XLOOKUP(B26,'Up Stats'!A:A,'Up Stats'!F:F,)</f>
        <v/>
      </c>
      <c r="V26" s="40" t="str">
        <f>IFERROR(__xludf.DUMMYFUNCTION("if(AND(W26=FALSE,X26=FALSE),,if(W26=X26,JOIN("""",""Static: "",W26),JOIN("""",""Min:  "",W26, CHAR(10),""Max: "",X26)))"),"")</f>
        <v/>
      </c>
      <c r="W26" s="45" t="str">
        <f t="array" ref="W26">_xlfn.XLOOKUP(B26,'Up Min'!A:A,'Up Min'!F:F,)</f>
        <v/>
      </c>
      <c r="X26" s="45" t="str">
        <f t="array" ref="X26">_xlfn.XLOOKUP(B26,'Up Max'!A:A,'Up Max'!F:F,)</f>
        <v/>
      </c>
      <c r="Y26" s="48" t="str">
        <f t="array" ref="Y26">_xlfn.XLOOKUP(B26,'Up Stats'!A:A,'Up Stats'!G:G,)</f>
        <v/>
      </c>
      <c r="Z26" s="40" t="str">
        <f>IFERROR(__xludf.DUMMYFUNCTION("if(AND(AA26=FALSE,AB26=FALSE),,if(AA26=AB26,JOIN("""",""Static: "",AA26),JOIN("""",""Min:  "",AA26, CHAR(10),""Max: "",AB26)))"),"")</f>
        <v/>
      </c>
      <c r="AA26" s="42" t="str">
        <f t="array" ref="AA26">_xlfn.XLOOKUP(B26,'Up Min'!A:A,'Up Min'!G:G,)</f>
        <v/>
      </c>
      <c r="AB26" s="42" t="str">
        <f t="array" ref="AB26">_xlfn.XLOOKUP(B26,'Up Max'!A:A,'Up Max'!G:G,)</f>
        <v/>
      </c>
      <c r="AC26" s="48" t="str">
        <f t="array" ref="AC26">_xlfn.XLOOKUP(B26,'Up Stats'!A:A,'Up Stats'!H:H,)</f>
        <v/>
      </c>
      <c r="AD26" s="40" t="str">
        <f>IFERROR(__xludf.DUMMYFUNCTION("if(AND(AE26=FALSE,AF26=FALSE),,if(AE26=AF26,JOIN("""",""Static: "",AE26),JOIN("""",""Min:  "",AE26, CHAR(10),""Max: "",AF26)))"),"")</f>
        <v/>
      </c>
      <c r="AE26" s="45" t="str">
        <f t="array" ref="AE26">_xlfn.XLOOKUP(B26,'Up Min'!A:A,'Up Min'!H:H,)</f>
        <v/>
      </c>
      <c r="AF26" s="42" t="str">
        <f t="array" ref="AF26">_xlfn.XLOOKUP(B26,'Up Max'!A:A,'Up Max'!H:H,)</f>
        <v/>
      </c>
      <c r="AG26" s="39" t="str">
        <f t="array" ref="AG26">_xlfn.XLOOKUP(B26,'Up Stats'!A:A,'Up Stats'!I:I,)</f>
        <v/>
      </c>
      <c r="AH26" s="40" t="str">
        <f>IFERROR(__xludf.DUMMYFUNCTION("if(AND(AI26=FALSE,AJ26=FALSE),,if(AI26=AJ26,JOIN("""",""Static: "",AI26),JOIN("""",""Min:  "",AI26, CHAR(10),""Max: "",AJ26)))"),"")</f>
        <v/>
      </c>
      <c r="AI26" s="45" t="str">
        <f t="array" ref="AI26">_xlfn.XLOOKUP(B26,'Up Min'!A:A,'Up Min'!I:I,)</f>
        <v/>
      </c>
      <c r="AJ26" s="45" t="str">
        <f t="array" ref="AJ26">_xlfn.XLOOKUP(B26,'Up Max'!A:A,'Up Max'!I:I,)</f>
        <v/>
      </c>
      <c r="AK26" s="39" t="str">
        <f t="array" ref="AK26">_xlfn.XLOOKUP(B26,'Up Stats'!A:A,'Up Stats'!J:J,)</f>
        <v/>
      </c>
      <c r="AL26" s="40" t="str">
        <f>IFERROR(__xludf.DUMMYFUNCTION("if(AND(AM26=FALSE,AN26=FALSE),,if(AM26=AN26,JOIN("""",""Static: "",AM26),JOIN("""",""Min:  "",AM26, CHAR(10),""Max: "",AN26)))"),"")</f>
        <v/>
      </c>
      <c r="AM26" s="45" t="str">
        <f t="array" ref="AM26">_xlfn.XLOOKUP(B26,'Up Min'!A:A,'Up Min'!J:J,)</f>
        <v/>
      </c>
      <c r="AN26" s="45" t="str">
        <f t="array" ref="AN26">_xlfn.XLOOKUP(B26,'Up Max'!A:A,'Up Max'!J:J,)</f>
        <v/>
      </c>
      <c r="AO26" s="34" t="str">
        <f t="array" ref="AO26">CONCATENATE(_xlfn.XLOOKUP(B26,'Up Cells'!A:A,'Up Cells'!B:B,))</f>
        <v>6</v>
      </c>
      <c r="AP26" s="58" t="str">
        <f t="array" ref="AP26">CONCATENATE(_xlfn.XLOOKUP(B26,'Up Rarity'!A:A,'Up Rarity'!B:B,),CHAR(10),"-")</f>
        <v>Rare
-</v>
      </c>
    </row>
    <row r="27">
      <c r="A27" s="83" t="str">
        <f t="array" ref="A27">_xlfn.XLOOKUP(B27,'Up Icon'!A:A,'Up Icon'!B:B,)</f>
        <v/>
      </c>
      <c r="B27" s="63" t="str">
        <f t="array" ref="B27">HYPERLINK(_xlfn.XLOOKUP('Up Names'!B24,'Up Wiki'!A:A,'Up Wiki'!B:B,),'Up Names'!B24)</f>
        <v>Slideshot</v>
      </c>
      <c r="C27" s="52" t="str">
        <f t="array" ref="C27">_xlfn.XLOOKUP(B27,'Up Desc'!A:A,'Up Desc'!B:B,)</f>
        <v>After sliding, your next shot deals increased damage.</v>
      </c>
      <c r="D27" s="52" t="str">
        <f t="array" ref="D27">_xlfn.XLOOKUP(B27,'Up Turbo'!A:A,'Up Turbo'!B:B,)</f>
        <v>n/a</v>
      </c>
      <c r="E27" s="53" t="str">
        <f t="array" ref="E27">_xlfn.XLOOKUP(B27,'Up Stats'!A:A,'Up Stats'!B:B,)</f>
        <v>Slide Damage</v>
      </c>
      <c r="F27" s="54" t="str">
        <f>IFERROR(__xludf.DUMMYFUNCTION("if(AND(G27=FALSE,H27=FALSE),,if(G27=H27,JOIN("""",""Static: "",G27),JOIN("""",""Min:  "",G27, CHAR(10),""Max: "",H27)))"),"Min:  150%
Max: 350%")</f>
        <v>Min:  150%
Max: 350%</v>
      </c>
      <c r="G27" s="59">
        <f t="array" ref="G27">_xlfn.XLOOKUP(B27,'Up Min'!A:A,'Up Min'!B:B,)</f>
        <v>1.5</v>
      </c>
      <c r="H27" s="59">
        <f t="array" ref="H27">_xlfn.XLOOKUP(B27,'Up Max'!A:A,'Up Max'!B:B,)</f>
        <v>3.5</v>
      </c>
      <c r="I27" s="53" t="str">
        <f t="array" ref="I27">_xlfn.XLOOKUP(B27,'Up Stats'!A:A,'Up Stats'!C:C,)</f>
        <v/>
      </c>
      <c r="J27" s="54" t="str">
        <f>IFERROR(__xludf.DUMMYFUNCTION("if(AND(K27=FALSE,L27=FALSE),,if(K27=L27,JOIN("""",""Static: "",K27),JOIN("""",""Min:  "",K27, CHAR(10),""Max: "",L27)))"),"")</f>
        <v/>
      </c>
      <c r="K27" s="55" t="str">
        <f t="array" ref="K27">_xlfn.XLOOKUP(B27,'Up Min'!A:A,'Up Min'!C:C,)</f>
        <v/>
      </c>
      <c r="L27" s="55" t="str">
        <f t="array" ref="L27">_xlfn.XLOOKUP(B27,'Up Max'!A:A,'Up Max'!C:C,)</f>
        <v/>
      </c>
      <c r="M27" s="57" t="str">
        <f t="array" ref="M27">_xlfn.XLOOKUP(B27,'Up Stats'!A:A,'Up Stats'!D:D,)</f>
        <v/>
      </c>
      <c r="N27" s="54" t="str">
        <f>IFERROR(__xludf.DUMMYFUNCTION("if(AND(O27=FALSE,P27=FALSE),,if(O27=P27,JOIN("""",""Static: "",O27),JOIN("""",""Min:  "",O27, CHAR(10),""Max: "",P27)))"),"")</f>
        <v/>
      </c>
      <c r="O27" s="55" t="str">
        <f t="array" ref="O27">_xlfn.XLOOKUP(B27,'Up Min'!A:A,'Up Min'!D:D,)</f>
        <v/>
      </c>
      <c r="P27" s="55" t="str">
        <f t="array" ref="P27">_xlfn.XLOOKUP(B27,'Up Max'!A:A,'Up Max'!D:D,)</f>
        <v/>
      </c>
      <c r="Q27" s="57" t="str">
        <f t="array" ref="Q27">_xlfn.XLOOKUP(B27,'Up Stats'!A:A,'Up Stats'!E:E,)</f>
        <v/>
      </c>
      <c r="R27" s="54" t="str">
        <f>IFERROR(__xludf.DUMMYFUNCTION("if(AND(S27=FALSE,T27=FALSE),,if(S27=T27,JOIN("""",""Static: "",S27),JOIN("""",""Min:  "",S27, CHAR(10),""Max: "",T27)))"),"")</f>
        <v/>
      </c>
      <c r="S27" s="55" t="str">
        <f t="array" ref="S27">_xlfn.XLOOKUP(B27,'Up Min'!A:A,'Up Min'!E:E,)</f>
        <v/>
      </c>
      <c r="T27" s="55" t="str">
        <f t="array" ref="T27">_xlfn.XLOOKUP(B27,'Up Max'!A:A,'Up Max'!E:E,)</f>
        <v/>
      </c>
      <c r="U27" s="57" t="str">
        <f t="array" ref="U27">_xlfn.XLOOKUP(B27,'Up Stats'!A:A,'Up Stats'!F:F,)</f>
        <v/>
      </c>
      <c r="V27" s="54" t="str">
        <f>IFERROR(__xludf.DUMMYFUNCTION("if(AND(W27=FALSE,X27=FALSE),,if(W27=X27,JOIN("""",""Static: "",W27),JOIN("""",""Min:  "",W27, CHAR(10),""Max: "",X27)))"),"")</f>
        <v/>
      </c>
      <c r="W27" s="55" t="str">
        <f t="array" ref="W27">_xlfn.XLOOKUP(B27,'Up Min'!A:A,'Up Min'!F:F,)</f>
        <v/>
      </c>
      <c r="X27" s="55" t="str">
        <f t="array" ref="X27">_xlfn.XLOOKUP(B27,'Up Max'!A:A,'Up Max'!F:F,)</f>
        <v/>
      </c>
      <c r="Y27" s="57" t="str">
        <f t="array" ref="Y27">_xlfn.XLOOKUP(B27,'Up Stats'!A:A,'Up Stats'!G:G,)</f>
        <v/>
      </c>
      <c r="Z27" s="54" t="str">
        <f>IFERROR(__xludf.DUMMYFUNCTION("if(AND(AA27=FALSE,AB27=FALSE),,if(AA27=AB27,JOIN("""",""Static: "",AA27),JOIN("""",""Min:  "",AA27, CHAR(10),""Max: "",AB27)))"),"")</f>
        <v/>
      </c>
      <c r="AA27" s="55" t="str">
        <f t="array" ref="AA27">_xlfn.XLOOKUP(B27,'Up Min'!A:A,'Up Min'!G:G,)</f>
        <v/>
      </c>
      <c r="AB27" s="55" t="str">
        <f t="array" ref="AB27">_xlfn.XLOOKUP(B27,'Up Max'!A:A,'Up Max'!G:G,)</f>
        <v/>
      </c>
      <c r="AC27" s="57" t="str">
        <f t="array" ref="AC27">_xlfn.XLOOKUP(B27,'Up Stats'!A:A,'Up Stats'!H:H,)</f>
        <v/>
      </c>
      <c r="AD27" s="54" t="str">
        <f>IFERROR(__xludf.DUMMYFUNCTION("if(AND(AE27=FALSE,AF27=FALSE),,if(AE27=AF27,JOIN("""",""Static: "",AE27),JOIN("""",""Min:  "",AE27, CHAR(10),""Max: "",AF27)))"),"")</f>
        <v/>
      </c>
      <c r="AE27" s="56" t="str">
        <f t="array" ref="AE27">_xlfn.XLOOKUP(B27,'Up Min'!A:A,'Up Min'!H:H,)</f>
        <v/>
      </c>
      <c r="AF27" s="55" t="str">
        <f t="array" ref="AF27">_xlfn.XLOOKUP(B27,'Up Max'!A:A,'Up Max'!H:H,)</f>
        <v/>
      </c>
      <c r="AG27" s="53" t="str">
        <f t="array" ref="AG27">_xlfn.XLOOKUP(B27,'Up Stats'!A:A,'Up Stats'!I:I,)</f>
        <v/>
      </c>
      <c r="AH27" s="54" t="str">
        <f>IFERROR(__xludf.DUMMYFUNCTION("if(AND(AI27=FALSE,AJ27=FALSE),,if(AI27=AJ27,JOIN("""",""Static: "",AI27),JOIN("""",""Min:  "",AI27, CHAR(10),""Max: "",AJ27)))"),"")</f>
        <v/>
      </c>
      <c r="AI27" s="56" t="str">
        <f t="array" ref="AI27">_xlfn.XLOOKUP(B27,'Up Min'!A:A,'Up Min'!I:I,)</f>
        <v/>
      </c>
      <c r="AJ27" s="56" t="str">
        <f t="array" ref="AJ27">_xlfn.XLOOKUP(B27,'Up Max'!A:A,'Up Max'!I:I,)</f>
        <v/>
      </c>
      <c r="AK27" s="53" t="str">
        <f t="array" ref="AK27">_xlfn.XLOOKUP(B27,'Up Stats'!A:A,'Up Stats'!J:J,)</f>
        <v/>
      </c>
      <c r="AL27" s="54" t="str">
        <f>IFERROR(__xludf.DUMMYFUNCTION("if(AND(AM27=FALSE,AN27=FALSE),,if(AM27=AN27,JOIN("""",""Static: "",AM27),JOIN("""",""Min:  "",AM27, CHAR(10),""Max: "",AN27)))"),"")</f>
        <v/>
      </c>
      <c r="AM27" s="56" t="str">
        <f t="array" ref="AM27">_xlfn.XLOOKUP(B27,'Up Min'!A:A,'Up Min'!J:J,)</f>
        <v/>
      </c>
      <c r="AN27" s="56" t="str">
        <f t="array" ref="AN27">_xlfn.XLOOKUP(B27,'Up Max'!A:A,'Up Max'!J:J,)</f>
        <v/>
      </c>
      <c r="AO27" s="51" t="str">
        <f t="array" ref="AO27">CONCATENATE(_xlfn.XLOOKUP(B27,'Up Cells'!A:A,'Up Cells'!B:B,))</f>
        <v>3</v>
      </c>
      <c r="AP27" s="61" t="str">
        <f t="array" ref="AP27">CONCATENATE(_xlfn.XLOOKUP(B27,'Up Rarity'!A:A,'Up Rarity'!B:B,),CHAR(10),"-")</f>
        <v>Rare
-</v>
      </c>
    </row>
    <row r="28">
      <c r="A28" s="83" t="str">
        <f t="array" ref="A28">_xlfn.XLOOKUP(B28,'Up Icon'!A:A,'Up Icon'!B:B,)</f>
        <v/>
      </c>
      <c r="B28" s="66" t="str">
        <f t="array" ref="B28">HYPERLINK(_xlfn.XLOOKUP('Up Names'!B25,'Up Wiki'!A:A,'Up Wiki'!B:B,),'Up Names'!B25)</f>
        <v>Wild Fire</v>
      </c>
      <c r="C28" s="37" t="str">
        <f t="array" ref="C28">_xlfn.XLOOKUP(B28,'Up Desc'!A:A,'Up Desc'!B:B,)</f>
        <v>Bullets apply more fire but shoot in a much wider spread.</v>
      </c>
      <c r="D28" s="37" t="str">
        <f t="array" ref="D28">_xlfn.XLOOKUP(B28,'Up Turbo'!A:A,'Up Turbo'!B:B,)</f>
        <v>n/a</v>
      </c>
      <c r="E28" s="39" t="str">
        <f t="array" ref="E28">_xlfn.XLOOKUP(B28,'Up Stats'!A:A,'Up Stats'!B:B,)</f>
        <v>Element</v>
      </c>
      <c r="F28" s="40" t="str">
        <f>IFERROR(__xludf.DUMMYFUNCTION("if(AND(G28=FALSE,H28=FALSE),,if(G28=H28,JOIN("""",""Static: "",G28),JOIN("""",""Min:  "",G28, CHAR(10),""Max: "",H28)))"),"Min:  3
Max: 6")</f>
        <v>Min:  3
Max: 6</v>
      </c>
      <c r="G28" s="69">
        <f t="array" ref="G28">_xlfn.XLOOKUP(B28,'Up Min'!A:A,'Up Min'!B:B,)</f>
        <v>3</v>
      </c>
      <c r="H28" s="68">
        <f t="array" ref="H28">_xlfn.XLOOKUP(B28,'Up Max'!A:A,'Up Max'!B:B,)</f>
        <v>6</v>
      </c>
      <c r="I28" s="39" t="str">
        <f t="array" ref="I28">_xlfn.XLOOKUP(B28,'Up Stats'!A:A,'Up Stats'!C:C,)</f>
        <v>Horizontal Spread</v>
      </c>
      <c r="J28" s="40" t="str">
        <f>IFERROR(__xludf.DUMMYFUNCTION("if(AND(K28=FALSE,L28=FALSE),,if(K28=L28,JOIN("""",""Static: "",K28),JOIN("""",""Min:  "",K28, CHAR(10),""Max: "",L28)))"),"Min:  19.5
Max: 24")</f>
        <v>Min:  19.5
Max: 24</v>
      </c>
      <c r="K28" s="69">
        <f t="array" ref="K28">_xlfn.XLOOKUP(B28,'Up Min'!A:A,'Up Min'!C:C,)</f>
        <v>19.5</v>
      </c>
      <c r="L28" s="69">
        <f t="array" ref="L28">_xlfn.XLOOKUP(B28,'Up Max'!A:A,'Up Max'!C:C,)</f>
        <v>24</v>
      </c>
      <c r="M28" s="39" t="str">
        <f t="array" ref="M28">_xlfn.XLOOKUP(B28,'Up Stats'!A:A,'Up Stats'!D:D,)</f>
        <v/>
      </c>
      <c r="N28" s="40" t="str">
        <f>IFERROR(__xludf.DUMMYFUNCTION("if(AND(O28=FALSE,P28=FALSE),,if(O28=P28,JOIN("""",""Static: "",O28),JOIN("""",""Min:  "",O28, CHAR(10),""Max: "",P28)))"),"")</f>
        <v/>
      </c>
      <c r="O28" s="42" t="str">
        <f t="array" ref="O28">_xlfn.XLOOKUP(B28,'Up Min'!A:A,'Up Min'!D:D,)</f>
        <v/>
      </c>
      <c r="P28" s="42" t="str">
        <f t="array" ref="P28">_xlfn.XLOOKUP(B28,'Up Max'!A:A,'Up Max'!D:D,)</f>
        <v/>
      </c>
      <c r="Q28" s="48" t="str">
        <f t="array" ref="Q28">_xlfn.XLOOKUP(B28,'Up Stats'!A:A,'Up Stats'!E:E,)</f>
        <v/>
      </c>
      <c r="R28" s="40" t="str">
        <f>IFERROR(__xludf.DUMMYFUNCTION("if(AND(S28=FALSE,T28=FALSE),,if(S28=T28,JOIN("""",""Static: "",S28),JOIN("""",""Min:  "",S28, CHAR(10),""Max: "",T28)))"),"")</f>
        <v/>
      </c>
      <c r="S28" s="42" t="str">
        <f t="array" ref="S28">_xlfn.XLOOKUP(B28,'Up Min'!A:A,'Up Min'!E:E,)</f>
        <v/>
      </c>
      <c r="T28" s="42" t="str">
        <f t="array" ref="T28">_xlfn.XLOOKUP(B28,'Up Max'!A:A,'Up Max'!E:E,)</f>
        <v/>
      </c>
      <c r="U28" s="48" t="str">
        <f t="array" ref="U28">_xlfn.XLOOKUP(B28,'Up Stats'!A:A,'Up Stats'!F:F,)</f>
        <v/>
      </c>
      <c r="V28" s="40" t="str">
        <f>IFERROR(__xludf.DUMMYFUNCTION("if(AND(W28=FALSE,X28=FALSE),,if(W28=X28,JOIN("""",""Static: "",W28),JOIN("""",""Min:  "",W28, CHAR(10),""Max: "",X28)))"),"")</f>
        <v/>
      </c>
      <c r="W28" s="42" t="str">
        <f t="array" ref="W28">_xlfn.XLOOKUP(B28,'Up Min'!A:A,'Up Min'!F:F,)</f>
        <v/>
      </c>
      <c r="X28" s="42" t="str">
        <f t="array" ref="X28">_xlfn.XLOOKUP(B28,'Up Max'!A:A,'Up Max'!F:F,)</f>
        <v/>
      </c>
      <c r="Y28" s="48" t="str">
        <f t="array" ref="Y28">_xlfn.XLOOKUP(B28,'Up Stats'!A:A,'Up Stats'!G:G,)</f>
        <v/>
      </c>
      <c r="Z28" s="40" t="str">
        <f>IFERROR(__xludf.DUMMYFUNCTION("if(AND(AA28=FALSE,AB28=FALSE),,if(AA28=AB28,JOIN("""",""Static: "",AA28),JOIN("""",""Min:  "",AA28, CHAR(10),""Max: "",AB28)))"),"")</f>
        <v/>
      </c>
      <c r="AA28" s="42" t="str">
        <f t="array" ref="AA28">_xlfn.XLOOKUP(B28,'Up Min'!A:A,'Up Min'!G:G,)</f>
        <v/>
      </c>
      <c r="AB28" s="42" t="str">
        <f t="array" ref="AB28">_xlfn.XLOOKUP(B28,'Up Max'!A:A,'Up Max'!G:G,)</f>
        <v/>
      </c>
      <c r="AC28" s="48" t="str">
        <f t="array" ref="AC28">_xlfn.XLOOKUP(B28,'Up Stats'!A:A,'Up Stats'!H:H,)</f>
        <v/>
      </c>
      <c r="AD28" s="40" t="str">
        <f>IFERROR(__xludf.DUMMYFUNCTION("if(AND(AE28=FALSE,AF28=FALSE),,if(AE28=AF28,JOIN("""",""Static: "",AE28),JOIN("""",""Min:  "",AE28, CHAR(10),""Max: "",AF28)))"),"")</f>
        <v/>
      </c>
      <c r="AE28" s="45" t="str">
        <f t="array" ref="AE28">_xlfn.XLOOKUP(B28,'Up Min'!A:A,'Up Min'!H:H,)</f>
        <v/>
      </c>
      <c r="AF28" s="42" t="str">
        <f t="array" ref="AF28">_xlfn.XLOOKUP(B28,'Up Max'!A:A,'Up Max'!H:H,)</f>
        <v/>
      </c>
      <c r="AG28" s="39" t="str">
        <f t="array" ref="AG28">_xlfn.XLOOKUP(B28,'Up Stats'!A:A,'Up Stats'!I:I,)</f>
        <v/>
      </c>
      <c r="AH28" s="40" t="str">
        <f>IFERROR(__xludf.DUMMYFUNCTION("if(AND(AI28=FALSE,AJ28=FALSE),,if(AI28=AJ28,JOIN("""",""Static: "",AI28),JOIN("""",""Min:  "",AI28, CHAR(10),""Max: "",AJ28)))"),"")</f>
        <v/>
      </c>
      <c r="AI28" s="45" t="str">
        <f t="array" ref="AI28">_xlfn.XLOOKUP(B28,'Up Min'!A:A,'Up Min'!I:I,)</f>
        <v/>
      </c>
      <c r="AJ28" s="45" t="str">
        <f t="array" ref="AJ28">_xlfn.XLOOKUP(B28,'Up Max'!A:A,'Up Max'!I:I,)</f>
        <v/>
      </c>
      <c r="AK28" s="39" t="str">
        <f t="array" ref="AK28">_xlfn.XLOOKUP(B28,'Up Stats'!A:A,'Up Stats'!J:J,)</f>
        <v/>
      </c>
      <c r="AL28" s="40" t="str">
        <f>IFERROR(__xludf.DUMMYFUNCTION("if(AND(AM28=FALSE,AN28=FALSE),,if(AM28=AN28,JOIN("""",""Static: "",AM28),JOIN("""",""Min:  "",AM28, CHAR(10),""Max: "",AN28)))"),"")</f>
        <v/>
      </c>
      <c r="AM28" s="45" t="str">
        <f t="array" ref="AM28">_xlfn.XLOOKUP(B28,'Up Min'!A:A,'Up Min'!J:J,)</f>
        <v/>
      </c>
      <c r="AN28" s="45" t="str">
        <f t="array" ref="AN28">_xlfn.XLOOKUP(B28,'Up Max'!A:A,'Up Max'!J:J,)</f>
        <v/>
      </c>
      <c r="AO28" s="34" t="str">
        <f t="array" ref="AO28">CONCATENATE(_xlfn.XLOOKUP(B28,'Up Cells'!A:A,'Up Cells'!B:B,))</f>
        <v>7</v>
      </c>
      <c r="AP28" s="58" t="str">
        <f t="array" ref="AP28">CONCATENATE(_xlfn.XLOOKUP(B28,'Up Rarity'!A:A,'Up Rarity'!B:B,),CHAR(10),"-")</f>
        <v>Rare
-</v>
      </c>
    </row>
    <row r="29">
      <c r="A29" s="84" t="str">
        <f t="array" ref="A29">_xlfn.XLOOKUP(B29,'Up Icon'!A:A,'Up Icon'!B:B,)</f>
        <v/>
      </c>
      <c r="B29" s="63" t="str">
        <f t="array" ref="B29">HYPERLINK(_xlfn.XLOOKUP('Up Names'!B26,'Up Wiki'!A:A,'Up Wiki'!B:B,),'Up Names'!B26)</f>
        <v>Mag Extender</v>
      </c>
      <c r="C29" s="52" t="str">
        <f t="array" ref="C29">_xlfn.XLOOKUP(B29,'Up Desc'!A:A,'Up Desc'!B:B,)</f>
        <v>Magazine size is increased.</v>
      </c>
      <c r="D29" s="52" t="str">
        <f t="array" ref="D29">_xlfn.XLOOKUP(B29,'Up Turbo'!A:A,'Up Turbo'!B:B,)</f>
        <v>n/a</v>
      </c>
      <c r="E29" s="53" t="str">
        <f t="array" ref="E29">_xlfn.XLOOKUP(B29,'Up Stats'!A:A,'Up Stats'!B:B,)</f>
        <v>Magazine Size</v>
      </c>
      <c r="F29" s="54" t="str">
        <f>IFERROR(__xludf.DUMMYFUNCTION("if(AND(G29=FALSE,H29=FALSE),,if(G29=H29,JOIN("""",""Static: "",G29),JOIN("""",""Min:  "",G29, CHAR(10),""Max: "",H29)))"),"Min:  1
Max: 2")</f>
        <v>Min:  1
Max: 2</v>
      </c>
      <c r="G29" s="64">
        <f t="array" ref="G29">_xlfn.XLOOKUP(B29,'Up Min'!A:A,'Up Min'!B:B,)</f>
        <v>1</v>
      </c>
      <c r="H29" s="65">
        <f t="array" ref="H29">_xlfn.XLOOKUP(B29,'Up Max'!A:A,'Up Max'!B:B,)</f>
        <v>2</v>
      </c>
      <c r="I29" s="53" t="str">
        <f t="array" ref="I29">_xlfn.XLOOKUP(B29,'Up Stats'!A:A,'Up Stats'!C:C,)</f>
        <v/>
      </c>
      <c r="J29" s="54" t="str">
        <f>IFERROR(__xludf.DUMMYFUNCTION("if(AND(K29=FALSE,L29=FALSE),,if(K29=L29,JOIN("""",""Static: "",K29),JOIN("""",""Min:  "",K29, CHAR(10),""Max: "",L29)))"),"")</f>
        <v/>
      </c>
      <c r="K29" s="55" t="str">
        <f t="array" ref="K29">_xlfn.XLOOKUP(B29,'Up Min'!A:A,'Up Min'!C:C,)</f>
        <v/>
      </c>
      <c r="L29" s="55" t="str">
        <f t="array" ref="L29">_xlfn.XLOOKUP(B29,'Up Max'!A:A,'Up Max'!C:C,)</f>
        <v/>
      </c>
      <c r="M29" s="57" t="str">
        <f t="array" ref="M29">_xlfn.XLOOKUP(B29,'Up Stats'!A:A,'Up Stats'!D:D,)</f>
        <v/>
      </c>
      <c r="N29" s="54" t="str">
        <f>IFERROR(__xludf.DUMMYFUNCTION("if(AND(O29=FALSE,P29=FALSE),,if(O29=P29,JOIN("""",""Static: "",O29),JOIN("""",""Min:  "",O29, CHAR(10),""Max: "",P29)))"),"")</f>
        <v/>
      </c>
      <c r="O29" s="55" t="str">
        <f t="array" ref="O29">_xlfn.XLOOKUP(B29,'Up Min'!A:A,'Up Min'!D:D,)</f>
        <v/>
      </c>
      <c r="P29" s="55" t="str">
        <f t="array" ref="P29">_xlfn.XLOOKUP(B29,'Up Max'!A:A,'Up Max'!D:D,)</f>
        <v/>
      </c>
      <c r="Q29" s="57" t="str">
        <f t="array" ref="Q29">_xlfn.XLOOKUP(B29,'Up Stats'!A:A,'Up Stats'!E:E,)</f>
        <v/>
      </c>
      <c r="R29" s="54" t="str">
        <f>IFERROR(__xludf.DUMMYFUNCTION("if(AND(S29=FALSE,T29=FALSE),,if(S29=T29,JOIN("""",""Static: "",S29),JOIN("""",""Min:  "",S29, CHAR(10),""Max: "",T29)))"),"")</f>
        <v/>
      </c>
      <c r="S29" s="55" t="str">
        <f t="array" ref="S29">_xlfn.XLOOKUP(B29,'Up Min'!A:A,'Up Min'!E:E,)</f>
        <v/>
      </c>
      <c r="T29" s="55" t="str">
        <f t="array" ref="T29">_xlfn.XLOOKUP(B29,'Up Max'!A:A,'Up Max'!E:E,)</f>
        <v/>
      </c>
      <c r="U29" s="57" t="str">
        <f t="array" ref="U29">_xlfn.XLOOKUP(B29,'Up Stats'!A:A,'Up Stats'!F:F,)</f>
        <v/>
      </c>
      <c r="V29" s="54" t="str">
        <f>IFERROR(__xludf.DUMMYFUNCTION("if(AND(W29=FALSE,X29=FALSE),,if(W29=X29,JOIN("""",""Static: "",W29),JOIN("""",""Min:  "",W29, CHAR(10),""Max: "",X29)))"),"")</f>
        <v/>
      </c>
      <c r="W29" s="55" t="str">
        <f t="array" ref="W29">_xlfn.XLOOKUP(B29,'Up Min'!A:A,'Up Min'!F:F,)</f>
        <v/>
      </c>
      <c r="X29" s="55" t="str">
        <f t="array" ref="X29">_xlfn.XLOOKUP(B29,'Up Max'!A:A,'Up Max'!F:F,)</f>
        <v/>
      </c>
      <c r="Y29" s="57" t="str">
        <f t="array" ref="Y29">_xlfn.XLOOKUP(B29,'Up Stats'!A:A,'Up Stats'!G:G,)</f>
        <v/>
      </c>
      <c r="Z29" s="54" t="str">
        <f>IFERROR(__xludf.DUMMYFUNCTION("if(AND(AA29=FALSE,AB29=FALSE),,if(AA29=AB29,JOIN("""",""Static: "",AA29),JOIN("""",""Min:  "",AA29, CHAR(10),""Max: "",AB29)))"),"")</f>
        <v/>
      </c>
      <c r="AA29" s="55" t="str">
        <f t="array" ref="AA29">_xlfn.XLOOKUP(B29,'Up Min'!A:A,'Up Min'!G:G,)</f>
        <v/>
      </c>
      <c r="AB29" s="55" t="str">
        <f t="array" ref="AB29">_xlfn.XLOOKUP(B29,'Up Max'!A:A,'Up Max'!G:G,)</f>
        <v/>
      </c>
      <c r="AC29" s="57" t="str">
        <f t="array" ref="AC29">_xlfn.XLOOKUP(B29,'Up Stats'!A:A,'Up Stats'!H:H,)</f>
        <v/>
      </c>
      <c r="AD29" s="54" t="str">
        <f>IFERROR(__xludf.DUMMYFUNCTION("if(AND(AE29=FALSE,AF29=FALSE),,if(AE29=AF29,JOIN("""",""Static: "",AE29),JOIN("""",""Min:  "",AE29, CHAR(10),""Max: "",AF29)))"),"")</f>
        <v/>
      </c>
      <c r="AE29" s="56" t="str">
        <f t="array" ref="AE29">_xlfn.XLOOKUP(B29,'Up Min'!A:A,'Up Min'!H:H,)</f>
        <v/>
      </c>
      <c r="AF29" s="55" t="str">
        <f t="array" ref="AF29">_xlfn.XLOOKUP(B29,'Up Max'!A:A,'Up Max'!H:H,)</f>
        <v/>
      </c>
      <c r="AG29" s="53" t="str">
        <f t="array" ref="AG29">_xlfn.XLOOKUP(B29,'Up Stats'!A:A,'Up Stats'!I:I,)</f>
        <v/>
      </c>
      <c r="AH29" s="54" t="str">
        <f>IFERROR(__xludf.DUMMYFUNCTION("if(AND(AI29=FALSE,AJ29=FALSE),,if(AI29=AJ29,JOIN("""",""Static: "",AI29),JOIN("""",""Min:  "",AI29, CHAR(10),""Max: "",AJ29)))"),"")</f>
        <v/>
      </c>
      <c r="AI29" s="56" t="str">
        <f t="array" ref="AI29">_xlfn.XLOOKUP(B29,'Up Min'!A:A,'Up Min'!I:I,)</f>
        <v/>
      </c>
      <c r="AJ29" s="56" t="str">
        <f t="array" ref="AJ29">_xlfn.XLOOKUP(B29,'Up Max'!A:A,'Up Max'!I:I,)</f>
        <v/>
      </c>
      <c r="AK29" s="53" t="str">
        <f t="array" ref="AK29">_xlfn.XLOOKUP(B29,'Up Stats'!A:A,'Up Stats'!J:J,)</f>
        <v/>
      </c>
      <c r="AL29" s="54" t="str">
        <f>IFERROR(__xludf.DUMMYFUNCTION("if(AND(AM29=FALSE,AN29=FALSE),,if(AM29=AN29,JOIN("""",""Static: "",AM29),JOIN("""",""Min:  "",AM29, CHAR(10),""Max: "",AN29)))"),"")</f>
        <v/>
      </c>
      <c r="AM29" s="56" t="str">
        <f t="array" ref="AM29">_xlfn.XLOOKUP(B29,'Up Min'!A:A,'Up Min'!J:J,)</f>
        <v/>
      </c>
      <c r="AN29" s="56" t="str">
        <f t="array" ref="AN29">_xlfn.XLOOKUP(B29,'Up Max'!A:A,'Up Max'!J:J,)</f>
        <v/>
      </c>
      <c r="AO29" s="51" t="str">
        <f t="array" ref="AO29">CONCATENATE(_xlfn.XLOOKUP(B29,'Up Cells'!A:A,'Up Cells'!B:B,))</f>
        <v>3</v>
      </c>
      <c r="AP29" s="61" t="str">
        <f t="array" ref="AP29">CONCATENATE(_xlfn.XLOOKUP(B29,'Up Rarity'!A:A,'Up Rarity'!B:B,),CHAR(10),"-")</f>
        <v>Standard
-</v>
      </c>
    </row>
    <row r="30">
      <c r="A30" s="84" t="str">
        <f t="array" ref="A30">_xlfn.XLOOKUP(B30,'Up Icon'!A:A,'Up Icon'!B:B,)</f>
        <v/>
      </c>
      <c r="B30" s="66" t="str">
        <f t="array" ref="B30">HYPERLINK(_xlfn.XLOOKUP('Up Names'!B27,'Up Wiki'!A:A,'Up Wiki'!B:B,),'Up Names'!B27)</f>
        <v>Melting Point</v>
      </c>
      <c r="C30" s="37" t="str">
        <f t="array" ref="C30">_xlfn.XLOOKUP(B30,'Up Desc'!A:A,'Up Desc'!B:B,)</f>
        <v>Bullets apply more fire.</v>
      </c>
      <c r="D30" s="37" t="str">
        <f t="array" ref="D30">_xlfn.XLOOKUP(B30,'Up Turbo'!A:A,'Up Turbo'!B:B,)</f>
        <v>n/a</v>
      </c>
      <c r="E30" s="39" t="str">
        <f t="array" ref="E30">_xlfn.XLOOKUP(B30,'Up Stats'!A:A,'Up Stats'!B:B,)</f>
        <v>Element</v>
      </c>
      <c r="F30" s="40" t="str">
        <f>IFERROR(__xludf.DUMMYFUNCTION("if(AND(G30=FALSE,H30=FALSE),,if(G30=H30,JOIN("""",""Static: "",G30),JOIN("""",""Min:  "",G30, CHAR(10),""Max: "",H30)))"),"Min:  1
Max: 3")</f>
        <v>Min:  1
Max: 3</v>
      </c>
      <c r="G30" s="69">
        <f t="array" ref="G30">_xlfn.XLOOKUP(B30,'Up Min'!A:A,'Up Min'!B:B,)</f>
        <v>1</v>
      </c>
      <c r="H30" s="68">
        <f t="array" ref="H30">_xlfn.XLOOKUP(B30,'Up Max'!A:A,'Up Max'!B:B,)</f>
        <v>3</v>
      </c>
      <c r="I30" s="39" t="str">
        <f t="array" ref="I30">_xlfn.XLOOKUP(B30,'Up Stats'!A:A,'Up Stats'!C:C,)</f>
        <v/>
      </c>
      <c r="J30" s="40" t="str">
        <f>IFERROR(__xludf.DUMMYFUNCTION("if(AND(K30=FALSE,L30=FALSE),,if(K30=L30,JOIN("""",""Static: "",K30),JOIN("""",""Min:  "",K30, CHAR(10),""Max: "",L30)))"),"")</f>
        <v/>
      </c>
      <c r="K30" s="85" t="str">
        <f t="array" ref="K30">_xlfn.XLOOKUP(B30,'Up Min'!A:A,'Up Min'!C:C,)</f>
        <v/>
      </c>
      <c r="L30" s="85" t="str">
        <f t="array" ref="L30">_xlfn.XLOOKUP(B30,'Up Max'!A:A,'Up Max'!C:C,)</f>
        <v/>
      </c>
      <c r="M30" s="48" t="str">
        <f t="array" ref="M30">_xlfn.XLOOKUP(B30,'Up Stats'!A:A,'Up Stats'!D:D,)</f>
        <v/>
      </c>
      <c r="N30" s="40" t="str">
        <f>IFERROR(__xludf.DUMMYFUNCTION("if(AND(O30=FALSE,P30=FALSE),,if(O30=P30,JOIN("""",""Static: "",O30),JOIN("""",""Min:  "",O30, CHAR(10),""Max: "",P30)))"),"")</f>
        <v/>
      </c>
      <c r="O30" s="42" t="str">
        <f t="array" ref="O30">_xlfn.XLOOKUP(B30,'Up Min'!A:A,'Up Min'!D:D,)</f>
        <v/>
      </c>
      <c r="P30" s="42" t="str">
        <f t="array" ref="P30">_xlfn.XLOOKUP(B30,'Up Max'!A:A,'Up Max'!D:D,)</f>
        <v/>
      </c>
      <c r="Q30" s="48" t="str">
        <f t="array" ref="Q30">_xlfn.XLOOKUP(B30,'Up Stats'!A:A,'Up Stats'!E:E,)</f>
        <v/>
      </c>
      <c r="R30" s="40" t="str">
        <f>IFERROR(__xludf.DUMMYFUNCTION("if(AND(S30=FALSE,T30=FALSE),,if(S30=T30,JOIN("""",""Static: "",S30),JOIN("""",""Min:  "",S30, CHAR(10),""Max: "",T30)))"),"")</f>
        <v/>
      </c>
      <c r="S30" s="42" t="str">
        <f t="array" ref="S30">_xlfn.XLOOKUP(B30,'Up Min'!A:A,'Up Min'!E:E,)</f>
        <v/>
      </c>
      <c r="T30" s="42" t="str">
        <f t="array" ref="T30">_xlfn.XLOOKUP(B30,'Up Max'!A:A,'Up Max'!E:E,)</f>
        <v/>
      </c>
      <c r="U30" s="48" t="str">
        <f t="array" ref="U30">_xlfn.XLOOKUP(B30,'Up Stats'!A:A,'Up Stats'!F:F,)</f>
        <v/>
      </c>
      <c r="V30" s="40" t="str">
        <f>IFERROR(__xludf.DUMMYFUNCTION("if(AND(W30=FALSE,X30=FALSE),,if(W30=X30,JOIN("""",""Static: "",W30),JOIN("""",""Min:  "",W30, CHAR(10),""Max: "",X30)))"),"")</f>
        <v/>
      </c>
      <c r="W30" s="42" t="str">
        <f t="array" ref="W30">_xlfn.XLOOKUP(B30,'Up Min'!A:A,'Up Min'!F:F,)</f>
        <v/>
      </c>
      <c r="X30" s="42" t="str">
        <f t="array" ref="X30">_xlfn.XLOOKUP(B30,'Up Max'!A:A,'Up Max'!F:F,)</f>
        <v/>
      </c>
      <c r="Y30" s="48" t="str">
        <f t="array" ref="Y30">_xlfn.XLOOKUP(B30,'Up Stats'!A:A,'Up Stats'!G:G,)</f>
        <v/>
      </c>
      <c r="Z30" s="40" t="str">
        <f>IFERROR(__xludf.DUMMYFUNCTION("if(AND(AA30=FALSE,AB30=FALSE),,if(AA30=AB30,JOIN("""",""Static: "",AA30),JOIN("""",""Min:  "",AA30, CHAR(10),""Max: "",AB30)))"),"")</f>
        <v/>
      </c>
      <c r="AA30" s="42" t="str">
        <f t="array" ref="AA30">_xlfn.XLOOKUP(B30,'Up Min'!A:A,'Up Min'!G:G,)</f>
        <v/>
      </c>
      <c r="AB30" s="42" t="str">
        <f t="array" ref="AB30">_xlfn.XLOOKUP(B30,'Up Max'!A:A,'Up Max'!G:G,)</f>
        <v/>
      </c>
      <c r="AC30" s="48" t="str">
        <f t="array" ref="AC30">_xlfn.XLOOKUP(B30,'Up Stats'!A:A,'Up Stats'!H:H,)</f>
        <v/>
      </c>
      <c r="AD30" s="40" t="str">
        <f>IFERROR(__xludf.DUMMYFUNCTION("if(AND(AE30=FALSE,AF30=FALSE),,if(AE30=AF30,JOIN("""",""Static: "",AE30),JOIN("""",""Min:  "",AE30, CHAR(10),""Max: "",AF30)))"),"")</f>
        <v/>
      </c>
      <c r="AE30" s="45" t="str">
        <f t="array" ref="AE30">_xlfn.XLOOKUP(B30,'Up Min'!A:A,'Up Min'!H:H,)</f>
        <v/>
      </c>
      <c r="AF30" s="42" t="str">
        <f t="array" ref="AF30">_xlfn.XLOOKUP(B30,'Up Max'!A:A,'Up Max'!H:H,)</f>
        <v/>
      </c>
      <c r="AG30" s="39" t="str">
        <f t="array" ref="AG30">_xlfn.XLOOKUP(B30,'Up Stats'!A:A,'Up Stats'!I:I,)</f>
        <v/>
      </c>
      <c r="AH30" s="40" t="str">
        <f>IFERROR(__xludf.DUMMYFUNCTION("if(AND(AI30=FALSE,AJ30=FALSE),,if(AI30=AJ30,JOIN("""",""Static: "",AI30),JOIN("""",""Min:  "",AI30, CHAR(10),""Max: "",AJ30)))"),"")</f>
        <v/>
      </c>
      <c r="AI30" s="45" t="str">
        <f t="array" ref="AI30">_xlfn.XLOOKUP(B30,'Up Min'!A:A,'Up Min'!I:I,)</f>
        <v/>
      </c>
      <c r="AJ30" s="45" t="str">
        <f t="array" ref="AJ30">_xlfn.XLOOKUP(B30,'Up Max'!A:A,'Up Max'!I:I,)</f>
        <v/>
      </c>
      <c r="AK30" s="39" t="str">
        <f t="array" ref="AK30">_xlfn.XLOOKUP(B30,'Up Stats'!A:A,'Up Stats'!J:J,)</f>
        <v/>
      </c>
      <c r="AL30" s="40" t="str">
        <f>IFERROR(__xludf.DUMMYFUNCTION("if(AND(AM30=FALSE,AN30=FALSE),,if(AM30=AN30,JOIN("""",""Static: "",AM30),JOIN("""",""Min:  "",AM30, CHAR(10),""Max: "",AN30)))"),"")</f>
        <v/>
      </c>
      <c r="AM30" s="45" t="str">
        <f t="array" ref="AM30">_xlfn.XLOOKUP(B30,'Up Min'!A:A,'Up Min'!J:J,)</f>
        <v/>
      </c>
      <c r="AN30" s="45" t="str">
        <f t="array" ref="AN30">_xlfn.XLOOKUP(B30,'Up Max'!A:A,'Up Max'!J:J,)</f>
        <v/>
      </c>
      <c r="AO30" s="34" t="str">
        <f t="array" ref="AO30">CONCATENATE(_xlfn.XLOOKUP(B30,'Up Cells'!A:A,'Up Cells'!B:B,))</f>
        <v>4</v>
      </c>
      <c r="AP30" s="58" t="str">
        <f t="array" ref="AP30">CONCATENATE(_xlfn.XLOOKUP(B30,'Up Rarity'!A:A,'Up Rarity'!B:B,),CHAR(10),"-")</f>
        <v>Standard
-</v>
      </c>
    </row>
    <row r="31">
      <c r="A31" s="84" t="str">
        <f t="array" ref="A31">_xlfn.XLOOKUP(B31,'Up Icon'!A:A,'Up Icon'!B:B,)</f>
        <v/>
      </c>
      <c r="B31" s="63" t="str">
        <f t="array" ref="B31">HYPERLINK(_xlfn.XLOOKUP('Up Names'!B28,'Up Wiki'!A:A,'Up Wiki'!B:B,),'Up Names'!B28)</f>
        <v>Reinforced Coating</v>
      </c>
      <c r="C31" s="52" t="str">
        <f t="array" ref="C31">_xlfn.XLOOKUP(B31,'Up Desc'!A:A,'Up Desc'!B:B,)</f>
        <v>Bullets ricochet an extra time.</v>
      </c>
      <c r="D31" s="52" t="str">
        <f t="array" ref="D31">_xlfn.XLOOKUP(B31,'Up Turbo'!A:A,'Up Turbo'!B:B,)</f>
        <v>n/a</v>
      </c>
      <c r="E31" s="53" t="str">
        <f t="array" ref="E31">_xlfn.XLOOKUP(B31,'Up Stats'!A:A,'Up Stats'!B:B,)</f>
        <v>Bounces</v>
      </c>
      <c r="F31" s="54" t="str">
        <f>IFERROR(__xludf.DUMMYFUNCTION("if(AND(G31=FALSE,H31=FALSE),,if(G31=H31,JOIN("""",""Static: "",G31),JOIN("""",""Min:  "",G31, CHAR(10),""Max: "",H31)))"),"Static: 1")</f>
        <v>Static: 1</v>
      </c>
      <c r="G31" s="64">
        <f t="array" ref="G31">_xlfn.XLOOKUP(B31,'Up Min'!A:A,'Up Min'!B:B,)</f>
        <v>1</v>
      </c>
      <c r="H31" s="65">
        <f t="array" ref="H31">_xlfn.XLOOKUP(B31,'Up Max'!A:A,'Up Max'!B:B,)</f>
        <v>1</v>
      </c>
      <c r="I31" s="53" t="str">
        <f t="array" ref="I31">_xlfn.XLOOKUP(B31,'Up Stats'!A:A,'Up Stats'!C:C,)</f>
        <v/>
      </c>
      <c r="J31" s="54" t="str">
        <f>IFERROR(__xludf.DUMMYFUNCTION("if(AND(K31=FALSE,L31=FALSE),,if(K31=L31,JOIN("""",""Static: "",K31),JOIN("""",""Min:  "",K31, CHAR(10),""Max: "",L31)))"),"")</f>
        <v/>
      </c>
      <c r="K31" s="55" t="str">
        <f t="array" ref="K31">_xlfn.XLOOKUP(B31,'Up Min'!A:A,'Up Min'!C:C,)</f>
        <v/>
      </c>
      <c r="L31" s="55" t="str">
        <f t="array" ref="L31">_xlfn.XLOOKUP(B31,'Up Max'!A:A,'Up Max'!C:C,)</f>
        <v/>
      </c>
      <c r="M31" s="57" t="str">
        <f t="array" ref="M31">_xlfn.XLOOKUP(B31,'Up Stats'!A:A,'Up Stats'!D:D,)</f>
        <v/>
      </c>
      <c r="N31" s="54" t="str">
        <f>IFERROR(__xludf.DUMMYFUNCTION("if(AND(O31=FALSE,P31=FALSE),,if(O31=P31,JOIN("""",""Static: "",O31),JOIN("""",""Min:  "",O31, CHAR(10),""Max: "",P31)))"),"")</f>
        <v/>
      </c>
      <c r="O31" s="55" t="str">
        <f t="array" ref="O31">_xlfn.XLOOKUP(B31,'Up Min'!A:A,'Up Min'!D:D,)</f>
        <v/>
      </c>
      <c r="P31" s="55" t="str">
        <f t="array" ref="P31">_xlfn.XLOOKUP(B31,'Up Max'!A:A,'Up Max'!D:D,)</f>
        <v/>
      </c>
      <c r="Q31" s="57" t="str">
        <f t="array" ref="Q31">_xlfn.XLOOKUP(B31,'Up Stats'!A:A,'Up Stats'!E:E,)</f>
        <v/>
      </c>
      <c r="R31" s="54" t="str">
        <f>IFERROR(__xludf.DUMMYFUNCTION("if(AND(S31=FALSE,T31=FALSE),,if(S31=T31,JOIN("""",""Static: "",S31),JOIN("""",""Min:  "",S31, CHAR(10),""Max: "",T31)))"),"")</f>
        <v/>
      </c>
      <c r="S31" s="55" t="str">
        <f t="array" ref="S31">_xlfn.XLOOKUP(B31,'Up Min'!A:A,'Up Min'!E:E,)</f>
        <v/>
      </c>
      <c r="T31" s="55" t="str">
        <f t="array" ref="T31">_xlfn.XLOOKUP(B31,'Up Max'!A:A,'Up Max'!E:E,)</f>
        <v/>
      </c>
      <c r="U31" s="57" t="str">
        <f t="array" ref="U31">_xlfn.XLOOKUP(B31,'Up Stats'!A:A,'Up Stats'!F:F,)</f>
        <v/>
      </c>
      <c r="V31" s="54" t="str">
        <f>IFERROR(__xludf.DUMMYFUNCTION("if(AND(W31=FALSE,X31=FALSE),,if(W31=X31,JOIN("""",""Static: "",W31),JOIN("""",""Min:  "",W31, CHAR(10),""Max: "",X31)))"),"")</f>
        <v/>
      </c>
      <c r="W31" s="55" t="str">
        <f t="array" ref="W31">_xlfn.XLOOKUP(B31,'Up Min'!A:A,'Up Min'!F:F,)</f>
        <v/>
      </c>
      <c r="X31" s="55" t="str">
        <f t="array" ref="X31">_xlfn.XLOOKUP(B31,'Up Max'!A:A,'Up Max'!F:F,)</f>
        <v/>
      </c>
      <c r="Y31" s="57" t="str">
        <f t="array" ref="Y31">_xlfn.XLOOKUP(B31,'Up Stats'!A:A,'Up Stats'!G:G,)</f>
        <v/>
      </c>
      <c r="Z31" s="54" t="str">
        <f>IFERROR(__xludf.DUMMYFUNCTION("if(AND(AA31=FALSE,AB31=FALSE),,if(AA31=AB31,JOIN("""",""Static: "",AA31),JOIN("""",""Min:  "",AA31, CHAR(10),""Max: "",AB31)))"),"")</f>
        <v/>
      </c>
      <c r="AA31" s="55" t="str">
        <f t="array" ref="AA31">_xlfn.XLOOKUP(B31,'Up Min'!A:A,'Up Min'!G:G,)</f>
        <v/>
      </c>
      <c r="AB31" s="55" t="str">
        <f t="array" ref="AB31">_xlfn.XLOOKUP(B31,'Up Max'!A:A,'Up Max'!G:G,)</f>
        <v/>
      </c>
      <c r="AC31" s="57" t="str">
        <f t="array" ref="AC31">_xlfn.XLOOKUP(B31,'Up Stats'!A:A,'Up Stats'!H:H,)</f>
        <v/>
      </c>
      <c r="AD31" s="54" t="str">
        <f>IFERROR(__xludf.DUMMYFUNCTION("if(AND(AE31=FALSE,AF31=FALSE),,if(AE31=AF31,JOIN("""",""Static: "",AE31),JOIN("""",""Min:  "",AE31, CHAR(10),""Max: "",AF31)))"),"")</f>
        <v/>
      </c>
      <c r="AE31" s="56" t="str">
        <f t="array" ref="AE31">_xlfn.XLOOKUP(B31,'Up Min'!A:A,'Up Min'!H:H,)</f>
        <v/>
      </c>
      <c r="AF31" s="55" t="str">
        <f t="array" ref="AF31">_xlfn.XLOOKUP(B31,'Up Max'!A:A,'Up Max'!H:H,)</f>
        <v/>
      </c>
      <c r="AG31" s="53" t="str">
        <f t="array" ref="AG31">_xlfn.XLOOKUP(B31,'Up Stats'!A:A,'Up Stats'!I:I,)</f>
        <v/>
      </c>
      <c r="AH31" s="54" t="str">
        <f>IFERROR(__xludf.DUMMYFUNCTION("if(AND(AI31=FALSE,AJ31=FALSE),,if(AI31=AJ31,JOIN("""",""Static: "",AI31),JOIN("""",""Min:  "",AI31, CHAR(10),""Max: "",AJ31)))"),"")</f>
        <v/>
      </c>
      <c r="AI31" s="56" t="str">
        <f t="array" ref="AI31">_xlfn.XLOOKUP(B31,'Up Min'!A:A,'Up Min'!I:I,)</f>
        <v/>
      </c>
      <c r="AJ31" s="56" t="str">
        <f t="array" ref="AJ31">_xlfn.XLOOKUP(B31,'Up Max'!A:A,'Up Max'!I:I,)</f>
        <v/>
      </c>
      <c r="AK31" s="53" t="str">
        <f t="array" ref="AK31">_xlfn.XLOOKUP(B31,'Up Stats'!A:A,'Up Stats'!J:J,)</f>
        <v/>
      </c>
      <c r="AL31" s="54" t="str">
        <f>IFERROR(__xludf.DUMMYFUNCTION("if(AND(AM31=FALSE,AN31=FALSE),,if(AM31=AN31,JOIN("""",""Static: "",AM31),JOIN("""",""Min:  "",AM31, CHAR(10),""Max: "",AN31)))"),"")</f>
        <v/>
      </c>
      <c r="AM31" s="56" t="str">
        <f t="array" ref="AM31">_xlfn.XLOOKUP(B31,'Up Min'!A:A,'Up Min'!J:J,)</f>
        <v/>
      </c>
      <c r="AN31" s="56" t="str">
        <f t="array" ref="AN31">_xlfn.XLOOKUP(B31,'Up Max'!A:A,'Up Max'!J:J,)</f>
        <v/>
      </c>
      <c r="AO31" s="51" t="str">
        <f t="array" ref="AO31">CONCATENATE(_xlfn.XLOOKUP(B31,'Up Cells'!A:A,'Up Cells'!B:B,))</f>
        <v>3</v>
      </c>
      <c r="AP31" s="61" t="str">
        <f t="array" ref="AP31">CONCATENATE(_xlfn.XLOOKUP(B31,'Up Rarity'!A:A,'Up Rarity'!B:B,),CHAR(10),"-")</f>
        <v>Standard
-</v>
      </c>
    </row>
    <row r="32">
      <c r="A32" s="84" t="str">
        <f t="array" ref="A32">_xlfn.XLOOKUP(B32,'Up Icon'!A:A,'Up Icon'!B:B,)</f>
        <v/>
      </c>
      <c r="B32" s="66" t="str">
        <f t="array" ref="B32">HYPERLINK(_xlfn.XLOOKUP('Up Names'!B29,'Up Wiki'!A:A,'Up Wiki'!B:B,),'Up Names'!B29)</f>
        <v>Stable Grip</v>
      </c>
      <c r="C32" s="37" t="str">
        <f t="array" ref="C32">_xlfn.XLOOKUP(B32,'Up Desc'!A:A,'Up Desc'!B:B,)</f>
        <v>Recoil is decreased.</v>
      </c>
      <c r="D32" s="37" t="str">
        <f t="array" ref="D32">_xlfn.XLOOKUP(B32,'Up Turbo'!A:A,'Up Turbo'!B:B,)</f>
        <v>n/a</v>
      </c>
      <c r="E32" s="39" t="str">
        <f t="array" ref="E32">_xlfn.XLOOKUP(B32,'Up Stats'!A:A,'Up Stats'!B:B,)</f>
        <v>Horizontal Recoil</v>
      </c>
      <c r="F32" s="40" t="str">
        <f>IFERROR(__xludf.DUMMYFUNCTION("if(AND(G32=FALSE,H32=FALSE),,if(G32=H32,JOIN("""",""Static: "",G32),JOIN("""",""Min:  "",G32, CHAR(10),""Max: "",H32)))"),"Min:  -20%
Max: -5%")</f>
        <v>Min:  -20%
Max: -5%</v>
      </c>
      <c r="G32" s="41">
        <f t="array" ref="G32">_xlfn.XLOOKUP(B32,'Up Min'!A:A,'Up Min'!B:B,)</f>
        <v>-0.2</v>
      </c>
      <c r="H32" s="41">
        <f t="array" ref="H32">_xlfn.XLOOKUP(B32,'Up Max'!A:A,'Up Max'!B:B,)</f>
        <v>-0.05</v>
      </c>
      <c r="I32" s="39" t="str">
        <f t="array" ref="I32">_xlfn.XLOOKUP(B32,'Up Stats'!A:A,'Up Stats'!C:C,)</f>
        <v>Vertical Recoil</v>
      </c>
      <c r="J32" s="40" t="str">
        <f>IFERROR(__xludf.DUMMYFUNCTION("if(AND(K32=FALSE,L32=FALSE),,if(K32=L32,JOIN("""",""Static: "",K32),JOIN("""",""Min:  "",K32, CHAR(10),""Max: "",L32)))"),"Min:  -22%
Max: -10%")</f>
        <v>Min:  -22%
Max: -10%</v>
      </c>
      <c r="K32" s="41">
        <f t="array" ref="K32">_xlfn.XLOOKUP(B32,'Up Min'!A:A,'Up Min'!C:C,)</f>
        <v>-0.22</v>
      </c>
      <c r="L32" s="41">
        <f t="array" ref="L32">_xlfn.XLOOKUP(B32,'Up Max'!A:A,'Up Max'!C:C,)</f>
        <v>-0.1</v>
      </c>
      <c r="M32" s="39" t="str">
        <f t="array" ref="M32">_xlfn.XLOOKUP(B32,'Up Stats'!A:A,'Up Stats'!D:D,)</f>
        <v/>
      </c>
      <c r="N32" s="40" t="str">
        <f>IFERROR(__xludf.DUMMYFUNCTION("if(AND(O32=FALSE,P32=FALSE),,if(O32=P32,JOIN("""",""Static: "",O32),JOIN("""",""Min:  "",O32, CHAR(10),""Max: "",P32)))"),"")</f>
        <v/>
      </c>
      <c r="O32" s="42" t="str">
        <f t="array" ref="O32">_xlfn.XLOOKUP(B32,'Up Min'!A:A,'Up Min'!D:D,)</f>
        <v/>
      </c>
      <c r="P32" s="42" t="str">
        <f t="array" ref="P32">_xlfn.XLOOKUP(B32,'Up Max'!A:A,'Up Max'!D:D,)</f>
        <v/>
      </c>
      <c r="Q32" s="48" t="str">
        <f t="array" ref="Q32">_xlfn.XLOOKUP(B32,'Up Stats'!A:A,'Up Stats'!E:E,)</f>
        <v/>
      </c>
      <c r="R32" s="40" t="str">
        <f>IFERROR(__xludf.DUMMYFUNCTION("if(AND(S32=FALSE,T32=FALSE),,if(S32=T32,JOIN("""",""Static: "",S32),JOIN("""",""Min:  "",S32, CHAR(10),""Max: "",T32)))"),"")</f>
        <v/>
      </c>
      <c r="S32" s="42" t="str">
        <f t="array" ref="S32">_xlfn.XLOOKUP(B32,'Up Min'!A:A,'Up Min'!E:E,)</f>
        <v/>
      </c>
      <c r="T32" s="42" t="str">
        <f t="array" ref="T32">_xlfn.XLOOKUP(B32,'Up Max'!A:A,'Up Max'!E:E,)</f>
        <v/>
      </c>
      <c r="U32" s="48" t="str">
        <f t="array" ref="U32">_xlfn.XLOOKUP(B32,'Up Stats'!A:A,'Up Stats'!F:F,)</f>
        <v/>
      </c>
      <c r="V32" s="40" t="str">
        <f>IFERROR(__xludf.DUMMYFUNCTION("if(AND(W32=FALSE,X32=FALSE),,if(W32=X32,JOIN("""",""Static: "",W32),JOIN("""",""Min:  "",W32, CHAR(10),""Max: "",X32)))"),"")</f>
        <v/>
      </c>
      <c r="W32" s="42" t="str">
        <f t="array" ref="W32">_xlfn.XLOOKUP(B32,'Up Min'!A:A,'Up Min'!F:F,)</f>
        <v/>
      </c>
      <c r="X32" s="42" t="str">
        <f t="array" ref="X32">_xlfn.XLOOKUP(B32,'Up Max'!A:A,'Up Max'!F:F,)</f>
        <v/>
      </c>
      <c r="Y32" s="48" t="str">
        <f t="array" ref="Y32">_xlfn.XLOOKUP(B32,'Up Stats'!A:A,'Up Stats'!G:G,)</f>
        <v/>
      </c>
      <c r="Z32" s="40" t="str">
        <f>IFERROR(__xludf.DUMMYFUNCTION("if(AND(AA32=FALSE,AB32=FALSE),,if(AA32=AB32,JOIN("""",""Static: "",AA32),JOIN("""",""Min:  "",AA32, CHAR(10),""Max: "",AB32)))"),"")</f>
        <v/>
      </c>
      <c r="AA32" s="42" t="str">
        <f t="array" ref="AA32">_xlfn.XLOOKUP(B32,'Up Min'!A:A,'Up Min'!G:G,)</f>
        <v/>
      </c>
      <c r="AB32" s="42" t="str">
        <f t="array" ref="AB32">_xlfn.XLOOKUP(B32,'Up Max'!A:A,'Up Max'!G:G,)</f>
        <v/>
      </c>
      <c r="AC32" s="48" t="str">
        <f t="array" ref="AC32">_xlfn.XLOOKUP(B32,'Up Stats'!A:A,'Up Stats'!H:H,)</f>
        <v/>
      </c>
      <c r="AD32" s="40" t="str">
        <f>IFERROR(__xludf.DUMMYFUNCTION("if(AND(AE32=FALSE,AF32=FALSE),,if(AE32=AF32,JOIN("""",""Static: "",AE32),JOIN("""",""Min:  "",AE32, CHAR(10),""Max: "",AF32)))"),"")</f>
        <v/>
      </c>
      <c r="AE32" s="45" t="str">
        <f t="array" ref="AE32">_xlfn.XLOOKUP(B32,'Up Min'!A:A,'Up Min'!H:H,)</f>
        <v/>
      </c>
      <c r="AF32" s="42" t="str">
        <f t="array" ref="AF32">_xlfn.XLOOKUP(B32,'Up Max'!A:A,'Up Max'!H:H,)</f>
        <v/>
      </c>
      <c r="AG32" s="39" t="str">
        <f t="array" ref="AG32">_xlfn.XLOOKUP(B32,'Up Stats'!A:A,'Up Stats'!I:I,)</f>
        <v/>
      </c>
      <c r="AH32" s="40" t="str">
        <f>IFERROR(__xludf.DUMMYFUNCTION("if(AND(AI32=FALSE,AJ32=FALSE),,if(AI32=AJ32,JOIN("""",""Static: "",AI32),JOIN("""",""Min:  "",AI32, CHAR(10),""Max: "",AJ32)))"),"")</f>
        <v/>
      </c>
      <c r="AI32" s="45" t="str">
        <f t="array" ref="AI32">_xlfn.XLOOKUP(B32,'Up Min'!A:A,'Up Min'!I:I,)</f>
        <v/>
      </c>
      <c r="AJ32" s="45" t="str">
        <f t="array" ref="AJ32">_xlfn.XLOOKUP(B32,'Up Max'!A:A,'Up Max'!I:I,)</f>
        <v/>
      </c>
      <c r="AK32" s="39" t="str">
        <f t="array" ref="AK32">_xlfn.XLOOKUP(B32,'Up Stats'!A:A,'Up Stats'!J:J,)</f>
        <v/>
      </c>
      <c r="AL32" s="40" t="str">
        <f>IFERROR(__xludf.DUMMYFUNCTION("if(AND(AM32=FALSE,AN32=FALSE),,if(AM32=AN32,JOIN("""",""Static: "",AM32),JOIN("""",""Min:  "",AM32, CHAR(10),""Max: "",AN32)))"),"")</f>
        <v/>
      </c>
      <c r="AM32" s="45" t="str">
        <f t="array" ref="AM32">_xlfn.XLOOKUP(B32,'Up Min'!A:A,'Up Min'!J:J,)</f>
        <v/>
      </c>
      <c r="AN32" s="45" t="str">
        <f t="array" ref="AN32">_xlfn.XLOOKUP(B32,'Up Max'!A:A,'Up Max'!J:J,)</f>
        <v/>
      </c>
      <c r="AO32" s="34" t="str">
        <f t="array" ref="AO32">CONCATENATE(_xlfn.XLOOKUP(B32,'Up Cells'!A:A,'Up Cells'!B:B,))</f>
        <v>3</v>
      </c>
      <c r="AP32" s="58" t="str">
        <f t="array" ref="AP32">CONCATENATE(_xlfn.XLOOKUP(B32,'Up Rarity'!A:A,'Up Rarity'!B:B,),CHAR(10),"-")</f>
        <v>Standard
-</v>
      </c>
    </row>
    <row r="33">
      <c r="A33" s="84" t="str">
        <f t="array" ref="A33">_xlfn.XLOOKUP(B33,'Up Icon'!A:A,'Up Icon'!B:B,)</f>
        <v/>
      </c>
      <c r="B33" s="63" t="str">
        <f t="array" ref="B33">HYPERLINK(_xlfn.XLOOKUP('Up Names'!B30,'Up Wiki'!A:A,'Up Wiki'!B:B,),'Up Names'!B30)</f>
        <v>Steadier Aim</v>
      </c>
      <c r="C33" s="52" t="str">
        <f t="array" ref="C33">_xlfn.XLOOKUP(B33,'Up Desc'!A:A,'Up Desc'!B:B,)</f>
        <v>Spread is decreased while aiming.</v>
      </c>
      <c r="D33" s="52" t="str">
        <f t="array" ref="D33">_xlfn.XLOOKUP(B33,'Up Turbo'!A:A,'Up Turbo'!B:B,)</f>
        <v>n/a</v>
      </c>
      <c r="E33" s="53" t="str">
        <f t="array" ref="E33">_xlfn.XLOOKUP(B33,'Up Stats'!A:A,'Up Stats'!B:B,)</f>
        <v>Spread</v>
      </c>
      <c r="F33" s="54" t="str">
        <f>IFERROR(__xludf.DUMMYFUNCTION("if(AND(G33=FALSE,H33=FALSE),,if(G33=H33,JOIN("""",""Static: "",G33),JOIN("""",""Min:  "",G33, CHAR(10),""Max: "",H33)))"),"Min:  -18%
Max: -6%")</f>
        <v>Min:  -18%
Max: -6%</v>
      </c>
      <c r="G33" s="59">
        <f t="array" ref="G33">_xlfn.XLOOKUP(B33,'Up Min'!A:A,'Up Min'!B:B,)</f>
        <v>-0.18</v>
      </c>
      <c r="H33" s="59">
        <f t="array" ref="H33">_xlfn.XLOOKUP(B33,'Up Max'!A:A,'Up Max'!B:B,)</f>
        <v>-0.06</v>
      </c>
      <c r="I33" s="53" t="str">
        <f t="array" ref="I33">_xlfn.XLOOKUP(B33,'Up Stats'!A:A,'Up Stats'!C:C,)</f>
        <v/>
      </c>
      <c r="J33" s="54" t="str">
        <f>IFERROR(__xludf.DUMMYFUNCTION("if(AND(K33=FALSE,L33=FALSE),,if(K33=L33,JOIN("""",""Static: "",K33),JOIN("""",""Min:  "",K33, CHAR(10),""Max: "",L33)))"),"")</f>
        <v/>
      </c>
      <c r="K33" s="55" t="str">
        <f t="array" ref="K33">_xlfn.XLOOKUP(B33,'Up Min'!A:A,'Up Min'!C:C,)</f>
        <v/>
      </c>
      <c r="L33" s="55" t="str">
        <f t="array" ref="L33">_xlfn.XLOOKUP(B33,'Up Max'!A:A,'Up Max'!C:C,)</f>
        <v/>
      </c>
      <c r="M33" s="57" t="str">
        <f t="array" ref="M33">_xlfn.XLOOKUP(B33,'Up Stats'!A:A,'Up Stats'!D:D,)</f>
        <v/>
      </c>
      <c r="N33" s="54" t="str">
        <f>IFERROR(__xludf.DUMMYFUNCTION("if(AND(O33=FALSE,P33=FALSE),,if(O33=P33,JOIN("""",""Static: "",O33),JOIN("""",""Min:  "",O33, CHAR(10),""Max: "",P33)))"),"")</f>
        <v/>
      </c>
      <c r="O33" s="55" t="str">
        <f t="array" ref="O33">_xlfn.XLOOKUP(B33,'Up Min'!A:A,'Up Min'!D:D,)</f>
        <v/>
      </c>
      <c r="P33" s="55" t="str">
        <f t="array" ref="P33">_xlfn.XLOOKUP(B33,'Up Max'!A:A,'Up Max'!D:D,)</f>
        <v/>
      </c>
      <c r="Q33" s="57" t="str">
        <f t="array" ref="Q33">_xlfn.XLOOKUP(B33,'Up Stats'!A:A,'Up Stats'!E:E,)</f>
        <v/>
      </c>
      <c r="R33" s="54" t="str">
        <f>IFERROR(__xludf.DUMMYFUNCTION("if(AND(S33=FALSE,T33=FALSE),,if(S33=T33,JOIN("""",""Static: "",S33),JOIN("""",""Min:  "",S33, CHAR(10),""Max: "",T33)))"),"")</f>
        <v/>
      </c>
      <c r="S33" s="55" t="str">
        <f t="array" ref="S33">_xlfn.XLOOKUP(B33,'Up Min'!A:A,'Up Min'!E:E,)</f>
        <v/>
      </c>
      <c r="T33" s="55" t="str">
        <f t="array" ref="T33">_xlfn.XLOOKUP(B33,'Up Max'!A:A,'Up Max'!E:E,)</f>
        <v/>
      </c>
      <c r="U33" s="57" t="str">
        <f t="array" ref="U33">_xlfn.XLOOKUP(B33,'Up Stats'!A:A,'Up Stats'!F:F,)</f>
        <v/>
      </c>
      <c r="V33" s="54" t="str">
        <f>IFERROR(__xludf.DUMMYFUNCTION("if(AND(W33=FALSE,X33=FALSE),,if(W33=X33,JOIN("""",""Static: "",W33),JOIN("""",""Min:  "",W33, CHAR(10),""Max: "",X33)))"),"")</f>
        <v/>
      </c>
      <c r="W33" s="55" t="str">
        <f t="array" ref="W33">_xlfn.XLOOKUP(B33,'Up Min'!A:A,'Up Min'!F:F,)</f>
        <v/>
      </c>
      <c r="X33" s="55" t="str">
        <f t="array" ref="X33">_xlfn.XLOOKUP(B33,'Up Max'!A:A,'Up Max'!F:F,)</f>
        <v/>
      </c>
      <c r="Y33" s="57" t="str">
        <f t="array" ref="Y33">_xlfn.XLOOKUP(B33,'Up Stats'!A:A,'Up Stats'!G:G,)</f>
        <v/>
      </c>
      <c r="Z33" s="54" t="str">
        <f>IFERROR(__xludf.DUMMYFUNCTION("if(AND(AA33=FALSE,AB33=FALSE),,if(AA33=AB33,JOIN("""",""Static: "",AA33),JOIN("""",""Min:  "",AA33, CHAR(10),""Max: "",AB33)))"),"")</f>
        <v/>
      </c>
      <c r="AA33" s="55" t="str">
        <f t="array" ref="AA33">_xlfn.XLOOKUP(B33,'Up Min'!A:A,'Up Min'!G:G,)</f>
        <v/>
      </c>
      <c r="AB33" s="55" t="str">
        <f t="array" ref="AB33">_xlfn.XLOOKUP(B33,'Up Max'!A:A,'Up Max'!G:G,)</f>
        <v/>
      </c>
      <c r="AC33" s="57" t="str">
        <f t="array" ref="AC33">_xlfn.XLOOKUP(B33,'Up Stats'!A:A,'Up Stats'!H:H,)</f>
        <v/>
      </c>
      <c r="AD33" s="54" t="str">
        <f>IFERROR(__xludf.DUMMYFUNCTION("if(AND(AE33=FALSE,AF33=FALSE),,if(AE33=AF33,JOIN("""",""Static: "",AE33),JOIN("""",""Min:  "",AE33, CHAR(10),""Max: "",AF33)))"),"")</f>
        <v/>
      </c>
      <c r="AE33" s="56" t="str">
        <f t="array" ref="AE33">_xlfn.XLOOKUP(B33,'Up Min'!A:A,'Up Min'!H:H,)</f>
        <v/>
      </c>
      <c r="AF33" s="55" t="str">
        <f t="array" ref="AF33">_xlfn.XLOOKUP(B33,'Up Max'!A:A,'Up Max'!H:H,)</f>
        <v/>
      </c>
      <c r="AG33" s="53" t="str">
        <f t="array" ref="AG33">_xlfn.XLOOKUP(B33,'Up Stats'!A:A,'Up Stats'!I:I,)</f>
        <v/>
      </c>
      <c r="AH33" s="54" t="str">
        <f>IFERROR(__xludf.DUMMYFUNCTION("if(AND(AI33=FALSE,AJ33=FALSE),,if(AI33=AJ33,JOIN("""",""Static: "",AI33),JOIN("""",""Min:  "",AI33, CHAR(10),""Max: "",AJ33)))"),"")</f>
        <v/>
      </c>
      <c r="AI33" s="56" t="str">
        <f t="array" ref="AI33">_xlfn.XLOOKUP(B33,'Up Min'!A:A,'Up Min'!I:I,)</f>
        <v/>
      </c>
      <c r="AJ33" s="56" t="str">
        <f t="array" ref="AJ33">_xlfn.XLOOKUP(B33,'Up Max'!A:A,'Up Max'!I:I,)</f>
        <v/>
      </c>
      <c r="AK33" s="53" t="str">
        <f t="array" ref="AK33">_xlfn.XLOOKUP(B33,'Up Stats'!A:A,'Up Stats'!J:J,)</f>
        <v/>
      </c>
      <c r="AL33" s="54" t="str">
        <f>IFERROR(__xludf.DUMMYFUNCTION("if(AND(AM33=FALSE,AN33=FALSE),,if(AM33=AN33,JOIN("""",""Static: "",AM33),JOIN("""",""Min:  "",AM33, CHAR(10),""Max: "",AN33)))"),"")</f>
        <v/>
      </c>
      <c r="AM33" s="56" t="str">
        <f t="array" ref="AM33">_xlfn.XLOOKUP(B33,'Up Min'!A:A,'Up Min'!J:J,)</f>
        <v/>
      </c>
      <c r="AN33" s="56" t="str">
        <f t="array" ref="AN33">_xlfn.XLOOKUP(B33,'Up Max'!A:A,'Up Max'!J:J,)</f>
        <v/>
      </c>
      <c r="AO33" s="51" t="str">
        <f t="array" ref="AO33">CONCATENATE(_xlfn.XLOOKUP(B33,'Up Cells'!A:A,'Up Cells'!B:B,))</f>
        <v>4</v>
      </c>
      <c r="AP33" s="61" t="str">
        <f t="array" ref="AP33">CONCATENATE(_xlfn.XLOOKUP(B33,'Up Rarity'!A:A,'Up Rarity'!B:B,),CHAR(10),"-")</f>
        <v>Standard
-</v>
      </c>
    </row>
    <row r="34">
      <c r="A34" s="84" t="str">
        <f t="array" ref="A34">_xlfn.XLOOKUP(B34,'Up Icon'!A:A,'Up Icon'!B:B,)</f>
        <v/>
      </c>
      <c r="B34" s="66" t="str">
        <f t="array" ref="B34">HYPERLINK(_xlfn.XLOOKUP('Up Names'!B31,'Up Wiki'!A:A,'Up Wiki'!B:B,),'Up Names'!B31)</f>
        <v>Steady Aim</v>
      </c>
      <c r="C34" s="37" t="str">
        <f t="array" ref="C34">_xlfn.XLOOKUP(B34,'Up Desc'!A:A,'Up Desc'!B:B,)</f>
        <v>Range is increased while aiming.</v>
      </c>
      <c r="D34" s="37" t="str">
        <f t="array" ref="D34">_xlfn.XLOOKUP(B34,'Up Turbo'!A:A,'Up Turbo'!B:B,)</f>
        <v>n/a</v>
      </c>
      <c r="E34" s="39" t="str">
        <f t="array" ref="E34">_xlfn.XLOOKUP(B34,'Up Stats'!A:A,'Up Stats'!B:B,)</f>
        <v>Range</v>
      </c>
      <c r="F34" s="40" t="str">
        <f>IFERROR(__xludf.DUMMYFUNCTION("if(AND(G34=FALSE,H34=FALSE),,if(G34=H34,JOIN("""",""Static: "",G34),JOIN("""",""Min:  "",G34, CHAR(10),""Max: "",H34)))"),"Min:  2.75
Max: 6")</f>
        <v>Min:  2.75
Max: 6</v>
      </c>
      <c r="G34" s="69">
        <f t="array" ref="G34">_xlfn.XLOOKUP(B34,'Up Min'!A:A,'Up Min'!B:B,)</f>
        <v>2.75</v>
      </c>
      <c r="H34" s="68">
        <f t="array" ref="H34">_xlfn.XLOOKUP(B34,'Up Max'!A:A,'Up Max'!B:B,)</f>
        <v>6</v>
      </c>
      <c r="I34" s="39" t="str">
        <f t="array" ref="I34">_xlfn.XLOOKUP(B34,'Up Stats'!A:A,'Up Stats'!C:C,)</f>
        <v/>
      </c>
      <c r="J34" s="40" t="str">
        <f>IFERROR(__xludf.DUMMYFUNCTION("if(AND(K34=FALSE,L34=FALSE),,if(K34=L34,JOIN("""",""Static: "",K34),JOIN("""",""Min:  "",K34, CHAR(10),""Max: "",L34)))"),"")</f>
        <v/>
      </c>
      <c r="K34" s="74" t="str">
        <f t="array" ref="K34">_xlfn.XLOOKUP(B34,'Up Min'!A:A,'Up Min'!C:C,)</f>
        <v/>
      </c>
      <c r="L34" s="74" t="str">
        <f t="array" ref="L34">_xlfn.XLOOKUP(B34,'Up Max'!A:A,'Up Max'!C:C,)</f>
        <v/>
      </c>
      <c r="M34" s="48" t="str">
        <f t="array" ref="M34">_xlfn.XLOOKUP(B34,'Up Stats'!A:A,'Up Stats'!D:D,)</f>
        <v/>
      </c>
      <c r="N34" s="40" t="str">
        <f>IFERROR(__xludf.DUMMYFUNCTION("if(AND(O34=FALSE,P34=FALSE),,if(O34=P34,JOIN("""",""Static: "",O34),JOIN("""",""Min:  "",O34, CHAR(10),""Max: "",P34)))"),"")</f>
        <v/>
      </c>
      <c r="O34" s="42" t="str">
        <f t="array" ref="O34">_xlfn.XLOOKUP(B34,'Up Min'!A:A,'Up Min'!D:D,)</f>
        <v/>
      </c>
      <c r="P34" s="42" t="str">
        <f t="array" ref="P34">_xlfn.XLOOKUP(B34,'Up Max'!A:A,'Up Max'!D:D,)</f>
        <v/>
      </c>
      <c r="Q34" s="48" t="str">
        <f t="array" ref="Q34">_xlfn.XLOOKUP(B34,'Up Stats'!A:A,'Up Stats'!E:E,)</f>
        <v/>
      </c>
      <c r="R34" s="40" t="str">
        <f>IFERROR(__xludf.DUMMYFUNCTION("if(AND(S34=FALSE,T34=FALSE),,if(S34=T34,JOIN("""",""Static: "",S34),JOIN("""",""Min:  "",S34, CHAR(10),""Max: "",T34)))"),"")</f>
        <v/>
      </c>
      <c r="S34" s="42" t="str">
        <f t="array" ref="S34">_xlfn.XLOOKUP(B34,'Up Min'!A:A,'Up Min'!E:E,)</f>
        <v/>
      </c>
      <c r="T34" s="42" t="str">
        <f t="array" ref="T34">_xlfn.XLOOKUP(B34,'Up Max'!A:A,'Up Max'!E:E,)</f>
        <v/>
      </c>
      <c r="U34" s="48" t="str">
        <f t="array" ref="U34">_xlfn.XLOOKUP(B34,'Up Stats'!A:A,'Up Stats'!F:F,)</f>
        <v/>
      </c>
      <c r="V34" s="40" t="str">
        <f>IFERROR(__xludf.DUMMYFUNCTION("if(AND(W34=FALSE,X34=FALSE),,if(W34=X34,JOIN("""",""Static: "",W34),JOIN("""",""Min:  "",W34, CHAR(10),""Max: "",X34)))"),"")</f>
        <v/>
      </c>
      <c r="W34" s="42" t="str">
        <f t="array" ref="W34">_xlfn.XLOOKUP(B34,'Up Min'!A:A,'Up Min'!F:F,)</f>
        <v/>
      </c>
      <c r="X34" s="42" t="str">
        <f t="array" ref="X34">_xlfn.XLOOKUP(B34,'Up Max'!A:A,'Up Max'!F:F,)</f>
        <v/>
      </c>
      <c r="Y34" s="48" t="str">
        <f t="array" ref="Y34">_xlfn.XLOOKUP(B34,'Up Stats'!A:A,'Up Stats'!G:G,)</f>
        <v/>
      </c>
      <c r="Z34" s="40" t="str">
        <f>IFERROR(__xludf.DUMMYFUNCTION("if(AND(AA34=FALSE,AB34=FALSE),,if(AA34=AB34,JOIN("""",""Static: "",AA34),JOIN("""",""Min:  "",AA34, CHAR(10),""Max: "",AB34)))"),"")</f>
        <v/>
      </c>
      <c r="AA34" s="42" t="str">
        <f t="array" ref="AA34">_xlfn.XLOOKUP(B34,'Up Min'!A:A,'Up Min'!G:G,)</f>
        <v/>
      </c>
      <c r="AB34" s="42" t="str">
        <f t="array" ref="AB34">_xlfn.XLOOKUP(B34,'Up Max'!A:A,'Up Max'!G:G,)</f>
        <v/>
      </c>
      <c r="AC34" s="48" t="str">
        <f t="array" ref="AC34">_xlfn.XLOOKUP(B34,'Up Stats'!A:A,'Up Stats'!H:H,)</f>
        <v/>
      </c>
      <c r="AD34" s="40" t="str">
        <f>IFERROR(__xludf.DUMMYFUNCTION("if(AND(AE34=FALSE,AF34=FALSE),,if(AE34=AF34,JOIN("""",""Static: "",AE34),JOIN("""",""Min:  "",AE34, CHAR(10),""Max: "",AF34)))"),"")</f>
        <v/>
      </c>
      <c r="AE34" s="45" t="str">
        <f t="array" ref="AE34">_xlfn.XLOOKUP(B34,'Up Min'!A:A,'Up Min'!H:H,)</f>
        <v/>
      </c>
      <c r="AF34" s="42" t="str">
        <f t="array" ref="AF34">_xlfn.XLOOKUP(B34,'Up Max'!A:A,'Up Max'!H:H,)</f>
        <v/>
      </c>
      <c r="AG34" s="39" t="str">
        <f t="array" ref="AG34">_xlfn.XLOOKUP(B34,'Up Stats'!A:A,'Up Stats'!I:I,)</f>
        <v/>
      </c>
      <c r="AH34" s="40" t="str">
        <f>IFERROR(__xludf.DUMMYFUNCTION("if(AND(AI34=FALSE,AJ34=FALSE),,if(AI34=AJ34,JOIN("""",""Static: "",AI34),JOIN("""",""Min:  "",AI34, CHAR(10),""Max: "",AJ34)))"),"")</f>
        <v/>
      </c>
      <c r="AI34" s="45" t="str">
        <f t="array" ref="AI34">_xlfn.XLOOKUP(B34,'Up Min'!A:A,'Up Min'!I:I,)</f>
        <v/>
      </c>
      <c r="AJ34" s="45" t="str">
        <f t="array" ref="AJ34">_xlfn.XLOOKUP(B34,'Up Max'!A:A,'Up Max'!I:I,)</f>
        <v/>
      </c>
      <c r="AK34" s="39" t="str">
        <f t="array" ref="AK34">_xlfn.XLOOKUP(B34,'Up Stats'!A:A,'Up Stats'!J:J,)</f>
        <v/>
      </c>
      <c r="AL34" s="40" t="str">
        <f>IFERROR(__xludf.DUMMYFUNCTION("if(AND(AM34=FALSE,AN34=FALSE),,if(AM34=AN34,JOIN("""",""Static: "",AM34),JOIN("""",""Min:  "",AM34, CHAR(10),""Max: "",AN34)))"),"")</f>
        <v/>
      </c>
      <c r="AM34" s="45" t="str">
        <f t="array" ref="AM34">_xlfn.XLOOKUP(B34,'Up Min'!A:A,'Up Min'!J:J,)</f>
        <v/>
      </c>
      <c r="AN34" s="45" t="str">
        <f t="array" ref="AN34">_xlfn.XLOOKUP(B34,'Up Max'!A:A,'Up Max'!J:J,)</f>
        <v/>
      </c>
      <c r="AO34" s="34" t="str">
        <f t="array" ref="AO34">CONCATENATE(_xlfn.XLOOKUP(B34,'Up Cells'!A:A,'Up Cells'!B:B,))</f>
        <v>3</v>
      </c>
      <c r="AP34" s="58" t="str">
        <f t="array" ref="AP34">CONCATENATE(_xlfn.XLOOKUP(B34,'Up Rarity'!A:A,'Up Rarity'!B:B,),CHAR(10),"-")</f>
        <v>Standard
-</v>
      </c>
    </row>
    <row r="35">
      <c r="A35" s="86" t="str">
        <f t="array" ref="A35">_xlfn.XLOOKUP(B35,'Up Icon'!A:A,'Up Icon'!B:B,)</f>
        <v/>
      </c>
      <c r="B35" s="51" t="str">
        <f t="array" ref="B35">HYPERLINK(_xlfn.XLOOKUP('Up Names'!B35,'Up Wiki'!A:A,'Up Wiki'!B:B,),'Up Names'!B35)</f>
        <v/>
      </c>
      <c r="C35" s="52" t="str">
        <f t="array" ref="C35">_xlfn.XLOOKUP(B35,'Up Desc'!A:A,'Up Desc'!B:B,)</f>
        <v/>
      </c>
      <c r="D35" s="52" t="str">
        <f t="array" ref="D35">_xlfn.XLOOKUP(B35,'Up Turbo'!A:A,'Up Turbo'!B:B,)</f>
        <v/>
      </c>
      <c r="E35" s="53" t="str">
        <f t="array" ref="E35">_xlfn.XLOOKUP(B35,'Up Stats'!A:A,'Up Stats'!B:B,)</f>
        <v/>
      </c>
      <c r="F35" s="54" t="str">
        <f>IFERROR(__xludf.DUMMYFUNCTION("if(AND(G35=FALSE,H35=FALSE),,if(G35=H35,JOIN("""",""Static: "",G35),JOIN("""",""Min:  "",G35, CHAR(10),""Max: "",H35)))"),"")</f>
        <v/>
      </c>
      <c r="G35" s="55" t="str">
        <f t="array" ref="G35">_xlfn.XLOOKUP(B35,'Up Min'!A:A,'Up Min'!B:B,)</f>
        <v/>
      </c>
      <c r="H35" s="56" t="str">
        <f t="array" ref="H35">_xlfn.XLOOKUP(B35,'Up Max'!A:A,'Up Max'!B:B,)</f>
        <v/>
      </c>
      <c r="I35" s="53" t="str">
        <f t="array" ref="I35">_xlfn.XLOOKUP(B35,'Up Stats'!A:A,'Up Stats'!C:C,)</f>
        <v/>
      </c>
      <c r="J35" s="54" t="str">
        <f>IFERROR(__xludf.DUMMYFUNCTION("if(AND(K35=FALSE,L35=FALSE),,if(K35=L35,JOIN("""",""Static: "",K35),JOIN("""",""Min:  "",K35, CHAR(10),""Max: "",L35)))"),"")</f>
        <v/>
      </c>
      <c r="K35" s="55" t="str">
        <f t="array" ref="K35">_xlfn.XLOOKUP(B35,'Up Min'!A:A,'Up Min'!C:C,)</f>
        <v/>
      </c>
      <c r="L35" s="55" t="str">
        <f t="array" ref="L35">_xlfn.XLOOKUP(B35,'Up Max'!A:A,'Up Max'!C:C,)</f>
        <v/>
      </c>
      <c r="M35" s="57" t="str">
        <f t="array" ref="M35">_xlfn.XLOOKUP(B35,'Up Stats'!A:A,'Up Stats'!D:D,)</f>
        <v/>
      </c>
      <c r="N35" s="54" t="str">
        <f>IFERROR(__xludf.DUMMYFUNCTION("if(AND(O35=FALSE,P35=FALSE),,if(O35=P35,JOIN("""",""Static: "",O35),JOIN("""",""Min:  "",O35, CHAR(10),""Max: "",P35)))"),"")</f>
        <v/>
      </c>
      <c r="O35" s="55" t="str">
        <f t="array" ref="O35">_xlfn.XLOOKUP(B35,'Up Min'!A:A,'Up Min'!D:D,)</f>
        <v/>
      </c>
      <c r="P35" s="55" t="str">
        <f t="array" ref="P35">_xlfn.XLOOKUP(B35,'Up Max'!A:A,'Up Max'!D:D,)</f>
        <v/>
      </c>
      <c r="Q35" s="57" t="str">
        <f t="array" ref="Q35">_xlfn.XLOOKUP(B35,'Up Stats'!A:A,'Up Stats'!E:E,)</f>
        <v/>
      </c>
      <c r="R35" s="54" t="str">
        <f>IFERROR(__xludf.DUMMYFUNCTION("if(AND(S35=FALSE,T35=FALSE),,if(S35=T35,JOIN("""",""Static: "",S35),JOIN("""",""Min:  "",S35, CHAR(10),""Max: "",T35)))"),"")</f>
        <v/>
      </c>
      <c r="S35" s="55" t="str">
        <f t="array" ref="S35">_xlfn.XLOOKUP(B35,'Up Min'!A:A,'Up Min'!E:E,)</f>
        <v/>
      </c>
      <c r="T35" s="55" t="str">
        <f t="array" ref="T35">_xlfn.XLOOKUP(B35,'Up Max'!A:A,'Up Max'!E:E,)</f>
        <v/>
      </c>
      <c r="U35" s="57" t="str">
        <f t="array" ref="U35">_xlfn.XLOOKUP(B35,'Up Stats'!A:A,'Up Stats'!F:F,)</f>
        <v/>
      </c>
      <c r="V35" s="54" t="str">
        <f>IFERROR(__xludf.DUMMYFUNCTION("if(AND(W35=FALSE,X35=FALSE),,if(W35=X35,JOIN("""",""Static: "",W35),JOIN("""",""Min:  "",W35, CHAR(10),""Max: "",X35)))"),"")</f>
        <v/>
      </c>
      <c r="W35" s="55" t="str">
        <f t="array" ref="W35">_xlfn.XLOOKUP(B35,'Up Min'!A:A,'Up Min'!F:F,)</f>
        <v/>
      </c>
      <c r="X35" s="55" t="str">
        <f t="array" ref="X35">_xlfn.XLOOKUP(B35,'Up Max'!A:A,'Up Max'!F:F,)</f>
        <v/>
      </c>
      <c r="Y35" s="57" t="str">
        <f t="array" ref="Y35">_xlfn.XLOOKUP(B35,'Up Stats'!A:A,'Up Stats'!G:G,)</f>
        <v/>
      </c>
      <c r="Z35" s="54" t="str">
        <f>IFERROR(__xludf.DUMMYFUNCTION("if(AND(AA35=FALSE,AB35=FALSE),,if(AA35=AB35,JOIN("""",""Static: "",AA35),JOIN("""",""Min:  "",AA35, CHAR(10),""Max: "",AB35)))"),"")</f>
        <v/>
      </c>
      <c r="AA35" s="55" t="str">
        <f t="array" ref="AA35">_xlfn.XLOOKUP(B35,'Up Min'!A:A,'Up Min'!G:G,)</f>
        <v/>
      </c>
      <c r="AB35" s="55" t="str">
        <f t="array" ref="AB35">_xlfn.XLOOKUP(B35,'Up Max'!A:A,'Up Max'!G:G,)</f>
        <v/>
      </c>
      <c r="AC35" s="57" t="str">
        <f t="array" ref="AC35">_xlfn.XLOOKUP(B35,'Up Stats'!A:A,'Up Stats'!H:H,)</f>
        <v/>
      </c>
      <c r="AD35" s="54" t="str">
        <f>IFERROR(__xludf.DUMMYFUNCTION("if(AND(AE35=FALSE,AF35=FALSE),,if(AE35=AF35,JOIN("""",""Static: "",AE35),JOIN("""",""Min:  "",AE35, CHAR(10),""Max: "",AF35)))"),"")</f>
        <v/>
      </c>
      <c r="AE35" s="56" t="str">
        <f t="array" ref="AE35">_xlfn.XLOOKUP(B35,'Up Min'!A:A,'Up Min'!H:H,)</f>
        <v/>
      </c>
      <c r="AF35" s="55" t="str">
        <f t="array" ref="AF35">_xlfn.XLOOKUP(B35,'Up Max'!A:A,'Up Max'!H:H,)</f>
        <v/>
      </c>
      <c r="AG35" s="53" t="str">
        <f t="array" ref="AG35">_xlfn.XLOOKUP(B35,'Up Stats'!A:A,'Up Stats'!I:I,)</f>
        <v/>
      </c>
      <c r="AH35" s="54" t="str">
        <f>IFERROR(__xludf.DUMMYFUNCTION("if(AND(AI35=FALSE,AJ35=FALSE),,if(AI35=AJ35,JOIN("""",""Static: "",AI35),JOIN("""",""Min:  "",AI35, CHAR(10),""Max: "",AJ35)))"),"")</f>
        <v/>
      </c>
      <c r="AI35" s="56" t="str">
        <f t="array" ref="AI35">_xlfn.XLOOKUP(B35,'Up Min'!A:A,'Up Min'!I:I,)</f>
        <v/>
      </c>
      <c r="AJ35" s="56" t="str">
        <f t="array" ref="AJ35">_xlfn.XLOOKUP(B35,'Up Max'!A:A,'Up Max'!I:I,)</f>
        <v/>
      </c>
      <c r="AK35" s="53" t="str">
        <f t="array" ref="AK35">_xlfn.XLOOKUP(B35,'Up Stats'!A:A,'Up Stats'!J:J,)</f>
        <v/>
      </c>
      <c r="AL35" s="54" t="str">
        <f>IFERROR(__xludf.DUMMYFUNCTION("if(AND(AM35=FALSE,AN35=FALSE),,if(AM35=AN35,JOIN("""",""Static: "",AM35),JOIN("""",""Min:  "",AM35, CHAR(10),""Max: "",AN35)))"),"")</f>
        <v/>
      </c>
      <c r="AM35" s="56" t="str">
        <f t="array" ref="AM35">_xlfn.XLOOKUP(B35,'Up Min'!A:A,'Up Min'!J:J,)</f>
        <v/>
      </c>
      <c r="AN35" s="56" t="str">
        <f t="array" ref="AN35">_xlfn.XLOOKUP(B35,'Up Max'!A:A,'Up Max'!J:J,)</f>
        <v/>
      </c>
      <c r="AO35" s="51" t="str">
        <f t="array" ref="AO35">CONCATENATE(_xlfn.XLOOKUP(B35,'Up Cells'!A:A,'Up Cells'!B:B,))</f>
        <v/>
      </c>
      <c r="AP35" s="61" t="str">
        <f t="array" ref="AP35">CONCATENATE(_xlfn.XLOOKUP(B35,'Up Rarity'!A:A,'Up Rarity'!B:B,),CHAR(10),"-")</f>
        <v>
-</v>
      </c>
    </row>
    <row r="36">
      <c r="A36" s="87" t="str">
        <f t="array" ref="A36">_xlfn.XLOOKUP(B36,'Up Icon'!A:A,'Up Icon'!B:B,)</f>
        <v/>
      </c>
      <c r="B36" s="34" t="str">
        <f t="array" ref="B36">HYPERLINK(_xlfn.XLOOKUP('Up Names'!B36,'Up Wiki'!A:A,'Up Wiki'!B:B,),'Up Names'!B36)</f>
        <v/>
      </c>
      <c r="C36" s="37" t="str">
        <f t="array" ref="C36">_xlfn.XLOOKUP(B36,'Up Desc'!A:A,'Up Desc'!B:B,)</f>
        <v/>
      </c>
      <c r="D36" s="37" t="str">
        <f t="array" ref="D36">_xlfn.XLOOKUP(B36,'Up Turbo'!A:A,'Up Turbo'!B:B,)</f>
        <v/>
      </c>
      <c r="E36" s="39" t="str">
        <f t="array" ref="E36">_xlfn.XLOOKUP(B36,'Up Stats'!A:A,'Up Stats'!B:B,)</f>
        <v/>
      </c>
      <c r="F36" s="40" t="str">
        <f>IFERROR(__xludf.DUMMYFUNCTION("if(AND(G36=FALSE,H36=FALSE),,if(G36=H36,JOIN("""",""Static: "",G36),JOIN("""",""Min:  "",G36, CHAR(10),""Max: "",H36)))"),"")</f>
        <v/>
      </c>
      <c r="G36" s="42" t="str">
        <f t="array" ref="G36">_xlfn.XLOOKUP(B36,'Up Min'!A:A,'Up Min'!B:B,)</f>
        <v/>
      </c>
      <c r="H36" s="45" t="str">
        <f t="array" ref="H36">_xlfn.XLOOKUP(B36,'Up Max'!A:A,'Up Max'!B:B,)</f>
        <v/>
      </c>
      <c r="I36" s="39" t="str">
        <f t="array" ref="I36">_xlfn.XLOOKUP(B36,'Up Stats'!A:A,'Up Stats'!C:C,)</f>
        <v/>
      </c>
      <c r="J36" s="40" t="str">
        <f>IFERROR(__xludf.DUMMYFUNCTION("if(AND(K36=FALSE,L36=FALSE),,if(K36=L36,JOIN("""",""Static: "",K36),JOIN("""",""Min:  "",K36, CHAR(10),""Max: "",L36)))"),"")</f>
        <v/>
      </c>
      <c r="K36" s="42" t="str">
        <f t="array" ref="K36">_xlfn.XLOOKUP(B36,'Up Min'!A:A,'Up Min'!C:C,)</f>
        <v/>
      </c>
      <c r="L36" s="42" t="str">
        <f t="array" ref="L36">_xlfn.XLOOKUP(B36,'Up Max'!A:A,'Up Max'!C:C,)</f>
        <v/>
      </c>
      <c r="M36" s="48" t="str">
        <f t="array" ref="M36">_xlfn.XLOOKUP(B36,'Up Stats'!A:A,'Up Stats'!D:D,)</f>
        <v/>
      </c>
      <c r="N36" s="40" t="str">
        <f>IFERROR(__xludf.DUMMYFUNCTION("if(AND(O36=FALSE,P36=FALSE),,if(O36=P36,JOIN("""",""Static: "",O36),JOIN("""",""Min:  "",O36, CHAR(10),""Max: "",P36)))"),"")</f>
        <v/>
      </c>
      <c r="O36" s="42" t="str">
        <f t="array" ref="O36">_xlfn.XLOOKUP(B36,'Up Min'!A:A,'Up Min'!D:D,)</f>
        <v/>
      </c>
      <c r="P36" s="42" t="str">
        <f t="array" ref="P36">_xlfn.XLOOKUP(B36,'Up Max'!A:A,'Up Max'!D:D,)</f>
        <v/>
      </c>
      <c r="Q36" s="48" t="str">
        <f t="array" ref="Q36">_xlfn.XLOOKUP(B36,'Up Stats'!A:A,'Up Stats'!E:E,)</f>
        <v/>
      </c>
      <c r="R36" s="40" t="str">
        <f>IFERROR(__xludf.DUMMYFUNCTION("if(AND(S36=FALSE,T36=FALSE),,if(S36=T36,JOIN("""",""Static: "",S36),JOIN("""",""Min:  "",S36, CHAR(10),""Max: "",T36)))"),"")</f>
        <v/>
      </c>
      <c r="S36" s="42" t="str">
        <f t="array" ref="S36">_xlfn.XLOOKUP(B36,'Up Min'!A:A,'Up Min'!E:E,)</f>
        <v/>
      </c>
      <c r="T36" s="42" t="str">
        <f t="array" ref="T36">_xlfn.XLOOKUP(B36,'Up Max'!A:A,'Up Max'!E:E,)</f>
        <v/>
      </c>
      <c r="U36" s="48" t="str">
        <f t="array" ref="U36">_xlfn.XLOOKUP(B36,'Up Stats'!A:A,'Up Stats'!F:F,)</f>
        <v/>
      </c>
      <c r="V36" s="40" t="str">
        <f>IFERROR(__xludf.DUMMYFUNCTION("if(AND(W36=FALSE,X36=FALSE),,if(W36=X36,JOIN("""",""Static: "",W36),JOIN("""",""Min:  "",W36, CHAR(10),""Max: "",X36)))"),"")</f>
        <v/>
      </c>
      <c r="W36" s="42" t="str">
        <f t="array" ref="W36">_xlfn.XLOOKUP(B36,'Up Min'!A:A,'Up Min'!F:F,)</f>
        <v/>
      </c>
      <c r="X36" s="42" t="str">
        <f t="array" ref="X36">_xlfn.XLOOKUP(B36,'Up Max'!A:A,'Up Max'!F:F,)</f>
        <v/>
      </c>
      <c r="Y36" s="48" t="str">
        <f t="array" ref="Y36">_xlfn.XLOOKUP(B36,'Up Stats'!A:A,'Up Stats'!G:G,)</f>
        <v/>
      </c>
      <c r="Z36" s="40" t="str">
        <f>IFERROR(__xludf.DUMMYFUNCTION("if(AND(AA36=FALSE,AB36=FALSE),,if(AA36=AB36,JOIN("""",""Static: "",AA36),JOIN("""",""Min:  "",AA36, CHAR(10),""Max: "",AB36)))"),"")</f>
        <v/>
      </c>
      <c r="AA36" s="42" t="str">
        <f t="array" ref="AA36">_xlfn.XLOOKUP(B36,'Up Min'!A:A,'Up Min'!G:G,)</f>
        <v/>
      </c>
      <c r="AB36" s="42" t="str">
        <f t="array" ref="AB36">_xlfn.XLOOKUP(B36,'Up Max'!A:A,'Up Max'!G:G,)</f>
        <v/>
      </c>
      <c r="AC36" s="48" t="str">
        <f t="array" ref="AC36">_xlfn.XLOOKUP(B36,'Up Stats'!A:A,'Up Stats'!H:H,)</f>
        <v/>
      </c>
      <c r="AD36" s="40" t="str">
        <f>IFERROR(__xludf.DUMMYFUNCTION("if(AND(AE36=FALSE,AF36=FALSE),,if(AE36=AF36,JOIN("""",""Static: "",AE36),JOIN("""",""Min:  "",AE36, CHAR(10),""Max: "",AF36)))"),"")</f>
        <v/>
      </c>
      <c r="AE36" s="45" t="str">
        <f t="array" ref="AE36">_xlfn.XLOOKUP(B36,'Up Min'!A:A,'Up Min'!H:H,)</f>
        <v/>
      </c>
      <c r="AF36" s="42" t="str">
        <f t="array" ref="AF36">_xlfn.XLOOKUP(B36,'Up Max'!A:A,'Up Max'!H:H,)</f>
        <v/>
      </c>
      <c r="AG36" s="39" t="str">
        <f t="array" ref="AG36">_xlfn.XLOOKUP(B36,'Up Stats'!A:A,'Up Stats'!I:I,)</f>
        <v/>
      </c>
      <c r="AH36" s="40" t="str">
        <f>IFERROR(__xludf.DUMMYFUNCTION("if(AND(AI36=FALSE,AJ36=FALSE),,if(AI36=AJ36,JOIN("""",""Static: "",AI36),JOIN("""",""Min:  "",AI36, CHAR(10),""Max: "",AJ36)))"),"")</f>
        <v/>
      </c>
      <c r="AI36" s="45" t="str">
        <f t="array" ref="AI36">_xlfn.XLOOKUP(B36,'Up Min'!A:A,'Up Min'!I:I,)</f>
        <v/>
      </c>
      <c r="AJ36" s="45" t="str">
        <f t="array" ref="AJ36">_xlfn.XLOOKUP(B36,'Up Max'!A:A,'Up Max'!I:I,)</f>
        <v/>
      </c>
      <c r="AK36" s="39" t="str">
        <f t="array" ref="AK36">_xlfn.XLOOKUP(B36,'Up Stats'!A:A,'Up Stats'!J:J,)</f>
        <v/>
      </c>
      <c r="AL36" s="40" t="str">
        <f>IFERROR(__xludf.DUMMYFUNCTION("if(AND(AM36=FALSE,AN36=FALSE),,if(AM36=AN36,JOIN("""",""Static: "",AM36),JOIN("""",""Min:  "",AM36, CHAR(10),""Max: "",AN36)))"),"")</f>
        <v/>
      </c>
      <c r="AM36" s="45" t="str">
        <f t="array" ref="AM36">_xlfn.XLOOKUP(B36,'Up Min'!A:A,'Up Min'!J:J,)</f>
        <v/>
      </c>
      <c r="AN36" s="45" t="str">
        <f t="array" ref="AN36">_xlfn.XLOOKUP(B36,'Up Max'!A:A,'Up Max'!J:J,)</f>
        <v/>
      </c>
      <c r="AO36" s="34" t="str">
        <f t="array" ref="AO36">CONCATENATE(_xlfn.XLOOKUP(B36,'Up Cells'!A:A,'Up Cells'!B:B,))</f>
        <v/>
      </c>
      <c r="AP36" s="58" t="str">
        <f t="array" ref="AP36">CONCATENATE(_xlfn.XLOOKUP(B36,'Up Rarity'!A:A,'Up Rarity'!B:B,),CHAR(10),"-")</f>
        <v>
-</v>
      </c>
    </row>
    <row r="37">
      <c r="A37" s="86" t="str">
        <f t="array" ref="A37">_xlfn.XLOOKUP(B37,'Up Icon'!A:A,'Up Icon'!B:B,)</f>
        <v/>
      </c>
      <c r="B37" s="51" t="str">
        <f t="array" ref="B37">HYPERLINK(_xlfn.XLOOKUP('Up Names'!B37,'Up Wiki'!A:A,'Up Wiki'!B:B,),'Up Names'!B37)</f>
        <v/>
      </c>
      <c r="C37" s="52" t="str">
        <f t="array" ref="C37">_xlfn.XLOOKUP(B37,'Up Desc'!A:A,'Up Desc'!B:B,)</f>
        <v/>
      </c>
      <c r="D37" s="52" t="str">
        <f t="array" ref="D37">_xlfn.XLOOKUP(B37,'Up Turbo'!A:A,'Up Turbo'!B:B,)</f>
        <v/>
      </c>
      <c r="E37" s="53" t="str">
        <f t="array" ref="E37">_xlfn.XLOOKUP(B37,'Up Stats'!A:A,'Up Stats'!B:B,)</f>
        <v/>
      </c>
      <c r="F37" s="54" t="str">
        <f>IFERROR(__xludf.DUMMYFUNCTION("if(AND(G37=FALSE,H37=FALSE),,if(G37=H37,JOIN("""",""Static: "",G37),JOIN("""",""Min:  "",G37, CHAR(10),""Max: "",H37)))"),"")</f>
        <v/>
      </c>
      <c r="G37" s="55" t="str">
        <f t="array" ref="G37">_xlfn.XLOOKUP(B37,'Up Min'!A:A,'Up Min'!B:B,)</f>
        <v/>
      </c>
      <c r="H37" s="56" t="str">
        <f t="array" ref="H37">_xlfn.XLOOKUP(B37,'Up Max'!A:A,'Up Max'!B:B,)</f>
        <v/>
      </c>
      <c r="I37" s="53" t="str">
        <f t="array" ref="I37">_xlfn.XLOOKUP(B37,'Up Stats'!A:A,'Up Stats'!C:C,)</f>
        <v/>
      </c>
      <c r="J37" s="54" t="str">
        <f>IFERROR(__xludf.DUMMYFUNCTION("if(AND(K37=FALSE,L37=FALSE),,if(K37=L37,JOIN("""",""Static: "",K37),JOIN("""",""Min:  "",K37, CHAR(10),""Max: "",L37)))"),"")</f>
        <v/>
      </c>
      <c r="K37" s="55" t="str">
        <f t="array" ref="K37">_xlfn.XLOOKUP(B37,'Up Min'!A:A,'Up Min'!C:C,)</f>
        <v/>
      </c>
      <c r="L37" s="55" t="str">
        <f t="array" ref="L37">_xlfn.XLOOKUP(B37,'Up Max'!A:A,'Up Max'!C:C,)</f>
        <v/>
      </c>
      <c r="M37" s="57" t="str">
        <f t="array" ref="M37">_xlfn.XLOOKUP(B37,'Up Stats'!A:A,'Up Stats'!D:D,)</f>
        <v/>
      </c>
      <c r="N37" s="54" t="str">
        <f>IFERROR(__xludf.DUMMYFUNCTION("if(AND(O37=FALSE,P37=FALSE),,if(O37=P37,JOIN("""",""Static: "",O37),JOIN("""",""Min:  "",O37, CHAR(10),""Max: "",P37)))"),"")</f>
        <v/>
      </c>
      <c r="O37" s="55" t="str">
        <f t="array" ref="O37">_xlfn.XLOOKUP(B37,'Up Min'!A:A,'Up Min'!D:D,)</f>
        <v/>
      </c>
      <c r="P37" s="55" t="str">
        <f t="array" ref="P37">_xlfn.XLOOKUP(B37,'Up Max'!A:A,'Up Max'!D:D,)</f>
        <v/>
      </c>
      <c r="Q37" s="57" t="str">
        <f t="array" ref="Q37">_xlfn.XLOOKUP(B37,'Up Stats'!A:A,'Up Stats'!E:E,)</f>
        <v/>
      </c>
      <c r="R37" s="54" t="str">
        <f>IFERROR(__xludf.DUMMYFUNCTION("if(AND(S37=FALSE,T37=FALSE),,if(S37=T37,JOIN("""",""Static: "",S37),JOIN("""",""Min:  "",S37, CHAR(10),""Max: "",T37)))"),"")</f>
        <v/>
      </c>
      <c r="S37" s="55" t="str">
        <f t="array" ref="S37">_xlfn.XLOOKUP(B37,'Up Min'!A:A,'Up Min'!E:E,)</f>
        <v/>
      </c>
      <c r="T37" s="55" t="str">
        <f t="array" ref="T37">_xlfn.XLOOKUP(B37,'Up Max'!A:A,'Up Max'!E:E,)</f>
        <v/>
      </c>
      <c r="U37" s="57" t="str">
        <f t="array" ref="U37">_xlfn.XLOOKUP(B37,'Up Stats'!A:A,'Up Stats'!F:F,)</f>
        <v/>
      </c>
      <c r="V37" s="54" t="str">
        <f>IFERROR(__xludf.DUMMYFUNCTION("if(AND(W37=FALSE,X37=FALSE),,if(W37=X37,JOIN("""",""Static: "",W37),JOIN("""",""Min:  "",W37, CHAR(10),""Max: "",X37)))"),"")</f>
        <v/>
      </c>
      <c r="W37" s="55" t="str">
        <f t="array" ref="W37">_xlfn.XLOOKUP(B37,'Up Min'!A:A,'Up Min'!F:F,)</f>
        <v/>
      </c>
      <c r="X37" s="55" t="str">
        <f t="array" ref="X37">_xlfn.XLOOKUP(B37,'Up Max'!A:A,'Up Max'!F:F,)</f>
        <v/>
      </c>
      <c r="Y37" s="57" t="str">
        <f t="array" ref="Y37">_xlfn.XLOOKUP(B37,'Up Stats'!A:A,'Up Stats'!G:G,)</f>
        <v/>
      </c>
      <c r="Z37" s="54" t="str">
        <f>IFERROR(__xludf.DUMMYFUNCTION("if(AND(AA37=FALSE,AB37=FALSE),,if(AA37=AB37,JOIN("""",""Static: "",AA37),JOIN("""",""Min:  "",AA37, CHAR(10),""Max: "",AB37)))"),"")</f>
        <v/>
      </c>
      <c r="AA37" s="55" t="str">
        <f t="array" ref="AA37">_xlfn.XLOOKUP(B37,'Up Min'!A:A,'Up Min'!G:G,)</f>
        <v/>
      </c>
      <c r="AB37" s="55" t="str">
        <f t="array" ref="AB37">_xlfn.XLOOKUP(B37,'Up Max'!A:A,'Up Max'!G:G,)</f>
        <v/>
      </c>
      <c r="AC37" s="57" t="str">
        <f t="array" ref="AC37">_xlfn.XLOOKUP(B37,'Up Stats'!A:A,'Up Stats'!H:H,)</f>
        <v/>
      </c>
      <c r="AD37" s="54" t="str">
        <f>IFERROR(__xludf.DUMMYFUNCTION("if(AND(AE37=FALSE,AF37=FALSE),,if(AE37=AF37,JOIN("""",""Static: "",AE37),JOIN("""",""Min:  "",AE37, CHAR(10),""Max: "",AF37)))"),"")</f>
        <v/>
      </c>
      <c r="AE37" s="56" t="str">
        <f t="array" ref="AE37">_xlfn.XLOOKUP(B37,'Up Min'!A:A,'Up Min'!H:H,)</f>
        <v/>
      </c>
      <c r="AF37" s="55" t="str">
        <f t="array" ref="AF37">_xlfn.XLOOKUP(B37,'Up Max'!A:A,'Up Max'!H:H,)</f>
        <v/>
      </c>
      <c r="AG37" s="53" t="str">
        <f t="array" ref="AG37">_xlfn.XLOOKUP(B37,'Up Stats'!A:A,'Up Stats'!I:I,)</f>
        <v/>
      </c>
      <c r="AH37" s="54" t="str">
        <f>IFERROR(__xludf.DUMMYFUNCTION("if(AND(AI37=FALSE,AJ37=FALSE),,if(AI37=AJ37,JOIN("""",""Static: "",AI37),JOIN("""",""Min:  "",AI37, CHAR(10),""Max: "",AJ37)))"),"")</f>
        <v/>
      </c>
      <c r="AI37" s="56" t="str">
        <f t="array" ref="AI37">_xlfn.XLOOKUP(B37,'Up Min'!A:A,'Up Min'!I:I,)</f>
        <v/>
      </c>
      <c r="AJ37" s="56" t="str">
        <f t="array" ref="AJ37">_xlfn.XLOOKUP(B37,'Up Max'!A:A,'Up Max'!I:I,)</f>
        <v/>
      </c>
      <c r="AK37" s="53" t="str">
        <f t="array" ref="AK37">_xlfn.XLOOKUP(B37,'Up Stats'!A:A,'Up Stats'!J:J,)</f>
        <v/>
      </c>
      <c r="AL37" s="54" t="str">
        <f>IFERROR(__xludf.DUMMYFUNCTION("if(AND(AM37=FALSE,AN37=FALSE),,if(AM37=AN37,JOIN("""",""Static: "",AM37),JOIN("""",""Min:  "",AM37, CHAR(10),""Max: "",AN37)))"),"")</f>
        <v/>
      </c>
      <c r="AM37" s="56" t="str">
        <f t="array" ref="AM37">_xlfn.XLOOKUP(B37,'Up Min'!A:A,'Up Min'!J:J,)</f>
        <v/>
      </c>
      <c r="AN37" s="56" t="str">
        <f t="array" ref="AN37">_xlfn.XLOOKUP(B37,'Up Max'!A:A,'Up Max'!J:J,)</f>
        <v/>
      </c>
      <c r="AO37" s="51" t="str">
        <f t="array" ref="AO37">CONCATENATE(_xlfn.XLOOKUP(B37,'Up Cells'!A:A,'Up Cells'!B:B,))</f>
        <v/>
      </c>
      <c r="AP37" s="61" t="str">
        <f t="array" ref="AP37">CONCATENATE(_xlfn.XLOOKUP(B37,'Up Rarity'!A:A,'Up Rarity'!B:B,),CHAR(10),"-")</f>
        <v>
-</v>
      </c>
    </row>
    <row r="38">
      <c r="A38" s="87" t="str">
        <f t="array" ref="A38">_xlfn.XLOOKUP(B38,'Up Icon'!A:A,'Up Icon'!B:B,)</f>
        <v/>
      </c>
      <c r="B38" s="34" t="str">
        <f t="array" ref="B38">HYPERLINK(_xlfn.XLOOKUP('Up Names'!B38,'Up Wiki'!A:A,'Up Wiki'!B:B,),'Up Names'!B38)</f>
        <v/>
      </c>
      <c r="C38" s="37" t="str">
        <f t="array" ref="C38">_xlfn.XLOOKUP(B38,'Up Desc'!A:A,'Up Desc'!B:B,)</f>
        <v/>
      </c>
      <c r="D38" s="37" t="str">
        <f t="array" ref="D38">_xlfn.XLOOKUP(B38,'Up Turbo'!A:A,'Up Turbo'!B:B,)</f>
        <v/>
      </c>
      <c r="E38" s="39" t="str">
        <f t="array" ref="E38">_xlfn.XLOOKUP(B38,'Up Stats'!A:A,'Up Stats'!B:B,)</f>
        <v/>
      </c>
      <c r="F38" s="40" t="str">
        <f>IFERROR(__xludf.DUMMYFUNCTION("if(AND(G38=FALSE,H38=FALSE),,if(G38=H38,JOIN("""",""Static: "",G38),JOIN("""",""Min:  "",G38, CHAR(10),""Max: "",H38)))"),"")</f>
        <v/>
      </c>
      <c r="G38" s="42" t="str">
        <f t="array" ref="G38">_xlfn.XLOOKUP(B38,'Up Min'!A:A,'Up Min'!B:B,)</f>
        <v/>
      </c>
      <c r="H38" s="45" t="str">
        <f t="array" ref="H38">_xlfn.XLOOKUP(B38,'Up Max'!A:A,'Up Max'!B:B,)</f>
        <v/>
      </c>
      <c r="I38" s="39" t="str">
        <f t="array" ref="I38">_xlfn.XLOOKUP(B38,'Up Stats'!A:A,'Up Stats'!C:C,)</f>
        <v/>
      </c>
      <c r="J38" s="40" t="str">
        <f>IFERROR(__xludf.DUMMYFUNCTION("if(AND(K38=FALSE,L38=FALSE),,if(K38=L38,JOIN("""",""Static: "",K38),JOIN("""",""Min:  "",K38, CHAR(10),""Max: "",L38)))"),"")</f>
        <v/>
      </c>
      <c r="K38" s="42" t="str">
        <f t="array" ref="K38">_xlfn.XLOOKUP(B38,'Up Min'!A:A,'Up Min'!C:C,)</f>
        <v/>
      </c>
      <c r="L38" s="42" t="str">
        <f t="array" ref="L38">_xlfn.XLOOKUP(B38,'Up Max'!A:A,'Up Max'!C:C,)</f>
        <v/>
      </c>
      <c r="M38" s="48" t="str">
        <f t="array" ref="M38">_xlfn.XLOOKUP(B38,'Up Stats'!A:A,'Up Stats'!D:D,)</f>
        <v/>
      </c>
      <c r="N38" s="40" t="str">
        <f>IFERROR(__xludf.DUMMYFUNCTION("if(AND(O38=FALSE,P38=FALSE),,if(O38=P38,JOIN("""",""Static: "",O38),JOIN("""",""Min:  "",O38, CHAR(10),""Max: "",P38)))"),"")</f>
        <v/>
      </c>
      <c r="O38" s="42" t="str">
        <f t="array" ref="O38">_xlfn.XLOOKUP(B38,'Up Min'!A:A,'Up Min'!D:D,)</f>
        <v/>
      </c>
      <c r="P38" s="42" t="str">
        <f t="array" ref="P38">_xlfn.XLOOKUP(B38,'Up Max'!A:A,'Up Max'!D:D,)</f>
        <v/>
      </c>
      <c r="Q38" s="48" t="str">
        <f t="array" ref="Q38">_xlfn.XLOOKUP(B38,'Up Stats'!A:A,'Up Stats'!E:E,)</f>
        <v/>
      </c>
      <c r="R38" s="40" t="str">
        <f>IFERROR(__xludf.DUMMYFUNCTION("if(AND(S38=FALSE,T38=FALSE),,if(S38=T38,JOIN("""",""Static: "",S38),JOIN("""",""Min:  "",S38, CHAR(10),""Max: "",T38)))"),"")</f>
        <v/>
      </c>
      <c r="S38" s="42" t="str">
        <f t="array" ref="S38">_xlfn.XLOOKUP(B38,'Up Min'!A:A,'Up Min'!E:E,)</f>
        <v/>
      </c>
      <c r="T38" s="42" t="str">
        <f t="array" ref="T38">_xlfn.XLOOKUP(B38,'Up Max'!A:A,'Up Max'!E:E,)</f>
        <v/>
      </c>
      <c r="U38" s="48" t="str">
        <f t="array" ref="U38">_xlfn.XLOOKUP(B38,'Up Stats'!A:A,'Up Stats'!F:F,)</f>
        <v/>
      </c>
      <c r="V38" s="40" t="str">
        <f>IFERROR(__xludf.DUMMYFUNCTION("if(AND(W38=FALSE,X38=FALSE),,if(W38=X38,JOIN("""",""Static: "",W38),JOIN("""",""Min:  "",W38, CHAR(10),""Max: "",X38)))"),"")</f>
        <v/>
      </c>
      <c r="W38" s="42" t="str">
        <f t="array" ref="W38">_xlfn.XLOOKUP(B38,'Up Min'!A:A,'Up Min'!F:F,)</f>
        <v/>
      </c>
      <c r="X38" s="42" t="str">
        <f t="array" ref="X38">_xlfn.XLOOKUP(B38,'Up Max'!A:A,'Up Max'!F:F,)</f>
        <v/>
      </c>
      <c r="Y38" s="48" t="str">
        <f t="array" ref="Y38">_xlfn.XLOOKUP(B38,'Up Stats'!A:A,'Up Stats'!G:G,)</f>
        <v/>
      </c>
      <c r="Z38" s="40" t="str">
        <f>IFERROR(__xludf.DUMMYFUNCTION("if(AND(AA38=FALSE,AB38=FALSE),,if(AA38=AB38,JOIN("""",""Static: "",AA38),JOIN("""",""Min:  "",AA38, CHAR(10),""Max: "",AB38)))"),"")</f>
        <v/>
      </c>
      <c r="AA38" s="42" t="str">
        <f t="array" ref="AA38">_xlfn.XLOOKUP(B38,'Up Min'!A:A,'Up Min'!G:G,)</f>
        <v/>
      </c>
      <c r="AB38" s="42" t="str">
        <f t="array" ref="AB38">_xlfn.XLOOKUP(B38,'Up Max'!A:A,'Up Max'!G:G,)</f>
        <v/>
      </c>
      <c r="AC38" s="48" t="str">
        <f t="array" ref="AC38">_xlfn.XLOOKUP(B38,'Up Stats'!A:A,'Up Stats'!H:H,)</f>
        <v/>
      </c>
      <c r="AD38" s="40" t="str">
        <f>IFERROR(__xludf.DUMMYFUNCTION("if(AND(AE38=FALSE,AF38=FALSE),,if(AE38=AF38,JOIN("""",""Static: "",AE38),JOIN("""",""Min:  "",AE38, CHAR(10),""Max: "",AF38)))"),"")</f>
        <v/>
      </c>
      <c r="AE38" s="45" t="str">
        <f t="array" ref="AE38">_xlfn.XLOOKUP(B38,'Up Min'!A:A,'Up Min'!H:H,)</f>
        <v/>
      </c>
      <c r="AF38" s="42" t="str">
        <f t="array" ref="AF38">_xlfn.XLOOKUP(B38,'Up Max'!A:A,'Up Max'!H:H,)</f>
        <v/>
      </c>
      <c r="AG38" s="39" t="str">
        <f t="array" ref="AG38">_xlfn.XLOOKUP(B38,'Up Stats'!A:A,'Up Stats'!I:I,)</f>
        <v/>
      </c>
      <c r="AH38" s="40" t="str">
        <f>IFERROR(__xludf.DUMMYFUNCTION("if(AND(AI38=FALSE,AJ38=FALSE),,if(AI38=AJ38,JOIN("""",""Static: "",AI38),JOIN("""",""Min:  "",AI38, CHAR(10),""Max: "",AJ38)))"),"")</f>
        <v/>
      </c>
      <c r="AI38" s="45" t="str">
        <f t="array" ref="AI38">_xlfn.XLOOKUP(B38,'Up Min'!A:A,'Up Min'!I:I,)</f>
        <v/>
      </c>
      <c r="AJ38" s="45" t="str">
        <f t="array" ref="AJ38">_xlfn.XLOOKUP(B38,'Up Max'!A:A,'Up Max'!I:I,)</f>
        <v/>
      </c>
      <c r="AK38" s="39" t="str">
        <f t="array" ref="AK38">_xlfn.XLOOKUP(B38,'Up Stats'!A:A,'Up Stats'!J:J,)</f>
        <v/>
      </c>
      <c r="AL38" s="40" t="str">
        <f>IFERROR(__xludf.DUMMYFUNCTION("if(AND(AM38=FALSE,AN38=FALSE),,if(AM38=AN38,JOIN("""",""Static: "",AM38),JOIN("""",""Min:  "",AM38, CHAR(10),""Max: "",AN38)))"),"")</f>
        <v/>
      </c>
      <c r="AM38" s="45" t="str">
        <f t="array" ref="AM38">_xlfn.XLOOKUP(B38,'Up Min'!A:A,'Up Min'!J:J,)</f>
        <v/>
      </c>
      <c r="AN38" s="45" t="str">
        <f t="array" ref="AN38">_xlfn.XLOOKUP(B38,'Up Max'!A:A,'Up Max'!J:J,)</f>
        <v/>
      </c>
      <c r="AO38" s="34" t="str">
        <f t="array" ref="AO38">CONCATENATE(_xlfn.XLOOKUP(B38,'Up Cells'!A:A,'Up Cells'!B:B,))</f>
        <v/>
      </c>
      <c r="AP38" s="58" t="str">
        <f t="array" ref="AP38">CONCATENATE(_xlfn.XLOOKUP(B38,'Up Rarity'!A:A,'Up Rarity'!B:B,),CHAR(10),"-")</f>
        <v>
-</v>
      </c>
    </row>
    <row r="39">
      <c r="A39" s="86" t="str">
        <f t="array" ref="A39">_xlfn.XLOOKUP(B39,'Up Icon'!A:A,'Up Icon'!B:B,)</f>
        <v/>
      </c>
      <c r="B39" s="51" t="str">
        <f t="array" ref="B39">HYPERLINK(_xlfn.XLOOKUP('Up Names'!B39,'Up Wiki'!A:A,'Up Wiki'!B:B,),'Up Names'!B39)</f>
        <v/>
      </c>
      <c r="C39" s="52" t="str">
        <f t="array" ref="C39">_xlfn.XLOOKUP(B39,'Up Desc'!A:A,'Up Desc'!B:B,)</f>
        <v/>
      </c>
      <c r="D39" s="52" t="str">
        <f t="array" ref="D39">_xlfn.XLOOKUP(B39,'Up Turbo'!A:A,'Up Turbo'!B:B,)</f>
        <v/>
      </c>
      <c r="E39" s="53" t="str">
        <f t="array" ref="E39">_xlfn.XLOOKUP(B39,'Up Stats'!A:A,'Up Stats'!B:B,)</f>
        <v/>
      </c>
      <c r="F39" s="54" t="str">
        <f>IFERROR(__xludf.DUMMYFUNCTION("if(AND(G39=FALSE,H39=FALSE),,if(G39=H39,JOIN("""",""Static: "",G39),JOIN("""",""Min:  "",G39, CHAR(10),""Max: "",H39)))"),"")</f>
        <v/>
      </c>
      <c r="G39" s="55" t="str">
        <f t="array" ref="G39">_xlfn.XLOOKUP(B39,'Up Min'!A:A,'Up Min'!B:B,)</f>
        <v/>
      </c>
      <c r="H39" s="56" t="str">
        <f t="array" ref="H39">_xlfn.XLOOKUP(B39,'Up Max'!A:A,'Up Max'!B:B,)</f>
        <v/>
      </c>
      <c r="I39" s="53" t="str">
        <f t="array" ref="I39">_xlfn.XLOOKUP(B39,'Up Stats'!A:A,'Up Stats'!C:C,)</f>
        <v/>
      </c>
      <c r="J39" s="54" t="str">
        <f>IFERROR(__xludf.DUMMYFUNCTION("if(AND(K39=FALSE,L39=FALSE),,if(K39=L39,JOIN("""",""Static: "",K39),JOIN("""",""Min:  "",K39, CHAR(10),""Max: "",L39)))"),"")</f>
        <v/>
      </c>
      <c r="K39" s="55" t="str">
        <f t="array" ref="K39">_xlfn.XLOOKUP(B39,'Up Min'!A:A,'Up Min'!C:C,)</f>
        <v/>
      </c>
      <c r="L39" s="55" t="str">
        <f t="array" ref="L39">_xlfn.XLOOKUP(B39,'Up Max'!A:A,'Up Max'!C:C,)</f>
        <v/>
      </c>
      <c r="M39" s="57" t="str">
        <f t="array" ref="M39">_xlfn.XLOOKUP(B39,'Up Stats'!A:A,'Up Stats'!D:D,)</f>
        <v/>
      </c>
      <c r="N39" s="54" t="str">
        <f>IFERROR(__xludf.DUMMYFUNCTION("if(AND(O39=FALSE,P39=FALSE),,if(O39=P39,JOIN("""",""Static: "",O39),JOIN("""",""Min:  "",O39, CHAR(10),""Max: "",P39)))"),"")</f>
        <v/>
      </c>
      <c r="O39" s="55" t="str">
        <f t="array" ref="O39">_xlfn.XLOOKUP(B39,'Up Min'!A:A,'Up Min'!D:D,)</f>
        <v/>
      </c>
      <c r="P39" s="55" t="str">
        <f t="array" ref="P39">_xlfn.XLOOKUP(B39,'Up Max'!A:A,'Up Max'!D:D,)</f>
        <v/>
      </c>
      <c r="Q39" s="57" t="str">
        <f t="array" ref="Q39">_xlfn.XLOOKUP(B39,'Up Stats'!A:A,'Up Stats'!E:E,)</f>
        <v/>
      </c>
      <c r="R39" s="54" t="str">
        <f>IFERROR(__xludf.DUMMYFUNCTION("if(AND(S39=FALSE,T39=FALSE),,if(S39=T39,JOIN("""",""Static: "",S39),JOIN("""",""Min:  "",S39, CHAR(10),""Max: "",T39)))"),"")</f>
        <v/>
      </c>
      <c r="S39" s="55" t="str">
        <f t="array" ref="S39">_xlfn.XLOOKUP(B39,'Up Min'!A:A,'Up Min'!E:E,)</f>
        <v/>
      </c>
      <c r="T39" s="55" t="str">
        <f t="array" ref="T39">_xlfn.XLOOKUP(B39,'Up Max'!A:A,'Up Max'!E:E,)</f>
        <v/>
      </c>
      <c r="U39" s="57" t="str">
        <f t="array" ref="U39">_xlfn.XLOOKUP(B39,'Up Stats'!A:A,'Up Stats'!F:F,)</f>
        <v/>
      </c>
      <c r="V39" s="54" t="str">
        <f>IFERROR(__xludf.DUMMYFUNCTION("if(AND(W39=FALSE,X39=FALSE),,if(W39=X39,JOIN("""",""Static: "",W39),JOIN("""",""Min:  "",W39, CHAR(10),""Max: "",X39)))"),"")</f>
        <v/>
      </c>
      <c r="W39" s="55" t="str">
        <f t="array" ref="W39">_xlfn.XLOOKUP(B39,'Up Min'!A:A,'Up Min'!F:F,)</f>
        <v/>
      </c>
      <c r="X39" s="55" t="str">
        <f t="array" ref="X39">_xlfn.XLOOKUP(B39,'Up Max'!A:A,'Up Max'!F:F,)</f>
        <v/>
      </c>
      <c r="Y39" s="57" t="str">
        <f t="array" ref="Y39">_xlfn.XLOOKUP(B39,'Up Stats'!A:A,'Up Stats'!G:G,)</f>
        <v/>
      </c>
      <c r="Z39" s="54" t="str">
        <f>IFERROR(__xludf.DUMMYFUNCTION("if(AND(AA39=FALSE,AB39=FALSE),,if(AA39=AB39,JOIN("""",""Static: "",AA39),JOIN("""",""Min:  "",AA39, CHAR(10),""Max: "",AB39)))"),"")</f>
        <v/>
      </c>
      <c r="AA39" s="55" t="str">
        <f t="array" ref="AA39">_xlfn.XLOOKUP(B39,'Up Min'!A:A,'Up Min'!G:G,)</f>
        <v/>
      </c>
      <c r="AB39" s="55" t="str">
        <f t="array" ref="AB39">_xlfn.XLOOKUP(B39,'Up Max'!A:A,'Up Max'!G:G,)</f>
        <v/>
      </c>
      <c r="AC39" s="57" t="str">
        <f t="array" ref="AC39">_xlfn.XLOOKUP(B39,'Up Stats'!A:A,'Up Stats'!H:H,)</f>
        <v/>
      </c>
      <c r="AD39" s="54" t="str">
        <f>IFERROR(__xludf.DUMMYFUNCTION("if(AND(AE39=FALSE,AF39=FALSE),,if(AE39=AF39,JOIN("""",""Static: "",AE39),JOIN("""",""Min:  "",AE39, CHAR(10),""Max: "",AF39)))"),"")</f>
        <v/>
      </c>
      <c r="AE39" s="56" t="str">
        <f t="array" ref="AE39">_xlfn.XLOOKUP(B39,'Up Min'!A:A,'Up Min'!H:H,)</f>
        <v/>
      </c>
      <c r="AF39" s="55" t="str">
        <f t="array" ref="AF39">_xlfn.XLOOKUP(B39,'Up Max'!A:A,'Up Max'!H:H,)</f>
        <v/>
      </c>
      <c r="AG39" s="53" t="str">
        <f t="array" ref="AG39">_xlfn.XLOOKUP(B39,'Up Stats'!A:A,'Up Stats'!I:I,)</f>
        <v/>
      </c>
      <c r="AH39" s="54" t="str">
        <f>IFERROR(__xludf.DUMMYFUNCTION("if(AND(AI39=FALSE,AJ39=FALSE),,if(AI39=AJ39,JOIN("""",""Static: "",AI39),JOIN("""",""Min:  "",AI39, CHAR(10),""Max: "",AJ39)))"),"")</f>
        <v/>
      </c>
      <c r="AI39" s="56" t="str">
        <f t="array" ref="AI39">_xlfn.XLOOKUP(B39,'Up Min'!A:A,'Up Min'!I:I,)</f>
        <v/>
      </c>
      <c r="AJ39" s="56" t="str">
        <f t="array" ref="AJ39">_xlfn.XLOOKUP(B39,'Up Max'!A:A,'Up Max'!I:I,)</f>
        <v/>
      </c>
      <c r="AK39" s="53" t="str">
        <f t="array" ref="AK39">_xlfn.XLOOKUP(B39,'Up Stats'!A:A,'Up Stats'!J:J,)</f>
        <v/>
      </c>
      <c r="AL39" s="54" t="str">
        <f>IFERROR(__xludf.DUMMYFUNCTION("if(AND(AM39=FALSE,AN39=FALSE),,if(AM39=AN39,JOIN("""",""Static: "",AM39),JOIN("""",""Min:  "",AM39, CHAR(10),""Max: "",AN39)))"),"")</f>
        <v/>
      </c>
      <c r="AM39" s="56" t="str">
        <f t="array" ref="AM39">_xlfn.XLOOKUP(B39,'Up Min'!A:A,'Up Min'!J:J,)</f>
        <v/>
      </c>
      <c r="AN39" s="56" t="str">
        <f t="array" ref="AN39">_xlfn.XLOOKUP(B39,'Up Max'!A:A,'Up Max'!J:J,)</f>
        <v/>
      </c>
      <c r="AO39" s="51" t="str">
        <f t="array" ref="AO39">CONCATENATE(_xlfn.XLOOKUP(B39,'Up Cells'!A:A,'Up Cells'!B:B,))</f>
        <v/>
      </c>
      <c r="AP39" s="61" t="str">
        <f t="array" ref="AP39">CONCATENATE(_xlfn.XLOOKUP(B39,'Up Rarity'!A:A,'Up Rarity'!B:B,),CHAR(10),"-")</f>
        <v>
-</v>
      </c>
    </row>
    <row r="40">
      <c r="A40" s="87" t="str">
        <f t="array" ref="A40">_xlfn.XLOOKUP(B40,'Up Icon'!A:A,'Up Icon'!B:B,)</f>
        <v/>
      </c>
      <c r="B40" s="34" t="str">
        <f t="array" ref="B40">HYPERLINK(_xlfn.XLOOKUP('Up Names'!B40,'Up Wiki'!A:A,'Up Wiki'!B:B,),'Up Names'!B40)</f>
        <v/>
      </c>
      <c r="C40" s="37" t="str">
        <f t="array" ref="C40">_xlfn.XLOOKUP(B40,'Up Desc'!A:A,'Up Desc'!B:B,)</f>
        <v/>
      </c>
      <c r="D40" s="37" t="str">
        <f t="array" ref="D40">_xlfn.XLOOKUP(B40,'Up Turbo'!A:A,'Up Turbo'!B:B,)</f>
        <v/>
      </c>
      <c r="E40" s="39" t="str">
        <f t="array" ref="E40">_xlfn.XLOOKUP(B40,'Up Stats'!A:A,'Up Stats'!B:B,)</f>
        <v/>
      </c>
      <c r="F40" s="40" t="str">
        <f>IFERROR(__xludf.DUMMYFUNCTION("if(AND(G40=FALSE,H40=FALSE),,if(G40=H40,JOIN("""",""Static: "",G40),JOIN("""",""Min:  "",G40, CHAR(10),""Max: "",H40)))"),"")</f>
        <v/>
      </c>
      <c r="G40" s="42" t="str">
        <f t="array" ref="G40">_xlfn.XLOOKUP(B40,'Up Min'!A:A,'Up Min'!B:B,)</f>
        <v/>
      </c>
      <c r="H40" s="45" t="str">
        <f t="array" ref="H40">_xlfn.XLOOKUP(B40,'Up Max'!A:A,'Up Max'!B:B,)</f>
        <v/>
      </c>
      <c r="I40" s="39" t="str">
        <f t="array" ref="I40">_xlfn.XLOOKUP(B40,'Up Stats'!A:A,'Up Stats'!C:C,)</f>
        <v/>
      </c>
      <c r="J40" s="40" t="str">
        <f>IFERROR(__xludf.DUMMYFUNCTION("if(AND(K40=FALSE,L40=FALSE),,if(K40=L40,JOIN("""",""Static: "",K40),JOIN("""",""Min:  "",K40, CHAR(10),""Max: "",L40)))"),"")</f>
        <v/>
      </c>
      <c r="K40" s="42" t="str">
        <f t="array" ref="K40">_xlfn.XLOOKUP(B40,'Up Min'!A:A,'Up Min'!C:C,)</f>
        <v/>
      </c>
      <c r="L40" s="42" t="str">
        <f t="array" ref="L40">_xlfn.XLOOKUP(B40,'Up Max'!A:A,'Up Max'!C:C,)</f>
        <v/>
      </c>
      <c r="M40" s="48" t="str">
        <f t="array" ref="M40">_xlfn.XLOOKUP(B40,'Up Stats'!A:A,'Up Stats'!D:D,)</f>
        <v/>
      </c>
      <c r="N40" s="40" t="str">
        <f>IFERROR(__xludf.DUMMYFUNCTION("if(AND(O40=FALSE,P40=FALSE),,if(O40=P40,JOIN("""",""Static: "",O40),JOIN("""",""Min:  "",O40, CHAR(10),""Max: "",P40)))"),"")</f>
        <v/>
      </c>
      <c r="O40" s="42" t="str">
        <f t="array" ref="O40">_xlfn.XLOOKUP(B40,'Up Min'!A:A,'Up Min'!D:D,)</f>
        <v/>
      </c>
      <c r="P40" s="42" t="str">
        <f t="array" ref="P40">_xlfn.XLOOKUP(B40,'Up Max'!A:A,'Up Max'!D:D,)</f>
        <v/>
      </c>
      <c r="Q40" s="48" t="str">
        <f t="array" ref="Q40">_xlfn.XLOOKUP(B40,'Up Stats'!A:A,'Up Stats'!E:E,)</f>
        <v/>
      </c>
      <c r="R40" s="40" t="str">
        <f>IFERROR(__xludf.DUMMYFUNCTION("if(AND(S40=FALSE,T40=FALSE),,if(S40=T40,JOIN("""",""Static: "",S40),JOIN("""",""Min:  "",S40, CHAR(10),""Max: "",T40)))"),"")</f>
        <v/>
      </c>
      <c r="S40" s="42" t="str">
        <f t="array" ref="S40">_xlfn.XLOOKUP(B40,'Up Min'!A:A,'Up Min'!E:E,)</f>
        <v/>
      </c>
      <c r="T40" s="42" t="str">
        <f t="array" ref="T40">_xlfn.XLOOKUP(B40,'Up Max'!A:A,'Up Max'!E:E,)</f>
        <v/>
      </c>
      <c r="U40" s="48" t="str">
        <f t="array" ref="U40">_xlfn.XLOOKUP(B40,'Up Stats'!A:A,'Up Stats'!F:F,)</f>
        <v/>
      </c>
      <c r="V40" s="40" t="str">
        <f>IFERROR(__xludf.DUMMYFUNCTION("if(AND(W40=FALSE,X40=FALSE),,if(W40=X40,JOIN("""",""Static: "",W40),JOIN("""",""Min:  "",W40, CHAR(10),""Max: "",X40)))"),"")</f>
        <v/>
      </c>
      <c r="W40" s="42" t="str">
        <f t="array" ref="W40">_xlfn.XLOOKUP(B40,'Up Min'!A:A,'Up Min'!F:F,)</f>
        <v/>
      </c>
      <c r="X40" s="42" t="str">
        <f t="array" ref="X40">_xlfn.XLOOKUP(B40,'Up Max'!A:A,'Up Max'!F:F,)</f>
        <v/>
      </c>
      <c r="Y40" s="48" t="str">
        <f t="array" ref="Y40">_xlfn.XLOOKUP(B40,'Up Stats'!A:A,'Up Stats'!G:G,)</f>
        <v/>
      </c>
      <c r="Z40" s="40" t="str">
        <f>IFERROR(__xludf.DUMMYFUNCTION("if(AND(AA40=FALSE,AB40=FALSE),,if(AA40=AB40,JOIN("""",""Static: "",AA40),JOIN("""",""Min:  "",AA40, CHAR(10),""Max: "",AB40)))"),"")</f>
        <v/>
      </c>
      <c r="AA40" s="42" t="str">
        <f t="array" ref="AA40">_xlfn.XLOOKUP(B40,'Up Min'!A:A,'Up Min'!G:G,)</f>
        <v/>
      </c>
      <c r="AB40" s="42" t="str">
        <f t="array" ref="AB40">_xlfn.XLOOKUP(B40,'Up Max'!A:A,'Up Max'!G:G,)</f>
        <v/>
      </c>
      <c r="AC40" s="48" t="str">
        <f t="array" ref="AC40">_xlfn.XLOOKUP(B40,'Up Stats'!A:A,'Up Stats'!H:H,)</f>
        <v/>
      </c>
      <c r="AD40" s="40" t="str">
        <f>IFERROR(__xludf.DUMMYFUNCTION("if(AND(AE40=FALSE,AF40=FALSE),,if(AE40=AF40,JOIN("""",""Static: "",AE40),JOIN("""",""Min:  "",AE40, CHAR(10),""Max: "",AF40)))"),"")</f>
        <v/>
      </c>
      <c r="AE40" s="45" t="str">
        <f t="array" ref="AE40">_xlfn.XLOOKUP(B40,'Up Min'!A:A,'Up Min'!H:H,)</f>
        <v/>
      </c>
      <c r="AF40" s="42" t="str">
        <f t="array" ref="AF40">_xlfn.XLOOKUP(B40,'Up Max'!A:A,'Up Max'!H:H,)</f>
        <v/>
      </c>
      <c r="AG40" s="39" t="str">
        <f t="array" ref="AG40">_xlfn.XLOOKUP(B40,'Up Stats'!A:A,'Up Stats'!I:I,)</f>
        <v/>
      </c>
      <c r="AH40" s="40" t="str">
        <f>IFERROR(__xludf.DUMMYFUNCTION("if(AND(AI40=FALSE,AJ40=FALSE),,if(AI40=AJ40,JOIN("""",""Static: "",AI40),JOIN("""",""Min:  "",AI40, CHAR(10),""Max: "",AJ40)))"),"")</f>
        <v/>
      </c>
      <c r="AI40" s="45" t="str">
        <f t="array" ref="AI40">_xlfn.XLOOKUP(B40,'Up Min'!A:A,'Up Min'!I:I,)</f>
        <v/>
      </c>
      <c r="AJ40" s="45" t="str">
        <f t="array" ref="AJ40">_xlfn.XLOOKUP(B40,'Up Max'!A:A,'Up Max'!I:I,)</f>
        <v/>
      </c>
      <c r="AK40" s="39" t="str">
        <f t="array" ref="AK40">_xlfn.XLOOKUP(B40,'Up Stats'!A:A,'Up Stats'!J:J,)</f>
        <v/>
      </c>
      <c r="AL40" s="40" t="str">
        <f>IFERROR(__xludf.DUMMYFUNCTION("if(AND(AM40=FALSE,AN40=FALSE),,if(AM40=AN40,JOIN("""",""Static: "",AM40),JOIN("""",""Min:  "",AM40, CHAR(10),""Max: "",AN40)))"),"")</f>
        <v/>
      </c>
      <c r="AM40" s="45" t="str">
        <f t="array" ref="AM40">_xlfn.XLOOKUP(B40,'Up Min'!A:A,'Up Min'!J:J,)</f>
        <v/>
      </c>
      <c r="AN40" s="45" t="str">
        <f t="array" ref="AN40">_xlfn.XLOOKUP(B40,'Up Max'!A:A,'Up Max'!J:J,)</f>
        <v/>
      </c>
      <c r="AO40" s="34" t="str">
        <f t="array" ref="AO40">CONCATENATE(_xlfn.XLOOKUP(B40,'Up Cells'!A:A,'Up Cells'!B:B,))</f>
        <v/>
      </c>
      <c r="AP40" s="58" t="str">
        <f t="array" ref="AP40">CONCATENATE(_xlfn.XLOOKUP(B40,'Up Rarity'!A:A,'Up Rarity'!B:B,),CHAR(10),"-")</f>
        <v>
-</v>
      </c>
    </row>
    <row r="41">
      <c r="A41" s="86" t="str">
        <f t="array" ref="A41">_xlfn.XLOOKUP(B41,'Up Icon'!A:A,'Up Icon'!B:B,)</f>
        <v/>
      </c>
      <c r="B41" s="51" t="str">
        <f t="array" ref="B41">HYPERLINK(_xlfn.XLOOKUP('Up Names'!B41,'Up Wiki'!A:A,'Up Wiki'!B:B,),'Up Names'!B41)</f>
        <v/>
      </c>
      <c r="C41" s="52" t="str">
        <f t="array" ref="C41">_xlfn.XLOOKUP(B41,'Up Desc'!A:A,'Up Desc'!B:B,)</f>
        <v/>
      </c>
      <c r="D41" s="52" t="str">
        <f t="array" ref="D41">_xlfn.XLOOKUP(B41,'Up Turbo'!A:A,'Up Turbo'!B:B,)</f>
        <v/>
      </c>
      <c r="E41" s="53" t="str">
        <f t="array" ref="E41">_xlfn.XLOOKUP(B41,'Up Stats'!A:A,'Up Stats'!B:B,)</f>
        <v/>
      </c>
      <c r="F41" s="54" t="str">
        <f>IFERROR(__xludf.DUMMYFUNCTION("if(AND(G41=FALSE,H41=FALSE),,if(G41=H41,JOIN("""",""Static: "",G41),JOIN("""",""Min:  "",G41, CHAR(10),""Max: "",H41)))"),"")</f>
        <v/>
      </c>
      <c r="G41" s="55" t="str">
        <f t="array" ref="G41">_xlfn.XLOOKUP(B41,'Up Min'!A:A,'Up Min'!B:B,)</f>
        <v/>
      </c>
      <c r="H41" s="56" t="str">
        <f t="array" ref="H41">_xlfn.XLOOKUP(B41,'Up Max'!A:A,'Up Max'!B:B,)</f>
        <v/>
      </c>
      <c r="I41" s="53" t="str">
        <f t="array" ref="I41">_xlfn.XLOOKUP(B41,'Up Stats'!A:A,'Up Stats'!C:C,)</f>
        <v/>
      </c>
      <c r="J41" s="54" t="str">
        <f>IFERROR(__xludf.DUMMYFUNCTION("if(AND(K41=FALSE,L41=FALSE),,if(K41=L41,JOIN("""",""Static: "",K41),JOIN("""",""Min:  "",K41, CHAR(10),""Max: "",L41)))"),"")</f>
        <v/>
      </c>
      <c r="K41" s="55" t="str">
        <f t="array" ref="K41">_xlfn.XLOOKUP(B41,'Up Min'!A:A,'Up Min'!C:C,)</f>
        <v/>
      </c>
      <c r="L41" s="55" t="str">
        <f t="array" ref="L41">_xlfn.XLOOKUP(B41,'Up Max'!A:A,'Up Max'!C:C,)</f>
        <v/>
      </c>
      <c r="M41" s="57" t="str">
        <f t="array" ref="M41">_xlfn.XLOOKUP(B41,'Up Stats'!A:A,'Up Stats'!D:D,)</f>
        <v/>
      </c>
      <c r="N41" s="54" t="str">
        <f>IFERROR(__xludf.DUMMYFUNCTION("if(AND(O41=FALSE,P41=FALSE),,if(O41=P41,JOIN("""",""Static: "",O41),JOIN("""",""Min:  "",O41, CHAR(10),""Max: "",P41)))"),"")</f>
        <v/>
      </c>
      <c r="O41" s="55" t="str">
        <f t="array" ref="O41">_xlfn.XLOOKUP(B41,'Up Min'!A:A,'Up Min'!D:D,)</f>
        <v/>
      </c>
      <c r="P41" s="55" t="str">
        <f t="array" ref="P41">_xlfn.XLOOKUP(B41,'Up Max'!A:A,'Up Max'!D:D,)</f>
        <v/>
      </c>
      <c r="Q41" s="57" t="str">
        <f t="array" ref="Q41">_xlfn.XLOOKUP(B41,'Up Stats'!A:A,'Up Stats'!E:E,)</f>
        <v/>
      </c>
      <c r="R41" s="54" t="str">
        <f>IFERROR(__xludf.DUMMYFUNCTION("if(AND(S41=FALSE,T41=FALSE),,if(S41=T41,JOIN("""",""Static: "",S41),JOIN("""",""Min:  "",S41, CHAR(10),""Max: "",T41)))"),"")</f>
        <v/>
      </c>
      <c r="S41" s="55" t="str">
        <f t="array" ref="S41">_xlfn.XLOOKUP(B41,'Up Min'!A:A,'Up Min'!E:E,)</f>
        <v/>
      </c>
      <c r="T41" s="55" t="str">
        <f t="array" ref="T41">_xlfn.XLOOKUP(B41,'Up Max'!A:A,'Up Max'!E:E,)</f>
        <v/>
      </c>
      <c r="U41" s="57" t="str">
        <f t="array" ref="U41">_xlfn.XLOOKUP(B41,'Up Stats'!A:A,'Up Stats'!F:F,)</f>
        <v/>
      </c>
      <c r="V41" s="54" t="str">
        <f>IFERROR(__xludf.DUMMYFUNCTION("if(AND(W41=FALSE,X41=FALSE),,if(W41=X41,JOIN("""",""Static: "",W41),JOIN("""",""Min:  "",W41, CHAR(10),""Max: "",X41)))"),"")</f>
        <v/>
      </c>
      <c r="W41" s="55" t="str">
        <f t="array" ref="W41">_xlfn.XLOOKUP(B41,'Up Min'!A:A,'Up Min'!F:F,)</f>
        <v/>
      </c>
      <c r="X41" s="55" t="str">
        <f t="array" ref="X41">_xlfn.XLOOKUP(B41,'Up Max'!A:A,'Up Max'!F:F,)</f>
        <v/>
      </c>
      <c r="Y41" s="57" t="str">
        <f t="array" ref="Y41">_xlfn.XLOOKUP(B41,'Up Stats'!A:A,'Up Stats'!G:G,)</f>
        <v/>
      </c>
      <c r="Z41" s="54" t="str">
        <f>IFERROR(__xludf.DUMMYFUNCTION("if(AND(AA41=FALSE,AB41=FALSE),,if(AA41=AB41,JOIN("""",""Static: "",AA41),JOIN("""",""Min:  "",AA41, CHAR(10),""Max: "",AB41)))"),"")</f>
        <v/>
      </c>
      <c r="AA41" s="55" t="str">
        <f t="array" ref="AA41">_xlfn.XLOOKUP(B41,'Up Min'!A:A,'Up Min'!G:G,)</f>
        <v/>
      </c>
      <c r="AB41" s="55" t="str">
        <f t="array" ref="AB41">_xlfn.XLOOKUP(B41,'Up Max'!A:A,'Up Max'!G:G,)</f>
        <v/>
      </c>
      <c r="AC41" s="57" t="str">
        <f t="array" ref="AC41">_xlfn.XLOOKUP(B41,'Up Stats'!A:A,'Up Stats'!H:H,)</f>
        <v/>
      </c>
      <c r="AD41" s="54" t="str">
        <f>IFERROR(__xludf.DUMMYFUNCTION("if(AND(AE41=FALSE,AF41=FALSE),,if(AE41=AF41,JOIN("""",""Static: "",AE41),JOIN("""",""Min:  "",AE41, CHAR(10),""Max: "",AF41)))"),"")</f>
        <v/>
      </c>
      <c r="AE41" s="56" t="str">
        <f t="array" ref="AE41">_xlfn.XLOOKUP(B41,'Up Min'!A:A,'Up Min'!H:H,)</f>
        <v/>
      </c>
      <c r="AF41" s="55" t="str">
        <f t="array" ref="AF41">_xlfn.XLOOKUP(B41,'Up Max'!A:A,'Up Max'!H:H,)</f>
        <v/>
      </c>
      <c r="AG41" s="53" t="str">
        <f t="array" ref="AG41">_xlfn.XLOOKUP(B41,'Up Stats'!A:A,'Up Stats'!I:I,)</f>
        <v/>
      </c>
      <c r="AH41" s="54" t="str">
        <f>IFERROR(__xludf.DUMMYFUNCTION("if(AND(AI41=FALSE,AJ41=FALSE),,if(AI41=AJ41,JOIN("""",""Static: "",AI41),JOIN("""",""Min:  "",AI41, CHAR(10),""Max: "",AJ41)))"),"")</f>
        <v/>
      </c>
      <c r="AI41" s="56" t="str">
        <f t="array" ref="AI41">_xlfn.XLOOKUP(B41,'Up Min'!A:A,'Up Min'!I:I,)</f>
        <v/>
      </c>
      <c r="AJ41" s="56" t="str">
        <f t="array" ref="AJ41">_xlfn.XLOOKUP(B41,'Up Max'!A:A,'Up Max'!I:I,)</f>
        <v/>
      </c>
      <c r="AK41" s="53" t="str">
        <f t="array" ref="AK41">_xlfn.XLOOKUP(B41,'Up Stats'!A:A,'Up Stats'!J:J,)</f>
        <v/>
      </c>
      <c r="AL41" s="54" t="str">
        <f>IFERROR(__xludf.DUMMYFUNCTION("if(AND(AM41=FALSE,AN41=FALSE),,if(AM41=AN41,JOIN("""",""Static: "",AM41),JOIN("""",""Min:  "",AM41, CHAR(10),""Max: "",AN41)))"),"")</f>
        <v/>
      </c>
      <c r="AM41" s="56" t="str">
        <f t="array" ref="AM41">_xlfn.XLOOKUP(B41,'Up Min'!A:A,'Up Min'!J:J,)</f>
        <v/>
      </c>
      <c r="AN41" s="56" t="str">
        <f t="array" ref="AN41">_xlfn.XLOOKUP(B41,'Up Max'!A:A,'Up Max'!J:J,)</f>
        <v/>
      </c>
      <c r="AO41" s="51" t="str">
        <f t="array" ref="AO41">CONCATENATE(_xlfn.XLOOKUP(B41,'Up Cells'!A:A,'Up Cells'!B:B,))</f>
        <v/>
      </c>
      <c r="AP41" s="61" t="str">
        <f t="array" ref="AP41">CONCATENATE(_xlfn.XLOOKUP(B41,'Up Rarity'!A:A,'Up Rarity'!B:B,),CHAR(10),"-")</f>
        <v>
-</v>
      </c>
    </row>
    <row r="42">
      <c r="A42" s="87" t="str">
        <f t="array" ref="A42">_xlfn.XLOOKUP(B42,'Up Icon'!A:A,'Up Icon'!B:B,)</f>
        <v/>
      </c>
      <c r="B42" s="34" t="str">
        <f t="array" ref="B42">HYPERLINK(_xlfn.XLOOKUP('Up Names'!B42,'Up Wiki'!A:A,'Up Wiki'!B:B,),'Up Names'!B42)</f>
        <v/>
      </c>
      <c r="C42" s="37" t="str">
        <f t="array" ref="C42">_xlfn.XLOOKUP(B42,'Up Desc'!A:A,'Up Desc'!B:B,)</f>
        <v/>
      </c>
      <c r="D42" s="37" t="str">
        <f t="array" ref="D42">_xlfn.XLOOKUP(B42,'Up Turbo'!A:A,'Up Turbo'!B:B,)</f>
        <v/>
      </c>
      <c r="E42" s="39" t="str">
        <f t="array" ref="E42">_xlfn.XLOOKUP(B42,'Up Stats'!A:A,'Up Stats'!B:B,)</f>
        <v/>
      </c>
      <c r="F42" s="40" t="str">
        <f>IFERROR(__xludf.DUMMYFUNCTION("if(AND(G42=FALSE,H42=FALSE),,if(G42=H42,JOIN("""",""Static: "",G42),JOIN("""",""Min:  "",G42, CHAR(10),""Max: "",H42)))"),"")</f>
        <v/>
      </c>
      <c r="G42" s="42" t="str">
        <f t="array" ref="G42">_xlfn.XLOOKUP(B42,'Up Min'!A:A,'Up Min'!B:B,)</f>
        <v/>
      </c>
      <c r="H42" s="45" t="str">
        <f t="array" ref="H42">_xlfn.XLOOKUP(B42,'Up Max'!A:A,'Up Max'!B:B,)</f>
        <v/>
      </c>
      <c r="I42" s="39" t="str">
        <f t="array" ref="I42">_xlfn.XLOOKUP(B42,'Up Stats'!A:A,'Up Stats'!C:C,)</f>
        <v/>
      </c>
      <c r="J42" s="40" t="str">
        <f>IFERROR(__xludf.DUMMYFUNCTION("if(AND(K42=FALSE,L42=FALSE),,if(K42=L42,JOIN("""",""Static: "",K42),JOIN("""",""Min:  "",K42, CHAR(10),""Max: "",L42)))"),"")</f>
        <v/>
      </c>
      <c r="K42" s="42" t="str">
        <f t="array" ref="K42">_xlfn.XLOOKUP(B42,'Up Min'!A:A,'Up Min'!C:C,)</f>
        <v/>
      </c>
      <c r="L42" s="42" t="str">
        <f t="array" ref="L42">_xlfn.XLOOKUP(B42,'Up Max'!A:A,'Up Max'!C:C,)</f>
        <v/>
      </c>
      <c r="M42" s="48" t="str">
        <f t="array" ref="M42">_xlfn.XLOOKUP(B42,'Up Stats'!A:A,'Up Stats'!D:D,)</f>
        <v/>
      </c>
      <c r="N42" s="40" t="str">
        <f>IFERROR(__xludf.DUMMYFUNCTION("if(AND(O42=FALSE,P42=FALSE),,if(O42=P42,JOIN("""",""Static: "",O42),JOIN("""",""Min:  "",O42, CHAR(10),""Max: "",P42)))"),"")</f>
        <v/>
      </c>
      <c r="O42" s="42" t="str">
        <f t="array" ref="O42">_xlfn.XLOOKUP(B42,'Up Min'!A:A,'Up Min'!D:D,)</f>
        <v/>
      </c>
      <c r="P42" s="42" t="str">
        <f t="array" ref="P42">_xlfn.XLOOKUP(B42,'Up Max'!A:A,'Up Max'!D:D,)</f>
        <v/>
      </c>
      <c r="Q42" s="48" t="str">
        <f t="array" ref="Q42">_xlfn.XLOOKUP(B42,'Up Stats'!A:A,'Up Stats'!E:E,)</f>
        <v/>
      </c>
      <c r="R42" s="40" t="str">
        <f>IFERROR(__xludf.DUMMYFUNCTION("if(AND(S42=FALSE,T42=FALSE),,if(S42=T42,JOIN("""",""Static: "",S42),JOIN("""",""Min:  "",S42, CHAR(10),""Max: "",T42)))"),"")</f>
        <v/>
      </c>
      <c r="S42" s="42" t="str">
        <f t="array" ref="S42">_xlfn.XLOOKUP(B42,'Up Min'!A:A,'Up Min'!E:E,)</f>
        <v/>
      </c>
      <c r="T42" s="42" t="str">
        <f t="array" ref="T42">_xlfn.XLOOKUP(B42,'Up Max'!A:A,'Up Max'!E:E,)</f>
        <v/>
      </c>
      <c r="U42" s="48" t="str">
        <f t="array" ref="U42">_xlfn.XLOOKUP(B42,'Up Stats'!A:A,'Up Stats'!F:F,)</f>
        <v/>
      </c>
      <c r="V42" s="40" t="str">
        <f>IFERROR(__xludf.DUMMYFUNCTION("if(AND(W42=FALSE,X42=FALSE),,if(W42=X42,JOIN("""",""Static: "",W42),JOIN("""",""Min:  "",W42, CHAR(10),""Max: "",X42)))"),"")</f>
        <v/>
      </c>
      <c r="W42" s="42" t="str">
        <f t="array" ref="W42">_xlfn.XLOOKUP(B42,'Up Min'!A:A,'Up Min'!F:F,)</f>
        <v/>
      </c>
      <c r="X42" s="42" t="str">
        <f t="array" ref="X42">_xlfn.XLOOKUP(B42,'Up Max'!A:A,'Up Max'!F:F,)</f>
        <v/>
      </c>
      <c r="Y42" s="48" t="str">
        <f t="array" ref="Y42">_xlfn.XLOOKUP(B42,'Up Stats'!A:A,'Up Stats'!G:G,)</f>
        <v/>
      </c>
      <c r="Z42" s="40" t="str">
        <f>IFERROR(__xludf.DUMMYFUNCTION("if(AND(AA42=FALSE,AB42=FALSE),,if(AA42=AB42,JOIN("""",""Static: "",AA42),JOIN("""",""Min:  "",AA42, CHAR(10),""Max: "",AB42)))"),"")</f>
        <v/>
      </c>
      <c r="AA42" s="42" t="str">
        <f t="array" ref="AA42">_xlfn.XLOOKUP(B42,'Up Min'!A:A,'Up Min'!G:G,)</f>
        <v/>
      </c>
      <c r="AB42" s="42" t="str">
        <f t="array" ref="AB42">_xlfn.XLOOKUP(B42,'Up Max'!A:A,'Up Max'!G:G,)</f>
        <v/>
      </c>
      <c r="AC42" s="48" t="str">
        <f t="array" ref="AC42">_xlfn.XLOOKUP(B42,'Up Stats'!A:A,'Up Stats'!H:H,)</f>
        <v/>
      </c>
      <c r="AD42" s="40" t="str">
        <f>IFERROR(__xludf.DUMMYFUNCTION("if(AND(AE42=FALSE,AF42=FALSE),,if(AE42=AF42,JOIN("""",""Static: "",AE42),JOIN("""",""Min:  "",AE42, CHAR(10),""Max: "",AF42)))"),"")</f>
        <v/>
      </c>
      <c r="AE42" s="45" t="str">
        <f t="array" ref="AE42">_xlfn.XLOOKUP(B42,'Up Min'!A:A,'Up Min'!H:H,)</f>
        <v/>
      </c>
      <c r="AF42" s="42" t="str">
        <f t="array" ref="AF42">_xlfn.XLOOKUP(B42,'Up Max'!A:A,'Up Max'!H:H,)</f>
        <v/>
      </c>
      <c r="AG42" s="39" t="str">
        <f t="array" ref="AG42">_xlfn.XLOOKUP(B42,'Up Stats'!A:A,'Up Stats'!I:I,)</f>
        <v/>
      </c>
      <c r="AH42" s="40" t="str">
        <f>IFERROR(__xludf.DUMMYFUNCTION("if(AND(AI42=FALSE,AJ42=FALSE),,if(AI42=AJ42,JOIN("""",""Static: "",AI42),JOIN("""",""Min:  "",AI42, CHAR(10),""Max: "",AJ42)))"),"")</f>
        <v/>
      </c>
      <c r="AI42" s="45" t="str">
        <f t="array" ref="AI42">_xlfn.XLOOKUP(B42,'Up Min'!A:A,'Up Min'!I:I,)</f>
        <v/>
      </c>
      <c r="AJ42" s="45" t="str">
        <f t="array" ref="AJ42">_xlfn.XLOOKUP(B42,'Up Max'!A:A,'Up Max'!I:I,)</f>
        <v/>
      </c>
      <c r="AK42" s="39" t="str">
        <f t="array" ref="AK42">_xlfn.XLOOKUP(B42,'Up Stats'!A:A,'Up Stats'!J:J,)</f>
        <v/>
      </c>
      <c r="AL42" s="40" t="str">
        <f>IFERROR(__xludf.DUMMYFUNCTION("if(AND(AM42=FALSE,AN42=FALSE),,if(AM42=AN42,JOIN("""",""Static: "",AM42),JOIN("""",""Min:  "",AM42, CHAR(10),""Max: "",AN42)))"),"")</f>
        <v/>
      </c>
      <c r="AM42" s="45" t="str">
        <f t="array" ref="AM42">_xlfn.XLOOKUP(B42,'Up Min'!A:A,'Up Min'!J:J,)</f>
        <v/>
      </c>
      <c r="AN42" s="45" t="str">
        <f t="array" ref="AN42">_xlfn.XLOOKUP(B42,'Up Max'!A:A,'Up Max'!J:J,)</f>
        <v/>
      </c>
      <c r="AO42" s="34" t="str">
        <f t="array" ref="AO42">CONCATENATE(_xlfn.XLOOKUP(B42,'Up Cells'!A:A,'Up Cells'!B:B,))</f>
        <v/>
      </c>
      <c r="AP42" s="58" t="str">
        <f t="array" ref="AP42">CONCATENATE(_xlfn.XLOOKUP(B42,'Up Rarity'!A:A,'Up Rarity'!B:B,),CHAR(10),"-")</f>
        <v>
-</v>
      </c>
    </row>
    <row r="43">
      <c r="A43" s="86" t="str">
        <f t="array" ref="A43">_xlfn.XLOOKUP(B43,'Up Icon'!A:A,'Up Icon'!B:B,)</f>
        <v/>
      </c>
      <c r="B43" s="51" t="str">
        <f t="array" ref="B43">HYPERLINK(_xlfn.XLOOKUP('Up Names'!B43,'Up Wiki'!A:A,'Up Wiki'!B:B,),'Up Names'!B43)</f>
        <v/>
      </c>
      <c r="C43" s="52" t="str">
        <f t="array" ref="C43">_xlfn.XLOOKUP(B43,'Up Desc'!A:A,'Up Desc'!B:B,)</f>
        <v/>
      </c>
      <c r="D43" s="52" t="str">
        <f t="array" ref="D43">_xlfn.XLOOKUP(B43,'Up Turbo'!A:A,'Up Turbo'!B:B,)</f>
        <v/>
      </c>
      <c r="E43" s="53" t="str">
        <f t="array" ref="E43">_xlfn.XLOOKUP(B43,'Up Stats'!A:A,'Up Stats'!B:B,)</f>
        <v/>
      </c>
      <c r="F43" s="54" t="str">
        <f>IFERROR(__xludf.DUMMYFUNCTION("if(AND(G43=FALSE,H43=FALSE),,if(G43=H43,JOIN("""",""Static: "",G43),JOIN("""",""Min:  "",G43, CHAR(10),""Max: "",H43)))"),"")</f>
        <v/>
      </c>
      <c r="G43" s="55" t="str">
        <f t="array" ref="G43">_xlfn.XLOOKUP(B43,'Up Min'!A:A,'Up Min'!B:B,)</f>
        <v/>
      </c>
      <c r="H43" s="56" t="str">
        <f t="array" ref="H43">_xlfn.XLOOKUP(B43,'Up Max'!A:A,'Up Max'!B:B,)</f>
        <v/>
      </c>
      <c r="I43" s="53" t="str">
        <f t="array" ref="I43">_xlfn.XLOOKUP(B43,'Up Stats'!A:A,'Up Stats'!C:C,)</f>
        <v/>
      </c>
      <c r="J43" s="54" t="str">
        <f>IFERROR(__xludf.DUMMYFUNCTION("if(AND(K43=FALSE,L43=FALSE),,if(K43=L43,JOIN("""",""Static: "",K43),JOIN("""",""Min:  "",K43, CHAR(10),""Max: "",L43)))"),"")</f>
        <v/>
      </c>
      <c r="K43" s="55" t="str">
        <f t="array" ref="K43">_xlfn.XLOOKUP(B43,'Up Min'!A:A,'Up Min'!C:C,)</f>
        <v/>
      </c>
      <c r="L43" s="55" t="str">
        <f t="array" ref="L43">_xlfn.XLOOKUP(B43,'Up Max'!A:A,'Up Max'!C:C,)</f>
        <v/>
      </c>
      <c r="M43" s="57" t="str">
        <f t="array" ref="M43">_xlfn.XLOOKUP(B43,'Up Stats'!A:A,'Up Stats'!D:D,)</f>
        <v/>
      </c>
      <c r="N43" s="54" t="str">
        <f>IFERROR(__xludf.DUMMYFUNCTION("if(AND(O43=FALSE,P43=FALSE),,if(O43=P43,JOIN("""",""Static: "",O43),JOIN("""",""Min:  "",O43, CHAR(10),""Max: "",P43)))"),"")</f>
        <v/>
      </c>
      <c r="O43" s="55" t="str">
        <f t="array" ref="O43">_xlfn.XLOOKUP(B43,'Up Min'!A:A,'Up Min'!D:D,)</f>
        <v/>
      </c>
      <c r="P43" s="55" t="str">
        <f t="array" ref="P43">_xlfn.XLOOKUP(B43,'Up Max'!A:A,'Up Max'!D:D,)</f>
        <v/>
      </c>
      <c r="Q43" s="57" t="str">
        <f t="array" ref="Q43">_xlfn.XLOOKUP(B43,'Up Stats'!A:A,'Up Stats'!E:E,)</f>
        <v/>
      </c>
      <c r="R43" s="54" t="str">
        <f>IFERROR(__xludf.DUMMYFUNCTION("if(AND(S43=FALSE,T43=FALSE),,if(S43=T43,JOIN("""",""Static: "",S43),JOIN("""",""Min:  "",S43, CHAR(10),""Max: "",T43)))"),"")</f>
        <v/>
      </c>
      <c r="S43" s="55" t="str">
        <f t="array" ref="S43">_xlfn.XLOOKUP(B43,'Up Min'!A:A,'Up Min'!E:E,)</f>
        <v/>
      </c>
      <c r="T43" s="55" t="str">
        <f t="array" ref="T43">_xlfn.XLOOKUP(B43,'Up Max'!A:A,'Up Max'!E:E,)</f>
        <v/>
      </c>
      <c r="U43" s="57" t="str">
        <f t="array" ref="U43">_xlfn.XLOOKUP(B43,'Up Stats'!A:A,'Up Stats'!F:F,)</f>
        <v/>
      </c>
      <c r="V43" s="54" t="str">
        <f>IFERROR(__xludf.DUMMYFUNCTION("if(AND(W43=FALSE,X43=FALSE),,if(W43=X43,JOIN("""",""Static: "",W43),JOIN("""",""Min:  "",W43, CHAR(10),""Max: "",X43)))"),"")</f>
        <v/>
      </c>
      <c r="W43" s="55" t="str">
        <f t="array" ref="W43">_xlfn.XLOOKUP(B43,'Up Min'!A:A,'Up Min'!F:F,)</f>
        <v/>
      </c>
      <c r="X43" s="55" t="str">
        <f t="array" ref="X43">_xlfn.XLOOKUP(B43,'Up Max'!A:A,'Up Max'!F:F,)</f>
        <v/>
      </c>
      <c r="Y43" s="57" t="str">
        <f t="array" ref="Y43">_xlfn.XLOOKUP(B43,'Up Stats'!A:A,'Up Stats'!G:G,)</f>
        <v/>
      </c>
      <c r="Z43" s="54" t="str">
        <f>IFERROR(__xludf.DUMMYFUNCTION("if(AND(AA43=FALSE,AB43=FALSE),,if(AA43=AB43,JOIN("""",""Static: "",AA43),JOIN("""",""Min:  "",AA43, CHAR(10),""Max: "",AB43)))"),"")</f>
        <v/>
      </c>
      <c r="AA43" s="55" t="str">
        <f t="array" ref="AA43">_xlfn.XLOOKUP(B43,'Up Min'!A:A,'Up Min'!G:G,)</f>
        <v/>
      </c>
      <c r="AB43" s="55" t="str">
        <f t="array" ref="AB43">_xlfn.XLOOKUP(B43,'Up Max'!A:A,'Up Max'!G:G,)</f>
        <v/>
      </c>
      <c r="AC43" s="57" t="str">
        <f t="array" ref="AC43">_xlfn.XLOOKUP(B43,'Up Stats'!A:A,'Up Stats'!H:H,)</f>
        <v/>
      </c>
      <c r="AD43" s="54" t="str">
        <f>IFERROR(__xludf.DUMMYFUNCTION("if(AND(AE43=FALSE,AF43=FALSE),,if(AE43=AF43,JOIN("""",""Static: "",AE43),JOIN("""",""Min:  "",AE43, CHAR(10),""Max: "",AF43)))"),"")</f>
        <v/>
      </c>
      <c r="AE43" s="56" t="str">
        <f t="array" ref="AE43">_xlfn.XLOOKUP(B43,'Up Min'!A:A,'Up Min'!H:H,)</f>
        <v/>
      </c>
      <c r="AF43" s="55" t="str">
        <f t="array" ref="AF43">_xlfn.XLOOKUP(B43,'Up Max'!A:A,'Up Max'!H:H,)</f>
        <v/>
      </c>
      <c r="AG43" s="53" t="str">
        <f t="array" ref="AG43">_xlfn.XLOOKUP(B43,'Up Stats'!A:A,'Up Stats'!I:I,)</f>
        <v/>
      </c>
      <c r="AH43" s="54" t="str">
        <f>IFERROR(__xludf.DUMMYFUNCTION("if(AND(AI43=FALSE,AJ43=FALSE),,if(AI43=AJ43,JOIN("""",""Static: "",AI43),JOIN("""",""Min:  "",AI43, CHAR(10),""Max: "",AJ43)))"),"")</f>
        <v/>
      </c>
      <c r="AI43" s="56" t="str">
        <f t="array" ref="AI43">_xlfn.XLOOKUP(B43,'Up Min'!A:A,'Up Min'!I:I,)</f>
        <v/>
      </c>
      <c r="AJ43" s="56" t="str">
        <f t="array" ref="AJ43">_xlfn.XLOOKUP(B43,'Up Max'!A:A,'Up Max'!I:I,)</f>
        <v/>
      </c>
      <c r="AK43" s="53" t="str">
        <f t="array" ref="AK43">_xlfn.XLOOKUP(B43,'Up Stats'!A:A,'Up Stats'!J:J,)</f>
        <v/>
      </c>
      <c r="AL43" s="54" t="str">
        <f>IFERROR(__xludf.DUMMYFUNCTION("if(AND(AM43=FALSE,AN43=FALSE),,if(AM43=AN43,JOIN("""",""Static: "",AM43),JOIN("""",""Min:  "",AM43, CHAR(10),""Max: "",AN43)))"),"")</f>
        <v/>
      </c>
      <c r="AM43" s="56" t="str">
        <f t="array" ref="AM43">_xlfn.XLOOKUP(B43,'Up Min'!A:A,'Up Min'!J:J,)</f>
        <v/>
      </c>
      <c r="AN43" s="56" t="str">
        <f t="array" ref="AN43">_xlfn.XLOOKUP(B43,'Up Max'!A:A,'Up Max'!J:J,)</f>
        <v/>
      </c>
      <c r="AO43" s="51" t="str">
        <f t="array" ref="AO43">CONCATENATE(_xlfn.XLOOKUP(B43,'Up Cells'!A:A,'Up Cells'!B:B,))</f>
        <v/>
      </c>
      <c r="AP43" s="61" t="str">
        <f t="array" ref="AP43">CONCATENATE(_xlfn.XLOOKUP(B43,'Up Rarity'!A:A,'Up Rarity'!B:B,),CHAR(10),"-")</f>
        <v>
-</v>
      </c>
    </row>
    <row r="44">
      <c r="A44" s="87" t="str">
        <f t="array" ref="A44">_xlfn.XLOOKUP(B44,'Up Icon'!A:A,'Up Icon'!B:B,)</f>
        <v/>
      </c>
      <c r="B44" s="34" t="str">
        <f t="array" ref="B44">HYPERLINK(_xlfn.XLOOKUP('Up Names'!B44,'Up Wiki'!A:A,'Up Wiki'!B:B,),'Up Names'!B44)</f>
        <v/>
      </c>
      <c r="C44" s="37" t="str">
        <f t="array" ref="C44">_xlfn.XLOOKUP(B44,'Up Desc'!A:A,'Up Desc'!B:B,)</f>
        <v/>
      </c>
      <c r="D44" s="37" t="str">
        <f t="array" ref="D44">_xlfn.XLOOKUP(B44,'Up Turbo'!A:A,'Up Turbo'!B:B,)</f>
        <v/>
      </c>
      <c r="E44" s="39" t="str">
        <f t="array" ref="E44">_xlfn.XLOOKUP(B44,'Up Stats'!A:A,'Up Stats'!B:B,)</f>
        <v/>
      </c>
      <c r="F44" s="40" t="str">
        <f>IFERROR(__xludf.DUMMYFUNCTION("if(AND(G44=FALSE,H44=FALSE),,if(G44=H44,JOIN("""",""Static: "",G44),JOIN("""",""Min:  "",G44, CHAR(10),""Max: "",H44)))"),"")</f>
        <v/>
      </c>
      <c r="G44" s="42" t="str">
        <f t="array" ref="G44">_xlfn.XLOOKUP(B44,'Up Min'!A:A,'Up Min'!B:B,)</f>
        <v/>
      </c>
      <c r="H44" s="45" t="str">
        <f t="array" ref="H44">_xlfn.XLOOKUP(B44,'Up Max'!A:A,'Up Max'!B:B,)</f>
        <v/>
      </c>
      <c r="I44" s="39" t="str">
        <f t="array" ref="I44">_xlfn.XLOOKUP(B44,'Up Stats'!A:A,'Up Stats'!C:C,)</f>
        <v/>
      </c>
      <c r="J44" s="40" t="str">
        <f>IFERROR(__xludf.DUMMYFUNCTION("if(AND(K44=FALSE,L44=FALSE),,if(K44=L44,JOIN("""",""Static: "",K44),JOIN("""",""Min:  "",K44, CHAR(10),""Max: "",L44)))"),"")</f>
        <v/>
      </c>
      <c r="K44" s="42" t="str">
        <f t="array" ref="K44">_xlfn.XLOOKUP(B44,'Up Min'!A:A,'Up Min'!C:C,)</f>
        <v/>
      </c>
      <c r="L44" s="42" t="str">
        <f t="array" ref="L44">_xlfn.XLOOKUP(B44,'Up Max'!A:A,'Up Max'!C:C,)</f>
        <v/>
      </c>
      <c r="M44" s="48" t="str">
        <f t="array" ref="M44">_xlfn.XLOOKUP(B44,'Up Stats'!A:A,'Up Stats'!D:D,)</f>
        <v/>
      </c>
      <c r="N44" s="40" t="str">
        <f>IFERROR(__xludf.DUMMYFUNCTION("if(AND(O44=FALSE,P44=FALSE),,if(O44=P44,JOIN("""",""Static: "",O44),JOIN("""",""Min:  "",O44, CHAR(10),""Max: "",P44)))"),"")</f>
        <v/>
      </c>
      <c r="O44" s="42" t="str">
        <f t="array" ref="O44">_xlfn.XLOOKUP(B44,'Up Min'!A:A,'Up Min'!D:D,)</f>
        <v/>
      </c>
      <c r="P44" s="42" t="str">
        <f t="array" ref="P44">_xlfn.XLOOKUP(B44,'Up Max'!A:A,'Up Max'!D:D,)</f>
        <v/>
      </c>
      <c r="Q44" s="48" t="str">
        <f t="array" ref="Q44">_xlfn.XLOOKUP(B44,'Up Stats'!A:A,'Up Stats'!E:E,)</f>
        <v/>
      </c>
      <c r="R44" s="40" t="str">
        <f>IFERROR(__xludf.DUMMYFUNCTION("if(AND(S44=FALSE,T44=FALSE),,if(S44=T44,JOIN("""",""Static: "",S44),JOIN("""",""Min:  "",S44, CHAR(10),""Max: "",T44)))"),"")</f>
        <v/>
      </c>
      <c r="S44" s="42" t="str">
        <f t="array" ref="S44">_xlfn.XLOOKUP(B44,'Up Min'!A:A,'Up Min'!E:E,)</f>
        <v/>
      </c>
      <c r="T44" s="42" t="str">
        <f t="array" ref="T44">_xlfn.XLOOKUP(B44,'Up Max'!A:A,'Up Max'!E:E,)</f>
        <v/>
      </c>
      <c r="U44" s="48" t="str">
        <f t="array" ref="U44">_xlfn.XLOOKUP(B44,'Up Stats'!A:A,'Up Stats'!F:F,)</f>
        <v/>
      </c>
      <c r="V44" s="40" t="str">
        <f>IFERROR(__xludf.DUMMYFUNCTION("if(AND(W44=FALSE,X44=FALSE),,if(W44=X44,JOIN("""",""Static: "",W44),JOIN("""",""Min:  "",W44, CHAR(10),""Max: "",X44)))"),"")</f>
        <v/>
      </c>
      <c r="W44" s="42" t="str">
        <f t="array" ref="W44">_xlfn.XLOOKUP(B44,'Up Min'!A:A,'Up Min'!F:F,)</f>
        <v/>
      </c>
      <c r="X44" s="42" t="str">
        <f t="array" ref="X44">_xlfn.XLOOKUP(B44,'Up Max'!A:A,'Up Max'!F:F,)</f>
        <v/>
      </c>
      <c r="Y44" s="48" t="str">
        <f t="array" ref="Y44">_xlfn.XLOOKUP(B44,'Up Stats'!A:A,'Up Stats'!G:G,)</f>
        <v/>
      </c>
      <c r="Z44" s="40" t="str">
        <f>IFERROR(__xludf.DUMMYFUNCTION("if(AND(AA44=FALSE,AB44=FALSE),,if(AA44=AB44,JOIN("""",""Static: "",AA44),JOIN("""",""Min:  "",AA44, CHAR(10),""Max: "",AB44)))"),"")</f>
        <v/>
      </c>
      <c r="AA44" s="42" t="str">
        <f t="array" ref="AA44">_xlfn.XLOOKUP(B44,'Up Min'!A:A,'Up Min'!G:G,)</f>
        <v/>
      </c>
      <c r="AB44" s="42" t="str">
        <f t="array" ref="AB44">_xlfn.XLOOKUP(B44,'Up Max'!A:A,'Up Max'!G:G,)</f>
        <v/>
      </c>
      <c r="AC44" s="48" t="str">
        <f t="array" ref="AC44">_xlfn.XLOOKUP(B44,'Up Stats'!A:A,'Up Stats'!H:H,)</f>
        <v/>
      </c>
      <c r="AD44" s="40" t="str">
        <f>IFERROR(__xludf.DUMMYFUNCTION("if(AND(AE44=FALSE,AF44=FALSE),,if(AE44=AF44,JOIN("""",""Static: "",AE44),JOIN("""",""Min:  "",AE44, CHAR(10),""Max: "",AF44)))"),"")</f>
        <v/>
      </c>
      <c r="AE44" s="45" t="str">
        <f t="array" ref="AE44">_xlfn.XLOOKUP(B44,'Up Min'!A:A,'Up Min'!H:H,)</f>
        <v/>
      </c>
      <c r="AF44" s="42" t="str">
        <f t="array" ref="AF44">_xlfn.XLOOKUP(B44,'Up Max'!A:A,'Up Max'!H:H,)</f>
        <v/>
      </c>
      <c r="AG44" s="39" t="str">
        <f t="array" ref="AG44">_xlfn.XLOOKUP(B44,'Up Stats'!A:A,'Up Stats'!I:I,)</f>
        <v/>
      </c>
      <c r="AH44" s="40" t="str">
        <f>IFERROR(__xludf.DUMMYFUNCTION("if(AND(AI44=FALSE,AJ44=FALSE),,if(AI44=AJ44,JOIN("""",""Static: "",AI44),JOIN("""",""Min:  "",AI44, CHAR(10),""Max: "",AJ44)))"),"")</f>
        <v/>
      </c>
      <c r="AI44" s="45" t="str">
        <f t="array" ref="AI44">_xlfn.XLOOKUP(B44,'Up Min'!A:A,'Up Min'!I:I,)</f>
        <v/>
      </c>
      <c r="AJ44" s="45" t="str">
        <f t="array" ref="AJ44">_xlfn.XLOOKUP(B44,'Up Max'!A:A,'Up Max'!I:I,)</f>
        <v/>
      </c>
      <c r="AK44" s="39" t="str">
        <f t="array" ref="AK44">_xlfn.XLOOKUP(B44,'Up Stats'!A:A,'Up Stats'!J:J,)</f>
        <v/>
      </c>
      <c r="AL44" s="40" t="str">
        <f>IFERROR(__xludf.DUMMYFUNCTION("if(AND(AM44=FALSE,AN44=FALSE),,if(AM44=AN44,JOIN("""",""Static: "",AM44),JOIN("""",""Min:  "",AM44, CHAR(10),""Max: "",AN44)))"),"")</f>
        <v/>
      </c>
      <c r="AM44" s="45" t="str">
        <f t="array" ref="AM44">_xlfn.XLOOKUP(B44,'Up Min'!A:A,'Up Min'!J:J,)</f>
        <v/>
      </c>
      <c r="AN44" s="45" t="str">
        <f t="array" ref="AN44">_xlfn.XLOOKUP(B44,'Up Max'!A:A,'Up Max'!J:J,)</f>
        <v/>
      </c>
      <c r="AO44" s="34" t="str">
        <f t="array" ref="AO44">CONCATENATE(_xlfn.XLOOKUP(B44,'Up Cells'!A:A,'Up Cells'!B:B,))</f>
        <v/>
      </c>
      <c r="AP44" s="58" t="str">
        <f t="array" ref="AP44">CONCATENATE(_xlfn.XLOOKUP(B44,'Up Rarity'!A:A,'Up Rarity'!B:B,),CHAR(10),"-")</f>
        <v>
-</v>
      </c>
    </row>
    <row r="45">
      <c r="A45" s="86" t="str">
        <f t="array" ref="A45">_xlfn.XLOOKUP(B45,'Up Icon'!A:A,'Up Icon'!B:B,)</f>
        <v/>
      </c>
      <c r="B45" s="51" t="str">
        <f t="array" ref="B45">HYPERLINK(_xlfn.XLOOKUP('Up Names'!B45,'Up Wiki'!A:A,'Up Wiki'!B:B,),'Up Names'!B45)</f>
        <v/>
      </c>
      <c r="C45" s="52" t="str">
        <f t="array" ref="C45">_xlfn.XLOOKUP(B45,'Up Desc'!A:A,'Up Desc'!B:B,)</f>
        <v/>
      </c>
      <c r="D45" s="52" t="str">
        <f t="array" ref="D45">_xlfn.XLOOKUP(B45,'Up Turbo'!A:A,'Up Turbo'!B:B,)</f>
        <v/>
      </c>
      <c r="E45" s="53" t="str">
        <f t="array" ref="E45">_xlfn.XLOOKUP(B45,'Up Stats'!A:A,'Up Stats'!B:B,)</f>
        <v/>
      </c>
      <c r="F45" s="54" t="str">
        <f>IFERROR(__xludf.DUMMYFUNCTION("if(AND(G45=FALSE,H45=FALSE),,if(G45=H45,JOIN("""",""Static: "",G45),JOIN("""",""Min:  "",G45, CHAR(10),""Max: "",H45)))"),"")</f>
        <v/>
      </c>
      <c r="G45" s="55" t="str">
        <f t="array" ref="G45">_xlfn.XLOOKUP(B45,'Up Min'!A:A,'Up Min'!B:B,)</f>
        <v/>
      </c>
      <c r="H45" s="56" t="str">
        <f t="array" ref="H45">_xlfn.XLOOKUP(B45,'Up Max'!A:A,'Up Max'!B:B,)</f>
        <v/>
      </c>
      <c r="I45" s="53" t="str">
        <f t="array" ref="I45">_xlfn.XLOOKUP(B45,'Up Stats'!A:A,'Up Stats'!C:C,)</f>
        <v/>
      </c>
      <c r="J45" s="54" t="str">
        <f>IFERROR(__xludf.DUMMYFUNCTION("if(AND(K45=FALSE,L45=FALSE),,if(K45=L45,JOIN("""",""Static: "",K45),JOIN("""",""Min:  "",K45, CHAR(10),""Max: "",L45)))"),"")</f>
        <v/>
      </c>
      <c r="K45" s="55" t="str">
        <f t="array" ref="K45">_xlfn.XLOOKUP(B45,'Up Min'!A:A,'Up Min'!C:C,)</f>
        <v/>
      </c>
      <c r="L45" s="55" t="str">
        <f t="array" ref="L45">_xlfn.XLOOKUP(B45,'Up Max'!A:A,'Up Max'!C:C,)</f>
        <v/>
      </c>
      <c r="M45" s="57" t="str">
        <f t="array" ref="M45">_xlfn.XLOOKUP(B45,'Up Stats'!A:A,'Up Stats'!D:D,)</f>
        <v/>
      </c>
      <c r="N45" s="54" t="str">
        <f>IFERROR(__xludf.DUMMYFUNCTION("if(AND(O45=FALSE,P45=FALSE),,if(O45=P45,JOIN("""",""Static: "",O45),JOIN("""",""Min:  "",O45, CHAR(10),""Max: "",P45)))"),"")</f>
        <v/>
      </c>
      <c r="O45" s="55" t="str">
        <f t="array" ref="O45">_xlfn.XLOOKUP(B45,'Up Min'!A:A,'Up Min'!D:D,)</f>
        <v/>
      </c>
      <c r="P45" s="55" t="str">
        <f t="array" ref="P45">_xlfn.XLOOKUP(B45,'Up Max'!A:A,'Up Max'!D:D,)</f>
        <v/>
      </c>
      <c r="Q45" s="57" t="str">
        <f t="array" ref="Q45">_xlfn.XLOOKUP(B45,'Up Stats'!A:A,'Up Stats'!E:E,)</f>
        <v/>
      </c>
      <c r="R45" s="54" t="str">
        <f>IFERROR(__xludf.DUMMYFUNCTION("if(AND(S45=FALSE,T45=FALSE),,if(S45=T45,JOIN("""",""Static: "",S45),JOIN("""",""Min:  "",S45, CHAR(10),""Max: "",T45)))"),"")</f>
        <v/>
      </c>
      <c r="S45" s="55" t="str">
        <f t="array" ref="S45">_xlfn.XLOOKUP(B45,'Up Min'!A:A,'Up Min'!E:E,)</f>
        <v/>
      </c>
      <c r="T45" s="55" t="str">
        <f t="array" ref="T45">_xlfn.XLOOKUP(B45,'Up Max'!A:A,'Up Max'!E:E,)</f>
        <v/>
      </c>
      <c r="U45" s="57" t="str">
        <f t="array" ref="U45">_xlfn.XLOOKUP(B45,'Up Stats'!A:A,'Up Stats'!F:F,)</f>
        <v/>
      </c>
      <c r="V45" s="54" t="str">
        <f>IFERROR(__xludf.DUMMYFUNCTION("if(AND(W45=FALSE,X45=FALSE),,if(W45=X45,JOIN("""",""Static: "",W45),JOIN("""",""Min:  "",W45, CHAR(10),""Max: "",X45)))"),"")</f>
        <v/>
      </c>
      <c r="W45" s="55" t="str">
        <f t="array" ref="W45">_xlfn.XLOOKUP(B45,'Up Min'!A:A,'Up Min'!F:F,)</f>
        <v/>
      </c>
      <c r="X45" s="55" t="str">
        <f t="array" ref="X45">_xlfn.XLOOKUP(B45,'Up Max'!A:A,'Up Max'!F:F,)</f>
        <v/>
      </c>
      <c r="Y45" s="57" t="str">
        <f t="array" ref="Y45">_xlfn.XLOOKUP(B45,'Up Stats'!A:A,'Up Stats'!G:G,)</f>
        <v/>
      </c>
      <c r="Z45" s="54" t="str">
        <f>IFERROR(__xludf.DUMMYFUNCTION("if(AND(AA45=FALSE,AB45=FALSE),,if(AA45=AB45,JOIN("""",""Static: "",AA45),JOIN("""",""Min:  "",AA45, CHAR(10),""Max: "",AB45)))"),"")</f>
        <v/>
      </c>
      <c r="AA45" s="55" t="str">
        <f t="array" ref="AA45">_xlfn.XLOOKUP(B45,'Up Min'!A:A,'Up Min'!G:G,)</f>
        <v/>
      </c>
      <c r="AB45" s="55" t="str">
        <f t="array" ref="AB45">_xlfn.XLOOKUP(B45,'Up Max'!A:A,'Up Max'!G:G,)</f>
        <v/>
      </c>
      <c r="AC45" s="57" t="str">
        <f t="array" ref="AC45">_xlfn.XLOOKUP(B45,'Up Stats'!A:A,'Up Stats'!H:H,)</f>
        <v/>
      </c>
      <c r="AD45" s="54" t="str">
        <f>IFERROR(__xludf.DUMMYFUNCTION("if(AND(AE45=FALSE,AF45=FALSE),,if(AE45=AF45,JOIN("""",""Static: "",AE45),JOIN("""",""Min:  "",AE45, CHAR(10),""Max: "",AF45)))"),"")</f>
        <v/>
      </c>
      <c r="AE45" s="56" t="str">
        <f t="array" ref="AE45">_xlfn.XLOOKUP(B45,'Up Min'!A:A,'Up Min'!H:H,)</f>
        <v/>
      </c>
      <c r="AF45" s="55" t="str">
        <f t="array" ref="AF45">_xlfn.XLOOKUP(B45,'Up Max'!A:A,'Up Max'!H:H,)</f>
        <v/>
      </c>
      <c r="AG45" s="53" t="str">
        <f t="array" ref="AG45">_xlfn.XLOOKUP(B45,'Up Stats'!A:A,'Up Stats'!I:I,)</f>
        <v/>
      </c>
      <c r="AH45" s="54" t="str">
        <f>IFERROR(__xludf.DUMMYFUNCTION("if(AND(AI45=FALSE,AJ45=FALSE),,if(AI45=AJ45,JOIN("""",""Static: "",AI45),JOIN("""",""Min:  "",AI45, CHAR(10),""Max: "",AJ45)))"),"")</f>
        <v/>
      </c>
      <c r="AI45" s="56" t="str">
        <f t="array" ref="AI45">_xlfn.XLOOKUP(B45,'Up Min'!A:A,'Up Min'!I:I,)</f>
        <v/>
      </c>
      <c r="AJ45" s="56" t="str">
        <f t="array" ref="AJ45">_xlfn.XLOOKUP(B45,'Up Max'!A:A,'Up Max'!I:I,)</f>
        <v/>
      </c>
      <c r="AK45" s="53" t="str">
        <f t="array" ref="AK45">_xlfn.XLOOKUP(B45,'Up Stats'!A:A,'Up Stats'!J:J,)</f>
        <v/>
      </c>
      <c r="AL45" s="54" t="str">
        <f>IFERROR(__xludf.DUMMYFUNCTION("if(AND(AM45=FALSE,AN45=FALSE),,if(AM45=AN45,JOIN("""",""Static: "",AM45),JOIN("""",""Min:  "",AM45, CHAR(10),""Max: "",AN45)))"),"")</f>
        <v/>
      </c>
      <c r="AM45" s="56" t="str">
        <f t="array" ref="AM45">_xlfn.XLOOKUP(B45,'Up Min'!A:A,'Up Min'!J:J,)</f>
        <v/>
      </c>
      <c r="AN45" s="56" t="str">
        <f t="array" ref="AN45">_xlfn.XLOOKUP(B45,'Up Max'!A:A,'Up Max'!J:J,)</f>
        <v/>
      </c>
      <c r="AO45" s="51" t="str">
        <f t="array" ref="AO45">CONCATENATE(_xlfn.XLOOKUP(B45,'Up Cells'!A:A,'Up Cells'!B:B,))</f>
        <v/>
      </c>
      <c r="AP45" s="61" t="str">
        <f t="array" ref="AP45">CONCATENATE(_xlfn.XLOOKUP(B45,'Up Rarity'!A:A,'Up Rarity'!B:B,),CHAR(10),"-")</f>
        <v>
-</v>
      </c>
    </row>
    <row r="46">
      <c r="A46" s="87" t="str">
        <f t="array" ref="A46">_xlfn.XLOOKUP(B46,'Up Icon'!A:A,'Up Icon'!B:B,)</f>
        <v/>
      </c>
      <c r="B46" s="34" t="str">
        <f t="array" ref="B46">HYPERLINK(_xlfn.XLOOKUP('Up Names'!B46,'Up Wiki'!A:A,'Up Wiki'!B:B,),'Up Names'!B46)</f>
        <v/>
      </c>
      <c r="C46" s="37" t="str">
        <f t="array" ref="C46">_xlfn.XLOOKUP(B46,'Up Desc'!A:A,'Up Desc'!B:B,)</f>
        <v/>
      </c>
      <c r="D46" s="37" t="str">
        <f t="array" ref="D46">_xlfn.XLOOKUP(B46,'Up Turbo'!A:A,'Up Turbo'!B:B,)</f>
        <v/>
      </c>
      <c r="E46" s="39" t="str">
        <f t="array" ref="E46">_xlfn.XLOOKUP(B46,'Up Stats'!A:A,'Up Stats'!B:B,)</f>
        <v/>
      </c>
      <c r="F46" s="40" t="str">
        <f>IFERROR(__xludf.DUMMYFUNCTION("if(AND(G46=FALSE,H46=FALSE),,if(G46=H46,JOIN("""",""Static: "",G46),JOIN("""",""Min:  "",G46, CHAR(10),""Max: "",H46)))"),"")</f>
        <v/>
      </c>
      <c r="G46" s="42" t="str">
        <f t="array" ref="G46">_xlfn.XLOOKUP(B46,'Up Min'!A:A,'Up Min'!B:B,)</f>
        <v/>
      </c>
      <c r="H46" s="45" t="str">
        <f t="array" ref="H46">_xlfn.XLOOKUP(B46,'Up Max'!A:A,'Up Max'!B:B,)</f>
        <v/>
      </c>
      <c r="I46" s="39" t="str">
        <f t="array" ref="I46">_xlfn.XLOOKUP(B46,'Up Stats'!A:A,'Up Stats'!C:C,)</f>
        <v/>
      </c>
      <c r="J46" s="40" t="str">
        <f>IFERROR(__xludf.DUMMYFUNCTION("if(AND(K46=FALSE,L46=FALSE),,if(K46=L46,JOIN("""",""Static: "",K46),JOIN("""",""Min:  "",K46, CHAR(10),""Max: "",L46)))"),"")</f>
        <v/>
      </c>
      <c r="K46" s="42" t="str">
        <f t="array" ref="K46">_xlfn.XLOOKUP(B46,'Up Min'!A:A,'Up Min'!C:C,)</f>
        <v/>
      </c>
      <c r="L46" s="42" t="str">
        <f t="array" ref="L46">_xlfn.XLOOKUP(B46,'Up Max'!A:A,'Up Max'!C:C,)</f>
        <v/>
      </c>
      <c r="M46" s="48" t="str">
        <f t="array" ref="M46">_xlfn.XLOOKUP(B46,'Up Stats'!A:A,'Up Stats'!D:D,)</f>
        <v/>
      </c>
      <c r="N46" s="40" t="str">
        <f>IFERROR(__xludf.DUMMYFUNCTION("if(AND(O46=FALSE,P46=FALSE),,if(O46=P46,JOIN("""",""Static: "",O46),JOIN("""",""Min:  "",O46, CHAR(10),""Max: "",P46)))"),"")</f>
        <v/>
      </c>
      <c r="O46" s="42" t="str">
        <f t="array" ref="O46">_xlfn.XLOOKUP(B46,'Up Min'!A:A,'Up Min'!D:D,)</f>
        <v/>
      </c>
      <c r="P46" s="42" t="str">
        <f t="array" ref="P46">_xlfn.XLOOKUP(B46,'Up Max'!A:A,'Up Max'!D:D,)</f>
        <v/>
      </c>
      <c r="Q46" s="48" t="str">
        <f t="array" ref="Q46">_xlfn.XLOOKUP(B46,'Up Stats'!A:A,'Up Stats'!E:E,)</f>
        <v/>
      </c>
      <c r="R46" s="40" t="str">
        <f>IFERROR(__xludf.DUMMYFUNCTION("if(AND(S46=FALSE,T46=FALSE),,if(S46=T46,JOIN("""",""Static: "",S46),JOIN("""",""Min:  "",S46, CHAR(10),""Max: "",T46)))"),"")</f>
        <v/>
      </c>
      <c r="S46" s="42" t="str">
        <f t="array" ref="S46">_xlfn.XLOOKUP(B46,'Up Min'!A:A,'Up Min'!E:E,)</f>
        <v/>
      </c>
      <c r="T46" s="42" t="str">
        <f t="array" ref="T46">_xlfn.XLOOKUP(B46,'Up Max'!A:A,'Up Max'!E:E,)</f>
        <v/>
      </c>
      <c r="U46" s="48" t="str">
        <f t="array" ref="U46">_xlfn.XLOOKUP(B46,'Up Stats'!A:A,'Up Stats'!F:F,)</f>
        <v/>
      </c>
      <c r="V46" s="40" t="str">
        <f>IFERROR(__xludf.DUMMYFUNCTION("if(AND(W46=FALSE,X46=FALSE),,if(W46=X46,JOIN("""",""Static: "",W46),JOIN("""",""Min:  "",W46, CHAR(10),""Max: "",X46)))"),"")</f>
        <v/>
      </c>
      <c r="W46" s="42" t="str">
        <f t="array" ref="W46">_xlfn.XLOOKUP(B46,'Up Min'!A:A,'Up Min'!F:F,)</f>
        <v/>
      </c>
      <c r="X46" s="42" t="str">
        <f t="array" ref="X46">_xlfn.XLOOKUP(B46,'Up Max'!A:A,'Up Max'!F:F,)</f>
        <v/>
      </c>
      <c r="Y46" s="48" t="str">
        <f t="array" ref="Y46">_xlfn.XLOOKUP(B46,'Up Stats'!A:A,'Up Stats'!G:G,)</f>
        <v/>
      </c>
      <c r="Z46" s="40" t="str">
        <f>IFERROR(__xludf.DUMMYFUNCTION("if(AND(AA46=FALSE,AB46=FALSE),,if(AA46=AB46,JOIN("""",""Static: "",AA46),JOIN("""",""Min:  "",AA46, CHAR(10),""Max: "",AB46)))"),"")</f>
        <v/>
      </c>
      <c r="AA46" s="42" t="str">
        <f t="array" ref="AA46">_xlfn.XLOOKUP(B46,'Up Min'!A:A,'Up Min'!G:G,)</f>
        <v/>
      </c>
      <c r="AB46" s="42" t="str">
        <f t="array" ref="AB46">_xlfn.XLOOKUP(B46,'Up Max'!A:A,'Up Max'!G:G,)</f>
        <v/>
      </c>
      <c r="AC46" s="48" t="str">
        <f t="array" ref="AC46">_xlfn.XLOOKUP(B46,'Up Stats'!A:A,'Up Stats'!H:H,)</f>
        <v/>
      </c>
      <c r="AD46" s="40" t="str">
        <f>IFERROR(__xludf.DUMMYFUNCTION("if(AND(AE46=FALSE,AF46=FALSE),,if(AE46=AF46,JOIN("""",""Static: "",AE46),JOIN("""",""Min:  "",AE46, CHAR(10),""Max: "",AF46)))"),"")</f>
        <v/>
      </c>
      <c r="AE46" s="45" t="str">
        <f t="array" ref="AE46">_xlfn.XLOOKUP(B46,'Up Min'!A:A,'Up Min'!H:H,)</f>
        <v/>
      </c>
      <c r="AF46" s="42" t="str">
        <f t="array" ref="AF46">_xlfn.XLOOKUP(B46,'Up Max'!A:A,'Up Max'!H:H,)</f>
        <v/>
      </c>
      <c r="AG46" s="39" t="str">
        <f t="array" ref="AG46">_xlfn.XLOOKUP(B46,'Up Stats'!A:A,'Up Stats'!I:I,)</f>
        <v/>
      </c>
      <c r="AH46" s="40" t="str">
        <f>IFERROR(__xludf.DUMMYFUNCTION("if(AND(AI46=FALSE,AJ46=FALSE),,if(AI46=AJ46,JOIN("""",""Static: "",AI46),JOIN("""",""Min:  "",AI46, CHAR(10),""Max: "",AJ46)))"),"")</f>
        <v/>
      </c>
      <c r="AI46" s="45" t="str">
        <f t="array" ref="AI46">_xlfn.XLOOKUP(B46,'Up Min'!A:A,'Up Min'!I:I,)</f>
        <v/>
      </c>
      <c r="AJ46" s="45" t="str">
        <f t="array" ref="AJ46">_xlfn.XLOOKUP(B46,'Up Max'!A:A,'Up Max'!I:I,)</f>
        <v/>
      </c>
      <c r="AK46" s="39" t="str">
        <f t="array" ref="AK46">_xlfn.XLOOKUP(B46,'Up Stats'!A:A,'Up Stats'!J:J,)</f>
        <v/>
      </c>
      <c r="AL46" s="40" t="str">
        <f>IFERROR(__xludf.DUMMYFUNCTION("if(AND(AM46=FALSE,AN46=FALSE),,if(AM46=AN46,JOIN("""",""Static: "",AM46),JOIN("""",""Min:  "",AM46, CHAR(10),""Max: "",AN46)))"),"")</f>
        <v/>
      </c>
      <c r="AM46" s="45" t="str">
        <f t="array" ref="AM46">_xlfn.XLOOKUP(B46,'Up Min'!A:A,'Up Min'!J:J,)</f>
        <v/>
      </c>
      <c r="AN46" s="45" t="str">
        <f t="array" ref="AN46">_xlfn.XLOOKUP(B46,'Up Max'!A:A,'Up Max'!J:J,)</f>
        <v/>
      </c>
      <c r="AO46" s="34" t="str">
        <f t="array" ref="AO46">CONCATENATE(_xlfn.XLOOKUP(B46,'Up Cells'!A:A,'Up Cells'!B:B,))</f>
        <v/>
      </c>
      <c r="AP46" s="58" t="str">
        <f t="array" ref="AP46">CONCATENATE(_xlfn.XLOOKUP(B46,'Up Rarity'!A:A,'Up Rarity'!B:B,),CHAR(10),"-")</f>
        <v>
-</v>
      </c>
    </row>
    <row r="47">
      <c r="A47" s="86" t="str">
        <f t="array" ref="A47">_xlfn.XLOOKUP(B47,'Up Icon'!A:A,'Up Icon'!B:B,)</f>
        <v/>
      </c>
      <c r="B47" s="51" t="str">
        <f t="array" ref="B47">HYPERLINK(_xlfn.XLOOKUP('Up Names'!B47,'Up Wiki'!A:A,'Up Wiki'!B:B,),'Up Names'!B47)</f>
        <v/>
      </c>
      <c r="C47" s="52" t="str">
        <f t="array" ref="C47">_xlfn.XLOOKUP(B47,'Up Desc'!A:A,'Up Desc'!B:B,)</f>
        <v/>
      </c>
      <c r="D47" s="52" t="str">
        <f t="array" ref="D47">_xlfn.XLOOKUP(B47,'Up Turbo'!A:A,'Up Turbo'!B:B,)</f>
        <v/>
      </c>
      <c r="E47" s="53" t="str">
        <f t="array" ref="E47">_xlfn.XLOOKUP(B47,'Up Stats'!A:A,'Up Stats'!B:B,)</f>
        <v/>
      </c>
      <c r="F47" s="54" t="str">
        <f>IFERROR(__xludf.DUMMYFUNCTION("if(AND(G47=FALSE,H47=FALSE),,if(G47=H47,JOIN("""",""Static: "",G47),JOIN("""",""Min:  "",G47, CHAR(10),""Max: "",H47)))"),"")</f>
        <v/>
      </c>
      <c r="G47" s="55" t="str">
        <f t="array" ref="G47">_xlfn.XLOOKUP(B47,'Up Min'!A:A,'Up Min'!B:B,)</f>
        <v/>
      </c>
      <c r="H47" s="56" t="str">
        <f t="array" ref="H47">_xlfn.XLOOKUP(B47,'Up Max'!A:A,'Up Max'!B:B,)</f>
        <v/>
      </c>
      <c r="I47" s="53" t="str">
        <f t="array" ref="I47">_xlfn.XLOOKUP(B47,'Up Stats'!A:A,'Up Stats'!C:C,)</f>
        <v/>
      </c>
      <c r="J47" s="54" t="str">
        <f>IFERROR(__xludf.DUMMYFUNCTION("if(AND(K47=FALSE,L47=FALSE),,if(K47=L47,JOIN("""",""Static: "",K47),JOIN("""",""Min:  "",K47, CHAR(10),""Max: "",L47)))"),"")</f>
        <v/>
      </c>
      <c r="K47" s="55" t="str">
        <f t="array" ref="K47">_xlfn.XLOOKUP(B47,'Up Min'!A:A,'Up Min'!C:C,)</f>
        <v/>
      </c>
      <c r="L47" s="55" t="str">
        <f t="array" ref="L47">_xlfn.XLOOKUP(B47,'Up Max'!A:A,'Up Max'!C:C,)</f>
        <v/>
      </c>
      <c r="M47" s="57" t="str">
        <f t="array" ref="M47">_xlfn.XLOOKUP(B47,'Up Stats'!A:A,'Up Stats'!D:D,)</f>
        <v/>
      </c>
      <c r="N47" s="54" t="str">
        <f>IFERROR(__xludf.DUMMYFUNCTION("if(AND(O47=FALSE,P47=FALSE),,if(O47=P47,JOIN("""",""Static: "",O47),JOIN("""",""Min:  "",O47, CHAR(10),""Max: "",P47)))"),"")</f>
        <v/>
      </c>
      <c r="O47" s="55" t="str">
        <f t="array" ref="O47">_xlfn.XLOOKUP(B47,'Up Min'!A:A,'Up Min'!D:D,)</f>
        <v/>
      </c>
      <c r="P47" s="55" t="str">
        <f t="array" ref="P47">_xlfn.XLOOKUP(B47,'Up Max'!A:A,'Up Max'!D:D,)</f>
        <v/>
      </c>
      <c r="Q47" s="57" t="str">
        <f t="array" ref="Q47">_xlfn.XLOOKUP(B47,'Up Stats'!A:A,'Up Stats'!E:E,)</f>
        <v/>
      </c>
      <c r="R47" s="54" t="str">
        <f>IFERROR(__xludf.DUMMYFUNCTION("if(AND(S47=FALSE,T47=FALSE),,if(S47=T47,JOIN("""",""Static: "",S47),JOIN("""",""Min:  "",S47, CHAR(10),""Max: "",T47)))"),"")</f>
        <v/>
      </c>
      <c r="S47" s="55" t="str">
        <f t="array" ref="S47">_xlfn.XLOOKUP(B47,'Up Min'!A:A,'Up Min'!E:E,)</f>
        <v/>
      </c>
      <c r="T47" s="55" t="str">
        <f t="array" ref="T47">_xlfn.XLOOKUP(B47,'Up Max'!A:A,'Up Max'!E:E,)</f>
        <v/>
      </c>
      <c r="U47" s="57" t="str">
        <f t="array" ref="U47">_xlfn.XLOOKUP(B47,'Up Stats'!A:A,'Up Stats'!F:F,)</f>
        <v/>
      </c>
      <c r="V47" s="54" t="str">
        <f>IFERROR(__xludf.DUMMYFUNCTION("if(AND(W47=FALSE,X47=FALSE),,if(W47=X47,JOIN("""",""Static: "",W47),JOIN("""",""Min:  "",W47, CHAR(10),""Max: "",X47)))"),"")</f>
        <v/>
      </c>
      <c r="W47" s="55" t="str">
        <f t="array" ref="W47">_xlfn.XLOOKUP(B47,'Up Min'!A:A,'Up Min'!F:F,)</f>
        <v/>
      </c>
      <c r="X47" s="55" t="str">
        <f t="array" ref="X47">_xlfn.XLOOKUP(B47,'Up Max'!A:A,'Up Max'!F:F,)</f>
        <v/>
      </c>
      <c r="Y47" s="57" t="str">
        <f t="array" ref="Y47">_xlfn.XLOOKUP(B47,'Up Stats'!A:A,'Up Stats'!G:G,)</f>
        <v/>
      </c>
      <c r="Z47" s="54" t="str">
        <f>IFERROR(__xludf.DUMMYFUNCTION("if(AND(AA47=FALSE,AB47=FALSE),,if(AA47=AB47,JOIN("""",""Static: "",AA47),JOIN("""",""Min:  "",AA47, CHAR(10),""Max: "",AB47)))"),"")</f>
        <v/>
      </c>
      <c r="AA47" s="55" t="str">
        <f t="array" ref="AA47">_xlfn.XLOOKUP(B47,'Up Min'!A:A,'Up Min'!G:G,)</f>
        <v/>
      </c>
      <c r="AB47" s="55" t="str">
        <f t="array" ref="AB47">_xlfn.XLOOKUP(B47,'Up Max'!A:A,'Up Max'!G:G,)</f>
        <v/>
      </c>
      <c r="AC47" s="57" t="str">
        <f t="array" ref="AC47">_xlfn.XLOOKUP(B47,'Up Stats'!A:A,'Up Stats'!H:H,)</f>
        <v/>
      </c>
      <c r="AD47" s="54" t="str">
        <f>IFERROR(__xludf.DUMMYFUNCTION("if(AND(AE47=FALSE,AF47=FALSE),,if(AE47=AF47,JOIN("""",""Static: "",AE47),JOIN("""",""Min:  "",AE47, CHAR(10),""Max: "",AF47)))"),"")</f>
        <v/>
      </c>
      <c r="AE47" s="56" t="str">
        <f t="array" ref="AE47">_xlfn.XLOOKUP(B47,'Up Min'!A:A,'Up Min'!H:H,)</f>
        <v/>
      </c>
      <c r="AF47" s="55" t="str">
        <f t="array" ref="AF47">_xlfn.XLOOKUP(B47,'Up Max'!A:A,'Up Max'!H:H,)</f>
        <v/>
      </c>
      <c r="AG47" s="53" t="str">
        <f t="array" ref="AG47">_xlfn.XLOOKUP(B47,'Up Stats'!A:A,'Up Stats'!I:I,)</f>
        <v/>
      </c>
      <c r="AH47" s="54" t="str">
        <f>IFERROR(__xludf.DUMMYFUNCTION("if(AND(AI47=FALSE,AJ47=FALSE),,if(AI47=AJ47,JOIN("""",""Static: "",AI47),JOIN("""",""Min:  "",AI47, CHAR(10),""Max: "",AJ47)))"),"")</f>
        <v/>
      </c>
      <c r="AI47" s="56" t="str">
        <f t="array" ref="AI47">_xlfn.XLOOKUP(B47,'Up Min'!A:A,'Up Min'!I:I,)</f>
        <v/>
      </c>
      <c r="AJ47" s="56" t="str">
        <f t="array" ref="AJ47">_xlfn.XLOOKUP(B47,'Up Max'!A:A,'Up Max'!I:I,)</f>
        <v/>
      </c>
      <c r="AK47" s="53" t="str">
        <f t="array" ref="AK47">_xlfn.XLOOKUP(B47,'Up Stats'!A:A,'Up Stats'!J:J,)</f>
        <v/>
      </c>
      <c r="AL47" s="54" t="str">
        <f>IFERROR(__xludf.DUMMYFUNCTION("if(AND(AM47=FALSE,AN47=FALSE),,if(AM47=AN47,JOIN("""",""Static: "",AM47),JOIN("""",""Min:  "",AM47, CHAR(10),""Max: "",AN47)))"),"")</f>
        <v/>
      </c>
      <c r="AM47" s="56" t="str">
        <f t="array" ref="AM47">_xlfn.XLOOKUP(B47,'Up Min'!A:A,'Up Min'!J:J,)</f>
        <v/>
      </c>
      <c r="AN47" s="56" t="str">
        <f t="array" ref="AN47">_xlfn.XLOOKUP(B47,'Up Max'!A:A,'Up Max'!J:J,)</f>
        <v/>
      </c>
      <c r="AO47" s="51" t="str">
        <f t="array" ref="AO47">CONCATENATE(_xlfn.XLOOKUP(B47,'Up Cells'!A:A,'Up Cells'!B:B,))</f>
        <v/>
      </c>
      <c r="AP47" s="61" t="str">
        <f t="array" ref="AP47">CONCATENATE(_xlfn.XLOOKUP(B47,'Up Rarity'!A:A,'Up Rarity'!B:B,),CHAR(10),"-")</f>
        <v>
-</v>
      </c>
    </row>
  </sheetData>
  <autoFilter ref="$A$1:$AP$47">
    <sortState ref="A1:AP47">
      <sortCondition descending="1" sortBy="cellColor" ref="AP1:AP47" dxfId="2"/>
      <sortCondition ref="B1:B47"/>
    </sortState>
  </autoFilter>
  <conditionalFormatting sqref="AF1:AF47">
    <cfRule type="cellIs" dxfId="9" priority="1" operator="equal">
      <formula>"Exotic"</formula>
    </cfRule>
  </conditionalFormatting>
  <conditionalFormatting sqref="AF1:AF47">
    <cfRule type="cellIs" dxfId="8" priority="2" operator="equal">
      <formula>"Epic"</formula>
    </cfRule>
  </conditionalFormatting>
  <conditionalFormatting sqref="AF1:AF47">
    <cfRule type="cellIs" dxfId="10" priority="3" operator="equal">
      <formula>"Rare"</formula>
    </cfRule>
  </conditionalFormatting>
  <conditionalFormatting sqref="AF1:AF47">
    <cfRule type="cellIs" dxfId="11" priority="4" operator="equal">
      <formula>"Standard"</formula>
    </cfRule>
  </conditionalFormatting>
  <conditionalFormatting sqref="AF1:AF47">
    <cfRule type="cellIs" dxfId="12" priority="5" operator="equal">
      <formula>"Oddity"</formula>
    </cfRule>
  </conditionalFormatting>
  <conditionalFormatting sqref="AO1:AP47">
    <cfRule type="containsText" dxfId="3" priority="6" operator="containsText" text="Oddity">
      <formula>NOT(ISERROR(SEARCH(("Oddity"),(AO1))))</formula>
    </cfRule>
  </conditionalFormatting>
  <conditionalFormatting sqref="AO1:AP47">
    <cfRule type="containsText" dxfId="4" priority="7" operator="containsText" text="Exotic">
      <formula>NOT(ISERROR(SEARCH(("Exotic"),(AO1))))</formula>
    </cfRule>
  </conditionalFormatting>
  <conditionalFormatting sqref="AO1:AP47">
    <cfRule type="containsText" dxfId="5" priority="8" operator="containsText" text="Epic">
      <formula>NOT(ISERROR(SEARCH(("Epic"),(AO1))))</formula>
    </cfRule>
  </conditionalFormatting>
  <conditionalFormatting sqref="AO1:AP47">
    <cfRule type="containsText" dxfId="6" priority="9" operator="containsText" text="Rare">
      <formula>NOT(ISERROR(SEARCH(("Rare"),(AO1))))</formula>
    </cfRule>
  </conditionalFormatting>
  <conditionalFormatting sqref="AO1:AP47">
    <cfRule type="containsText" dxfId="7" priority="10" operator="containsText" text="Standard">
      <formula>NOT(ISERROR(SEARCH(("Standard"),(AO1))))</formula>
    </cfRule>
  </conditionalFormatting>
  <conditionalFormatting sqref="AO1:AP47">
    <cfRule type="containsText" dxfId="8" priority="11" operator="containsText" text="Contraband">
      <formula>NOT(ISERROR(SEARCH(("Contraband"),(AO1))))</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12.63"/>
    <col customWidth="1" min="3" max="4" width="31.38"/>
    <col customWidth="1" min="5" max="6" width="12.63"/>
    <col customWidth="1" hidden="1" min="7" max="8" width="12.63"/>
    <col customWidth="1" min="9" max="10" width="12.63"/>
    <col customWidth="1" hidden="1" min="11" max="12" width="12.63"/>
    <col customWidth="1" min="13" max="14" width="12.63"/>
    <col customWidth="1" hidden="1" min="15" max="16" width="12.63"/>
    <col customWidth="1" min="17" max="18" width="12.63"/>
    <col customWidth="1" hidden="1" min="19" max="20" width="12.63"/>
    <col customWidth="1" min="21" max="22" width="12.63"/>
    <col customWidth="1" hidden="1" min="23" max="24" width="12.63"/>
    <col customWidth="1" min="25" max="26" width="12.63"/>
    <col customWidth="1" hidden="1" min="27" max="28" width="12.63"/>
    <col customWidth="1" min="29" max="30" width="12.63"/>
    <col customWidth="1" hidden="1" min="31" max="32" width="12.63"/>
    <col customWidth="1" min="33" max="34" width="12.63"/>
    <col customWidth="1" hidden="1" min="35" max="36" width="12.63"/>
    <col customWidth="1" min="37" max="38" width="12.63"/>
    <col customWidth="1" hidden="1" min="39" max="40" width="12.63"/>
    <col customWidth="1" min="41" max="42" width="8.25"/>
  </cols>
  <sheetData>
    <row r="1">
      <c r="A1" s="28" t="s">
        <v>1</v>
      </c>
      <c r="B1" s="9" t="s">
        <v>2</v>
      </c>
      <c r="C1" s="9" t="s">
        <v>3</v>
      </c>
      <c r="D1" s="11" t="s">
        <v>4</v>
      </c>
      <c r="E1" s="16" t="s">
        <v>6</v>
      </c>
      <c r="F1" s="19" t="s">
        <v>7</v>
      </c>
      <c r="G1" s="21" t="s">
        <v>8</v>
      </c>
      <c r="H1" s="25" t="s">
        <v>9</v>
      </c>
      <c r="I1" s="29" t="s">
        <v>6</v>
      </c>
      <c r="J1" s="19" t="s">
        <v>7</v>
      </c>
      <c r="K1" s="21" t="s">
        <v>8</v>
      </c>
      <c r="L1" s="21" t="s">
        <v>9</v>
      </c>
      <c r="M1" s="29" t="s">
        <v>6</v>
      </c>
      <c r="N1" s="19" t="s">
        <v>7</v>
      </c>
      <c r="O1" s="21" t="s">
        <v>8</v>
      </c>
      <c r="P1" s="21" t="s">
        <v>9</v>
      </c>
      <c r="Q1" s="16" t="s">
        <v>6</v>
      </c>
      <c r="R1" s="19" t="s">
        <v>7</v>
      </c>
      <c r="S1" s="25" t="s">
        <v>8</v>
      </c>
      <c r="T1" s="21" t="s">
        <v>9</v>
      </c>
      <c r="U1" s="16" t="s">
        <v>6</v>
      </c>
      <c r="V1" s="19" t="s">
        <v>7</v>
      </c>
      <c r="W1" s="25" t="s">
        <v>8</v>
      </c>
      <c r="X1" s="25" t="s">
        <v>9</v>
      </c>
      <c r="Y1" s="16" t="s">
        <v>6</v>
      </c>
      <c r="Z1" s="19" t="s">
        <v>7</v>
      </c>
      <c r="AA1" s="21" t="s">
        <v>8</v>
      </c>
      <c r="AB1" s="25" t="s">
        <v>9</v>
      </c>
      <c r="AC1" s="29" t="s">
        <v>6</v>
      </c>
      <c r="AD1" s="19" t="s">
        <v>7</v>
      </c>
      <c r="AE1" s="21" t="s">
        <v>8</v>
      </c>
      <c r="AF1" s="21" t="s">
        <v>9</v>
      </c>
      <c r="AG1" s="29" t="s">
        <v>6</v>
      </c>
      <c r="AH1" s="19" t="s">
        <v>7</v>
      </c>
      <c r="AI1" s="25" t="s">
        <v>8</v>
      </c>
      <c r="AJ1" s="25" t="s">
        <v>9</v>
      </c>
      <c r="AK1" s="29" t="s">
        <v>6</v>
      </c>
      <c r="AL1" s="19" t="s">
        <v>7</v>
      </c>
      <c r="AM1" s="25" t="s">
        <v>8</v>
      </c>
      <c r="AN1" s="25" t="s">
        <v>9</v>
      </c>
      <c r="AO1" s="11" t="s">
        <v>12</v>
      </c>
      <c r="AP1" s="9" t="s">
        <v>13</v>
      </c>
    </row>
    <row r="2">
      <c r="A2" s="31" t="str">
        <f t="array" ref="A2">_xlfn.XLOOKUP(B2,'Up Icon'!A:A,'Up Icon'!B:B,)</f>
        <v/>
      </c>
      <c r="B2" s="34" t="str">
        <f t="array" ref="B2">HYPERLINK(_xlfn.XLOOKUP('Up Names'!C32,'Up Wiki'!A:A,'Up Wiki'!B:B,),'Up Names'!C32)</f>
        <v>Edge Fault</v>
      </c>
      <c r="C2" s="37" t="str">
        <f t="array" ref="C2">_xlfn.XLOOKUP(B2,'Up Desc'!A:A,'Up Desc'!B:B,)</f>
        <v>Increases the size of your upgrade grid.</v>
      </c>
      <c r="D2" s="37" t="str">
        <f t="array" ref="D2">_xlfn.XLOOKUP(B2,'Up Turbo'!A:A,'Up Turbo'!B:B,)</f>
        <v>n/a</v>
      </c>
      <c r="E2" s="39" t="str">
        <f t="array" ref="E2">_xlfn.XLOOKUP(B2,'Up Stats'!A:A,'Up Stats'!B:B,)</f>
        <v/>
      </c>
      <c r="F2" s="40" t="str">
        <f>IFERROR(__xludf.DUMMYFUNCTION("if(AND(G2=FALSE,H2=FALSE),,if(G2=H2,JOIN("""",""Static: "",G2),JOIN("""",""Min:  "",G2, CHAR(10),""Max: "",H2)))"),"")</f>
        <v/>
      </c>
      <c r="G2" s="42" t="str">
        <f t="array" ref="G2">_xlfn.XLOOKUP(B2,'Up Min'!A:A,'Up Min'!B:B,)</f>
        <v/>
      </c>
      <c r="H2" s="45" t="str">
        <f t="array" ref="H2">_xlfn.XLOOKUP(B2,'Up Max'!A:A,'Up Max'!B:B,)</f>
        <v/>
      </c>
      <c r="I2" s="39" t="str">
        <f t="array" ref="I2">_xlfn.XLOOKUP(B2,'Up Stats'!A:A,'Up Stats'!C:C,)</f>
        <v/>
      </c>
      <c r="J2" s="40" t="str">
        <f>IFERROR(__xludf.DUMMYFUNCTION("if(AND(K2=FALSE,L2=FALSE),,if(K2=L2,JOIN("""",""Static: "",K2),JOIN("""",""Min:  "",K2, CHAR(10),""Max: "",L2)))"),"")</f>
        <v/>
      </c>
      <c r="K2" s="42" t="str">
        <f t="array" ref="K2">_xlfn.XLOOKUP(B2,'Up Min'!A:A,'Up Min'!C:C,)</f>
        <v/>
      </c>
      <c r="L2" s="42" t="str">
        <f t="array" ref="L2">_xlfn.XLOOKUP(B2,'Up Max'!A:A,'Up Max'!C:C,)</f>
        <v/>
      </c>
      <c r="M2" s="39" t="str">
        <f t="array" ref="M2">_xlfn.XLOOKUP(B2,'Up Stats'!A:A,'Up Stats'!D:D,)</f>
        <v/>
      </c>
      <c r="N2" s="40" t="str">
        <f>IFERROR(__xludf.DUMMYFUNCTION("if(AND(O2=FALSE,P2=FALSE),,if(O2=P2,JOIN("""",""Static: "",O2),JOIN("""",""Min:  "",O2, CHAR(10),""Max: "",P2)))"),"")</f>
        <v/>
      </c>
      <c r="O2" s="42" t="str">
        <f t="array" ref="O2">_xlfn.XLOOKUP(B2,'Up Min'!A:A,'Up Min'!D:D,)</f>
        <v/>
      </c>
      <c r="P2" s="42" t="str">
        <f t="array" ref="P2">_xlfn.XLOOKUP(B2,'Up Max'!A:A,'Up Max'!D:D,)</f>
        <v/>
      </c>
      <c r="Q2" s="48" t="str">
        <f t="array" ref="Q2">_xlfn.XLOOKUP(B2,'Up Stats'!A:A,'Up Stats'!E:E,)</f>
        <v/>
      </c>
      <c r="R2" s="40" t="str">
        <f>IFERROR(__xludf.DUMMYFUNCTION("if(AND(S2=FALSE,T2=FALSE),,if(S2=T2,JOIN("""",""Static: "",S2),JOIN("""",""Min:  "",S2, CHAR(10),""Max: "",T2)))"),"")</f>
        <v/>
      </c>
      <c r="S2" s="42" t="str">
        <f t="array" ref="S2">_xlfn.XLOOKUP(B2,'Up Min'!A:A,'Up Min'!E:E,)</f>
        <v/>
      </c>
      <c r="T2" s="42" t="str">
        <f t="array" ref="T2">_xlfn.XLOOKUP(B2,'Up Max'!A:A,'Up Max'!E:E,)</f>
        <v/>
      </c>
      <c r="U2" s="48" t="str">
        <f t="array" ref="U2">_xlfn.XLOOKUP(B2,'Up Stats'!A:A,'Up Stats'!F:F,)</f>
        <v/>
      </c>
      <c r="V2" s="40" t="str">
        <f>IFERROR(__xludf.DUMMYFUNCTION("if(AND(W2=FALSE,X2=FALSE),,if(W2=X2,JOIN("""",""Static: "",W2),JOIN("""",""Min:  "",W2, CHAR(10),""Max: "",X2)))"),"")</f>
        <v/>
      </c>
      <c r="W2" s="42" t="str">
        <f t="array" ref="W2">_xlfn.XLOOKUP(B2,'Up Min'!A:A,'Up Min'!F:F,)</f>
        <v/>
      </c>
      <c r="X2" s="42" t="str">
        <f t="array" ref="X2">_xlfn.XLOOKUP(B2,'Up Max'!A:A,'Up Max'!F:F,)</f>
        <v/>
      </c>
      <c r="Y2" s="48" t="str">
        <f t="array" ref="Y2">_xlfn.XLOOKUP(B2,'Up Stats'!A:A,'Up Stats'!G:G,)</f>
        <v/>
      </c>
      <c r="Z2" s="40" t="str">
        <f>IFERROR(__xludf.DUMMYFUNCTION("if(AND(AA2=FALSE,AB2=FALSE),,if(AA2=AB2,JOIN("""",""Static: "",AA2),JOIN("""",""Min:  "",AA2, CHAR(10),""Max: "",AB2)))"),"")</f>
        <v/>
      </c>
      <c r="AA2" s="42" t="str">
        <f t="array" ref="AA2">_xlfn.XLOOKUP(B2,'Up Min'!A:A,'Up Min'!G:G,)</f>
        <v/>
      </c>
      <c r="AB2" s="42" t="str">
        <f t="array" ref="AB2">_xlfn.XLOOKUP(B2,'Up Max'!A:A,'Up Max'!G:G,)</f>
        <v/>
      </c>
      <c r="AC2" s="48" t="str">
        <f t="array" ref="AC2">_xlfn.XLOOKUP(B2,'Up Stats'!A:A,'Up Stats'!H:H,)</f>
        <v/>
      </c>
      <c r="AD2" s="40" t="str">
        <f>IFERROR(__xludf.DUMMYFUNCTION("if(AND(AE2=FALSE,AF2=FALSE),,if(AE2=AF2,JOIN("""",""Static: "",AE2),JOIN("""",""Min:  "",AE2, CHAR(10),""Max: "",AF2)))"),"")</f>
        <v/>
      </c>
      <c r="AE2" s="42" t="str">
        <f t="array" ref="AE2">_xlfn.XLOOKUP(B2,'Up Min'!A:A,'Up Min'!H:H,)</f>
        <v/>
      </c>
      <c r="AF2" s="42" t="str">
        <f t="array" ref="AF2">_xlfn.XLOOKUP(B2,'Up Max'!A:A,'Up Max'!H:H,)</f>
        <v/>
      </c>
      <c r="AG2" s="48" t="str">
        <f t="array" ref="AG2">_xlfn.XLOOKUP(B2,'Up Stats'!A:A,'Up Stats'!I:I,)</f>
        <v/>
      </c>
      <c r="AH2" s="40" t="str">
        <f>IFERROR(__xludf.DUMMYFUNCTION("if(AND(AI2=FALSE,AJ2=FALSE),,if(AI2=AJ2,JOIN("""",""Static: "",AI2),JOIN("""",""Min:  "",AI2, CHAR(10),""Max: "",AJ2)))"),"")</f>
        <v/>
      </c>
      <c r="AI2" s="42" t="str">
        <f t="array" ref="AI2">_xlfn.XLOOKUP(B2,'Up Min'!A:A,'Up Min'!I:I,)</f>
        <v/>
      </c>
      <c r="AJ2" s="42" t="str">
        <f t="array" ref="AJ2">_xlfn.XLOOKUP(B2,'Up Max'!A:A,'Up Max'!I:I,)</f>
        <v/>
      </c>
      <c r="AK2" s="48" t="str">
        <f t="array" ref="AK2">_xlfn.XLOOKUP(B2,'Up Stats'!A:A,'Up Stats'!J:J,)</f>
        <v/>
      </c>
      <c r="AL2" s="40" t="str">
        <f>IFERROR(__xludf.DUMMYFUNCTION("if(AND(AM2=FALSE,AN2=FALSE),,if(AM2=AN2,JOIN("""",""Static: "",AM2),JOIN("""",""Min:  "",AM2, CHAR(10),""Max: "",AN2)))"),"")</f>
        <v/>
      </c>
      <c r="AM2" s="42" t="str">
        <f t="array" ref="AM2">_xlfn.XLOOKUP(B2,'Up Min'!A:A,'Up Min'!J:J,)</f>
        <v/>
      </c>
      <c r="AN2" s="42" t="str">
        <f t="array" ref="AN2">_xlfn.XLOOKUP(B2,'Up Max'!A:A,'Up Max'!J:J,)</f>
        <v/>
      </c>
      <c r="AO2" s="34" t="str">
        <f t="array" ref="AO2">CONCATENATE(_xlfn.XLOOKUP(B2,'Up Cells'!A:A,'Up Cells'!B:B,))</f>
        <v>1</v>
      </c>
      <c r="AP2" s="34" t="str">
        <f t="array" ref="AP2">CONCATENATE(_xlfn.XLOOKUP(B2,'Up Rarity'!A:A,'Up Rarity'!B:B,),CHAR(10),"-")</f>
        <v>Contraband
-</v>
      </c>
    </row>
    <row r="3">
      <c r="A3" s="31" t="str">
        <f t="array" ref="A3">_xlfn.XLOOKUP(B3,'Up Icon'!A:A,'Up Icon'!B:B,)</f>
        <v/>
      </c>
      <c r="B3" s="51" t="str">
        <f t="array" ref="B3">HYPERLINK(_xlfn.XLOOKUP('Up Names'!C33,'Up Wiki'!A:A,'Up Wiki'!B:B,),'Up Names'!C33)</f>
        <v>Multiversal Thievery</v>
      </c>
      <c r="C3" s="52" t="str">
        <f t="array" ref="C3">_xlfn.XLOOKUP(B3,'Up Desc'!A:A,'Up Desc'!B:B,)</f>
        <v>Commandeers 1 column from each of your other upgrade grids.</v>
      </c>
      <c r="D3" s="52" t="str">
        <f t="array" ref="D3">_xlfn.XLOOKUP(B3,'Up Turbo'!A:A,'Up Turbo'!B:B,)</f>
        <v>n/a</v>
      </c>
      <c r="E3" s="53" t="str">
        <f t="array" ref="E3">_xlfn.XLOOKUP(B3,'Up Stats'!A:A,'Up Stats'!B:B,)</f>
        <v/>
      </c>
      <c r="F3" s="54" t="str">
        <f>IFERROR(__xludf.DUMMYFUNCTION("if(AND(G3=FALSE,H3=FALSE),,if(G3=H3,JOIN("""",""Static: "",G3),JOIN("""",""Min:  "",G3, CHAR(10),""Max: "",H3)))"),"")</f>
        <v/>
      </c>
      <c r="G3" s="55" t="str">
        <f t="array" ref="G3">_xlfn.XLOOKUP(B3,'Up Min'!A:A,'Up Min'!B:B,)</f>
        <v/>
      </c>
      <c r="H3" s="56" t="str">
        <f t="array" ref="H3">_xlfn.XLOOKUP(B3,'Up Max'!A:A,'Up Max'!B:B,)</f>
        <v/>
      </c>
      <c r="I3" s="53" t="str">
        <f t="array" ref="I3">_xlfn.XLOOKUP(B3,'Up Stats'!A:A,'Up Stats'!C:C,)</f>
        <v/>
      </c>
      <c r="J3" s="54" t="str">
        <f>IFERROR(__xludf.DUMMYFUNCTION("if(AND(K3=FALSE,L3=FALSE),,if(K3=L3,JOIN("""",""Static: "",K3),JOIN("""",""Min:  "",K3, CHAR(10),""Max: "",L3)))"),"")</f>
        <v/>
      </c>
      <c r="K3" s="55" t="str">
        <f t="array" ref="K3">_xlfn.XLOOKUP(B3,'Up Min'!A:A,'Up Min'!C:C,)</f>
        <v/>
      </c>
      <c r="L3" s="55" t="str">
        <f t="array" ref="L3">_xlfn.XLOOKUP(B3,'Up Max'!A:A,'Up Max'!C:C,)</f>
        <v/>
      </c>
      <c r="M3" s="53" t="str">
        <f t="array" ref="M3">_xlfn.XLOOKUP(B3,'Up Stats'!A:A,'Up Stats'!D:D,)</f>
        <v/>
      </c>
      <c r="N3" s="54" t="str">
        <f>IFERROR(__xludf.DUMMYFUNCTION("if(AND(O3=FALSE,P3=FALSE),,if(O3=P3,JOIN("""",""Static: "",O3),JOIN("""",""Min:  "",O3, CHAR(10),""Max: "",P3)))"),"")</f>
        <v/>
      </c>
      <c r="O3" s="55" t="str">
        <f t="array" ref="O3">_xlfn.XLOOKUP(B3,'Up Min'!A:A,'Up Min'!D:D,)</f>
        <v/>
      </c>
      <c r="P3" s="55" t="str">
        <f t="array" ref="P3">_xlfn.XLOOKUP(B3,'Up Max'!A:A,'Up Max'!D:D,)</f>
        <v/>
      </c>
      <c r="Q3" s="57" t="str">
        <f t="array" ref="Q3">_xlfn.XLOOKUP(B3,'Up Stats'!A:A,'Up Stats'!E:E,)</f>
        <v/>
      </c>
      <c r="R3" s="54" t="str">
        <f>IFERROR(__xludf.DUMMYFUNCTION("if(AND(S3=FALSE,T3=FALSE),,if(S3=T3,JOIN("""",""Static: "",S3),JOIN("""",""Min:  "",S3, CHAR(10),""Max: "",T3)))"),"")</f>
        <v/>
      </c>
      <c r="S3" s="55" t="str">
        <f t="array" ref="S3">_xlfn.XLOOKUP(B3,'Up Min'!A:A,'Up Min'!E:E,)</f>
        <v/>
      </c>
      <c r="T3" s="55" t="str">
        <f t="array" ref="T3">_xlfn.XLOOKUP(B3,'Up Max'!A:A,'Up Max'!E:E,)</f>
        <v/>
      </c>
      <c r="U3" s="57" t="str">
        <f t="array" ref="U3">_xlfn.XLOOKUP(B3,'Up Stats'!A:A,'Up Stats'!F:F,)</f>
        <v/>
      </c>
      <c r="V3" s="54" t="str">
        <f>IFERROR(__xludf.DUMMYFUNCTION("if(AND(W3=FALSE,X3=FALSE),,if(W3=X3,JOIN("""",""Static: "",W3),JOIN("""",""Min:  "",W3, CHAR(10),""Max: "",X3)))"),"")</f>
        <v/>
      </c>
      <c r="W3" s="55" t="str">
        <f t="array" ref="W3">_xlfn.XLOOKUP(B3,'Up Min'!A:A,'Up Min'!F:F,)</f>
        <v/>
      </c>
      <c r="X3" s="55" t="str">
        <f t="array" ref="X3">_xlfn.XLOOKUP(B3,'Up Max'!A:A,'Up Max'!F:F,)</f>
        <v/>
      </c>
      <c r="Y3" s="57" t="str">
        <f t="array" ref="Y3">_xlfn.XLOOKUP(B3,'Up Stats'!A:A,'Up Stats'!G:G,)</f>
        <v/>
      </c>
      <c r="Z3" s="54" t="str">
        <f>IFERROR(__xludf.DUMMYFUNCTION("if(AND(AA3=FALSE,AB3=FALSE),,if(AA3=AB3,JOIN("""",""Static: "",AA3),JOIN("""",""Min:  "",AA3, CHAR(10),""Max: "",AB3)))"),"")</f>
        <v/>
      </c>
      <c r="AA3" s="55" t="str">
        <f t="array" ref="AA3">_xlfn.XLOOKUP(B3,'Up Min'!A:A,'Up Min'!G:G,)</f>
        <v/>
      </c>
      <c r="AB3" s="55" t="str">
        <f t="array" ref="AB3">_xlfn.XLOOKUP(B3,'Up Max'!A:A,'Up Max'!G:G,)</f>
        <v/>
      </c>
      <c r="AC3" s="57" t="str">
        <f t="array" ref="AC3">_xlfn.XLOOKUP(B3,'Up Stats'!A:A,'Up Stats'!H:H,)</f>
        <v/>
      </c>
      <c r="AD3" s="54" t="str">
        <f>IFERROR(__xludf.DUMMYFUNCTION("if(AND(AE3=FALSE,AF3=FALSE),,if(AE3=AF3,JOIN("""",""Static: "",AE3),JOIN("""",""Min:  "",AE3, CHAR(10),""Max: "",AF3)))"),"")</f>
        <v/>
      </c>
      <c r="AE3" s="55" t="str">
        <f t="array" ref="AE3">_xlfn.XLOOKUP(B3,'Up Min'!A:A,'Up Min'!H:H,)</f>
        <v/>
      </c>
      <c r="AF3" s="55" t="str">
        <f t="array" ref="AF3">_xlfn.XLOOKUP(B3,'Up Max'!A:A,'Up Max'!H:H,)</f>
        <v/>
      </c>
      <c r="AG3" s="57" t="str">
        <f t="array" ref="AG3">_xlfn.XLOOKUP(B3,'Up Stats'!A:A,'Up Stats'!I:I,)</f>
        <v/>
      </c>
      <c r="AH3" s="54" t="str">
        <f>IFERROR(__xludf.DUMMYFUNCTION("if(AND(AI3=FALSE,AJ3=FALSE),,if(AI3=AJ3,JOIN("""",""Static: "",AI3),JOIN("""",""Min:  "",AI3, CHAR(10),""Max: "",AJ3)))"),"")</f>
        <v/>
      </c>
      <c r="AI3" s="55" t="str">
        <f t="array" ref="AI3">_xlfn.XLOOKUP(B3,'Up Min'!A:A,'Up Min'!I:I,)</f>
        <v/>
      </c>
      <c r="AJ3" s="55" t="str">
        <f t="array" ref="AJ3">_xlfn.XLOOKUP(B3,'Up Max'!A:A,'Up Max'!I:I,)</f>
        <v/>
      </c>
      <c r="AK3" s="57" t="str">
        <f t="array" ref="AK3">_xlfn.XLOOKUP(B3,'Up Stats'!A:A,'Up Stats'!J:J,)</f>
        <v/>
      </c>
      <c r="AL3" s="54" t="str">
        <f>IFERROR(__xludf.DUMMYFUNCTION("if(AND(AM3=FALSE,AN3=FALSE),,if(AM3=AN3,JOIN("""",""Static: "",AM3),JOIN("""",""Min:  "",AM3, CHAR(10),""Max: "",AN3)))"),"")</f>
        <v/>
      </c>
      <c r="AM3" s="55" t="str">
        <f t="array" ref="AM3">_xlfn.XLOOKUP(B3,'Up Min'!A:A,'Up Min'!J:J,)</f>
        <v/>
      </c>
      <c r="AN3" s="55" t="str">
        <f t="array" ref="AN3">_xlfn.XLOOKUP(B3,'Up Max'!A:A,'Up Max'!J:J,)</f>
        <v/>
      </c>
      <c r="AO3" s="51" t="str">
        <f t="array" ref="AO3">CONCATENATE(_xlfn.XLOOKUP(B3,'Up Cells'!A:A,'Up Cells'!B:B,))</f>
        <v>1</v>
      </c>
      <c r="AP3" s="51" t="str">
        <f t="array" ref="AP3">CONCATENATE(_xlfn.XLOOKUP(B3,'Up Rarity'!A:A,'Up Rarity'!B:B,),CHAR(10),"-")</f>
        <v>Contraband
-</v>
      </c>
    </row>
    <row r="4">
      <c r="A4" s="60" t="str">
        <f t="array" ref="A4">_xlfn.XLOOKUP(B4,'Up Icon'!A:A,'Up Icon'!B:B,)</f>
        <v/>
      </c>
      <c r="B4" s="34" t="str">
        <f t="array" ref="B4">HYPERLINK(_xlfn.XLOOKUP('Up Names'!C34,'Up Wiki'!A:A,'Up Wiki'!B:B,),'Up Names'!C34)</f>
        <v>Boundary Incursion</v>
      </c>
      <c r="C4" s="37" t="str">
        <f t="array" ref="C4">_xlfn.XLOOKUP(B4,'Up Desc'!A:A,'Up Desc'!B:B,)</f>
        <v>Increases the size of your upgrade grid.</v>
      </c>
      <c r="D4" s="37" t="str">
        <f t="array" ref="D4">_xlfn.XLOOKUP(B4,'Up Turbo'!A:A,'Up Turbo'!B:B,)</f>
        <v>n/a</v>
      </c>
      <c r="E4" s="39" t="str">
        <f t="array" ref="E4">_xlfn.XLOOKUP(B4,'Up Stats'!A:A,'Up Stats'!B:B,)</f>
        <v/>
      </c>
      <c r="F4" s="40" t="str">
        <f>IFERROR(__xludf.DUMMYFUNCTION("if(AND(G4=FALSE,H4=FALSE),,if(G4=H4,JOIN("""",""Static: "",G4),JOIN("""",""Min:  "",G4, CHAR(10),""Max: "",H4)))"),"")</f>
        <v/>
      </c>
      <c r="G4" s="42" t="str">
        <f t="array" ref="G4">_xlfn.XLOOKUP(B4,'Up Min'!A:A,'Up Min'!B:B,)</f>
        <v/>
      </c>
      <c r="H4" s="45" t="str">
        <f t="array" ref="H4">_xlfn.XLOOKUP(B4,'Up Max'!A:A,'Up Max'!B:B,)</f>
        <v/>
      </c>
      <c r="I4" s="39" t="str">
        <f t="array" ref="I4">_xlfn.XLOOKUP(B4,'Up Stats'!A:A,'Up Stats'!C:C,)</f>
        <v/>
      </c>
      <c r="J4" s="40" t="str">
        <f>IFERROR(__xludf.DUMMYFUNCTION("if(AND(K4=FALSE,L4=FALSE),,if(K4=L4,JOIN("""",""Static: "",K4),JOIN("""",""Min:  "",K4, CHAR(10),""Max: "",L4)))"),"")</f>
        <v/>
      </c>
      <c r="K4" s="42" t="str">
        <f t="array" ref="K4">_xlfn.XLOOKUP(B4,'Up Min'!A:A,'Up Min'!C:C,)</f>
        <v/>
      </c>
      <c r="L4" s="42" t="str">
        <f t="array" ref="L4">_xlfn.XLOOKUP(B4,'Up Max'!A:A,'Up Max'!C:C,)</f>
        <v/>
      </c>
      <c r="M4" s="39" t="str">
        <f t="array" ref="M4">_xlfn.XLOOKUP(B4,'Up Stats'!A:A,'Up Stats'!D:D,)</f>
        <v/>
      </c>
      <c r="N4" s="40" t="str">
        <f>IFERROR(__xludf.DUMMYFUNCTION("if(AND(O4=FALSE,P4=FALSE),,if(O4=P4,JOIN("""",""Static: "",O4),JOIN("""",""Min:  "",O4, CHAR(10),""Max: "",P4)))"),"")</f>
        <v/>
      </c>
      <c r="O4" s="42" t="str">
        <f t="array" ref="O4">_xlfn.XLOOKUP(B4,'Up Min'!A:A,'Up Min'!D:D,)</f>
        <v/>
      </c>
      <c r="P4" s="42" t="str">
        <f t="array" ref="P4">_xlfn.XLOOKUP(B4,'Up Max'!A:A,'Up Max'!D:D,)</f>
        <v/>
      </c>
      <c r="Q4" s="48" t="str">
        <f t="array" ref="Q4">_xlfn.XLOOKUP(B4,'Up Stats'!A:A,'Up Stats'!E:E,)</f>
        <v/>
      </c>
      <c r="R4" s="40" t="str">
        <f>IFERROR(__xludf.DUMMYFUNCTION("if(AND(S4=FALSE,T4=FALSE),,if(S4=T4,JOIN("""",""Static: "",S4),JOIN("""",""Min:  "",S4, CHAR(10),""Max: "",T4)))"),"")</f>
        <v/>
      </c>
      <c r="S4" s="42" t="str">
        <f t="array" ref="S4">_xlfn.XLOOKUP(B4,'Up Min'!A:A,'Up Min'!E:E,)</f>
        <v/>
      </c>
      <c r="T4" s="42" t="str">
        <f t="array" ref="T4">_xlfn.XLOOKUP(B4,'Up Max'!A:A,'Up Max'!E:E,)</f>
        <v/>
      </c>
      <c r="U4" s="48" t="str">
        <f t="array" ref="U4">_xlfn.XLOOKUP(B4,'Up Stats'!A:A,'Up Stats'!F:F,)</f>
        <v/>
      </c>
      <c r="V4" s="40" t="str">
        <f>IFERROR(__xludf.DUMMYFUNCTION("if(AND(W4=FALSE,X4=FALSE),,if(W4=X4,JOIN("""",""Static: "",W4),JOIN("""",""Min:  "",W4, CHAR(10),""Max: "",X4)))"),"")</f>
        <v/>
      </c>
      <c r="W4" s="42" t="str">
        <f t="array" ref="W4">_xlfn.XLOOKUP(B4,'Up Min'!A:A,'Up Min'!F:F,)</f>
        <v/>
      </c>
      <c r="X4" s="42" t="str">
        <f t="array" ref="X4">_xlfn.XLOOKUP(B4,'Up Max'!A:A,'Up Max'!F:F,)</f>
        <v/>
      </c>
      <c r="Y4" s="48" t="str">
        <f t="array" ref="Y4">_xlfn.XLOOKUP(B4,'Up Stats'!A:A,'Up Stats'!G:G,)</f>
        <v/>
      </c>
      <c r="Z4" s="40" t="str">
        <f>IFERROR(__xludf.DUMMYFUNCTION("if(AND(AA4=FALSE,AB4=FALSE),,if(AA4=AB4,JOIN("""",""Static: "",AA4),JOIN("""",""Min:  "",AA4, CHAR(10),""Max: "",AB4)))"),"")</f>
        <v/>
      </c>
      <c r="AA4" s="42" t="str">
        <f t="array" ref="AA4">_xlfn.XLOOKUP(B4,'Up Min'!A:A,'Up Min'!G:G,)</f>
        <v/>
      </c>
      <c r="AB4" s="42" t="str">
        <f t="array" ref="AB4">_xlfn.XLOOKUP(B4,'Up Max'!A:A,'Up Max'!G:G,)</f>
        <v/>
      </c>
      <c r="AC4" s="48" t="str">
        <f t="array" ref="AC4">_xlfn.XLOOKUP(B4,'Up Stats'!A:A,'Up Stats'!H:H,)</f>
        <v/>
      </c>
      <c r="AD4" s="40" t="str">
        <f>IFERROR(__xludf.DUMMYFUNCTION("if(AND(AE4=FALSE,AF4=FALSE),,if(AE4=AF4,JOIN("""",""Static: "",AE4),JOIN("""",""Min:  "",AE4, CHAR(10),""Max: "",AF4)))"),"")</f>
        <v/>
      </c>
      <c r="AE4" s="42" t="str">
        <f t="array" ref="AE4">_xlfn.XLOOKUP(B4,'Up Min'!A:A,'Up Min'!H:H,)</f>
        <v/>
      </c>
      <c r="AF4" s="42" t="str">
        <f t="array" ref="AF4">_xlfn.XLOOKUP(B4,'Up Max'!A:A,'Up Max'!H:H,)</f>
        <v/>
      </c>
      <c r="AG4" s="48" t="str">
        <f t="array" ref="AG4">_xlfn.XLOOKUP(B4,'Up Stats'!A:A,'Up Stats'!I:I,)</f>
        <v/>
      </c>
      <c r="AH4" s="40" t="str">
        <f>IFERROR(__xludf.DUMMYFUNCTION("if(AND(AI4=FALSE,AJ4=FALSE),,if(AI4=AJ4,JOIN("""",""Static: "",AI4),JOIN("""",""Min:  "",AI4, CHAR(10),""Max: "",AJ4)))"),"")</f>
        <v/>
      </c>
      <c r="AI4" s="42" t="str">
        <f t="array" ref="AI4">_xlfn.XLOOKUP(B4,'Up Min'!A:A,'Up Min'!I:I,)</f>
        <v/>
      </c>
      <c r="AJ4" s="42" t="str">
        <f t="array" ref="AJ4">_xlfn.XLOOKUP(B4,'Up Max'!A:A,'Up Max'!I:I,)</f>
        <v/>
      </c>
      <c r="AK4" s="48" t="str">
        <f t="array" ref="AK4">_xlfn.XLOOKUP(B4,'Up Stats'!A:A,'Up Stats'!J:J,)</f>
        <v/>
      </c>
      <c r="AL4" s="40" t="str">
        <f>IFERROR(__xludf.DUMMYFUNCTION("if(AND(AM4=FALSE,AN4=FALSE),,if(AM4=AN4,JOIN("""",""Static: "",AM4),JOIN("""",""Min:  "",AM4, CHAR(10),""Max: "",AN4)))"),"")</f>
        <v/>
      </c>
      <c r="AM4" s="42" t="str">
        <f t="array" ref="AM4">_xlfn.XLOOKUP(B4,'Up Min'!A:A,'Up Min'!J:J,)</f>
        <v/>
      </c>
      <c r="AN4" s="42" t="str">
        <f t="array" ref="AN4">_xlfn.XLOOKUP(B4,'Up Max'!A:A,'Up Max'!J:J,)</f>
        <v/>
      </c>
      <c r="AO4" s="34" t="str">
        <f t="array" ref="AO4">CONCATENATE(_xlfn.XLOOKUP(B4,'Up Cells'!A:A,'Up Cells'!B:B,))</f>
        <v>1</v>
      </c>
      <c r="AP4" s="34" t="str">
        <f t="array" ref="AP4">CONCATENATE(_xlfn.XLOOKUP(B4,'Up Rarity'!A:A,'Up Rarity'!B:B,),CHAR(10),"-")</f>
        <v>Oddity
-</v>
      </c>
    </row>
    <row r="5">
      <c r="A5" s="62" t="str">
        <f t="array" ref="A5">_xlfn.XLOOKUP(B5,'Up Icon'!A:A,'Up Icon'!B:B,)</f>
        <v/>
      </c>
      <c r="B5" s="63" t="str">
        <f t="array" ref="B5">HYPERLINK(_xlfn.XLOOKUP('Up Names'!C2,'Up Wiki'!A:A,'Up Wiki'!B:B,),'Up Names'!C2)</f>
        <v>Breeding Season</v>
      </c>
      <c r="C5" s="52" t="str">
        <f t="array" ref="C5">_xlfn.XLOOKUP(B5,'Up Desc'!A:A,'Up Desc'!B:B,)</f>
        <v>While firing, extra pellets are created from nearby players who have a Swarm Launcher equipped.</v>
      </c>
      <c r="D5" s="52" t="str">
        <f t="array" ref="D5">_xlfn.XLOOKUP(B5,'Up Turbo'!A:A,'Up Turbo'!B:B,)</f>
        <v>[Redacted]</v>
      </c>
      <c r="E5" s="53" t="str">
        <f t="array" ref="E5">_xlfn.XLOOKUP(B5,'Up Stats'!A:A,'Up Stats'!B:B,)</f>
        <v>Radius</v>
      </c>
      <c r="F5" s="54" t="str">
        <f>IFERROR(__xludf.DUMMYFUNCTION("if(AND(G5=FALSE,H5=FALSE),,if(G5=H5,JOIN("""",""Static: "",G5),JOIN("""",""Min:  "",G5, CHAR(10),""Max: "",H5)))"),"Min:  18
Max: 31.2")</f>
        <v>Min:  18
Max: 31.2</v>
      </c>
      <c r="G5" s="64">
        <f t="array" ref="G5">_xlfn.XLOOKUP(B5,'Up Min'!A:A,'Up Min'!B:B,)</f>
        <v>18</v>
      </c>
      <c r="H5" s="65">
        <f t="array" ref="H5">_xlfn.XLOOKUP(B5,'Up Max'!A:A,'Up Max'!B:B,)</f>
        <v>31.2</v>
      </c>
      <c r="I5" s="53" t="str">
        <f t="array" ref="I5">_xlfn.XLOOKUP(B5,'Up Stats'!A:A,'Up Stats'!C:C,)</f>
        <v/>
      </c>
      <c r="J5" s="54" t="str">
        <f>IFERROR(__xludf.DUMMYFUNCTION("if(AND(K5=FALSE,L5=FALSE),,if(K5=L5,JOIN("""",""Static: "",K5),JOIN("""",""Min:  "",K5, CHAR(10),""Max: "",L5)))"),"")</f>
        <v/>
      </c>
      <c r="K5" s="65" t="str">
        <f t="array" ref="K5">_xlfn.XLOOKUP(B5,'Up Min'!A:A,'Up Min'!C:C,)</f>
        <v/>
      </c>
      <c r="L5" s="64" t="str">
        <f t="array" ref="L5">_xlfn.XLOOKUP(B5,'Up Max'!A:A,'Up Max'!C:C,)</f>
        <v/>
      </c>
      <c r="M5" s="53" t="str">
        <f t="array" ref="M5">_xlfn.XLOOKUP(B5,'Up Stats'!A:A,'Up Stats'!D:D,)</f>
        <v/>
      </c>
      <c r="N5" s="54" t="str">
        <f>IFERROR(__xludf.DUMMYFUNCTION("if(AND(O5=FALSE,P5=FALSE),,if(O5=P5,JOIN("""",""Static: "",O5),JOIN("""",""Min:  "",O5, CHAR(10),""Max: "",P5)))"),"")</f>
        <v/>
      </c>
      <c r="O5" s="55" t="str">
        <f t="array" ref="O5">_xlfn.XLOOKUP(B5,'Up Min'!A:A,'Up Min'!D:D,)</f>
        <v/>
      </c>
      <c r="P5" s="55" t="str">
        <f t="array" ref="P5">_xlfn.XLOOKUP(B5,'Up Max'!A:A,'Up Max'!D:D,)</f>
        <v/>
      </c>
      <c r="Q5" s="57" t="str">
        <f t="array" ref="Q5">_xlfn.XLOOKUP(B5,'Up Stats'!A:A,'Up Stats'!E:E,)</f>
        <v/>
      </c>
      <c r="R5" s="54" t="str">
        <f>IFERROR(__xludf.DUMMYFUNCTION("if(AND(S5=FALSE,T5=FALSE),,if(S5=T5,JOIN("""",""Static: "",S5),JOIN("""",""Min:  "",S5, CHAR(10),""Max: "",T5)))"),"")</f>
        <v/>
      </c>
      <c r="S5" s="55" t="str">
        <f t="array" ref="S5">_xlfn.XLOOKUP(B5,'Up Min'!A:A,'Up Min'!E:E,)</f>
        <v/>
      </c>
      <c r="T5" s="55" t="str">
        <f t="array" ref="T5">_xlfn.XLOOKUP(B5,'Up Max'!A:A,'Up Max'!E:E,)</f>
        <v/>
      </c>
      <c r="U5" s="57" t="str">
        <f t="array" ref="U5">_xlfn.XLOOKUP(B5,'Up Stats'!A:A,'Up Stats'!F:F,)</f>
        <v/>
      </c>
      <c r="V5" s="54" t="str">
        <f>IFERROR(__xludf.DUMMYFUNCTION("if(AND(W5=FALSE,X5=FALSE),,if(W5=X5,JOIN("""",""Static: "",W5),JOIN("""",""Min:  "",W5, CHAR(10),""Max: "",X5)))"),"")</f>
        <v/>
      </c>
      <c r="W5" s="55" t="str">
        <f t="array" ref="W5">_xlfn.XLOOKUP(B5,'Up Min'!A:A,'Up Min'!F:F,)</f>
        <v/>
      </c>
      <c r="X5" s="55" t="str">
        <f t="array" ref="X5">_xlfn.XLOOKUP(B5,'Up Max'!A:A,'Up Max'!F:F,)</f>
        <v/>
      </c>
      <c r="Y5" s="57" t="str">
        <f t="array" ref="Y5">_xlfn.XLOOKUP(B5,'Up Stats'!A:A,'Up Stats'!G:G,)</f>
        <v/>
      </c>
      <c r="Z5" s="54" t="str">
        <f>IFERROR(__xludf.DUMMYFUNCTION("if(AND(AA5=FALSE,AB5=FALSE),,if(AA5=AB5,JOIN("""",""Static: "",AA5),JOIN("""",""Min:  "",AA5, CHAR(10),""Max: "",AB5)))"),"")</f>
        <v/>
      </c>
      <c r="AA5" s="55" t="str">
        <f t="array" ref="AA5">_xlfn.XLOOKUP(B5,'Up Min'!A:A,'Up Min'!G:G,)</f>
        <v/>
      </c>
      <c r="AB5" s="55" t="str">
        <f t="array" ref="AB5">_xlfn.XLOOKUP(B5,'Up Max'!A:A,'Up Max'!G:G,)</f>
        <v/>
      </c>
      <c r="AC5" s="57" t="str">
        <f t="array" ref="AC5">_xlfn.XLOOKUP(B5,'Up Stats'!A:A,'Up Stats'!H:H,)</f>
        <v/>
      </c>
      <c r="AD5" s="54" t="str">
        <f>IFERROR(__xludf.DUMMYFUNCTION("if(AND(AE5=FALSE,AF5=FALSE),,if(AE5=AF5,JOIN("""",""Static: "",AE5),JOIN("""",""Min:  "",AE5, CHAR(10),""Max: "",AF5)))"),"")</f>
        <v/>
      </c>
      <c r="AE5" s="55" t="str">
        <f t="array" ref="AE5">_xlfn.XLOOKUP(B5,'Up Min'!A:A,'Up Min'!H:H,)</f>
        <v/>
      </c>
      <c r="AF5" s="55" t="str">
        <f t="array" ref="AF5">_xlfn.XLOOKUP(B5,'Up Max'!A:A,'Up Max'!H:H,)</f>
        <v/>
      </c>
      <c r="AG5" s="57" t="str">
        <f t="array" ref="AG5">_xlfn.XLOOKUP(B5,'Up Stats'!A:A,'Up Stats'!I:I,)</f>
        <v/>
      </c>
      <c r="AH5" s="54" t="str">
        <f>IFERROR(__xludf.DUMMYFUNCTION("if(AND(AI5=FALSE,AJ5=FALSE),,if(AI5=AJ5,JOIN("""",""Static: "",AI5),JOIN("""",""Min:  "",AI5, CHAR(10),""Max: "",AJ5)))"),"")</f>
        <v/>
      </c>
      <c r="AI5" s="55" t="str">
        <f t="array" ref="AI5">_xlfn.XLOOKUP(B5,'Up Min'!A:A,'Up Min'!I:I,)</f>
        <v/>
      </c>
      <c r="AJ5" s="55" t="str">
        <f t="array" ref="AJ5">_xlfn.XLOOKUP(B5,'Up Max'!A:A,'Up Max'!I:I,)</f>
        <v/>
      </c>
      <c r="AK5" s="57" t="str">
        <f t="array" ref="AK5">_xlfn.XLOOKUP(B5,'Up Stats'!A:A,'Up Stats'!J:J,)</f>
        <v/>
      </c>
      <c r="AL5" s="54" t="str">
        <f>IFERROR(__xludf.DUMMYFUNCTION("if(AND(AM5=FALSE,AN5=FALSE),,if(AM5=AN5,JOIN("""",""Static: "",AM5),JOIN("""",""Min:  "",AM5, CHAR(10),""Max: "",AN5)))"),"")</f>
        <v/>
      </c>
      <c r="AM5" s="55" t="str">
        <f t="array" ref="AM5">_xlfn.XLOOKUP(B5,'Up Min'!A:A,'Up Min'!J:J,)</f>
        <v/>
      </c>
      <c r="AN5" s="55" t="str">
        <f t="array" ref="AN5">_xlfn.XLOOKUP(B5,'Up Max'!A:A,'Up Max'!J:J,)</f>
        <v/>
      </c>
      <c r="AO5" s="51" t="str">
        <f t="array" ref="AO5">CONCATENATE(_xlfn.XLOOKUP(B5,'Up Cells'!A:A,'Up Cells'!B:B,))</f>
        <v>6</v>
      </c>
      <c r="AP5" s="51" t="str">
        <f t="array" ref="AP5">CONCATENATE(_xlfn.XLOOKUP(B5,'Up Rarity'!A:A,'Up Rarity'!B:B,),CHAR(10),"-")</f>
        <v>Exotic
-</v>
      </c>
    </row>
    <row r="6">
      <c r="A6" s="62" t="str">
        <f t="array" ref="A6">_xlfn.XLOOKUP(B6,'Up Icon'!A:A,'Up Icon'!B:B,)</f>
        <v/>
      </c>
      <c r="B6" s="66" t="str">
        <f t="array" ref="B6">HYPERLINK(_xlfn.XLOOKUP('Up Names'!C3,'Up Wiki'!A:A,'Up Wiki'!B:B,),'Up Names'!C3)</f>
        <v>Explosive Pellets</v>
      </c>
      <c r="C6" s="67" t="str">
        <f t="array" ref="C6">_xlfn.XLOOKUP(B6,'Up Desc'!A:A,'Up Desc'!B:B,)</f>
        <v>Pellets explode but deal less damage.</v>
      </c>
      <c r="D6" s="37" t="str">
        <f t="array" ref="D6">_xlfn.XLOOKUP(B6,'Up Turbo'!A:A,'Up Turbo'!B:B,)</f>
        <v/>
      </c>
      <c r="E6" s="39" t="str">
        <f t="array" ref="E6">_xlfn.XLOOKUP(B6,'Up Stats'!A:A,'Up Stats'!B:B,)</f>
        <v>Damage</v>
      </c>
      <c r="F6" s="40" t="str">
        <f>IFERROR(__xludf.DUMMYFUNCTION("if(AND(G6=FALSE,H6=FALSE),,if(G6=H6,JOIN("""",""Static: "",G6),JOIN("""",""Min:  "",G6, CHAR(10),""Max: "",H6)))"),"Min:  -54%
Max: -46%")</f>
        <v>Min:  -54%
Max: -46%</v>
      </c>
      <c r="G6" s="41">
        <f t="array" ref="G6">_xlfn.XLOOKUP(B6,'Up Min'!A:A,'Up Min'!B:B,)</f>
        <v>-0.54</v>
      </c>
      <c r="H6" s="41">
        <f t="array" ref="H6">_xlfn.XLOOKUP(B6,'Up Max'!A:A,'Up Max'!B:B,)</f>
        <v>-0.46</v>
      </c>
      <c r="I6" s="39" t="str">
        <f t="array" ref="I6">_xlfn.XLOOKUP(B6,'Up Stats'!A:A,'Up Stats'!C:C,)</f>
        <v>Explosion Size</v>
      </c>
      <c r="J6" s="40" t="str">
        <f>IFERROR(__xludf.DUMMYFUNCTION("if(AND(K6=FALSE,L6=FALSE),,if(K6=L6,JOIN("""",""Static: "",K6),JOIN("""",""Min:  "",K6, CHAR(10),""Max: "",L6)))"),"Min:  0.47
Max: 0.6")</f>
        <v>Min:  0.47
Max: 0.6</v>
      </c>
      <c r="K6" s="68">
        <f t="array" ref="K6">_xlfn.XLOOKUP(B6,'Up Min'!A:A,'Up Min'!C:C,)</f>
        <v>0.47</v>
      </c>
      <c r="L6" s="69">
        <f t="array" ref="L6">_xlfn.XLOOKUP(B6,'Up Max'!A:A,'Up Max'!C:C,)</f>
        <v>0.6</v>
      </c>
      <c r="M6" s="39" t="str">
        <f t="array" ref="M6">_xlfn.XLOOKUP(B6,'Up Stats'!A:A,'Up Stats'!D:D,)</f>
        <v/>
      </c>
      <c r="N6" s="40" t="str">
        <f>IFERROR(__xludf.DUMMYFUNCTION("if(AND(O6=FALSE,P6=FALSE),,if(O6=P6,JOIN("""",""Static: "",O6),JOIN("""",""Min:  "",O6, CHAR(10),""Max: "",P6)))"),"")</f>
        <v/>
      </c>
      <c r="O6" s="42" t="str">
        <f t="array" ref="O6">_xlfn.XLOOKUP(B6,'Up Min'!A:A,'Up Min'!D:D,)</f>
        <v/>
      </c>
      <c r="P6" s="42" t="str">
        <f t="array" ref="P6">_xlfn.XLOOKUP(B6,'Up Max'!A:A,'Up Max'!D:D,)</f>
        <v/>
      </c>
      <c r="Q6" s="48" t="str">
        <f t="array" ref="Q6">_xlfn.XLOOKUP(B6,'Up Stats'!A:A,'Up Stats'!E:E,)</f>
        <v/>
      </c>
      <c r="R6" s="40" t="str">
        <f>IFERROR(__xludf.DUMMYFUNCTION("if(AND(S6=FALSE,T6=FALSE),,if(S6=T6,JOIN("""",""Static: "",S6),JOIN("""",""Min:  "",S6, CHAR(10),""Max: "",T6)))"),"")</f>
        <v/>
      </c>
      <c r="S6" s="42" t="str">
        <f t="array" ref="S6">_xlfn.XLOOKUP(B6,'Up Min'!A:A,'Up Min'!E:E,)</f>
        <v/>
      </c>
      <c r="T6" s="42" t="str">
        <f t="array" ref="T6">_xlfn.XLOOKUP(B6,'Up Max'!A:A,'Up Max'!E:E,)</f>
        <v/>
      </c>
      <c r="U6" s="48" t="str">
        <f t="array" ref="U6">_xlfn.XLOOKUP(B6,'Up Stats'!A:A,'Up Stats'!F:F,)</f>
        <v/>
      </c>
      <c r="V6" s="40" t="str">
        <f>IFERROR(__xludf.DUMMYFUNCTION("if(AND(W6=FALSE,X6=FALSE),,if(W6=X6,JOIN("""",""Static: "",W6),JOIN("""",""Min:  "",W6, CHAR(10),""Max: "",X6)))"),"")</f>
        <v/>
      </c>
      <c r="W6" s="42" t="str">
        <f t="array" ref="W6">_xlfn.XLOOKUP(B6,'Up Min'!A:A,'Up Min'!F:F,)</f>
        <v/>
      </c>
      <c r="X6" s="42" t="str">
        <f t="array" ref="X6">_xlfn.XLOOKUP(B6,'Up Max'!A:A,'Up Max'!F:F,)</f>
        <v/>
      </c>
      <c r="Y6" s="48" t="str">
        <f t="array" ref="Y6">_xlfn.XLOOKUP(B6,'Up Stats'!A:A,'Up Stats'!G:G,)</f>
        <v/>
      </c>
      <c r="Z6" s="40" t="str">
        <f>IFERROR(__xludf.DUMMYFUNCTION("if(AND(AA6=FALSE,AB6=FALSE),,if(AA6=AB6,JOIN("""",""Static: "",AA6),JOIN("""",""Min:  "",AA6, CHAR(10),""Max: "",AB6)))"),"")</f>
        <v/>
      </c>
      <c r="AA6" s="42" t="str">
        <f t="array" ref="AA6">_xlfn.XLOOKUP(B6,'Up Min'!A:A,'Up Min'!G:G,)</f>
        <v/>
      </c>
      <c r="AB6" s="42" t="str">
        <f t="array" ref="AB6">_xlfn.XLOOKUP(B6,'Up Max'!A:A,'Up Max'!G:G,)</f>
        <v/>
      </c>
      <c r="AC6" s="48" t="str">
        <f t="array" ref="AC6">_xlfn.XLOOKUP(B6,'Up Stats'!A:A,'Up Stats'!H:H,)</f>
        <v/>
      </c>
      <c r="AD6" s="40" t="str">
        <f>IFERROR(__xludf.DUMMYFUNCTION("if(AND(AE6=FALSE,AF6=FALSE),,if(AE6=AF6,JOIN("""",""Static: "",AE6),JOIN("""",""Min:  "",AE6, CHAR(10),""Max: "",AF6)))"),"")</f>
        <v/>
      </c>
      <c r="AE6" s="42" t="str">
        <f t="array" ref="AE6">_xlfn.XLOOKUP(B6,'Up Min'!A:A,'Up Min'!H:H,)</f>
        <v/>
      </c>
      <c r="AF6" s="42" t="str">
        <f t="array" ref="AF6">_xlfn.XLOOKUP(B6,'Up Max'!A:A,'Up Max'!H:H,)</f>
        <v/>
      </c>
      <c r="AG6" s="48" t="str">
        <f t="array" ref="AG6">_xlfn.XLOOKUP(B6,'Up Stats'!A:A,'Up Stats'!I:I,)</f>
        <v/>
      </c>
      <c r="AH6" s="40" t="str">
        <f>IFERROR(__xludf.DUMMYFUNCTION("if(AND(AI6=FALSE,AJ6=FALSE),,if(AI6=AJ6,JOIN("""",""Static: "",AI6),JOIN("""",""Min:  "",AI6, CHAR(10),""Max: "",AJ6)))"),"")</f>
        <v/>
      </c>
      <c r="AI6" s="42" t="str">
        <f t="array" ref="AI6">_xlfn.XLOOKUP(B6,'Up Min'!A:A,'Up Min'!I:I,)</f>
        <v/>
      </c>
      <c r="AJ6" s="42" t="str">
        <f t="array" ref="AJ6">_xlfn.XLOOKUP(B6,'Up Max'!A:A,'Up Max'!I:I,)</f>
        <v/>
      </c>
      <c r="AK6" s="48" t="str">
        <f t="array" ref="AK6">_xlfn.XLOOKUP(B6,'Up Stats'!A:A,'Up Stats'!J:J,)</f>
        <v/>
      </c>
      <c r="AL6" s="40" t="str">
        <f>IFERROR(__xludf.DUMMYFUNCTION("if(AND(AM6=FALSE,AN6=FALSE),,if(AM6=AN6,JOIN("""",""Static: "",AM6),JOIN("""",""Min:  "",AM6, CHAR(10),""Max: "",AN6)))"),"")</f>
        <v/>
      </c>
      <c r="AM6" s="42" t="str">
        <f t="array" ref="AM6">_xlfn.XLOOKUP(B6,'Up Min'!A:A,'Up Min'!J:J,)</f>
        <v/>
      </c>
      <c r="AN6" s="42" t="str">
        <f t="array" ref="AN6">_xlfn.XLOOKUP(B6,'Up Max'!A:A,'Up Max'!J:J,)</f>
        <v/>
      </c>
      <c r="AO6" s="34" t="str">
        <f t="array" ref="AO6">CONCATENATE(_xlfn.XLOOKUP(B6,'Up Cells'!A:A,'Up Cells'!B:B,))</f>
        <v>8</v>
      </c>
      <c r="AP6" s="34" t="str">
        <f t="array" ref="AP6">CONCATENATE(_xlfn.XLOOKUP(B6,'Up Rarity'!A:A,'Up Rarity'!B:B,),CHAR(10),"-")</f>
        <v>Exotic
-</v>
      </c>
    </row>
    <row r="7">
      <c r="A7" s="62" t="str">
        <f t="array" ref="A7">_xlfn.XLOOKUP(B7,'Up Icon'!A:A,'Up Icon'!B:B,)</f>
        <v/>
      </c>
      <c r="B7" s="63" t="str">
        <f t="array" ref="B7">HYPERLINK(_xlfn.XLOOKUP('Up Names'!C4,'Up Wiki'!A:A,'Up Wiki'!B:B,),'Up Names'!C4)</f>
        <v>Mitosis</v>
      </c>
      <c r="C7" s="70" t="str">
        <f t="array" ref="C7">_xlfn.XLOOKUP(B7,'Up Desc'!A:A,'Up Desc'!B:B,)</f>
        <v>Hovering pellets consume your ammo reserves to release a rain of diving pellets that deal reduced damage.</v>
      </c>
      <c r="D7" s="52" t="str">
        <f t="array" ref="D7">_xlfn.XLOOKUP(B7,'Up Turbo'!A:A,'Up Turbo'!B:B,)</f>
        <v/>
      </c>
      <c r="E7" s="53" t="str">
        <f t="array" ref="E7">_xlfn.XLOOKUP(B7,'Up Stats'!A:A,'Up Stats'!B:B,)</f>
        <v>Chance per Pellet</v>
      </c>
      <c r="F7" s="54" t="str">
        <f>IFERROR(__xludf.DUMMYFUNCTION("if(AND(G7=FALSE,H7=FALSE),,if(G7=H7,JOIN("""",""Static: "",G7),JOIN("""",""Min:  "",G7, CHAR(10),""Max: "",H7)))"),"Min:  1.50%
Max: 2.20%")</f>
        <v>Min:  1.50%
Max: 2.20%</v>
      </c>
      <c r="G7" s="71">
        <f t="array" ref="G7">_xlfn.XLOOKUP(B7,'Up Min'!A:A,'Up Min'!B:B,)</f>
        <v>0.015</v>
      </c>
      <c r="H7" s="71">
        <f t="array" ref="H7">_xlfn.XLOOKUP(B7,'Up Max'!A:A,'Up Max'!B:B,)</f>
        <v>0.022</v>
      </c>
      <c r="I7" s="53" t="str">
        <f t="array" ref="I7">_xlfn.XLOOKUP(B7,'Up Stats'!A:A,'Up Stats'!C:C,)</f>
        <v>Ammo Cost</v>
      </c>
      <c r="J7" s="54" t="str">
        <f>IFERROR(__xludf.DUMMYFUNCTION("if(AND(K7=FALSE,L7=FALSE),,if(K7=L7,JOIN("""",""Static: "",K7),JOIN("""",""Min:  "",K7, CHAR(10),""Max: "",L7)))"),"Min:  0.77
Max: 1")</f>
        <v>Min:  0.77
Max: 1</v>
      </c>
      <c r="K7" s="65">
        <f t="array" ref="K7">_xlfn.XLOOKUP(B7,'Up Min'!A:A,'Up Min'!C:C,)</f>
        <v>0.77</v>
      </c>
      <c r="L7" s="64">
        <f t="array" ref="L7">_xlfn.XLOOKUP(B7,'Up Max'!A:A,'Up Max'!C:C,)</f>
        <v>1</v>
      </c>
      <c r="M7" s="53" t="str">
        <f t="array" ref="M7">_xlfn.XLOOKUP(B7,'Up Stats'!A:A,'Up Stats'!D:D,)</f>
        <v>Mitosis Damage</v>
      </c>
      <c r="N7" s="54" t="str">
        <f>IFERROR(__xludf.DUMMYFUNCTION("if(AND(O7=FALSE,P7=FALSE),,if(O7=P7,JOIN("""",""Static: "",O7),JOIN("""",""Min:  "",O7, CHAR(10),""Max: "",P7)))"),"Min:  60%
Max: 70%")</f>
        <v>Min:  60%
Max: 70%</v>
      </c>
      <c r="O7" s="59">
        <f t="array" ref="O7">_xlfn.XLOOKUP(B7,'Up Min'!A:A,'Up Min'!D:D,)</f>
        <v>0.6</v>
      </c>
      <c r="P7" s="59">
        <f t="array" ref="P7">_xlfn.XLOOKUP(B7,'Up Max'!A:A,'Up Max'!D:D,)</f>
        <v>0.7</v>
      </c>
      <c r="Q7" s="57" t="str">
        <f t="array" ref="Q7">_xlfn.XLOOKUP(B7,'Up Stats'!A:A,'Up Stats'!E:E,)</f>
        <v/>
      </c>
      <c r="R7" s="54" t="str">
        <f>IFERROR(__xludf.DUMMYFUNCTION("if(AND(S7=FALSE,T7=FALSE),,if(S7=T7,JOIN("""",""Static: "",S7),JOIN("""",""Min:  "",S7, CHAR(10),""Max: "",T7)))"),"")</f>
        <v/>
      </c>
      <c r="S7" s="56" t="str">
        <f t="array" ref="S7">_xlfn.XLOOKUP(B7,'Up Min'!A:A,'Up Min'!E:E,)</f>
        <v/>
      </c>
      <c r="T7" s="55" t="str">
        <f t="array" ref="T7">_xlfn.XLOOKUP(B7,'Up Max'!A:A,'Up Max'!E:E,)</f>
        <v/>
      </c>
      <c r="U7" s="57" t="str">
        <f t="array" ref="U7">_xlfn.XLOOKUP(B7,'Up Stats'!A:A,'Up Stats'!F:F,)</f>
        <v/>
      </c>
      <c r="V7" s="54" t="str">
        <f>IFERROR(__xludf.DUMMYFUNCTION("if(AND(W7=FALSE,X7=FALSE),,if(W7=X7,JOIN("""",""Static: "",W7),JOIN("""",""Min:  "",W7, CHAR(10),""Max: "",X7)))"),"")</f>
        <v/>
      </c>
      <c r="W7" s="55" t="str">
        <f t="array" ref="W7">_xlfn.XLOOKUP(B7,'Up Min'!A:A,'Up Min'!F:F,)</f>
        <v/>
      </c>
      <c r="X7" s="55" t="str">
        <f t="array" ref="X7">_xlfn.XLOOKUP(B7,'Up Max'!A:A,'Up Max'!F:F,)</f>
        <v/>
      </c>
      <c r="Y7" s="57" t="str">
        <f t="array" ref="Y7">_xlfn.XLOOKUP(B7,'Up Stats'!A:A,'Up Stats'!G:G,)</f>
        <v/>
      </c>
      <c r="Z7" s="54" t="str">
        <f>IFERROR(__xludf.DUMMYFUNCTION("if(AND(AA7=FALSE,AB7=FALSE),,if(AA7=AB7,JOIN("""",""Static: "",AA7),JOIN("""",""Min:  "",AA7, CHAR(10),""Max: "",AB7)))"),"")</f>
        <v/>
      </c>
      <c r="AA7" s="55" t="str">
        <f t="array" ref="AA7">_xlfn.XLOOKUP(B7,'Up Min'!A:A,'Up Min'!G:G,)</f>
        <v/>
      </c>
      <c r="AB7" s="55" t="str">
        <f t="array" ref="AB7">_xlfn.XLOOKUP(B7,'Up Max'!A:A,'Up Max'!G:G,)</f>
        <v/>
      </c>
      <c r="AC7" s="57" t="str">
        <f t="array" ref="AC7">_xlfn.XLOOKUP(B7,'Up Stats'!A:A,'Up Stats'!H:H,)</f>
        <v/>
      </c>
      <c r="AD7" s="54" t="str">
        <f>IFERROR(__xludf.DUMMYFUNCTION("if(AND(AE7=FALSE,AF7=FALSE),,if(AE7=AF7,JOIN("""",""Static: "",AE7),JOIN("""",""Min:  "",AE7, CHAR(10),""Max: "",AF7)))"),"")</f>
        <v/>
      </c>
      <c r="AE7" s="55" t="str">
        <f t="array" ref="AE7">_xlfn.XLOOKUP(B7,'Up Min'!A:A,'Up Min'!H:H,)</f>
        <v/>
      </c>
      <c r="AF7" s="55" t="str">
        <f t="array" ref="AF7">_xlfn.XLOOKUP(B7,'Up Max'!A:A,'Up Max'!H:H,)</f>
        <v/>
      </c>
      <c r="AG7" s="57" t="str">
        <f t="array" ref="AG7">_xlfn.XLOOKUP(B7,'Up Stats'!A:A,'Up Stats'!I:I,)</f>
        <v/>
      </c>
      <c r="AH7" s="54" t="str">
        <f>IFERROR(__xludf.DUMMYFUNCTION("if(AND(AI7=FALSE,AJ7=FALSE),,if(AI7=AJ7,JOIN("""",""Static: "",AI7),JOIN("""",""Min:  "",AI7, CHAR(10),""Max: "",AJ7)))"),"")</f>
        <v/>
      </c>
      <c r="AI7" s="55" t="str">
        <f t="array" ref="AI7">_xlfn.XLOOKUP(B7,'Up Min'!A:A,'Up Min'!I:I,)</f>
        <v/>
      </c>
      <c r="AJ7" s="55" t="str">
        <f t="array" ref="AJ7">_xlfn.XLOOKUP(B7,'Up Max'!A:A,'Up Max'!I:I,)</f>
        <v/>
      </c>
      <c r="AK7" s="57" t="str">
        <f t="array" ref="AK7">_xlfn.XLOOKUP(B7,'Up Stats'!A:A,'Up Stats'!J:J,)</f>
        <v/>
      </c>
      <c r="AL7" s="54" t="str">
        <f>IFERROR(__xludf.DUMMYFUNCTION("if(AND(AM7=FALSE,AN7=FALSE),,if(AM7=AN7,JOIN("""",""Static: "",AM7),JOIN("""",""Min:  "",AM7, CHAR(10),""Max: "",AN7)))"),"")</f>
        <v/>
      </c>
      <c r="AM7" s="55" t="str">
        <f t="array" ref="AM7">_xlfn.XLOOKUP(B7,'Up Min'!A:A,'Up Min'!J:J,)</f>
        <v/>
      </c>
      <c r="AN7" s="55" t="str">
        <f t="array" ref="AN7">_xlfn.XLOOKUP(B7,'Up Max'!A:A,'Up Max'!J:J,)</f>
        <v/>
      </c>
      <c r="AO7" s="51" t="str">
        <f t="array" ref="AO7">CONCATENATE(_xlfn.XLOOKUP(B7,'Up Cells'!A:A,'Up Cells'!B:B,))</f>
        <v>5</v>
      </c>
      <c r="AP7" s="51" t="str">
        <f t="array" ref="AP7">CONCATENATE(_xlfn.XLOOKUP(B7,'Up Rarity'!A:A,'Up Rarity'!B:B,),CHAR(10),"-")</f>
        <v>Exotic
-</v>
      </c>
    </row>
    <row r="8">
      <c r="A8" s="62" t="str">
        <f t="array" ref="A8">_xlfn.XLOOKUP(B8,'Up Icon'!A:A,'Up Icon'!B:B,)</f>
        <v/>
      </c>
      <c r="B8" s="66" t="str">
        <f t="array" ref="B8">HYPERLINK(_xlfn.XLOOKUP('Up Names'!C5,'Up Wiki'!A:A,'Up Wiki'!B:B,),'Up Names'!C5)</f>
        <v>Munition Siphon</v>
      </c>
      <c r="C8" s="37" t="str">
        <f t="array" ref="C8">_xlfn.XLOOKUP(B8,'Up Desc'!A:A,'Up Desc'!B:B,)</f>
        <v>Hold RELOAD to consume reserve ammo and gain charge for your equipped grenade.</v>
      </c>
      <c r="D8" s="37" t="str">
        <f t="array" ref="D8">_xlfn.XLOOKUP(B8,'Up Turbo'!A:A,'Up Turbo'!B:B,)</f>
        <v/>
      </c>
      <c r="E8" s="39" t="str">
        <f t="array" ref="E8">_xlfn.XLOOKUP(B8,'Up Stats'!A:A,'Up Stats'!B:B,)</f>
        <v>Ammo per Second</v>
      </c>
      <c r="F8" s="40" t="str">
        <f>IFERROR(__xludf.DUMMYFUNCTION("if(AND(G8=FALSE,H8=FALSE),,if(G8=H8,JOIN("""",""Static: "",G8),JOIN("""",""Min:  "",G8, CHAR(10),""Max: "",H8)))"),"Min:  -60
Max: -80")</f>
        <v>Min:  -60
Max: -80</v>
      </c>
      <c r="G8" s="69">
        <f t="array" ref="G8">_xlfn.XLOOKUP(B8,'Up Min'!A:A,'Up Min'!B:B,)</f>
        <v>-60</v>
      </c>
      <c r="H8" s="68">
        <f t="array" ref="H8">_xlfn.XLOOKUP(B8,'Up Max'!A:A,'Up Max'!B:B,)</f>
        <v>-80</v>
      </c>
      <c r="I8" s="39" t="str">
        <f t="array" ref="I8">_xlfn.XLOOKUP(B8,'Up Stats'!A:A,'Up Stats'!C:C,)</f>
        <v>Charge per Second</v>
      </c>
      <c r="J8" s="40" t="str">
        <f>IFERROR(__xludf.DUMMYFUNCTION("if(AND(K8=FALSE,L8=FALSE),,if(K8=L8,JOIN("""",""Static: "",K8),JOIN("""",""Min:  "",K8, CHAR(10),""Max: "",L8)))"),"Min:  6.6
Max: 8.51")</f>
        <v>Min:  6.6
Max: 8.51</v>
      </c>
      <c r="K8" s="68">
        <f t="array" ref="K8">_xlfn.XLOOKUP(B8,'Up Min'!A:A,'Up Min'!C:C,)</f>
        <v>6.6</v>
      </c>
      <c r="L8" s="69">
        <f t="array" ref="L8">_xlfn.XLOOKUP(B8,'Up Max'!A:A,'Up Max'!C:C,)</f>
        <v>8.51</v>
      </c>
      <c r="M8" s="39" t="str">
        <f t="array" ref="M8">_xlfn.XLOOKUP(B8,'Up Stats'!A:A,'Up Stats'!D:D,)</f>
        <v/>
      </c>
      <c r="N8" s="40" t="str">
        <f>IFERROR(__xludf.DUMMYFUNCTION("if(AND(O8=FALSE,P8=FALSE),,if(O8=P8,JOIN("""",""Static: "",O8),JOIN("""",""Min:  "",O8, CHAR(10),""Max: "",P8)))"),"")</f>
        <v/>
      </c>
      <c r="O8" s="42" t="str">
        <f t="array" ref="O8">_xlfn.XLOOKUP(B8,'Up Min'!A:A,'Up Min'!D:D,)</f>
        <v/>
      </c>
      <c r="P8" s="42" t="str">
        <f t="array" ref="P8">_xlfn.XLOOKUP(B8,'Up Max'!A:A,'Up Max'!D:D,)</f>
        <v/>
      </c>
      <c r="Q8" s="48" t="str">
        <f t="array" ref="Q8">_xlfn.XLOOKUP(B8,'Up Stats'!A:A,'Up Stats'!E:E,)</f>
        <v/>
      </c>
      <c r="R8" s="40" t="str">
        <f>IFERROR(__xludf.DUMMYFUNCTION("if(AND(S8=FALSE,T8=FALSE),,if(S8=T8,JOIN("""",""Static: "",S8),JOIN("""",""Min:  "",S8, CHAR(10),""Max: "",T8)))"),"")</f>
        <v/>
      </c>
      <c r="S8" s="42" t="str">
        <f t="array" ref="S8">_xlfn.XLOOKUP(B8,'Up Min'!A:A,'Up Min'!E:E,)</f>
        <v/>
      </c>
      <c r="T8" s="42" t="str">
        <f t="array" ref="T8">_xlfn.XLOOKUP(B8,'Up Max'!A:A,'Up Max'!E:E,)</f>
        <v/>
      </c>
      <c r="U8" s="48" t="str">
        <f t="array" ref="U8">_xlfn.XLOOKUP(B8,'Up Stats'!A:A,'Up Stats'!F:F,)</f>
        <v/>
      </c>
      <c r="V8" s="40" t="str">
        <f>IFERROR(__xludf.DUMMYFUNCTION("if(AND(W8=FALSE,X8=FALSE),,if(W8=X8,JOIN("""",""Static: "",W8),JOIN("""",""Min:  "",W8, CHAR(10),""Max: "",X8)))"),"")</f>
        <v/>
      </c>
      <c r="W8" s="42" t="str">
        <f t="array" ref="W8">_xlfn.XLOOKUP(B8,'Up Min'!A:A,'Up Min'!F:F,)</f>
        <v/>
      </c>
      <c r="X8" s="42" t="str">
        <f t="array" ref="X8">_xlfn.XLOOKUP(B8,'Up Max'!A:A,'Up Max'!F:F,)</f>
        <v/>
      </c>
      <c r="Y8" s="48" t="str">
        <f t="array" ref="Y8">_xlfn.XLOOKUP(B8,'Up Stats'!A:A,'Up Stats'!G:G,)</f>
        <v/>
      </c>
      <c r="Z8" s="40" t="str">
        <f>IFERROR(__xludf.DUMMYFUNCTION("if(AND(AA8=FALSE,AB8=FALSE),,if(AA8=AB8,JOIN("""",""Static: "",AA8),JOIN("""",""Min:  "",AA8, CHAR(10),""Max: "",AB8)))"),"")</f>
        <v/>
      </c>
      <c r="AA8" s="42" t="str">
        <f t="array" ref="AA8">_xlfn.XLOOKUP(B8,'Up Min'!A:A,'Up Min'!G:G,)</f>
        <v/>
      </c>
      <c r="AB8" s="42" t="str">
        <f t="array" ref="AB8">_xlfn.XLOOKUP(B8,'Up Max'!A:A,'Up Max'!G:G,)</f>
        <v/>
      </c>
      <c r="AC8" s="48" t="str">
        <f t="array" ref="AC8">_xlfn.XLOOKUP(B8,'Up Stats'!A:A,'Up Stats'!H:H,)</f>
        <v/>
      </c>
      <c r="AD8" s="40" t="str">
        <f>IFERROR(__xludf.DUMMYFUNCTION("if(AND(AE8=FALSE,AF8=FALSE),,if(AE8=AF8,JOIN("""",""Static: "",AE8),JOIN("""",""Min:  "",AE8, CHAR(10),""Max: "",AF8)))"),"")</f>
        <v/>
      </c>
      <c r="AE8" s="42" t="str">
        <f t="array" ref="AE8">_xlfn.XLOOKUP(B8,'Up Min'!A:A,'Up Min'!H:H,)</f>
        <v/>
      </c>
      <c r="AF8" s="42" t="str">
        <f t="array" ref="AF8">_xlfn.XLOOKUP(B8,'Up Max'!A:A,'Up Max'!H:H,)</f>
        <v/>
      </c>
      <c r="AG8" s="48" t="str">
        <f t="array" ref="AG8">_xlfn.XLOOKUP(B8,'Up Stats'!A:A,'Up Stats'!I:I,)</f>
        <v/>
      </c>
      <c r="AH8" s="40" t="str">
        <f>IFERROR(__xludf.DUMMYFUNCTION("if(AND(AI8=FALSE,AJ8=FALSE),,if(AI8=AJ8,JOIN("""",""Static: "",AI8),JOIN("""",""Min:  "",AI8, CHAR(10),""Max: "",AJ8)))"),"")</f>
        <v/>
      </c>
      <c r="AI8" s="42" t="str">
        <f t="array" ref="AI8">_xlfn.XLOOKUP(B8,'Up Min'!A:A,'Up Min'!I:I,)</f>
        <v/>
      </c>
      <c r="AJ8" s="42" t="str">
        <f t="array" ref="AJ8">_xlfn.XLOOKUP(B8,'Up Max'!A:A,'Up Max'!I:I,)</f>
        <v/>
      </c>
      <c r="AK8" s="48" t="str">
        <f t="array" ref="AK8">_xlfn.XLOOKUP(B8,'Up Stats'!A:A,'Up Stats'!J:J,)</f>
        <v/>
      </c>
      <c r="AL8" s="40" t="str">
        <f>IFERROR(__xludf.DUMMYFUNCTION("if(AND(AM8=FALSE,AN8=FALSE),,if(AM8=AN8,JOIN("""",""Static: "",AM8),JOIN("""",""Min:  "",AM8, CHAR(10),""Max: "",AN8)))"),"")</f>
        <v/>
      </c>
      <c r="AM8" s="42" t="str">
        <f t="array" ref="AM8">_xlfn.XLOOKUP(B8,'Up Min'!A:A,'Up Min'!J:J,)</f>
        <v/>
      </c>
      <c r="AN8" s="42" t="str">
        <f t="array" ref="AN8">_xlfn.XLOOKUP(B8,'Up Max'!A:A,'Up Max'!J:J,)</f>
        <v/>
      </c>
      <c r="AO8" s="34" t="str">
        <f t="array" ref="AO8">CONCATENATE(_xlfn.XLOOKUP(B8,'Up Cells'!A:A,'Up Cells'!B:B,))</f>
        <v>8</v>
      </c>
      <c r="AP8" s="34" t="str">
        <f t="array" ref="AP8">CONCATENATE(_xlfn.XLOOKUP(B8,'Up Rarity'!A:A,'Up Rarity'!B:B,),CHAR(10),"-")</f>
        <v>Exotic
-</v>
      </c>
    </row>
    <row r="9">
      <c r="A9" s="75" t="str">
        <f t="array" ref="A9">_xlfn.XLOOKUP(B9,'Up Icon'!A:A,'Up Icon'!B:B,)</f>
        <v/>
      </c>
      <c r="B9" s="63" t="str">
        <f t="array" ref="B9">HYPERLINK(_xlfn.XLOOKUP('Up Names'!C6,'Up Wiki'!A:A,'Up Wiki'!B:B,),'Up Names'!C6)</f>
        <v>Crop Duster</v>
      </c>
      <c r="C9" s="70" t="str">
        <f t="array" ref="C9">_xlfn.XLOOKUP(B9,'Up Desc'!A:A,'Up Desc'!B:B,)</f>
        <v>While airborne, you automatically spawn swarm pellets in front of you. Their fire rate increases the longer you're in the air. This can trigger when the Swarm Launcher is not equipped.</v>
      </c>
      <c r="D9" s="52" t="str">
        <f t="array" ref="D9">_xlfn.XLOOKUP(B9,'Up Turbo'!A:A,'Up Turbo'!B:B,)</f>
        <v>n/a</v>
      </c>
      <c r="E9" s="53" t="str">
        <f t="array" ref="E9">_xlfn.XLOOKUP(B9,'Up Stats'!A:A,'Up Stats'!B:B,)</f>
        <v>Spin Up Speed</v>
      </c>
      <c r="F9" s="54" t="str">
        <f>IFERROR(__xludf.DUMMYFUNCTION("if(AND(G9=FALSE,H9=FALSE),,if(G9=H9,JOIN("""",""Static: "",G9),JOIN("""",""Min:  "",G9, CHAR(10),""Max: "",H9)))"),"Min:  1
Max: 0.5")</f>
        <v>Min:  1
Max: 0.5</v>
      </c>
      <c r="G9" s="64">
        <f t="array" ref="G9">_xlfn.XLOOKUP(B9,'Up Min'!A:A,'Up Min'!B:B,)</f>
        <v>1</v>
      </c>
      <c r="H9" s="65">
        <f t="array" ref="H9">_xlfn.XLOOKUP(B9,'Up Max'!A:A,'Up Max'!B:B,)</f>
        <v>0.5</v>
      </c>
      <c r="I9" s="53" t="str">
        <f t="array" ref="I9">_xlfn.XLOOKUP(B9,'Up Stats'!A:A,'Up Stats'!C:C,)</f>
        <v>Max Fire Rate</v>
      </c>
      <c r="J9" s="54" t="str">
        <f>IFERROR(__xludf.DUMMYFUNCTION("if(AND(K9=FALSE,L9=FALSE),,if(K9=L9,JOIN("""",""Static: "",K9),JOIN("""",""Min:  "",K9, CHAR(10),""Max: "",L9)))"),"Min:  84%
Max: 81%")</f>
        <v>Min:  84%
Max: 81%</v>
      </c>
      <c r="K9" s="59">
        <f t="array" ref="K9">_xlfn.XLOOKUP(B9,'Up Min'!A:A,'Up Min'!C:C,)</f>
        <v>0.84</v>
      </c>
      <c r="L9" s="59">
        <f t="array" ref="L9">_xlfn.XLOOKUP(B9,'Up Max'!A:A,'Up Max'!C:C,)</f>
        <v>0.81</v>
      </c>
      <c r="M9" s="53" t="str">
        <f t="array" ref="M9">_xlfn.XLOOKUP(B9,'Up Stats'!A:A,'Up Stats'!D:D,)</f>
        <v/>
      </c>
      <c r="N9" s="54" t="str">
        <f>IFERROR(__xludf.DUMMYFUNCTION("if(AND(O9=FALSE,P9=FALSE),,if(O9=P9,JOIN("""",""Static: "",O9),JOIN("""",""Min:  "",O9, CHAR(10),""Max: "",P9)))"),"")</f>
        <v/>
      </c>
      <c r="O9" s="55" t="str">
        <f t="array" ref="O9">_xlfn.XLOOKUP(B9,'Up Min'!A:A,'Up Min'!D:D,)</f>
        <v/>
      </c>
      <c r="P9" s="55" t="str">
        <f t="array" ref="P9">_xlfn.XLOOKUP(B9,'Up Max'!A:A,'Up Max'!D:D,)</f>
        <v/>
      </c>
      <c r="Q9" s="57" t="str">
        <f t="array" ref="Q9">_xlfn.XLOOKUP(B9,'Up Stats'!A:A,'Up Stats'!E:E,)</f>
        <v/>
      </c>
      <c r="R9" s="54" t="str">
        <f>IFERROR(__xludf.DUMMYFUNCTION("if(AND(S9=FALSE,T9=FALSE),,if(S9=T9,JOIN("""",""Static: "",S9),JOIN("""",""Min:  "",S9, CHAR(10),""Max: "",T9)))"),"")</f>
        <v/>
      </c>
      <c r="S9" s="55" t="str">
        <f t="array" ref="S9">_xlfn.XLOOKUP(B9,'Up Min'!A:A,'Up Min'!E:E,)</f>
        <v/>
      </c>
      <c r="T9" s="55" t="str">
        <f t="array" ref="T9">_xlfn.XLOOKUP(B9,'Up Max'!A:A,'Up Max'!E:E,)</f>
        <v/>
      </c>
      <c r="U9" s="57" t="str">
        <f t="array" ref="U9">_xlfn.XLOOKUP(B9,'Up Stats'!A:A,'Up Stats'!F:F,)</f>
        <v/>
      </c>
      <c r="V9" s="54" t="str">
        <f>IFERROR(__xludf.DUMMYFUNCTION("if(AND(W9=FALSE,X9=FALSE),,if(W9=X9,JOIN("""",""Static: "",W9),JOIN("""",""Min:  "",W9, CHAR(10),""Max: "",X9)))"),"")</f>
        <v/>
      </c>
      <c r="W9" s="55" t="str">
        <f t="array" ref="W9">_xlfn.XLOOKUP(B9,'Up Min'!A:A,'Up Min'!F:F,)</f>
        <v/>
      </c>
      <c r="X9" s="55" t="str">
        <f t="array" ref="X9">_xlfn.XLOOKUP(B9,'Up Max'!A:A,'Up Max'!F:F,)</f>
        <v/>
      </c>
      <c r="Y9" s="57" t="str">
        <f t="array" ref="Y9">_xlfn.XLOOKUP(B9,'Up Stats'!A:A,'Up Stats'!G:G,)</f>
        <v/>
      </c>
      <c r="Z9" s="54" t="str">
        <f>IFERROR(__xludf.DUMMYFUNCTION("if(AND(AA9=FALSE,AB9=FALSE),,if(AA9=AB9,JOIN("""",""Static: "",AA9),JOIN("""",""Min:  "",AA9, CHAR(10),""Max: "",AB9)))"),"")</f>
        <v/>
      </c>
      <c r="AA9" s="55" t="str">
        <f t="array" ref="AA9">_xlfn.XLOOKUP(B9,'Up Min'!A:A,'Up Min'!G:G,)</f>
        <v/>
      </c>
      <c r="AB9" s="55" t="str">
        <f t="array" ref="AB9">_xlfn.XLOOKUP(B9,'Up Max'!A:A,'Up Max'!G:G,)</f>
        <v/>
      </c>
      <c r="AC9" s="57" t="str">
        <f t="array" ref="AC9">_xlfn.XLOOKUP(B9,'Up Stats'!A:A,'Up Stats'!H:H,)</f>
        <v/>
      </c>
      <c r="AD9" s="54" t="str">
        <f>IFERROR(__xludf.DUMMYFUNCTION("if(AND(AE9=FALSE,AF9=FALSE),,if(AE9=AF9,JOIN("""",""Static: "",AE9),JOIN("""",""Min:  "",AE9, CHAR(10),""Max: "",AF9)))"),"")</f>
        <v/>
      </c>
      <c r="AE9" s="55" t="str">
        <f t="array" ref="AE9">_xlfn.XLOOKUP(B9,'Up Min'!A:A,'Up Min'!H:H,)</f>
        <v/>
      </c>
      <c r="AF9" s="55" t="str">
        <f t="array" ref="AF9">_xlfn.XLOOKUP(B9,'Up Max'!A:A,'Up Max'!H:H,)</f>
        <v/>
      </c>
      <c r="AG9" s="57" t="str">
        <f t="array" ref="AG9">_xlfn.XLOOKUP(B9,'Up Stats'!A:A,'Up Stats'!I:I,)</f>
        <v/>
      </c>
      <c r="AH9" s="54" t="str">
        <f>IFERROR(__xludf.DUMMYFUNCTION("if(AND(AI9=FALSE,AJ9=FALSE),,if(AI9=AJ9,JOIN("""",""Static: "",AI9),JOIN("""",""Min:  "",AI9, CHAR(10),""Max: "",AJ9)))"),"")</f>
        <v/>
      </c>
      <c r="AI9" s="55" t="str">
        <f t="array" ref="AI9">_xlfn.XLOOKUP(B9,'Up Min'!A:A,'Up Min'!I:I,)</f>
        <v/>
      </c>
      <c r="AJ9" s="55" t="str">
        <f t="array" ref="AJ9">_xlfn.XLOOKUP(B9,'Up Max'!A:A,'Up Max'!I:I,)</f>
        <v/>
      </c>
      <c r="AK9" s="57" t="str">
        <f t="array" ref="AK9">_xlfn.XLOOKUP(B9,'Up Stats'!A:A,'Up Stats'!J:J,)</f>
        <v/>
      </c>
      <c r="AL9" s="54" t="str">
        <f>IFERROR(__xludf.DUMMYFUNCTION("if(AND(AM9=FALSE,AN9=FALSE),,if(AM9=AN9,JOIN("""",""Static: "",AM9),JOIN("""",""Min:  "",AM9, CHAR(10),""Max: "",AN9)))"),"")</f>
        <v/>
      </c>
      <c r="AM9" s="55" t="str">
        <f t="array" ref="AM9">_xlfn.XLOOKUP(B9,'Up Min'!A:A,'Up Min'!J:J,)</f>
        <v/>
      </c>
      <c r="AN9" s="55" t="str">
        <f t="array" ref="AN9">_xlfn.XLOOKUP(B9,'Up Max'!A:A,'Up Max'!J:J,)</f>
        <v/>
      </c>
      <c r="AO9" s="51" t="str">
        <f t="array" ref="AO9">CONCATENATE(_xlfn.XLOOKUP(B9,'Up Cells'!A:A,'Up Cells'!B:B,))</f>
        <v>5</v>
      </c>
      <c r="AP9" s="51" t="str">
        <f t="array" ref="AP9">CONCATENATE(_xlfn.XLOOKUP(B9,'Up Rarity'!A:A,'Up Rarity'!B:B,),CHAR(10),"-")</f>
        <v>Epic
-</v>
      </c>
    </row>
    <row r="10">
      <c r="A10" s="75" t="str">
        <f t="array" ref="A10">_xlfn.XLOOKUP(B10,'Up Icon'!A:A,'Up Icon'!B:B,)</f>
        <v/>
      </c>
      <c r="B10" s="66" t="str">
        <f t="array" ref="B10">HYPERLINK(_xlfn.XLOOKUP('Up Names'!C7,'Up Wiki'!A:A,'Up Wiki'!B:B,),'Up Names'!C7)</f>
        <v>Cross Pollination</v>
      </c>
      <c r="C10" s="67" t="str">
        <f t="array" ref="C10">_xlfn.XLOOKUP(B10,'Up Desc'!A:A,'Up Desc'!B:B,)</f>
        <v>Pellets can track to players and heal them.</v>
      </c>
      <c r="D10" s="37" t="str">
        <f t="array" ref="D10">_xlfn.XLOOKUP(B10,'Up Turbo'!A:A,'Up Turbo'!B:B,)</f>
        <v>n/a</v>
      </c>
      <c r="E10" s="39" t="str">
        <f t="array" ref="E10">_xlfn.XLOOKUP(B10,'Up Stats'!A:A,'Up Stats'!B:B,)</f>
        <v>Healing</v>
      </c>
      <c r="F10" s="40" t="str">
        <f>IFERROR(__xludf.DUMMYFUNCTION("if(AND(G10=FALSE,H10=FALSE),,if(G10=H10,JOIN("""",""Static: "",G10),JOIN("""",""Min:  "",G10, CHAR(10),""Max: "",H10)))"),"Min:  1
Max: 2")</f>
        <v>Min:  1
Max: 2</v>
      </c>
      <c r="G10" s="69">
        <f t="array" ref="G10">_xlfn.XLOOKUP(B10,'Up Min'!A:A,'Up Min'!B:B,)</f>
        <v>1</v>
      </c>
      <c r="H10" s="68">
        <f t="array" ref="H10">_xlfn.XLOOKUP(B10,'Up Max'!A:A,'Up Max'!B:B,)</f>
        <v>2</v>
      </c>
      <c r="I10" s="39" t="str">
        <f t="array" ref="I10">_xlfn.XLOOKUP(B10,'Up Stats'!A:A,'Up Stats'!C:C,)</f>
        <v/>
      </c>
      <c r="J10" s="40" t="str">
        <f>IFERROR(__xludf.DUMMYFUNCTION("if(AND(K10=FALSE,L10=FALSE),,if(K10=L10,JOIN("""",""Static: "",K10),JOIN("""",""Min:  "",K10, CHAR(10),""Max: "",L10)))"),"")</f>
        <v/>
      </c>
      <c r="K10" s="42" t="str">
        <f t="array" ref="K10">_xlfn.XLOOKUP(B10,'Up Min'!A:A,'Up Min'!C:C,)</f>
        <v/>
      </c>
      <c r="L10" s="42" t="str">
        <f t="array" ref="L10">_xlfn.XLOOKUP(B10,'Up Max'!A:A,'Up Max'!C:C,)</f>
        <v/>
      </c>
      <c r="M10" s="48" t="str">
        <f t="array" ref="M10">_xlfn.XLOOKUP(B10,'Up Stats'!A:A,'Up Stats'!D:D,)</f>
        <v/>
      </c>
      <c r="N10" s="40" t="str">
        <f>IFERROR(__xludf.DUMMYFUNCTION("if(AND(O10=FALSE,P10=FALSE),,if(O10=P10,JOIN("""",""Static: "",O10),JOIN("""",""Min:  "",O10, CHAR(10),""Max: "",P10)))"),"")</f>
        <v/>
      </c>
      <c r="O10" s="42" t="str">
        <f t="array" ref="O10">_xlfn.XLOOKUP(B10,'Up Min'!A:A,'Up Min'!D:D,)</f>
        <v/>
      </c>
      <c r="P10" s="42" t="str">
        <f t="array" ref="P10">_xlfn.XLOOKUP(B10,'Up Max'!A:A,'Up Max'!D:D,)</f>
        <v/>
      </c>
      <c r="Q10" s="48" t="str">
        <f t="array" ref="Q10">_xlfn.XLOOKUP(B10,'Up Stats'!A:A,'Up Stats'!E:E,)</f>
        <v/>
      </c>
      <c r="R10" s="40" t="str">
        <f>IFERROR(__xludf.DUMMYFUNCTION("if(AND(S10=FALSE,T10=FALSE),,if(S10=T10,JOIN("""",""Static: "",S10),JOIN("""",""Min:  "",S10, CHAR(10),""Max: "",T10)))"),"")</f>
        <v/>
      </c>
      <c r="S10" s="42" t="str">
        <f t="array" ref="S10">_xlfn.XLOOKUP(B10,'Up Min'!A:A,'Up Min'!E:E,)</f>
        <v/>
      </c>
      <c r="T10" s="42" t="str">
        <f t="array" ref="T10">_xlfn.XLOOKUP(B10,'Up Max'!A:A,'Up Max'!E:E,)</f>
        <v/>
      </c>
      <c r="U10" s="48" t="str">
        <f t="array" ref="U10">_xlfn.XLOOKUP(B10,'Up Stats'!A:A,'Up Stats'!F:F,)</f>
        <v/>
      </c>
      <c r="V10" s="40" t="str">
        <f>IFERROR(__xludf.DUMMYFUNCTION("if(AND(W10=FALSE,X10=FALSE),,if(W10=X10,JOIN("""",""Static: "",W10),JOIN("""",""Min:  "",W10, CHAR(10),""Max: "",X10)))"),"")</f>
        <v/>
      </c>
      <c r="W10" s="42" t="str">
        <f t="array" ref="W10">_xlfn.XLOOKUP(B10,'Up Min'!A:A,'Up Min'!F:F,)</f>
        <v/>
      </c>
      <c r="X10" s="42" t="str">
        <f t="array" ref="X10">_xlfn.XLOOKUP(B10,'Up Max'!A:A,'Up Max'!F:F,)</f>
        <v/>
      </c>
      <c r="Y10" s="48" t="str">
        <f t="array" ref="Y10">_xlfn.XLOOKUP(B10,'Up Stats'!A:A,'Up Stats'!G:G,)</f>
        <v/>
      </c>
      <c r="Z10" s="40" t="str">
        <f>IFERROR(__xludf.DUMMYFUNCTION("if(AND(AA10=FALSE,AB10=FALSE),,if(AA10=AB10,JOIN("""",""Static: "",AA10),JOIN("""",""Min:  "",AA10, CHAR(10),""Max: "",AB10)))"),"")</f>
        <v/>
      </c>
      <c r="AA10" s="42" t="str">
        <f t="array" ref="AA10">_xlfn.XLOOKUP(B10,'Up Min'!A:A,'Up Min'!G:G,)</f>
        <v/>
      </c>
      <c r="AB10" s="42" t="str">
        <f t="array" ref="AB10">_xlfn.XLOOKUP(B10,'Up Max'!A:A,'Up Max'!G:G,)</f>
        <v/>
      </c>
      <c r="AC10" s="48" t="str">
        <f t="array" ref="AC10">_xlfn.XLOOKUP(B10,'Up Stats'!A:A,'Up Stats'!H:H,)</f>
        <v/>
      </c>
      <c r="AD10" s="40" t="str">
        <f>IFERROR(__xludf.DUMMYFUNCTION("if(AND(AE10=FALSE,AF10=FALSE),,if(AE10=AF10,JOIN("""",""Static: "",AE10),JOIN("""",""Min:  "",AE10, CHAR(10),""Max: "",AF10)))"),"")</f>
        <v/>
      </c>
      <c r="AE10" s="42" t="str">
        <f t="array" ref="AE10">_xlfn.XLOOKUP(B10,'Up Min'!A:A,'Up Min'!H:H,)</f>
        <v/>
      </c>
      <c r="AF10" s="42" t="str">
        <f t="array" ref="AF10">_xlfn.XLOOKUP(B10,'Up Max'!A:A,'Up Max'!H:H,)</f>
        <v/>
      </c>
      <c r="AG10" s="48" t="str">
        <f t="array" ref="AG10">_xlfn.XLOOKUP(B10,'Up Stats'!A:A,'Up Stats'!I:I,)</f>
        <v/>
      </c>
      <c r="AH10" s="40" t="str">
        <f>IFERROR(__xludf.DUMMYFUNCTION("if(AND(AI10=FALSE,AJ10=FALSE),,if(AI10=AJ10,JOIN("""",""Static: "",AI10),JOIN("""",""Min:  "",AI10, CHAR(10),""Max: "",AJ10)))"),"")</f>
        <v/>
      </c>
      <c r="AI10" s="42" t="str">
        <f t="array" ref="AI10">_xlfn.XLOOKUP(B10,'Up Min'!A:A,'Up Min'!I:I,)</f>
        <v/>
      </c>
      <c r="AJ10" s="42" t="str">
        <f t="array" ref="AJ10">_xlfn.XLOOKUP(B10,'Up Max'!A:A,'Up Max'!I:I,)</f>
        <v/>
      </c>
      <c r="AK10" s="48" t="str">
        <f t="array" ref="AK10">_xlfn.XLOOKUP(B10,'Up Stats'!A:A,'Up Stats'!J:J,)</f>
        <v/>
      </c>
      <c r="AL10" s="40" t="str">
        <f>IFERROR(__xludf.DUMMYFUNCTION("if(AND(AM10=FALSE,AN10=FALSE),,if(AM10=AN10,JOIN("""",""Static: "",AM10),JOIN("""",""Min:  "",AM10, CHAR(10),""Max: "",AN10)))"),"")</f>
        <v/>
      </c>
      <c r="AM10" s="42" t="str">
        <f t="array" ref="AM10">_xlfn.XLOOKUP(B10,'Up Min'!A:A,'Up Min'!J:J,)</f>
        <v/>
      </c>
      <c r="AN10" s="42" t="str">
        <f t="array" ref="AN10">_xlfn.XLOOKUP(B10,'Up Max'!A:A,'Up Max'!J:J,)</f>
        <v/>
      </c>
      <c r="AO10" s="34" t="str">
        <f t="array" ref="AO10">CONCATENATE(_xlfn.XLOOKUP(B10,'Up Cells'!A:A,'Up Cells'!B:B,))</f>
        <v>5</v>
      </c>
      <c r="AP10" s="34" t="str">
        <f t="array" ref="AP10">CONCATENATE(_xlfn.XLOOKUP(B10,'Up Rarity'!A:A,'Up Rarity'!B:B,),CHAR(10),"-")</f>
        <v>Epic
-</v>
      </c>
    </row>
    <row r="11">
      <c r="A11" s="75" t="str">
        <f t="array" ref="A11">_xlfn.XLOOKUP(B11,'Up Icon'!A:A,'Up Icon'!B:B,)</f>
        <v/>
      </c>
      <c r="B11" s="63" t="str">
        <f t="array" ref="B11">HYPERLINK(_xlfn.XLOOKUP('Up Names'!C8,'Up Wiki'!A:A,'Up Wiki'!B:B,),'Up Names'!C8)</f>
        <v>Migration</v>
      </c>
      <c r="C11" s="52" t="str">
        <f t="array" ref="C11">_xlfn.XLOOKUP(B11,'Up Desc'!A:A,'Up Desc'!B:B,)</f>
        <v>You can fire while sprinting and sliding.</v>
      </c>
      <c r="D11" s="52" t="str">
        <f t="array" ref="D11">_xlfn.XLOOKUP(B11,'Up Turbo'!A:A,'Up Turbo'!B:B,)</f>
        <v>n/a</v>
      </c>
      <c r="E11" s="57" t="str">
        <f t="array" ref="E11">_xlfn.XLOOKUP(B11,'Up Stats'!A:A,'Up Stats'!B:B,)</f>
        <v/>
      </c>
      <c r="F11" s="54" t="str">
        <f>IFERROR(__xludf.DUMMYFUNCTION("if(AND(G11=FALSE,H11=FALSE),,if(G11=H11,JOIN("""",""Static: "",G11),JOIN("""",""Min:  "",G11, CHAR(10),""Max: "",H11)))"),"")</f>
        <v/>
      </c>
      <c r="G11" s="72" t="str">
        <f t="array" ref="G11">_xlfn.XLOOKUP(B11,'Up Min'!A:A,'Up Min'!B:B,)</f>
        <v/>
      </c>
      <c r="H11" s="72" t="str">
        <f t="array" ref="H11">_xlfn.XLOOKUP(B11,'Up Max'!A:A,'Up Max'!B:B,)</f>
        <v/>
      </c>
      <c r="I11" s="57" t="str">
        <f t="array" ref="I11">_xlfn.XLOOKUP(B11,'Up Stats'!A:A,'Up Stats'!C:C,)</f>
        <v/>
      </c>
      <c r="J11" s="54" t="str">
        <f>IFERROR(__xludf.DUMMYFUNCTION("if(AND(K11=FALSE,L11=FALSE),,if(K11=L11,JOIN("""",""Static: "",K11),JOIN("""",""Min:  "",K11, CHAR(10),""Max: "",L11)))"),"")</f>
        <v/>
      </c>
      <c r="K11" s="55" t="str">
        <f t="array" ref="K11">_xlfn.XLOOKUP(B11,'Up Min'!A:A,'Up Min'!C:C,)</f>
        <v/>
      </c>
      <c r="L11" s="55" t="str">
        <f t="array" ref="L11">_xlfn.XLOOKUP(B11,'Up Max'!A:A,'Up Max'!C:C,)</f>
        <v/>
      </c>
      <c r="M11" s="57" t="str">
        <f t="array" ref="M11">_xlfn.XLOOKUP(B11,'Up Stats'!A:A,'Up Stats'!D:D,)</f>
        <v/>
      </c>
      <c r="N11" s="54" t="str">
        <f>IFERROR(__xludf.DUMMYFUNCTION("if(AND(O11=FALSE,P11=FALSE),,if(O11=P11,JOIN("""",""Static: "",O11),JOIN("""",""Min:  "",O11, CHAR(10),""Max: "",P11)))"),"")</f>
        <v/>
      </c>
      <c r="O11" s="55" t="str">
        <f t="array" ref="O11">_xlfn.XLOOKUP(B11,'Up Min'!A:A,'Up Min'!D:D,)</f>
        <v/>
      </c>
      <c r="P11" s="55" t="str">
        <f t="array" ref="P11">_xlfn.XLOOKUP(B11,'Up Max'!A:A,'Up Max'!D:D,)</f>
        <v/>
      </c>
      <c r="Q11" s="57" t="str">
        <f t="array" ref="Q11">_xlfn.XLOOKUP(B11,'Up Stats'!A:A,'Up Stats'!E:E,)</f>
        <v/>
      </c>
      <c r="R11" s="54" t="str">
        <f>IFERROR(__xludf.DUMMYFUNCTION("if(AND(S11=FALSE,T11=FALSE),,if(S11=T11,JOIN("""",""Static: "",S11),JOIN("""",""Min:  "",S11, CHAR(10),""Max: "",T11)))"),"")</f>
        <v/>
      </c>
      <c r="S11" s="55" t="str">
        <f t="array" ref="S11">_xlfn.XLOOKUP(B11,'Up Min'!A:A,'Up Min'!E:E,)</f>
        <v/>
      </c>
      <c r="T11" s="55" t="str">
        <f t="array" ref="T11">_xlfn.XLOOKUP(B11,'Up Max'!A:A,'Up Max'!E:E,)</f>
        <v/>
      </c>
      <c r="U11" s="57" t="str">
        <f t="array" ref="U11">_xlfn.XLOOKUP(B11,'Up Stats'!A:A,'Up Stats'!F:F,)</f>
        <v/>
      </c>
      <c r="V11" s="54" t="str">
        <f>IFERROR(__xludf.DUMMYFUNCTION("if(AND(W11=FALSE,X11=FALSE),,if(W11=X11,JOIN("""",""Static: "",W11),JOIN("""",""Min:  "",W11, CHAR(10),""Max: "",X11)))"),"")</f>
        <v/>
      </c>
      <c r="W11" s="55" t="str">
        <f t="array" ref="W11">_xlfn.XLOOKUP(B11,'Up Min'!A:A,'Up Min'!F:F,)</f>
        <v/>
      </c>
      <c r="X11" s="55" t="str">
        <f t="array" ref="X11">_xlfn.XLOOKUP(B11,'Up Max'!A:A,'Up Max'!F:F,)</f>
        <v/>
      </c>
      <c r="Y11" s="57" t="str">
        <f t="array" ref="Y11">_xlfn.XLOOKUP(B11,'Up Stats'!A:A,'Up Stats'!G:G,)</f>
        <v/>
      </c>
      <c r="Z11" s="54" t="str">
        <f>IFERROR(__xludf.DUMMYFUNCTION("if(AND(AA11=FALSE,AB11=FALSE),,if(AA11=AB11,JOIN("""",""Static: "",AA11),JOIN("""",""Min:  "",AA11, CHAR(10),""Max: "",AB11)))"),"")</f>
        <v/>
      </c>
      <c r="AA11" s="55" t="str">
        <f t="array" ref="AA11">_xlfn.XLOOKUP(B11,'Up Min'!A:A,'Up Min'!G:G,)</f>
        <v/>
      </c>
      <c r="AB11" s="55" t="str">
        <f t="array" ref="AB11">_xlfn.XLOOKUP(B11,'Up Max'!A:A,'Up Max'!G:G,)</f>
        <v/>
      </c>
      <c r="AC11" s="57" t="str">
        <f t="array" ref="AC11">_xlfn.XLOOKUP(B11,'Up Stats'!A:A,'Up Stats'!H:H,)</f>
        <v/>
      </c>
      <c r="AD11" s="54" t="str">
        <f>IFERROR(__xludf.DUMMYFUNCTION("if(AND(AE11=FALSE,AF11=FALSE),,if(AE11=AF11,JOIN("""",""Static: "",AE11),JOIN("""",""Min:  "",AE11, CHAR(10),""Max: "",AF11)))"),"")</f>
        <v/>
      </c>
      <c r="AE11" s="55" t="str">
        <f t="array" ref="AE11">_xlfn.XLOOKUP(B11,'Up Min'!A:A,'Up Min'!H:H,)</f>
        <v/>
      </c>
      <c r="AF11" s="55" t="str">
        <f t="array" ref="AF11">_xlfn.XLOOKUP(B11,'Up Max'!A:A,'Up Max'!H:H,)</f>
        <v/>
      </c>
      <c r="AG11" s="57" t="str">
        <f t="array" ref="AG11">_xlfn.XLOOKUP(B11,'Up Stats'!A:A,'Up Stats'!I:I,)</f>
        <v/>
      </c>
      <c r="AH11" s="54" t="str">
        <f>IFERROR(__xludf.DUMMYFUNCTION("if(AND(AI11=FALSE,AJ11=FALSE),,if(AI11=AJ11,JOIN("""",""Static: "",AI11),JOIN("""",""Min:  "",AI11, CHAR(10),""Max: "",AJ11)))"),"")</f>
        <v/>
      </c>
      <c r="AI11" s="55" t="str">
        <f t="array" ref="AI11">_xlfn.XLOOKUP(B11,'Up Min'!A:A,'Up Min'!I:I,)</f>
        <v/>
      </c>
      <c r="AJ11" s="55" t="str">
        <f t="array" ref="AJ11">_xlfn.XLOOKUP(B11,'Up Max'!A:A,'Up Max'!I:I,)</f>
        <v/>
      </c>
      <c r="AK11" s="57" t="str">
        <f t="array" ref="AK11">_xlfn.XLOOKUP(B11,'Up Stats'!A:A,'Up Stats'!J:J,)</f>
        <v/>
      </c>
      <c r="AL11" s="54" t="str">
        <f>IFERROR(__xludf.DUMMYFUNCTION("if(AND(AM11=FALSE,AN11=FALSE),,if(AM11=AN11,JOIN("""",""Static: "",AM11),JOIN("""",""Min:  "",AM11, CHAR(10),""Max: "",AN11)))"),"")</f>
        <v/>
      </c>
      <c r="AM11" s="55" t="str">
        <f t="array" ref="AM11">_xlfn.XLOOKUP(B11,'Up Min'!A:A,'Up Min'!J:J,)</f>
        <v/>
      </c>
      <c r="AN11" s="55" t="str">
        <f t="array" ref="AN11">_xlfn.XLOOKUP(B11,'Up Max'!A:A,'Up Max'!J:J,)</f>
        <v/>
      </c>
      <c r="AO11" s="51" t="str">
        <f t="array" ref="AO11">CONCATENATE(_xlfn.XLOOKUP(B11,'Up Cells'!A:A,'Up Cells'!B:B,))</f>
        <v>5</v>
      </c>
      <c r="AP11" s="51" t="str">
        <f t="array" ref="AP11">CONCATENATE(_xlfn.XLOOKUP(B11,'Up Rarity'!A:A,'Up Rarity'!B:B,),CHAR(10),"-")</f>
        <v>Epic
-</v>
      </c>
    </row>
    <row r="12">
      <c r="A12" s="75" t="str">
        <f t="array" ref="A12">_xlfn.XLOOKUP(B12,'Up Icon'!A:A,'Up Icon'!B:B,)</f>
        <v/>
      </c>
      <c r="B12" s="66" t="str">
        <f t="array" ref="B12">HYPERLINK(_xlfn.XLOOKUP('Up Names'!C9,'Up Wiki'!A:A,'Up Wiki'!B:B,),'Up Names'!C9)</f>
        <v>Overload Contingency</v>
      </c>
      <c r="C12" s="37" t="str">
        <f t="array" ref="C12">_xlfn.XLOOKUP(B12,'Up Desc'!A:A,'Up Desc'!B:B,)</f>
        <v>Hold RELOAD charge up a high powered melee attack. Each consumed pellet increases the size of the hit.</v>
      </c>
      <c r="D12" s="37" t="str">
        <f t="array" ref="D12">_xlfn.XLOOKUP(B12,'Up Turbo'!A:A,'Up Turbo'!B:B,)</f>
        <v>n/a</v>
      </c>
      <c r="E12" s="39" t="str">
        <f t="array" ref="E12">_xlfn.XLOOKUP(B12,'Up Stats'!A:A,'Up Stats'!B:B,)</f>
        <v>Size per Second</v>
      </c>
      <c r="F12" s="40" t="str">
        <f>IFERROR(__xludf.DUMMYFUNCTION("if(AND(G12=FALSE,H12=FALSE),,if(G12=H12,JOIN("""",""Static: "",G12),JOIN("""",""Min:  "",G12, CHAR(10),""Max: "",H12)))"),"Min:  0.82
Max: 0.97")</f>
        <v>Min:  0.82
Max: 0.97</v>
      </c>
      <c r="G12" s="69">
        <f t="array" ref="G12">_xlfn.XLOOKUP(B12,'Up Min'!A:A,'Up Min'!B:B,)</f>
        <v>0.82</v>
      </c>
      <c r="H12" s="68">
        <f t="array" ref="H12">_xlfn.XLOOKUP(B12,'Up Max'!A:A,'Up Max'!B:B,)</f>
        <v>0.97</v>
      </c>
      <c r="I12" s="39" t="str">
        <f t="array" ref="I12">_xlfn.XLOOKUP(B12,'Up Stats'!A:A,'Up Stats'!C:C,)</f>
        <v>Max Size</v>
      </c>
      <c r="J12" s="40" t="str">
        <f>IFERROR(__xludf.DUMMYFUNCTION("if(AND(K12=FALSE,L12=FALSE),,if(K12=L12,JOIN("""",""Static: "",K12),JOIN("""",""Min:  "",K12, CHAR(10),""Max: "",L12)))"),"Min:  1.2
Max: 1.65")</f>
        <v>Min:  1.2
Max: 1.65</v>
      </c>
      <c r="K12" s="69">
        <f t="array" ref="K12">_xlfn.XLOOKUP(B12,'Up Min'!A:A,'Up Min'!C:C,)</f>
        <v>1.2</v>
      </c>
      <c r="L12" s="69">
        <f t="array" ref="L12">_xlfn.XLOOKUP(B12,'Up Max'!A:A,'Up Max'!C:C,)</f>
        <v>1.65</v>
      </c>
      <c r="M12" s="39" t="str">
        <f t="array" ref="M12">_xlfn.XLOOKUP(B12,'Up Stats'!A:A,'Up Stats'!D:D,)</f>
        <v/>
      </c>
      <c r="N12" s="40" t="str">
        <f>IFERROR(__xludf.DUMMYFUNCTION("if(AND(O12=FALSE,P12=FALSE),,if(O12=P12,JOIN("""",""Static: "",O12),JOIN("""",""Min:  "",O12, CHAR(10),""Max: "",P12)))"),"")</f>
        <v/>
      </c>
      <c r="O12" s="74" t="str">
        <f t="array" ref="O12">_xlfn.XLOOKUP(B12,'Up Min'!A:A,'Up Min'!D:D,)</f>
        <v/>
      </c>
      <c r="P12" s="74" t="str">
        <f t="array" ref="P12">_xlfn.XLOOKUP(B12,'Up Max'!A:A,'Up Max'!D:D,)</f>
        <v/>
      </c>
      <c r="Q12" s="48" t="str">
        <f t="array" ref="Q12">_xlfn.XLOOKUP(B12,'Up Stats'!A:A,'Up Stats'!E:E,)</f>
        <v/>
      </c>
      <c r="R12" s="40" t="str">
        <f>IFERROR(__xludf.DUMMYFUNCTION("if(AND(S12=FALSE,T12=FALSE),,if(S12=T12,JOIN("""",""Static: "",S12),JOIN("""",""Min:  "",S12, CHAR(10),""Max: "",T12)))"),"")</f>
        <v/>
      </c>
      <c r="S12" s="42" t="str">
        <f t="array" ref="S12">_xlfn.XLOOKUP(B12,'Up Min'!A:A,'Up Min'!E:E,)</f>
        <v/>
      </c>
      <c r="T12" s="42" t="str">
        <f t="array" ref="T12">_xlfn.XLOOKUP(B12,'Up Max'!A:A,'Up Max'!E:E,)</f>
        <v/>
      </c>
      <c r="U12" s="48" t="str">
        <f t="array" ref="U12">_xlfn.XLOOKUP(B12,'Up Stats'!A:A,'Up Stats'!F:F,)</f>
        <v/>
      </c>
      <c r="V12" s="40" t="str">
        <f>IFERROR(__xludf.DUMMYFUNCTION("if(AND(W12=FALSE,X12=FALSE),,if(W12=X12,JOIN("""",""Static: "",W12),JOIN("""",""Min:  "",W12, CHAR(10),""Max: "",X12)))"),"")</f>
        <v/>
      </c>
      <c r="W12" s="42" t="str">
        <f t="array" ref="W12">_xlfn.XLOOKUP(B12,'Up Min'!A:A,'Up Min'!F:F,)</f>
        <v/>
      </c>
      <c r="X12" s="42" t="str">
        <f t="array" ref="X12">_xlfn.XLOOKUP(B12,'Up Max'!A:A,'Up Max'!F:F,)</f>
        <v/>
      </c>
      <c r="Y12" s="48" t="str">
        <f t="array" ref="Y12">_xlfn.XLOOKUP(B12,'Up Stats'!A:A,'Up Stats'!G:G,)</f>
        <v/>
      </c>
      <c r="Z12" s="40" t="str">
        <f>IFERROR(__xludf.DUMMYFUNCTION("if(AND(AA12=FALSE,AB12=FALSE),,if(AA12=AB12,JOIN("""",""Static: "",AA12),JOIN("""",""Min:  "",AA12, CHAR(10),""Max: "",AB12)))"),"")</f>
        <v/>
      </c>
      <c r="AA12" s="42" t="str">
        <f t="array" ref="AA12">_xlfn.XLOOKUP(B12,'Up Min'!A:A,'Up Min'!G:G,)</f>
        <v/>
      </c>
      <c r="AB12" s="42" t="str">
        <f t="array" ref="AB12">_xlfn.XLOOKUP(B12,'Up Max'!A:A,'Up Max'!G:G,)</f>
        <v/>
      </c>
      <c r="AC12" s="48" t="str">
        <f t="array" ref="AC12">_xlfn.XLOOKUP(B12,'Up Stats'!A:A,'Up Stats'!H:H,)</f>
        <v/>
      </c>
      <c r="AD12" s="40" t="str">
        <f>IFERROR(__xludf.DUMMYFUNCTION("if(AND(AE12=FALSE,AF12=FALSE),,if(AE12=AF12,JOIN("""",""Static: "",AE12),JOIN("""",""Min:  "",AE12, CHAR(10),""Max: "",AF12)))"),"")</f>
        <v/>
      </c>
      <c r="AE12" s="42" t="str">
        <f t="array" ref="AE12">_xlfn.XLOOKUP(B12,'Up Min'!A:A,'Up Min'!H:H,)</f>
        <v/>
      </c>
      <c r="AF12" s="42" t="str">
        <f t="array" ref="AF12">_xlfn.XLOOKUP(B12,'Up Max'!A:A,'Up Max'!H:H,)</f>
        <v/>
      </c>
      <c r="AG12" s="48" t="str">
        <f t="array" ref="AG12">_xlfn.XLOOKUP(B12,'Up Stats'!A:A,'Up Stats'!I:I,)</f>
        <v/>
      </c>
      <c r="AH12" s="40" t="str">
        <f>IFERROR(__xludf.DUMMYFUNCTION("if(AND(AI12=FALSE,AJ12=FALSE),,if(AI12=AJ12,JOIN("""",""Static: "",AI12),JOIN("""",""Min:  "",AI12, CHAR(10),""Max: "",AJ12)))"),"")</f>
        <v/>
      </c>
      <c r="AI12" s="42" t="str">
        <f t="array" ref="AI12">_xlfn.XLOOKUP(B12,'Up Min'!A:A,'Up Min'!I:I,)</f>
        <v/>
      </c>
      <c r="AJ12" s="42" t="str">
        <f t="array" ref="AJ12">_xlfn.XLOOKUP(B12,'Up Max'!A:A,'Up Max'!I:I,)</f>
        <v/>
      </c>
      <c r="AK12" s="48" t="str">
        <f t="array" ref="AK12">_xlfn.XLOOKUP(B12,'Up Stats'!A:A,'Up Stats'!J:J,)</f>
        <v/>
      </c>
      <c r="AL12" s="40" t="str">
        <f>IFERROR(__xludf.DUMMYFUNCTION("if(AND(AM12=FALSE,AN12=FALSE),,if(AM12=AN12,JOIN("""",""Static: "",AM12),JOIN("""",""Min:  "",AM12, CHAR(10),""Max: "",AN12)))"),"")</f>
        <v/>
      </c>
      <c r="AM12" s="42" t="str">
        <f t="array" ref="AM12">_xlfn.XLOOKUP(B12,'Up Min'!A:A,'Up Min'!J:J,)</f>
        <v/>
      </c>
      <c r="AN12" s="42" t="str">
        <f t="array" ref="AN12">_xlfn.XLOOKUP(B12,'Up Max'!A:A,'Up Max'!J:J,)</f>
        <v/>
      </c>
      <c r="AO12" s="34" t="str">
        <f t="array" ref="AO12">CONCATENATE(_xlfn.XLOOKUP(B12,'Up Cells'!A:A,'Up Cells'!B:B,))</f>
        <v>4</v>
      </c>
      <c r="AP12" s="34" t="str">
        <f t="array" ref="AP12">CONCATENATE(_xlfn.XLOOKUP(B12,'Up Rarity'!A:A,'Up Rarity'!B:B,),CHAR(10),"-")</f>
        <v>Epic
-</v>
      </c>
    </row>
    <row r="13">
      <c r="A13" s="75" t="str">
        <f t="array" ref="A13">_xlfn.XLOOKUP(B13,'Up Icon'!A:A,'Up Icon'!B:B,)</f>
        <v/>
      </c>
      <c r="B13" s="63" t="str">
        <f t="array" ref="B13">HYPERLINK(_xlfn.XLOOKUP('Up Names'!C10,'Up Wiki'!A:A,'Up Wiki'!B:B,),'Up Names'!C10)</f>
        <v>Portable Solar Array</v>
      </c>
      <c r="C13" s="70" t="str">
        <f t="array" ref="C13">_xlfn.XLOOKUP(B13,'Up Desc'!A:A,'Up Desc'!B:B,)</f>
        <v>Hold RELOAD to consume reserve ammo and regenerate health.</v>
      </c>
      <c r="D13" s="52" t="str">
        <f t="array" ref="D13">_xlfn.XLOOKUP(B13,'Up Turbo'!A:A,'Up Turbo'!B:B,)</f>
        <v>n/a</v>
      </c>
      <c r="E13" s="53" t="str">
        <f t="array" ref="E13">_xlfn.XLOOKUP(B13,'Up Stats'!A:A,'Up Stats'!B:B,)</f>
        <v>Ammo per Second</v>
      </c>
      <c r="F13" s="54" t="str">
        <f>IFERROR(__xludf.DUMMYFUNCTION("if(AND(G13=FALSE,H13=FALSE),,if(G13=H13,JOIN("""",""Static: "",G13),JOIN("""",""Min:  "",G13, CHAR(10),""Max: "",H13)))"),"Min:  -60
Max: -80")</f>
        <v>Min:  -60
Max: -80</v>
      </c>
      <c r="G13" s="64">
        <f t="array" ref="G13">_xlfn.XLOOKUP(B13,'Up Min'!A:A,'Up Min'!B:B,)</f>
        <v>-60</v>
      </c>
      <c r="H13" s="65">
        <f t="array" ref="H13">_xlfn.XLOOKUP(B13,'Up Max'!A:A,'Up Max'!B:B,)</f>
        <v>-80</v>
      </c>
      <c r="I13" s="53" t="str">
        <f t="array" ref="I13">_xlfn.XLOOKUP(B13,'Up Stats'!A:A,'Up Stats'!C:C,)</f>
        <v>Health</v>
      </c>
      <c r="J13" s="54" t="str">
        <f>IFERROR(__xludf.DUMMYFUNCTION("if(AND(K13=FALSE,L13=FALSE),,if(K13=L13,JOIN("""",""Static: "",K13),JOIN("""",""Min:  "",K13, CHAR(10),""Max: "",L13)))"),"Min:  0.05
Max: 0.07")</f>
        <v>Min:  0.05
Max: 0.07</v>
      </c>
      <c r="K13" s="65">
        <f t="array" ref="K13">_xlfn.XLOOKUP(B13,'Up Min'!A:A,'Up Min'!C:C,)</f>
        <v>0.05</v>
      </c>
      <c r="L13" s="64">
        <f t="array" ref="L13">_xlfn.XLOOKUP(B13,'Up Max'!A:A,'Up Max'!C:C,)</f>
        <v>0.07</v>
      </c>
      <c r="M13" s="53" t="str">
        <f t="array" ref="M13">_xlfn.XLOOKUP(B13,'Up Stats'!A:A,'Up Stats'!D:D,)</f>
        <v/>
      </c>
      <c r="N13" s="54" t="str">
        <f>IFERROR(__xludf.DUMMYFUNCTION("if(AND(O13=FALSE,P13=FALSE),,if(O13=P13,JOIN("""",""Static: "",O13),JOIN("""",""Min:  "",O13, CHAR(10),""Max: "",P13)))"),"")</f>
        <v/>
      </c>
      <c r="O13" s="55" t="str">
        <f t="array" ref="O13">_xlfn.XLOOKUP(B13,'Up Min'!A:A,'Up Min'!D:D,)</f>
        <v/>
      </c>
      <c r="P13" s="55" t="str">
        <f t="array" ref="P13">_xlfn.XLOOKUP(B13,'Up Max'!A:A,'Up Max'!D:D,)</f>
        <v/>
      </c>
      <c r="Q13" s="57" t="str">
        <f t="array" ref="Q13">_xlfn.XLOOKUP(B13,'Up Stats'!A:A,'Up Stats'!E:E,)</f>
        <v/>
      </c>
      <c r="R13" s="54" t="str">
        <f>IFERROR(__xludf.DUMMYFUNCTION("if(AND(S13=FALSE,T13=FALSE),,if(S13=T13,JOIN("""",""Static: "",S13),JOIN("""",""Min:  "",S13, CHAR(10),""Max: "",T13)))"),"")</f>
        <v/>
      </c>
      <c r="S13" s="55" t="str">
        <f t="array" ref="S13">_xlfn.XLOOKUP(B13,'Up Min'!A:A,'Up Min'!E:E,)</f>
        <v/>
      </c>
      <c r="T13" s="55" t="str">
        <f t="array" ref="T13">_xlfn.XLOOKUP(B13,'Up Max'!A:A,'Up Max'!E:E,)</f>
        <v/>
      </c>
      <c r="U13" s="57" t="str">
        <f t="array" ref="U13">_xlfn.XLOOKUP(B13,'Up Stats'!A:A,'Up Stats'!F:F,)</f>
        <v/>
      </c>
      <c r="V13" s="54" t="str">
        <f>IFERROR(__xludf.DUMMYFUNCTION("if(AND(W13=FALSE,X13=FALSE),,if(W13=X13,JOIN("""",""Static: "",W13),JOIN("""",""Min:  "",W13, CHAR(10),""Max: "",X13)))"),"")</f>
        <v/>
      </c>
      <c r="W13" s="55" t="str">
        <f t="array" ref="W13">_xlfn.XLOOKUP(B13,'Up Min'!A:A,'Up Min'!F:F,)</f>
        <v/>
      </c>
      <c r="X13" s="55" t="str">
        <f t="array" ref="X13">_xlfn.XLOOKUP(B13,'Up Max'!A:A,'Up Max'!F:F,)</f>
        <v/>
      </c>
      <c r="Y13" s="57" t="str">
        <f t="array" ref="Y13">_xlfn.XLOOKUP(B13,'Up Stats'!A:A,'Up Stats'!G:G,)</f>
        <v/>
      </c>
      <c r="Z13" s="54" t="str">
        <f>IFERROR(__xludf.DUMMYFUNCTION("if(AND(AA13=FALSE,AB13=FALSE),,if(AA13=AB13,JOIN("""",""Static: "",AA13),JOIN("""",""Min:  "",AA13, CHAR(10),""Max: "",AB13)))"),"")</f>
        <v/>
      </c>
      <c r="AA13" s="55" t="str">
        <f t="array" ref="AA13">_xlfn.XLOOKUP(B13,'Up Min'!A:A,'Up Min'!G:G,)</f>
        <v/>
      </c>
      <c r="AB13" s="55" t="str">
        <f t="array" ref="AB13">_xlfn.XLOOKUP(B13,'Up Max'!A:A,'Up Max'!G:G,)</f>
        <v/>
      </c>
      <c r="AC13" s="57" t="str">
        <f t="array" ref="AC13">_xlfn.XLOOKUP(B13,'Up Stats'!A:A,'Up Stats'!H:H,)</f>
        <v/>
      </c>
      <c r="AD13" s="54" t="str">
        <f>IFERROR(__xludf.DUMMYFUNCTION("if(AND(AE13=FALSE,AF13=FALSE),,if(AE13=AF13,JOIN("""",""Static: "",AE13),JOIN("""",""Min:  "",AE13, CHAR(10),""Max: "",AF13)))"),"")</f>
        <v/>
      </c>
      <c r="AE13" s="55" t="str">
        <f t="array" ref="AE13">_xlfn.XLOOKUP(B13,'Up Min'!A:A,'Up Min'!H:H,)</f>
        <v/>
      </c>
      <c r="AF13" s="55" t="str">
        <f t="array" ref="AF13">_xlfn.XLOOKUP(B13,'Up Max'!A:A,'Up Max'!H:H,)</f>
        <v/>
      </c>
      <c r="AG13" s="57" t="str">
        <f t="array" ref="AG13">_xlfn.XLOOKUP(B13,'Up Stats'!A:A,'Up Stats'!I:I,)</f>
        <v/>
      </c>
      <c r="AH13" s="54" t="str">
        <f>IFERROR(__xludf.DUMMYFUNCTION("if(AND(AI13=FALSE,AJ13=FALSE),,if(AI13=AJ13,JOIN("""",""Static: "",AI13),JOIN("""",""Min:  "",AI13, CHAR(10),""Max: "",AJ13)))"),"")</f>
        <v/>
      </c>
      <c r="AI13" s="55" t="str">
        <f t="array" ref="AI13">_xlfn.XLOOKUP(B13,'Up Min'!A:A,'Up Min'!I:I,)</f>
        <v/>
      </c>
      <c r="AJ13" s="55" t="str">
        <f t="array" ref="AJ13">_xlfn.XLOOKUP(B13,'Up Max'!A:A,'Up Max'!I:I,)</f>
        <v/>
      </c>
      <c r="AK13" s="57" t="str">
        <f t="array" ref="AK13">_xlfn.XLOOKUP(B13,'Up Stats'!A:A,'Up Stats'!J:J,)</f>
        <v/>
      </c>
      <c r="AL13" s="54" t="str">
        <f>IFERROR(__xludf.DUMMYFUNCTION("if(AND(AM13=FALSE,AN13=FALSE),,if(AM13=AN13,JOIN("""",""Static: "",AM13),JOIN("""",""Min:  "",AM13, CHAR(10),""Max: "",AN13)))"),"")</f>
        <v/>
      </c>
      <c r="AM13" s="55" t="str">
        <f t="array" ref="AM13">_xlfn.XLOOKUP(B13,'Up Min'!A:A,'Up Min'!J:J,)</f>
        <v/>
      </c>
      <c r="AN13" s="55" t="str">
        <f t="array" ref="AN13">_xlfn.XLOOKUP(B13,'Up Max'!A:A,'Up Max'!J:J,)</f>
        <v/>
      </c>
      <c r="AO13" s="51" t="str">
        <f t="array" ref="AO13">CONCATENATE(_xlfn.XLOOKUP(B13,'Up Cells'!A:A,'Up Cells'!B:B,))</f>
        <v>6</v>
      </c>
      <c r="AP13" s="51" t="str">
        <f t="array" ref="AP13">CONCATENATE(_xlfn.XLOOKUP(B13,'Up Rarity'!A:A,'Up Rarity'!B:B,),CHAR(10),"-")</f>
        <v>Epic
-</v>
      </c>
    </row>
    <row r="14">
      <c r="A14" s="75" t="str">
        <f t="array" ref="A14">_xlfn.XLOOKUP(B14,'Up Icon'!A:A,'Up Icon'!B:B,)</f>
        <v/>
      </c>
      <c r="B14" s="66" t="str">
        <f t="array" ref="B14">HYPERLINK(_xlfn.XLOOKUP('Up Names'!C11,'Up Wiki'!A:A,'Up Wiki'!B:B,),'Up Names'!C11)</f>
        <v>Power Redistribution</v>
      </c>
      <c r="C14" s="37" t="str">
        <f t="array" ref="C14">_xlfn.XLOOKUP(B14,'Up Desc'!A:A,'Up Desc'!B:B,)</f>
        <v>Reload speed is decreased, but you move much faster while reloading.</v>
      </c>
      <c r="D14" s="37" t="str">
        <f t="array" ref="D14">_xlfn.XLOOKUP(B14,'Up Turbo'!A:A,'Up Turbo'!B:B,)</f>
        <v>n/a</v>
      </c>
      <c r="E14" s="39" t="str">
        <f t="array" ref="E14">_xlfn.XLOOKUP(B14,'Up Stats'!A:A,'Up Stats'!B:B,)</f>
        <v>Speed</v>
      </c>
      <c r="F14" s="40" t="str">
        <f>IFERROR(__xludf.DUMMYFUNCTION("if(AND(G14=FALSE,H14=FALSE),,if(G14=H14,JOIN("""",""Static: "",G14),JOIN("""",""Min:  "",G14, CHAR(10),""Max: "",H14)))"),"Min:  8.7
Max: 13")</f>
        <v>Min:  8.7
Max: 13</v>
      </c>
      <c r="G14" s="69">
        <f t="array" ref="G14">_xlfn.XLOOKUP(B14,'Up Min'!A:A,'Up Min'!B:B,)</f>
        <v>8.7</v>
      </c>
      <c r="H14" s="68">
        <f t="array" ref="H14">_xlfn.XLOOKUP(B14,'Up Max'!A:A,'Up Max'!B:B,)</f>
        <v>13</v>
      </c>
      <c r="I14" s="39" t="str">
        <f t="array" ref="I14">_xlfn.XLOOKUP(B14,'Up Stats'!A:A,'Up Stats'!C:C,)</f>
        <v>Reload Speed</v>
      </c>
      <c r="J14" s="40" t="str">
        <f>IFERROR(__xludf.DUMMYFUNCTION("if(AND(K14=FALSE,L14=FALSE),,if(K14=L14,JOIN("""",""Static: "",K14),JOIN("""",""Min:  "",K14, CHAR(10),""Max: "",L14)))"),"Min:  -16.67%
Max: -28.57%")</f>
        <v>Min:  -16.67%
Max: -28.57%</v>
      </c>
      <c r="K14" s="78">
        <f t="array" ref="K14">_xlfn.XLOOKUP(B14,'Up Min'!A:A,'Up Min'!C:C,)</f>
        <v>-0.1667</v>
      </c>
      <c r="L14" s="78">
        <f t="array" ref="L14">_xlfn.XLOOKUP(B14,'Up Max'!A:A,'Up Max'!C:C,)</f>
        <v>-0.2857</v>
      </c>
      <c r="M14" s="39" t="str">
        <f t="array" ref="M14">_xlfn.XLOOKUP(B14,'Up Stats'!A:A,'Up Stats'!D:D,)</f>
        <v/>
      </c>
      <c r="N14" s="40" t="str">
        <f>IFERROR(__xludf.DUMMYFUNCTION("if(AND(O14=FALSE,P14=FALSE),,if(O14=P14,JOIN("""",""Static: "",O14),JOIN("""",""Min:  "",O14, CHAR(10),""Max: "",P14)))"),"")</f>
        <v/>
      </c>
      <c r="O14" s="42" t="str">
        <f t="array" ref="O14">_xlfn.XLOOKUP(B14,'Up Min'!A:A,'Up Min'!D:D,)</f>
        <v/>
      </c>
      <c r="P14" s="42" t="str">
        <f t="array" ref="P14">_xlfn.XLOOKUP(B14,'Up Max'!A:A,'Up Max'!D:D,)</f>
        <v/>
      </c>
      <c r="Q14" s="48" t="str">
        <f t="array" ref="Q14">_xlfn.XLOOKUP(B14,'Up Stats'!A:A,'Up Stats'!E:E,)</f>
        <v/>
      </c>
      <c r="R14" s="40" t="str">
        <f>IFERROR(__xludf.DUMMYFUNCTION("if(AND(S14=FALSE,T14=FALSE),,if(S14=T14,JOIN("""",""Static: "",S14),JOIN("""",""Min:  "",S14, CHAR(10),""Max: "",T14)))"),"")</f>
        <v/>
      </c>
      <c r="S14" s="42" t="str">
        <f t="array" ref="S14">_xlfn.XLOOKUP(B14,'Up Min'!A:A,'Up Min'!E:E,)</f>
        <v/>
      </c>
      <c r="T14" s="42" t="str">
        <f t="array" ref="T14">_xlfn.XLOOKUP(B14,'Up Max'!A:A,'Up Max'!E:E,)</f>
        <v/>
      </c>
      <c r="U14" s="48" t="str">
        <f t="array" ref="U14">_xlfn.XLOOKUP(B14,'Up Stats'!A:A,'Up Stats'!F:F,)</f>
        <v/>
      </c>
      <c r="V14" s="40" t="str">
        <f>IFERROR(__xludf.DUMMYFUNCTION("if(AND(W14=FALSE,X14=FALSE),,if(W14=X14,JOIN("""",""Static: "",W14),JOIN("""",""Min:  "",W14, CHAR(10),""Max: "",X14)))"),"")</f>
        <v/>
      </c>
      <c r="W14" s="42" t="str">
        <f t="array" ref="W14">_xlfn.XLOOKUP(B14,'Up Min'!A:A,'Up Min'!F:F,)</f>
        <v/>
      </c>
      <c r="X14" s="42" t="str">
        <f t="array" ref="X14">_xlfn.XLOOKUP(B14,'Up Max'!A:A,'Up Max'!F:F,)</f>
        <v/>
      </c>
      <c r="Y14" s="48" t="str">
        <f t="array" ref="Y14">_xlfn.XLOOKUP(B14,'Up Stats'!A:A,'Up Stats'!G:G,)</f>
        <v/>
      </c>
      <c r="Z14" s="40" t="str">
        <f>IFERROR(__xludf.DUMMYFUNCTION("if(AND(AA14=FALSE,AB14=FALSE),,if(AA14=AB14,JOIN("""",""Static: "",AA14),JOIN("""",""Min:  "",AA14, CHAR(10),""Max: "",AB14)))"),"")</f>
        <v/>
      </c>
      <c r="AA14" s="42" t="str">
        <f t="array" ref="AA14">_xlfn.XLOOKUP(B14,'Up Min'!A:A,'Up Min'!G:G,)</f>
        <v/>
      </c>
      <c r="AB14" s="42" t="str">
        <f t="array" ref="AB14">_xlfn.XLOOKUP(B14,'Up Max'!A:A,'Up Max'!G:G,)</f>
        <v/>
      </c>
      <c r="AC14" s="48" t="str">
        <f t="array" ref="AC14">_xlfn.XLOOKUP(B14,'Up Stats'!A:A,'Up Stats'!H:H,)</f>
        <v/>
      </c>
      <c r="AD14" s="40" t="str">
        <f>IFERROR(__xludf.DUMMYFUNCTION("if(AND(AE14=FALSE,AF14=FALSE),,if(AE14=AF14,JOIN("""",""Static: "",AE14),JOIN("""",""Min:  "",AE14, CHAR(10),""Max: "",AF14)))"),"")</f>
        <v/>
      </c>
      <c r="AE14" s="42" t="str">
        <f t="array" ref="AE14">_xlfn.XLOOKUP(B14,'Up Min'!A:A,'Up Min'!H:H,)</f>
        <v/>
      </c>
      <c r="AF14" s="42" t="str">
        <f t="array" ref="AF14">_xlfn.XLOOKUP(B14,'Up Max'!A:A,'Up Max'!H:H,)</f>
        <v/>
      </c>
      <c r="AG14" s="48" t="str">
        <f t="array" ref="AG14">_xlfn.XLOOKUP(B14,'Up Stats'!A:A,'Up Stats'!I:I,)</f>
        <v/>
      </c>
      <c r="AH14" s="40" t="str">
        <f>IFERROR(__xludf.DUMMYFUNCTION("if(AND(AI14=FALSE,AJ14=FALSE),,if(AI14=AJ14,JOIN("""",""Static: "",AI14),JOIN("""",""Min:  "",AI14, CHAR(10),""Max: "",AJ14)))"),"")</f>
        <v/>
      </c>
      <c r="AI14" s="42" t="str">
        <f t="array" ref="AI14">_xlfn.XLOOKUP(B14,'Up Min'!A:A,'Up Min'!I:I,)</f>
        <v/>
      </c>
      <c r="AJ14" s="42" t="str">
        <f t="array" ref="AJ14">_xlfn.XLOOKUP(B14,'Up Max'!A:A,'Up Max'!I:I,)</f>
        <v/>
      </c>
      <c r="AK14" s="48" t="str">
        <f t="array" ref="AK14">_xlfn.XLOOKUP(B14,'Up Stats'!A:A,'Up Stats'!J:J,)</f>
        <v/>
      </c>
      <c r="AL14" s="40" t="str">
        <f>IFERROR(__xludf.DUMMYFUNCTION("if(AND(AM14=FALSE,AN14=FALSE),,if(AM14=AN14,JOIN("""",""Static: "",AM14),JOIN("""",""Min:  "",AM14, CHAR(10),""Max: "",AN14)))"),"")</f>
        <v/>
      </c>
      <c r="AM14" s="42" t="str">
        <f t="array" ref="AM14">_xlfn.XLOOKUP(B14,'Up Min'!A:A,'Up Min'!J:J,)</f>
        <v/>
      </c>
      <c r="AN14" s="42" t="str">
        <f t="array" ref="AN14">_xlfn.XLOOKUP(B14,'Up Max'!A:A,'Up Max'!J:J,)</f>
        <v/>
      </c>
      <c r="AO14" s="34" t="str">
        <f t="array" ref="AO14">CONCATENATE(_xlfn.XLOOKUP(B14,'Up Cells'!A:A,'Up Cells'!B:B,))</f>
        <v>4</v>
      </c>
      <c r="AP14" s="34" t="str">
        <f t="array" ref="AP14">CONCATENATE(_xlfn.XLOOKUP(B14,'Up Rarity'!A:A,'Up Rarity'!B:B,),CHAR(10),"-")</f>
        <v>Epic
-</v>
      </c>
    </row>
    <row r="15">
      <c r="A15" s="75" t="str">
        <f t="array" ref="A15">_xlfn.XLOOKUP(B15,'Up Icon'!A:A,'Up Icon'!B:B,)</f>
        <v/>
      </c>
      <c r="B15" s="63" t="str">
        <f t="array" ref="B15">HYPERLINK(_xlfn.XLOOKUP('Up Names'!C12,'Up Wiki'!A:A,'Up Wiki'!B:B,),'Up Names'!C12)</f>
        <v>Remote Control</v>
      </c>
      <c r="C15" s="52" t="str">
        <f t="array" ref="C15">_xlfn.XLOOKUP(B15,'Up Desc'!A:A,'Up Desc'!B:B,)</f>
        <v>Hovering pellets follow your crosshair but travel slower.</v>
      </c>
      <c r="D15" s="52" t="str">
        <f t="array" ref="D15">_xlfn.XLOOKUP(B15,'Up Turbo'!A:A,'Up Turbo'!B:B,)</f>
        <v>n/a</v>
      </c>
      <c r="E15" s="53" t="str">
        <f t="array" ref="E15">_xlfn.XLOOKUP(B15,'Up Stats'!A:A,'Up Stats'!B:B,)</f>
        <v>Bullet Speed</v>
      </c>
      <c r="F15" s="54" t="str">
        <f>IFERROR(__xludf.DUMMYFUNCTION("if(AND(G15=FALSE,H15=FALSE),,if(G15=H15,JOIN("""",""Static: "",G15),JOIN("""",""Min:  "",G15, CHAR(10),""Max: "",H15)))"),"Min:  -75%
Max: -54%")</f>
        <v>Min:  -75%
Max: -54%</v>
      </c>
      <c r="G15" s="59">
        <f t="array" ref="G15">_xlfn.XLOOKUP(B15,'Up Min'!A:A,'Up Min'!B:B,)</f>
        <v>-0.75</v>
      </c>
      <c r="H15" s="59">
        <f t="array" ref="H15">_xlfn.XLOOKUP(B15,'Up Max'!A:A,'Up Max'!B:B,)</f>
        <v>-0.54</v>
      </c>
      <c r="I15" s="53" t="str">
        <f t="array" ref="I15">_xlfn.XLOOKUP(B15,'Up Stats'!A:A,'Up Stats'!C:C,)</f>
        <v/>
      </c>
      <c r="J15" s="54" t="str">
        <f>IFERROR(__xludf.DUMMYFUNCTION("if(AND(K15=FALSE,L15=FALSE),,if(K15=L15,JOIN("""",""Static: "",K15),JOIN("""",""Min:  "",K15, CHAR(10),""Max: "",L15)))"),"")</f>
        <v/>
      </c>
      <c r="K15" s="73" t="str">
        <f t="array" ref="K15">_xlfn.XLOOKUP(B15,'Up Min'!A:A,'Up Min'!C:C,)</f>
        <v/>
      </c>
      <c r="L15" s="73" t="str">
        <f t="array" ref="L15">_xlfn.XLOOKUP(B15,'Up Max'!A:A,'Up Max'!C:C,)</f>
        <v/>
      </c>
      <c r="M15" s="57" t="str">
        <f t="array" ref="M15">_xlfn.XLOOKUP(B15,'Up Stats'!A:A,'Up Stats'!D:D,)</f>
        <v/>
      </c>
      <c r="N15" s="54" t="str">
        <f>IFERROR(__xludf.DUMMYFUNCTION("if(AND(O15=FALSE,P15=FALSE),,if(O15=P15,JOIN("""",""Static: "",O15),JOIN("""",""Min:  "",O15, CHAR(10),""Max: "",P15)))"),"")</f>
        <v/>
      </c>
      <c r="O15" s="55" t="str">
        <f t="array" ref="O15">_xlfn.XLOOKUP(B15,'Up Min'!A:A,'Up Min'!D:D,)</f>
        <v/>
      </c>
      <c r="P15" s="55" t="str">
        <f t="array" ref="P15">_xlfn.XLOOKUP(B15,'Up Max'!A:A,'Up Max'!D:D,)</f>
        <v/>
      </c>
      <c r="Q15" s="57" t="str">
        <f t="array" ref="Q15">_xlfn.XLOOKUP(B15,'Up Stats'!A:A,'Up Stats'!E:E,)</f>
        <v/>
      </c>
      <c r="R15" s="54" t="str">
        <f>IFERROR(__xludf.DUMMYFUNCTION("if(AND(S15=FALSE,T15=FALSE),,if(S15=T15,JOIN("""",""Static: "",S15),JOIN("""",""Min:  "",S15, CHAR(10),""Max: "",T15)))"),"")</f>
        <v/>
      </c>
      <c r="S15" s="55" t="str">
        <f t="array" ref="S15">_xlfn.XLOOKUP(B15,'Up Min'!A:A,'Up Min'!E:E,)</f>
        <v/>
      </c>
      <c r="T15" s="55" t="str">
        <f t="array" ref="T15">_xlfn.XLOOKUP(B15,'Up Max'!A:A,'Up Max'!E:E,)</f>
        <v/>
      </c>
      <c r="U15" s="57" t="str">
        <f t="array" ref="U15">_xlfn.XLOOKUP(B15,'Up Stats'!A:A,'Up Stats'!F:F,)</f>
        <v/>
      </c>
      <c r="V15" s="54" t="str">
        <f>IFERROR(__xludf.DUMMYFUNCTION("if(AND(W15=FALSE,X15=FALSE),,if(W15=X15,JOIN("""",""Static: "",W15),JOIN("""",""Min:  "",W15, CHAR(10),""Max: "",X15)))"),"")</f>
        <v/>
      </c>
      <c r="W15" s="55" t="str">
        <f t="array" ref="W15">_xlfn.XLOOKUP(B15,'Up Min'!A:A,'Up Min'!F:F,)</f>
        <v/>
      </c>
      <c r="X15" s="55" t="str">
        <f t="array" ref="X15">_xlfn.XLOOKUP(B15,'Up Max'!A:A,'Up Max'!F:F,)</f>
        <v/>
      </c>
      <c r="Y15" s="57" t="str">
        <f t="array" ref="Y15">_xlfn.XLOOKUP(B15,'Up Stats'!A:A,'Up Stats'!G:G,)</f>
        <v/>
      </c>
      <c r="Z15" s="54" t="str">
        <f>IFERROR(__xludf.DUMMYFUNCTION("if(AND(AA15=FALSE,AB15=FALSE),,if(AA15=AB15,JOIN("""",""Static: "",AA15),JOIN("""",""Min:  "",AA15, CHAR(10),""Max: "",AB15)))"),"")</f>
        <v/>
      </c>
      <c r="AA15" s="55" t="str">
        <f t="array" ref="AA15">_xlfn.XLOOKUP(B15,'Up Min'!A:A,'Up Min'!G:G,)</f>
        <v/>
      </c>
      <c r="AB15" s="55" t="str">
        <f t="array" ref="AB15">_xlfn.XLOOKUP(B15,'Up Max'!A:A,'Up Max'!G:G,)</f>
        <v/>
      </c>
      <c r="AC15" s="57" t="str">
        <f t="array" ref="AC15">_xlfn.XLOOKUP(B15,'Up Stats'!A:A,'Up Stats'!H:H,)</f>
        <v/>
      </c>
      <c r="AD15" s="54" t="str">
        <f>IFERROR(__xludf.DUMMYFUNCTION("if(AND(AE15=FALSE,AF15=FALSE),,if(AE15=AF15,JOIN("""",""Static: "",AE15),JOIN("""",""Min:  "",AE15, CHAR(10),""Max: "",AF15)))"),"")</f>
        <v/>
      </c>
      <c r="AE15" s="55" t="str">
        <f t="array" ref="AE15">_xlfn.XLOOKUP(B15,'Up Min'!A:A,'Up Min'!H:H,)</f>
        <v/>
      </c>
      <c r="AF15" s="55" t="str">
        <f t="array" ref="AF15">_xlfn.XLOOKUP(B15,'Up Max'!A:A,'Up Max'!H:H,)</f>
        <v/>
      </c>
      <c r="AG15" s="57" t="str">
        <f t="array" ref="AG15">_xlfn.XLOOKUP(B15,'Up Stats'!A:A,'Up Stats'!I:I,)</f>
        <v/>
      </c>
      <c r="AH15" s="54" t="str">
        <f>IFERROR(__xludf.DUMMYFUNCTION("if(AND(AI15=FALSE,AJ15=FALSE),,if(AI15=AJ15,JOIN("""",""Static: "",AI15),JOIN("""",""Min:  "",AI15, CHAR(10),""Max: "",AJ15)))"),"")</f>
        <v/>
      </c>
      <c r="AI15" s="55" t="str">
        <f t="array" ref="AI15">_xlfn.XLOOKUP(B15,'Up Min'!A:A,'Up Min'!I:I,)</f>
        <v/>
      </c>
      <c r="AJ15" s="55" t="str">
        <f t="array" ref="AJ15">_xlfn.XLOOKUP(B15,'Up Max'!A:A,'Up Max'!I:I,)</f>
        <v/>
      </c>
      <c r="AK15" s="57" t="str">
        <f t="array" ref="AK15">_xlfn.XLOOKUP(B15,'Up Stats'!A:A,'Up Stats'!J:J,)</f>
        <v/>
      </c>
      <c r="AL15" s="54" t="str">
        <f>IFERROR(__xludf.DUMMYFUNCTION("if(AND(AM15=FALSE,AN15=FALSE),,if(AM15=AN15,JOIN("""",""Static: "",AM15),JOIN("""",""Min:  "",AM15, CHAR(10),""Max: "",AN15)))"),"")</f>
        <v/>
      </c>
      <c r="AM15" s="55" t="str">
        <f t="array" ref="AM15">_xlfn.XLOOKUP(B15,'Up Min'!A:A,'Up Min'!J:J,)</f>
        <v/>
      </c>
      <c r="AN15" s="55" t="str">
        <f t="array" ref="AN15">_xlfn.XLOOKUP(B15,'Up Max'!A:A,'Up Max'!J:J,)</f>
        <v/>
      </c>
      <c r="AO15" s="51" t="str">
        <f t="array" ref="AO15">CONCATENATE(_xlfn.XLOOKUP(B15,'Up Cells'!A:A,'Up Cells'!B:B,))</f>
        <v>5</v>
      </c>
      <c r="AP15" s="51" t="str">
        <f t="array" ref="AP15">CONCATENATE(_xlfn.XLOOKUP(B15,'Up Rarity'!A:A,'Up Rarity'!B:B,),CHAR(10),"-")</f>
        <v>Epic
-</v>
      </c>
    </row>
    <row r="16">
      <c r="A16" s="75" t="str">
        <f t="array" ref="A16">_xlfn.XLOOKUP(B16,'Up Icon'!A:A,'Up Icon'!B:B,)</f>
        <v/>
      </c>
      <c r="B16" s="66" t="str">
        <f t="array" ref="B16">HYPERLINK(_xlfn.XLOOKUP('Up Names'!C13,'Up Wiki'!A:A,'Up Wiki'!B:B,),'Up Names'!C13)</f>
        <v>Scatterburst</v>
      </c>
      <c r="C16" s="67" t="str">
        <f t="array" ref="C16">_xlfn.XLOOKUP(B16,'Up Desc'!A:A,'Up Desc'!B:B,)</f>
        <v>Fire all pellets at once. Magazine size is decreased.</v>
      </c>
      <c r="D16" s="37" t="str">
        <f t="array" ref="D16">_xlfn.XLOOKUP(B16,'Up Turbo'!A:A,'Up Turbo'!B:B,)</f>
        <v>n/a</v>
      </c>
      <c r="E16" s="39" t="str">
        <f t="array" ref="E16">_xlfn.XLOOKUP(B16,'Up Stats'!A:A,'Up Stats'!B:B,)</f>
        <v>Magazine Size</v>
      </c>
      <c r="F16" s="40" t="str">
        <f>IFERROR(__xludf.DUMMYFUNCTION("if(AND(G16=FALSE,H16=FALSE),,if(G16=H16,JOIN("""",""Static: "",G16),JOIN("""",""Min:  "",G16, CHAR(10),""Max: "",H16)))"),"Min:  -57%
Max: -45%")</f>
        <v>Min:  -57%
Max: -45%</v>
      </c>
      <c r="G16" s="41">
        <f t="array" ref="G16">_xlfn.XLOOKUP(B16,'Up Min'!A:A,'Up Min'!B:B,)</f>
        <v>-0.57</v>
      </c>
      <c r="H16" s="41">
        <f t="array" ref="H16">_xlfn.XLOOKUP(B16,'Up Max'!A:A,'Up Max'!B:B,)</f>
        <v>-0.45</v>
      </c>
      <c r="I16" s="39" t="str">
        <f t="array" ref="I16">_xlfn.XLOOKUP(B16,'Up Stats'!A:A,'Up Stats'!C:C,)</f>
        <v>Bullets per Shot</v>
      </c>
      <c r="J16" s="40" t="str">
        <f>IFERROR(__xludf.DUMMYFUNCTION("if(AND(K16=FALSE,L16=FALSE),,if(K16=L16,JOIN("""",""Static: "",K16),JOIN("""",""Min:  "",K16, CHAR(10),""Max: "",L16)))"),"Static: 30")</f>
        <v>Static: 30</v>
      </c>
      <c r="K16" s="68">
        <f t="array" ref="K16">_xlfn.XLOOKUP(B16,'Up Min'!A:A,'Up Min'!C:C,)</f>
        <v>30</v>
      </c>
      <c r="L16" s="69">
        <f t="array" ref="L16">_xlfn.XLOOKUP(B16,'Up Max'!A:A,'Up Max'!C:C,)</f>
        <v>30</v>
      </c>
      <c r="M16" s="39" t="str">
        <f t="array" ref="M16">_xlfn.XLOOKUP(B16,'Up Stats'!A:A,'Up Stats'!D:D,)</f>
        <v/>
      </c>
      <c r="N16" s="40" t="str">
        <f>IFERROR(__xludf.DUMMYFUNCTION("if(AND(O16=FALSE,P16=FALSE),,if(O16=P16,JOIN("""",""Static: "",O16),JOIN("""",""Min:  "",O16, CHAR(10),""Max: "",P16)))"),"")</f>
        <v/>
      </c>
      <c r="O16" s="42" t="str">
        <f t="array" ref="O16">_xlfn.XLOOKUP(B16,'Up Min'!A:A,'Up Min'!D:D,)</f>
        <v/>
      </c>
      <c r="P16" s="42" t="str">
        <f t="array" ref="P16">_xlfn.XLOOKUP(B16,'Up Max'!A:A,'Up Max'!D:D,)</f>
        <v/>
      </c>
      <c r="Q16" s="48" t="str">
        <f t="array" ref="Q16">_xlfn.XLOOKUP(B16,'Up Stats'!A:A,'Up Stats'!E:E,)</f>
        <v/>
      </c>
      <c r="R16" s="40" t="str">
        <f>IFERROR(__xludf.DUMMYFUNCTION("if(AND(S16=FALSE,T16=FALSE),,if(S16=T16,JOIN("""",""Static: "",S16),JOIN("""",""Min:  "",S16, CHAR(10),""Max: "",T16)))"),"")</f>
        <v/>
      </c>
      <c r="S16" s="42" t="str">
        <f t="array" ref="S16">_xlfn.XLOOKUP(B16,'Up Min'!A:A,'Up Min'!E:E,)</f>
        <v/>
      </c>
      <c r="T16" s="42" t="str">
        <f t="array" ref="T16">_xlfn.XLOOKUP(B16,'Up Max'!A:A,'Up Max'!E:E,)</f>
        <v/>
      </c>
      <c r="U16" s="48" t="str">
        <f t="array" ref="U16">_xlfn.XLOOKUP(B16,'Up Stats'!A:A,'Up Stats'!F:F,)</f>
        <v/>
      </c>
      <c r="V16" s="40" t="str">
        <f>IFERROR(__xludf.DUMMYFUNCTION("if(AND(W16=FALSE,X16=FALSE),,if(W16=X16,JOIN("""",""Static: "",W16),JOIN("""",""Min:  "",W16, CHAR(10),""Max: "",X16)))"),"")</f>
        <v/>
      </c>
      <c r="W16" s="42" t="str">
        <f t="array" ref="W16">_xlfn.XLOOKUP(B16,'Up Min'!A:A,'Up Min'!F:F,)</f>
        <v/>
      </c>
      <c r="X16" s="42" t="str">
        <f t="array" ref="X16">_xlfn.XLOOKUP(B16,'Up Max'!A:A,'Up Max'!F:F,)</f>
        <v/>
      </c>
      <c r="Y16" s="48" t="str">
        <f t="array" ref="Y16">_xlfn.XLOOKUP(B16,'Up Stats'!A:A,'Up Stats'!G:G,)</f>
        <v/>
      </c>
      <c r="Z16" s="40" t="str">
        <f>IFERROR(__xludf.DUMMYFUNCTION("if(AND(AA16=FALSE,AB16=FALSE),,if(AA16=AB16,JOIN("""",""Static: "",AA16),JOIN("""",""Min:  "",AA16, CHAR(10),""Max: "",AB16)))"),"")</f>
        <v/>
      </c>
      <c r="AA16" s="42" t="str">
        <f t="array" ref="AA16">_xlfn.XLOOKUP(B16,'Up Min'!A:A,'Up Min'!G:G,)</f>
        <v/>
      </c>
      <c r="AB16" s="42" t="str">
        <f t="array" ref="AB16">_xlfn.XLOOKUP(B16,'Up Max'!A:A,'Up Max'!G:G,)</f>
        <v/>
      </c>
      <c r="AC16" s="48" t="str">
        <f t="array" ref="AC16">_xlfn.XLOOKUP(B16,'Up Stats'!A:A,'Up Stats'!H:H,)</f>
        <v/>
      </c>
      <c r="AD16" s="40" t="str">
        <f>IFERROR(__xludf.DUMMYFUNCTION("if(AND(AE16=FALSE,AF16=FALSE),,if(AE16=AF16,JOIN("""",""Static: "",AE16),JOIN("""",""Min:  "",AE16, CHAR(10),""Max: "",AF16)))"),"")</f>
        <v/>
      </c>
      <c r="AE16" s="42" t="str">
        <f t="array" ref="AE16">_xlfn.XLOOKUP(B16,'Up Min'!A:A,'Up Min'!H:H,)</f>
        <v/>
      </c>
      <c r="AF16" s="42" t="str">
        <f t="array" ref="AF16">_xlfn.XLOOKUP(B16,'Up Max'!A:A,'Up Max'!H:H,)</f>
        <v/>
      </c>
      <c r="AG16" s="48" t="str">
        <f t="array" ref="AG16">_xlfn.XLOOKUP(B16,'Up Stats'!A:A,'Up Stats'!I:I,)</f>
        <v/>
      </c>
      <c r="AH16" s="40" t="str">
        <f>IFERROR(__xludf.DUMMYFUNCTION("if(AND(AI16=FALSE,AJ16=FALSE),,if(AI16=AJ16,JOIN("""",""Static: "",AI16),JOIN("""",""Min:  "",AI16, CHAR(10),""Max: "",AJ16)))"),"")</f>
        <v/>
      </c>
      <c r="AI16" s="42" t="str">
        <f t="array" ref="AI16">_xlfn.XLOOKUP(B16,'Up Min'!A:A,'Up Min'!I:I,)</f>
        <v/>
      </c>
      <c r="AJ16" s="42" t="str">
        <f t="array" ref="AJ16">_xlfn.XLOOKUP(B16,'Up Max'!A:A,'Up Max'!I:I,)</f>
        <v/>
      </c>
      <c r="AK16" s="48" t="str">
        <f t="array" ref="AK16">_xlfn.XLOOKUP(B16,'Up Stats'!A:A,'Up Stats'!J:J,)</f>
        <v/>
      </c>
      <c r="AL16" s="40" t="str">
        <f>IFERROR(__xludf.DUMMYFUNCTION("if(AND(AM16=FALSE,AN16=FALSE),,if(AM16=AN16,JOIN("""",""Static: "",AM16),JOIN("""",""Min:  "",AM16, CHAR(10),""Max: "",AN16)))"),"")</f>
        <v/>
      </c>
      <c r="AM16" s="42" t="str">
        <f t="array" ref="AM16">_xlfn.XLOOKUP(B16,'Up Min'!A:A,'Up Min'!J:J,)</f>
        <v/>
      </c>
      <c r="AN16" s="42" t="str">
        <f t="array" ref="AN16">_xlfn.XLOOKUP(B16,'Up Max'!A:A,'Up Max'!J:J,)</f>
        <v/>
      </c>
      <c r="AO16" s="34" t="str">
        <f t="array" ref="AO16">CONCATENATE(_xlfn.XLOOKUP(B16,'Up Cells'!A:A,'Up Cells'!B:B,))</f>
        <v>6</v>
      </c>
      <c r="AP16" s="34" t="str">
        <f t="array" ref="AP16">CONCATENATE(_xlfn.XLOOKUP(B16,'Up Rarity'!A:A,'Up Rarity'!B:B,),CHAR(10),"-")</f>
        <v>Epic
-</v>
      </c>
    </row>
    <row r="17">
      <c r="A17" s="75" t="str">
        <f t="array" ref="A17">_xlfn.XLOOKUP(B17,'Up Icon'!A:A,'Up Icon'!B:B,)</f>
        <v/>
      </c>
      <c r="B17" s="63" t="str">
        <f t="array" ref="B17">HYPERLINK(_xlfn.XLOOKUP('Up Names'!C14,'Up Wiki'!A:A,'Up Wiki'!B:B,),'Up Names'!C14)</f>
        <v>The Hive Must Grow</v>
      </c>
      <c r="C17" s="52" t="str">
        <f t="array" ref="C17">_xlfn.XLOOKUP(B17,'Up Desc'!A:A,'Up Desc'!B:B,)</f>
        <v>Magazine size is increased for each unique upgrade that touches this one.</v>
      </c>
      <c r="D17" s="52" t="str">
        <f t="array" ref="D17">_xlfn.XLOOKUP(B17,'Up Turbo'!A:A,'Up Turbo'!B:B,)</f>
        <v>n/a</v>
      </c>
      <c r="E17" s="53" t="str">
        <f t="array" ref="E17">_xlfn.XLOOKUP(B17,'Up Stats'!A:A,'Up Stats'!B:B,)</f>
        <v>Ammo per Upgrade</v>
      </c>
      <c r="F17" s="54" t="str">
        <f>IFERROR(__xludf.DUMMYFUNCTION("if(AND(G17=FALSE,H17=FALSE),,if(G17=H17,JOIN("""",""Static: "",G17),JOIN("""",""Min:  "",G17, CHAR(10),""Max: "",H17)))"),"Min:  6.75
Max: 12.38")</f>
        <v>Min:  6.75
Max: 12.38</v>
      </c>
      <c r="G17" s="64">
        <f t="array" ref="G17">_xlfn.XLOOKUP(B17,'Up Min'!A:A,'Up Min'!B:B,)</f>
        <v>6.75</v>
      </c>
      <c r="H17" s="65">
        <f t="array" ref="H17">_xlfn.XLOOKUP(B17,'Up Max'!A:A,'Up Max'!B:B,)</f>
        <v>12.38</v>
      </c>
      <c r="I17" s="53" t="str">
        <f t="array" ref="I17">_xlfn.XLOOKUP(B17,'Up Stats'!A:A,'Up Stats'!C:C,)</f>
        <v/>
      </c>
      <c r="J17" s="54" t="str">
        <f>IFERROR(__xludf.DUMMYFUNCTION("if(AND(K17=FALSE,L17=FALSE),,if(K17=L17,JOIN("""",""Static: "",K17),JOIN("""",""Min:  "",K17, CHAR(10),""Max: "",L17)))"),"")</f>
        <v/>
      </c>
      <c r="K17" s="55" t="str">
        <f t="array" ref="K17">_xlfn.XLOOKUP(B17,'Up Min'!A:A,'Up Min'!C:C,)</f>
        <v/>
      </c>
      <c r="L17" s="55" t="str">
        <f t="array" ref="L17">_xlfn.XLOOKUP(B17,'Up Max'!A:A,'Up Max'!C:C,)</f>
        <v/>
      </c>
      <c r="M17" s="57" t="str">
        <f t="array" ref="M17">_xlfn.XLOOKUP(B17,'Up Stats'!A:A,'Up Stats'!D:D,)</f>
        <v/>
      </c>
      <c r="N17" s="54" t="str">
        <f>IFERROR(__xludf.DUMMYFUNCTION("if(AND(O17=FALSE,P17=FALSE),,if(O17=P17,JOIN("""",""Static: "",O17),JOIN("""",""Min:  "",O17, CHAR(10),""Max: "",P17)))"),"")</f>
        <v/>
      </c>
      <c r="O17" s="55" t="str">
        <f t="array" ref="O17">_xlfn.XLOOKUP(B17,'Up Min'!A:A,'Up Min'!D:D,)</f>
        <v/>
      </c>
      <c r="P17" s="55" t="str">
        <f t="array" ref="P17">_xlfn.XLOOKUP(B17,'Up Max'!A:A,'Up Max'!D:D,)</f>
        <v/>
      </c>
      <c r="Q17" s="57" t="str">
        <f t="array" ref="Q17">_xlfn.XLOOKUP(B17,'Up Stats'!A:A,'Up Stats'!E:E,)</f>
        <v/>
      </c>
      <c r="R17" s="54" t="str">
        <f>IFERROR(__xludf.DUMMYFUNCTION("if(AND(S17=FALSE,T17=FALSE),,if(S17=T17,JOIN("""",""Static: "",S17),JOIN("""",""Min:  "",S17, CHAR(10),""Max: "",T17)))"),"")</f>
        <v/>
      </c>
      <c r="S17" s="55" t="str">
        <f t="array" ref="S17">_xlfn.XLOOKUP(B17,'Up Min'!A:A,'Up Min'!E:E,)</f>
        <v/>
      </c>
      <c r="T17" s="55" t="str">
        <f t="array" ref="T17">_xlfn.XLOOKUP(B17,'Up Max'!A:A,'Up Max'!E:E,)</f>
        <v/>
      </c>
      <c r="U17" s="57" t="str">
        <f t="array" ref="U17">_xlfn.XLOOKUP(B17,'Up Stats'!A:A,'Up Stats'!F:F,)</f>
        <v/>
      </c>
      <c r="V17" s="54" t="str">
        <f>IFERROR(__xludf.DUMMYFUNCTION("if(AND(W17=FALSE,X17=FALSE),,if(W17=X17,JOIN("""",""Static: "",W17),JOIN("""",""Min:  "",W17, CHAR(10),""Max: "",X17)))"),"")</f>
        <v/>
      </c>
      <c r="W17" s="55" t="str">
        <f t="array" ref="W17">_xlfn.XLOOKUP(B17,'Up Min'!A:A,'Up Min'!F:F,)</f>
        <v/>
      </c>
      <c r="X17" s="55" t="str">
        <f t="array" ref="X17">_xlfn.XLOOKUP(B17,'Up Max'!A:A,'Up Max'!F:F,)</f>
        <v/>
      </c>
      <c r="Y17" s="57" t="str">
        <f t="array" ref="Y17">_xlfn.XLOOKUP(B17,'Up Stats'!A:A,'Up Stats'!G:G,)</f>
        <v/>
      </c>
      <c r="Z17" s="54" t="str">
        <f>IFERROR(__xludf.DUMMYFUNCTION("if(AND(AA17=FALSE,AB17=FALSE),,if(AA17=AB17,JOIN("""",""Static: "",AA17),JOIN("""",""Min:  "",AA17, CHAR(10),""Max: "",AB17)))"),"")</f>
        <v/>
      </c>
      <c r="AA17" s="55" t="str">
        <f t="array" ref="AA17">_xlfn.XLOOKUP(B17,'Up Min'!A:A,'Up Min'!G:G,)</f>
        <v/>
      </c>
      <c r="AB17" s="55" t="str">
        <f t="array" ref="AB17">_xlfn.XLOOKUP(B17,'Up Max'!A:A,'Up Max'!G:G,)</f>
        <v/>
      </c>
      <c r="AC17" s="57" t="str">
        <f t="array" ref="AC17">_xlfn.XLOOKUP(B17,'Up Stats'!A:A,'Up Stats'!H:H,)</f>
        <v/>
      </c>
      <c r="AD17" s="54" t="str">
        <f>IFERROR(__xludf.DUMMYFUNCTION("if(AND(AE17=FALSE,AF17=FALSE),,if(AE17=AF17,JOIN("""",""Static: "",AE17),JOIN("""",""Min:  "",AE17, CHAR(10),""Max: "",AF17)))"),"")</f>
        <v/>
      </c>
      <c r="AE17" s="55" t="str">
        <f t="array" ref="AE17">_xlfn.XLOOKUP(B17,'Up Min'!A:A,'Up Min'!H:H,)</f>
        <v/>
      </c>
      <c r="AF17" s="55" t="str">
        <f t="array" ref="AF17">_xlfn.XLOOKUP(B17,'Up Max'!A:A,'Up Max'!H:H,)</f>
        <v/>
      </c>
      <c r="AG17" s="57" t="str">
        <f t="array" ref="AG17">_xlfn.XLOOKUP(B17,'Up Stats'!A:A,'Up Stats'!I:I,)</f>
        <v/>
      </c>
      <c r="AH17" s="54" t="str">
        <f>IFERROR(__xludf.DUMMYFUNCTION("if(AND(AI17=FALSE,AJ17=FALSE),,if(AI17=AJ17,JOIN("""",""Static: "",AI17),JOIN("""",""Min:  "",AI17, CHAR(10),""Max: "",AJ17)))"),"")</f>
        <v/>
      </c>
      <c r="AI17" s="55" t="str">
        <f t="array" ref="AI17">_xlfn.XLOOKUP(B17,'Up Min'!A:A,'Up Min'!I:I,)</f>
        <v/>
      </c>
      <c r="AJ17" s="55" t="str">
        <f t="array" ref="AJ17">_xlfn.XLOOKUP(B17,'Up Max'!A:A,'Up Max'!I:I,)</f>
        <v/>
      </c>
      <c r="AK17" s="57" t="str">
        <f t="array" ref="AK17">_xlfn.XLOOKUP(B17,'Up Stats'!A:A,'Up Stats'!J:J,)</f>
        <v/>
      </c>
      <c r="AL17" s="54" t="str">
        <f>IFERROR(__xludf.DUMMYFUNCTION("if(AND(AM17=FALSE,AN17=FALSE),,if(AM17=AN17,JOIN("""",""Static: "",AM17),JOIN("""",""Min:  "",AM17, CHAR(10),""Max: "",AN17)))"),"")</f>
        <v/>
      </c>
      <c r="AM17" s="55" t="str">
        <f t="array" ref="AM17">_xlfn.XLOOKUP(B17,'Up Min'!A:A,'Up Min'!J:J,)</f>
        <v/>
      </c>
      <c r="AN17" s="55" t="str">
        <f t="array" ref="AN17">_xlfn.XLOOKUP(B17,'Up Max'!A:A,'Up Max'!J:J,)</f>
        <v/>
      </c>
      <c r="AO17" s="51" t="str">
        <f t="array" ref="AO17">CONCATENATE(_xlfn.XLOOKUP(B17,'Up Cells'!A:A,'Up Cells'!B:B,))</f>
        <v>3</v>
      </c>
      <c r="AP17" s="51" t="str">
        <f t="array" ref="AP17">CONCATENATE(_xlfn.XLOOKUP(B17,'Up Rarity'!A:A,'Up Rarity'!B:B,),CHAR(10),"-")</f>
        <v>Epic
-</v>
      </c>
    </row>
    <row r="18">
      <c r="A18" s="75" t="str">
        <f t="array" ref="A18">_xlfn.XLOOKUP(B18,'Up Icon'!A:A,'Up Icon'!B:B,)</f>
        <v/>
      </c>
      <c r="B18" s="66" t="str">
        <f t="array" ref="B18">HYPERLINK(_xlfn.XLOOKUP('Up Names'!C15,'Up Wiki'!A:A,'Up Wiki'!B:B,),'Up Names'!C15)</f>
        <v>Wait Charging</v>
      </c>
      <c r="C18" s="37" t="str">
        <f t="array" ref="C18">_xlfn.XLOOKUP(B18,'Up Desc'!A:A,'Up Desc'!B:B,)</f>
        <v>Pellet damage increases the longer they hover.</v>
      </c>
      <c r="D18" s="37" t="str">
        <f t="array" ref="D18">_xlfn.XLOOKUP(B18,'Up Turbo'!A:A,'Up Turbo'!B:B,)</f>
        <v>n/a</v>
      </c>
      <c r="E18" s="39" t="str">
        <f t="array" ref="E18">_xlfn.XLOOKUP(B18,'Up Stats'!A:A,'Up Stats'!B:B,)</f>
        <v>Duration</v>
      </c>
      <c r="F18" s="40" t="str">
        <f>IFERROR(__xludf.DUMMYFUNCTION("if(AND(G18=FALSE,H18=FALSE),,if(G18=H18,JOIN("""",""Static: "",G18),JOIN("""",""Min:  "",G18, CHAR(10),""Max: "",H18)))"),"Min:  4.6
Max: 6")</f>
        <v>Min:  4.6
Max: 6</v>
      </c>
      <c r="G18" s="69">
        <f t="array" ref="G18">_xlfn.XLOOKUP(B18,'Up Min'!A:A,'Up Min'!B:B,)</f>
        <v>4.6</v>
      </c>
      <c r="H18" s="68">
        <f t="array" ref="H18">_xlfn.XLOOKUP(B18,'Up Max'!A:A,'Up Max'!B:B,)</f>
        <v>6</v>
      </c>
      <c r="I18" s="39" t="str">
        <f t="array" ref="I18">_xlfn.XLOOKUP(B18,'Up Stats'!A:A,'Up Stats'!C:C,)</f>
        <v>Max Damage</v>
      </c>
      <c r="J18" s="40" t="str">
        <f>IFERROR(__xludf.DUMMYFUNCTION("if(AND(K18=FALSE,L18=FALSE),,if(K18=L18,JOIN("""",""Static: "",K18),JOIN("""",""Min:  "",K18, CHAR(10),""Max: "",L18)))"),"Min:  40%
Max: 80%")</f>
        <v>Min:  40%
Max: 80%</v>
      </c>
      <c r="K18" s="41">
        <f t="array" ref="K18">_xlfn.XLOOKUP(B18,'Up Min'!A:A,'Up Min'!C:C,)</f>
        <v>0.4</v>
      </c>
      <c r="L18" s="41">
        <f t="array" ref="L18">_xlfn.XLOOKUP(B18,'Up Max'!A:A,'Up Max'!C:C,)</f>
        <v>0.8</v>
      </c>
      <c r="M18" s="39" t="str">
        <f t="array" ref="M18">_xlfn.XLOOKUP(B18,'Up Stats'!A:A,'Up Stats'!D:D,)</f>
        <v/>
      </c>
      <c r="N18" s="40" t="str">
        <f>IFERROR(__xludf.DUMMYFUNCTION("if(AND(O18=FALSE,P18=FALSE),,if(O18=P18,JOIN("""",""Static: "",O18),JOIN("""",""Min:  "",O18, CHAR(10),""Max: "",P18)))"),"")</f>
        <v/>
      </c>
      <c r="O18" s="42" t="str">
        <f t="array" ref="O18">_xlfn.XLOOKUP(B18,'Up Min'!A:A,'Up Min'!D:D,)</f>
        <v/>
      </c>
      <c r="P18" s="42" t="str">
        <f t="array" ref="P18">_xlfn.XLOOKUP(B18,'Up Max'!A:A,'Up Max'!D:D,)</f>
        <v/>
      </c>
      <c r="Q18" s="48" t="str">
        <f t="array" ref="Q18">_xlfn.XLOOKUP(B18,'Up Stats'!A:A,'Up Stats'!E:E,)</f>
        <v/>
      </c>
      <c r="R18" s="40" t="str">
        <f>IFERROR(__xludf.DUMMYFUNCTION("if(AND(S18=FALSE,T18=FALSE),,if(S18=T18,JOIN("""",""Static: "",S18),JOIN("""",""Min:  "",S18, CHAR(10),""Max: "",T18)))"),"")</f>
        <v/>
      </c>
      <c r="S18" s="42" t="str">
        <f t="array" ref="S18">_xlfn.XLOOKUP(B18,'Up Min'!A:A,'Up Min'!E:E,)</f>
        <v/>
      </c>
      <c r="T18" s="42" t="str">
        <f t="array" ref="T18">_xlfn.XLOOKUP(B18,'Up Max'!A:A,'Up Max'!E:E,)</f>
        <v/>
      </c>
      <c r="U18" s="48" t="str">
        <f t="array" ref="U18">_xlfn.XLOOKUP(B18,'Up Stats'!A:A,'Up Stats'!F:F,)</f>
        <v/>
      </c>
      <c r="V18" s="40" t="str">
        <f>IFERROR(__xludf.DUMMYFUNCTION("if(AND(W18=FALSE,X18=FALSE),,if(W18=X18,JOIN("""",""Static: "",W18),JOIN("""",""Min:  "",W18, CHAR(10),""Max: "",X18)))"),"")</f>
        <v/>
      </c>
      <c r="W18" s="42" t="str">
        <f t="array" ref="W18">_xlfn.XLOOKUP(B18,'Up Min'!A:A,'Up Min'!F:F,)</f>
        <v/>
      </c>
      <c r="X18" s="42" t="str">
        <f t="array" ref="X18">_xlfn.XLOOKUP(B18,'Up Max'!A:A,'Up Max'!F:F,)</f>
        <v/>
      </c>
      <c r="Y18" s="48" t="str">
        <f t="array" ref="Y18">_xlfn.XLOOKUP(B18,'Up Stats'!A:A,'Up Stats'!G:G,)</f>
        <v/>
      </c>
      <c r="Z18" s="40" t="str">
        <f>IFERROR(__xludf.DUMMYFUNCTION("if(AND(AA18=FALSE,AB18=FALSE),,if(AA18=AB18,JOIN("""",""Static: "",AA18),JOIN("""",""Min:  "",AA18, CHAR(10),""Max: "",AB18)))"),"")</f>
        <v/>
      </c>
      <c r="AA18" s="42" t="str">
        <f t="array" ref="AA18">_xlfn.XLOOKUP(B18,'Up Min'!A:A,'Up Min'!G:G,)</f>
        <v/>
      </c>
      <c r="AB18" s="42" t="str">
        <f t="array" ref="AB18">_xlfn.XLOOKUP(B18,'Up Max'!A:A,'Up Max'!G:G,)</f>
        <v/>
      </c>
      <c r="AC18" s="48" t="str">
        <f t="array" ref="AC18">_xlfn.XLOOKUP(B18,'Up Stats'!A:A,'Up Stats'!H:H,)</f>
        <v/>
      </c>
      <c r="AD18" s="40" t="str">
        <f>IFERROR(__xludf.DUMMYFUNCTION("if(AND(AE18=FALSE,AF18=FALSE),,if(AE18=AF18,JOIN("""",""Static: "",AE18),JOIN("""",""Min:  "",AE18, CHAR(10),""Max: "",AF18)))"),"")</f>
        <v/>
      </c>
      <c r="AE18" s="42" t="str">
        <f t="array" ref="AE18">_xlfn.XLOOKUP(B18,'Up Min'!A:A,'Up Min'!H:H,)</f>
        <v/>
      </c>
      <c r="AF18" s="42" t="str">
        <f t="array" ref="AF18">_xlfn.XLOOKUP(B18,'Up Max'!A:A,'Up Max'!H:H,)</f>
        <v/>
      </c>
      <c r="AG18" s="48" t="str">
        <f t="array" ref="AG18">_xlfn.XLOOKUP(B18,'Up Stats'!A:A,'Up Stats'!I:I,)</f>
        <v/>
      </c>
      <c r="AH18" s="40" t="str">
        <f>IFERROR(__xludf.DUMMYFUNCTION("if(AND(AI18=FALSE,AJ18=FALSE),,if(AI18=AJ18,JOIN("""",""Static: "",AI18),JOIN("""",""Min:  "",AI18, CHAR(10),""Max: "",AJ18)))"),"")</f>
        <v/>
      </c>
      <c r="AI18" s="42" t="str">
        <f t="array" ref="AI18">_xlfn.XLOOKUP(B18,'Up Min'!A:A,'Up Min'!I:I,)</f>
        <v/>
      </c>
      <c r="AJ18" s="42" t="str">
        <f t="array" ref="AJ18">_xlfn.XLOOKUP(B18,'Up Max'!A:A,'Up Max'!I:I,)</f>
        <v/>
      </c>
      <c r="AK18" s="48" t="str">
        <f t="array" ref="AK18">_xlfn.XLOOKUP(B18,'Up Stats'!A:A,'Up Stats'!J:J,)</f>
        <v/>
      </c>
      <c r="AL18" s="40" t="str">
        <f>IFERROR(__xludf.DUMMYFUNCTION("if(AND(AM18=FALSE,AN18=FALSE),,if(AM18=AN18,JOIN("""",""Static: "",AM18),JOIN("""",""Min:  "",AM18, CHAR(10),""Max: "",AN18)))"),"")</f>
        <v/>
      </c>
      <c r="AM18" s="42" t="str">
        <f t="array" ref="AM18">_xlfn.XLOOKUP(B18,'Up Min'!A:A,'Up Min'!J:J,)</f>
        <v/>
      </c>
      <c r="AN18" s="42" t="str">
        <f t="array" ref="AN18">_xlfn.XLOOKUP(B18,'Up Max'!A:A,'Up Max'!J:J,)</f>
        <v/>
      </c>
      <c r="AO18" s="34" t="str">
        <f t="array" ref="AO18">CONCATENATE(_xlfn.XLOOKUP(B18,'Up Cells'!A:A,'Up Cells'!B:B,))</f>
        <v>5</v>
      </c>
      <c r="AP18" s="34" t="str">
        <f t="array" ref="AP18">CONCATENATE(_xlfn.XLOOKUP(B18,'Up Rarity'!A:A,'Up Rarity'!B:B,),CHAR(10),"-")</f>
        <v>Epic
-</v>
      </c>
    </row>
    <row r="19">
      <c r="A19" s="83" t="str">
        <f t="array" ref="A19">_xlfn.XLOOKUP(B19,'Up Icon'!A:A,'Up Icon'!B:B,)</f>
        <v/>
      </c>
      <c r="B19" s="63" t="str">
        <f t="array" ref="B19">HYPERLINK(_xlfn.XLOOKUP('Up Names'!C16,'Up Wiki'!A:A,'Up Wiki'!B:B,),'Up Names'!C16)</f>
        <v>Atmospheric Energizers</v>
      </c>
      <c r="C19" s="70" t="str">
        <f t="array" ref="C19">_xlfn.XLOOKUP(B19,'Up Desc'!A:A,'Up Desc'!B:B,)</f>
        <v>Ammo is automatically regenerated over time while the swarm is hovering.</v>
      </c>
      <c r="D19" s="52" t="str">
        <f t="array" ref="D19">_xlfn.XLOOKUP(B19,'Up Turbo'!A:A,'Up Turbo'!B:B,)</f>
        <v>n/a</v>
      </c>
      <c r="E19" s="53" t="str">
        <f t="array" ref="E19">_xlfn.XLOOKUP(B19,'Up Stats'!A:A,'Up Stats'!B:B,)</f>
        <v>Ammo per Second</v>
      </c>
      <c r="F19" s="54" t="str">
        <f>IFERROR(__xludf.DUMMYFUNCTION("if(AND(G19=FALSE,H19=FALSE),,if(G19=H19,JOIN("""",""Static: "",G19),JOIN("""",""Min:  "",G19, CHAR(10),""Max: "",H19)))"),"Min:  17.34
Max: 12.5")</f>
        <v>Min:  17.34
Max: 12.5</v>
      </c>
      <c r="G19" s="64">
        <f t="array" ref="G19">_xlfn.XLOOKUP(B19,'Up Min'!A:A,'Up Min'!B:B,)</f>
        <v>17.34</v>
      </c>
      <c r="H19" s="65">
        <f t="array" ref="H19">_xlfn.XLOOKUP(B19,'Up Max'!A:A,'Up Max'!B:B,)</f>
        <v>12.5</v>
      </c>
      <c r="I19" s="53" t="str">
        <f t="array" ref="I19">_xlfn.XLOOKUP(B19,'Up Stats'!A:A,'Up Stats'!C:C,)</f>
        <v/>
      </c>
      <c r="J19" s="54" t="str">
        <f>IFERROR(__xludf.DUMMYFUNCTION("if(AND(K19=FALSE,L19=FALSE),,if(K19=L19,JOIN("""",""Static: "",K19),JOIN("""",""Min:  "",K19, CHAR(10),""Max: "",L19)))"),"")</f>
        <v/>
      </c>
      <c r="K19" s="72" t="str">
        <f t="array" ref="K19">_xlfn.XLOOKUP(B19,'Up Min'!A:A,'Up Min'!C:C,)</f>
        <v/>
      </c>
      <c r="L19" s="72" t="str">
        <f t="array" ref="L19">_xlfn.XLOOKUP(B19,'Up Max'!A:A,'Up Max'!C:C,)</f>
        <v/>
      </c>
      <c r="M19" s="57" t="str">
        <f t="array" ref="M19">_xlfn.XLOOKUP(B19,'Up Stats'!A:A,'Up Stats'!D:D,)</f>
        <v/>
      </c>
      <c r="N19" s="54" t="str">
        <f>IFERROR(__xludf.DUMMYFUNCTION("if(AND(O19=FALSE,P19=FALSE),,if(O19=P19,JOIN("""",""Static: "",O19),JOIN("""",""Min:  "",O19, CHAR(10),""Max: "",P19)))"),"")</f>
        <v/>
      </c>
      <c r="O19" s="55" t="str">
        <f t="array" ref="O19">_xlfn.XLOOKUP(B19,'Up Min'!A:A,'Up Min'!D:D,)</f>
        <v/>
      </c>
      <c r="P19" s="55" t="str">
        <f t="array" ref="P19">_xlfn.XLOOKUP(B19,'Up Max'!A:A,'Up Max'!D:D,)</f>
        <v/>
      </c>
      <c r="Q19" s="57" t="str">
        <f t="array" ref="Q19">_xlfn.XLOOKUP(B19,'Up Stats'!A:A,'Up Stats'!E:E,)</f>
        <v/>
      </c>
      <c r="R19" s="54" t="str">
        <f>IFERROR(__xludf.DUMMYFUNCTION("if(AND(S19=FALSE,T19=FALSE),,if(S19=T19,JOIN("""",""Static: "",S19),JOIN("""",""Min:  "",S19, CHAR(10),""Max: "",T19)))"),"")</f>
        <v/>
      </c>
      <c r="S19" s="55" t="str">
        <f t="array" ref="S19">_xlfn.XLOOKUP(B19,'Up Min'!A:A,'Up Min'!E:E,)</f>
        <v/>
      </c>
      <c r="T19" s="55" t="str">
        <f t="array" ref="T19">_xlfn.XLOOKUP(B19,'Up Max'!A:A,'Up Max'!E:E,)</f>
        <v/>
      </c>
      <c r="U19" s="57" t="str">
        <f t="array" ref="U19">_xlfn.XLOOKUP(B19,'Up Stats'!A:A,'Up Stats'!F:F,)</f>
        <v/>
      </c>
      <c r="V19" s="54" t="str">
        <f>IFERROR(__xludf.DUMMYFUNCTION("if(AND(W19=FALSE,X19=FALSE),,if(W19=X19,JOIN("""",""Static: "",W19),JOIN("""",""Min:  "",W19, CHAR(10),""Max: "",X19)))"),"")</f>
        <v/>
      </c>
      <c r="W19" s="55" t="str">
        <f t="array" ref="W19">_xlfn.XLOOKUP(B19,'Up Min'!A:A,'Up Min'!F:F,)</f>
        <v/>
      </c>
      <c r="X19" s="55" t="str">
        <f t="array" ref="X19">_xlfn.XLOOKUP(B19,'Up Max'!A:A,'Up Max'!F:F,)</f>
        <v/>
      </c>
      <c r="Y19" s="57" t="str">
        <f t="array" ref="Y19">_xlfn.XLOOKUP(B19,'Up Stats'!A:A,'Up Stats'!G:G,)</f>
        <v/>
      </c>
      <c r="Z19" s="54" t="str">
        <f>IFERROR(__xludf.DUMMYFUNCTION("if(AND(AA19=FALSE,AB19=FALSE),,if(AA19=AB19,JOIN("""",""Static: "",AA19),JOIN("""",""Min:  "",AA19, CHAR(10),""Max: "",AB19)))"),"")</f>
        <v/>
      </c>
      <c r="AA19" s="55" t="str">
        <f t="array" ref="AA19">_xlfn.XLOOKUP(B19,'Up Min'!A:A,'Up Min'!G:G,)</f>
        <v/>
      </c>
      <c r="AB19" s="55" t="str">
        <f t="array" ref="AB19">_xlfn.XLOOKUP(B19,'Up Max'!A:A,'Up Max'!G:G,)</f>
        <v/>
      </c>
      <c r="AC19" s="57" t="str">
        <f t="array" ref="AC19">_xlfn.XLOOKUP(B19,'Up Stats'!A:A,'Up Stats'!H:H,)</f>
        <v/>
      </c>
      <c r="AD19" s="54" t="str">
        <f>IFERROR(__xludf.DUMMYFUNCTION("if(AND(AE19=FALSE,AF19=FALSE),,if(AE19=AF19,JOIN("""",""Static: "",AE19),JOIN("""",""Min:  "",AE19, CHAR(10),""Max: "",AF19)))"),"")</f>
        <v/>
      </c>
      <c r="AE19" s="55" t="str">
        <f t="array" ref="AE19">_xlfn.XLOOKUP(B19,'Up Min'!A:A,'Up Min'!H:H,)</f>
        <v/>
      </c>
      <c r="AF19" s="55" t="str">
        <f t="array" ref="AF19">_xlfn.XLOOKUP(B19,'Up Max'!A:A,'Up Max'!H:H,)</f>
        <v/>
      </c>
      <c r="AG19" s="57" t="str">
        <f t="array" ref="AG19">_xlfn.XLOOKUP(B19,'Up Stats'!A:A,'Up Stats'!I:I,)</f>
        <v/>
      </c>
      <c r="AH19" s="54" t="str">
        <f>IFERROR(__xludf.DUMMYFUNCTION("if(AND(AI19=FALSE,AJ19=FALSE),,if(AI19=AJ19,JOIN("""",""Static: "",AI19),JOIN("""",""Min:  "",AI19, CHAR(10),""Max: "",AJ19)))"),"")</f>
        <v/>
      </c>
      <c r="AI19" s="55" t="str">
        <f t="array" ref="AI19">_xlfn.XLOOKUP(B19,'Up Min'!A:A,'Up Min'!I:I,)</f>
        <v/>
      </c>
      <c r="AJ19" s="55" t="str">
        <f t="array" ref="AJ19">_xlfn.XLOOKUP(B19,'Up Max'!A:A,'Up Max'!I:I,)</f>
        <v/>
      </c>
      <c r="AK19" s="57" t="str">
        <f t="array" ref="AK19">_xlfn.XLOOKUP(B19,'Up Stats'!A:A,'Up Stats'!J:J,)</f>
        <v/>
      </c>
      <c r="AL19" s="54" t="str">
        <f>IFERROR(__xludf.DUMMYFUNCTION("if(AND(AM19=FALSE,AN19=FALSE),,if(AM19=AN19,JOIN("""",""Static: "",AM19),JOIN("""",""Min:  "",AM19, CHAR(10),""Max: "",AN19)))"),"")</f>
        <v/>
      </c>
      <c r="AM19" s="55" t="str">
        <f t="array" ref="AM19">_xlfn.XLOOKUP(B19,'Up Min'!A:A,'Up Min'!J:J,)</f>
        <v/>
      </c>
      <c r="AN19" s="55" t="str">
        <f t="array" ref="AN19">_xlfn.XLOOKUP(B19,'Up Max'!A:A,'Up Max'!J:J,)</f>
        <v/>
      </c>
      <c r="AO19" s="51" t="str">
        <f t="array" ref="AO19">CONCATENATE(_xlfn.XLOOKUP(B19,'Up Cells'!A:A,'Up Cells'!B:B,))</f>
        <v>5</v>
      </c>
      <c r="AP19" s="51" t="str">
        <f t="array" ref="AP19">CONCATENATE(_xlfn.XLOOKUP(B19,'Up Rarity'!A:A,'Up Rarity'!B:B,),CHAR(10),"-")</f>
        <v>Rare
-</v>
      </c>
    </row>
    <row r="20">
      <c r="A20" s="83" t="str">
        <f t="array" ref="A20">_xlfn.XLOOKUP(B20,'Up Icon'!A:A,'Up Icon'!B:B,)</f>
        <v/>
      </c>
      <c r="B20" s="66" t="str">
        <f t="array" ref="B20">HYPERLINK(_xlfn.XLOOKUP('Up Names'!C17,'Up Wiki'!A:A,'Up Wiki'!B:B,),'Up Names'!C17)</f>
        <v>Autoswarm</v>
      </c>
      <c r="C20" s="37" t="str">
        <f t="array" ref="C20">_xlfn.XLOOKUP(B20,'Up Desc'!A:A,'Up Desc'!B:B,)</f>
        <v>Pellets are more accurate and automatically dive toward targets.</v>
      </c>
      <c r="D20" s="37" t="str">
        <f t="array" ref="D20">_xlfn.XLOOKUP(B20,'Up Turbo'!A:A,'Up Turbo'!B:B,)</f>
        <v>n/a</v>
      </c>
      <c r="E20" s="39" t="str">
        <f t="array" ref="E20">_xlfn.XLOOKUP(B20,'Up Stats'!A:A,'Up Stats'!B:B,)</f>
        <v>Bullets per Shot</v>
      </c>
      <c r="F20" s="40" t="str">
        <f>IFERROR(__xludf.DUMMYFUNCTION("if(AND(G20=FALSE,H20=FALSE),,if(G20=H20,JOIN("""",""Static: "",G20),JOIN("""",""Min:  "",G20, CHAR(10),""Max: "",H20)))"),"Static: 1")</f>
        <v>Static: 1</v>
      </c>
      <c r="G20" s="69">
        <f t="array" ref="G20">_xlfn.XLOOKUP(B20,'Up Min'!A:A,'Up Min'!B:B,)</f>
        <v>1</v>
      </c>
      <c r="H20" s="68">
        <f t="array" ref="H20">_xlfn.XLOOKUP(B20,'Up Max'!A:A,'Up Max'!B:B,)</f>
        <v>1</v>
      </c>
      <c r="I20" s="39" t="str">
        <f t="array" ref="I20">_xlfn.XLOOKUP(B20,'Up Stats'!A:A,'Up Stats'!C:C,)</f>
        <v>Horizontal Spread</v>
      </c>
      <c r="J20" s="40" t="str">
        <f>IFERROR(__xludf.DUMMYFUNCTION("if(AND(K20=FALSE,L20=FALSE),,if(K20=L20,JOIN("""",""Static: "",K20),JOIN("""",""Min:  "",K20, CHAR(10),""Max: "",L20)))"),"Static: -80%")</f>
        <v>Static: -80%</v>
      </c>
      <c r="K20" s="41">
        <f t="array" ref="K20">_xlfn.XLOOKUP(B20,'Up Min'!A:A,'Up Min'!C:C,)</f>
        <v>-0.8</v>
      </c>
      <c r="L20" s="41">
        <f t="array" ref="L20">_xlfn.XLOOKUP(B20,'Up Max'!A:A,'Up Max'!C:C,)</f>
        <v>-0.8</v>
      </c>
      <c r="M20" s="39" t="str">
        <f t="array" ref="M20">_xlfn.XLOOKUP(B20,'Up Stats'!A:A,'Up Stats'!D:D,)</f>
        <v>Vertical Spread</v>
      </c>
      <c r="N20" s="40" t="str">
        <f>IFERROR(__xludf.DUMMYFUNCTION("if(AND(O20=FALSE,P20=FALSE),,if(O20=P20,JOIN("""",""Static: "",O20),JOIN("""",""Min:  "",O20, CHAR(10),""Max: "",P20)))"),"Static: -80%")</f>
        <v>Static: -80%</v>
      </c>
      <c r="O20" s="41">
        <f t="array" ref="O20">_xlfn.XLOOKUP(B20,'Up Min'!A:A,'Up Min'!D:D,)</f>
        <v>-0.8</v>
      </c>
      <c r="P20" s="41">
        <f t="array" ref="P20">_xlfn.XLOOKUP(B20,'Up Max'!A:A,'Up Max'!D:D,)</f>
        <v>-0.8</v>
      </c>
      <c r="Q20" s="48" t="str">
        <f t="array" ref="Q20">_xlfn.XLOOKUP(B20,'Up Stats'!A:A,'Up Stats'!E:E,)</f>
        <v>Fire Rate</v>
      </c>
      <c r="R20" s="40" t="str">
        <f>IFERROR(__xludf.DUMMYFUNCTION("if(AND(S20=FALSE,T20=FALSE),,if(S20=T20,JOIN("""",""Static: "",S20),JOIN("""",""Min:  "",S20, CHAR(10),""Max: "",T20)))"),"Min:  -25.93%
Max: -39.39%")</f>
        <v>Min:  -25.93%
Max: -39.39%</v>
      </c>
      <c r="S20" s="78">
        <f t="array" ref="S20">_xlfn.XLOOKUP(B20,'Up Min'!A:A,'Up Min'!E:E,)</f>
        <v>-0.2593</v>
      </c>
      <c r="T20" s="78">
        <f t="array" ref="T20">_xlfn.XLOOKUP(B20,'Up Max'!A:A,'Up Max'!E:E,)</f>
        <v>-0.3939</v>
      </c>
      <c r="U20" s="48" t="str">
        <f t="array" ref="U20">_xlfn.XLOOKUP(B20,'Up Stats'!A:A,'Up Stats'!F:F,)</f>
        <v>Bullet Speed</v>
      </c>
      <c r="V20" s="40" t="str">
        <f>IFERROR(__xludf.DUMMYFUNCTION("if(AND(W20=FALSE,X20=FALSE),,if(W20=X20,JOIN("""",""Static: "",W20),JOIN("""",""Min:  "",W20, CHAR(10),""Max: "",X20)))"),"Min:  1700%
Max: 2100%")</f>
        <v>Min:  1700%
Max: 2100%</v>
      </c>
      <c r="W20" s="41">
        <f t="array" ref="W20">_xlfn.XLOOKUP(B20,'Up Min'!A:A,'Up Min'!F:F,)</f>
        <v>17</v>
      </c>
      <c r="X20" s="41">
        <f t="array" ref="X20">_xlfn.XLOOKUP(B20,'Up Max'!A:A,'Up Max'!F:F,)</f>
        <v>21</v>
      </c>
      <c r="Y20" s="39" t="str">
        <f t="array" ref="Y20">_xlfn.XLOOKUP(B20,'Up Stats'!A:A,'Up Stats'!G:G,)</f>
        <v>Horizontal Recoil</v>
      </c>
      <c r="Z20" s="40" t="str">
        <f>IFERROR(__xludf.DUMMYFUNCTION("if(AND(AA20=FALSE,AB20=FALSE),,if(AA20=AB20,JOIN("""",""Static: "",AA20),JOIN("""",""Min:  "",AA20, CHAR(10),""Max: "",AB20)))"),"Min:  -55%
Max: -45%")</f>
        <v>Min:  -55%
Max: -45%</v>
      </c>
      <c r="AA20" s="41">
        <f t="array" ref="AA20">_xlfn.XLOOKUP(B20,'Up Min'!A:A,'Up Min'!G:G,)</f>
        <v>-0.55</v>
      </c>
      <c r="AB20" s="41">
        <f t="array" ref="AB20">_xlfn.XLOOKUP(B20,'Up Max'!A:A,'Up Max'!G:G,)</f>
        <v>-0.45</v>
      </c>
      <c r="AC20" s="39" t="str">
        <f t="array" ref="AC20">_xlfn.XLOOKUP(B20,'Up Stats'!A:A,'Up Stats'!H:H,)</f>
        <v/>
      </c>
      <c r="AD20" s="40" t="str">
        <f>IFERROR(__xludf.DUMMYFUNCTION("if(AND(AE20=FALSE,AF20=FALSE),,if(AE20=AF20,JOIN("""",""Static: "",AE20),JOIN("""",""Min:  "",AE20, CHAR(10),""Max: "",AF20)))"),"")</f>
        <v/>
      </c>
      <c r="AE20" s="42" t="str">
        <f t="array" ref="AE20">_xlfn.XLOOKUP(B20,'Up Min'!A:A,'Up Min'!H:H,)</f>
        <v/>
      </c>
      <c r="AF20" s="42" t="str">
        <f t="array" ref="AF20">_xlfn.XLOOKUP(B20,'Up Max'!A:A,'Up Max'!H:H,)</f>
        <v/>
      </c>
      <c r="AG20" s="39" t="str">
        <f t="array" ref="AG20">_xlfn.XLOOKUP(B20,'Up Stats'!A:A,'Up Stats'!I:I,)</f>
        <v/>
      </c>
      <c r="AH20" s="40" t="str">
        <f>IFERROR(__xludf.DUMMYFUNCTION("if(AND(AI20=FALSE,AJ20=FALSE),,if(AI20=AJ20,JOIN("""",""Static: "",AI20),JOIN("""",""Min:  "",AI20, CHAR(10),""Max: "",AJ20)))"),"")</f>
        <v/>
      </c>
      <c r="AI20" s="45" t="str">
        <f t="array" ref="AI20">_xlfn.XLOOKUP(B20,'Up Min'!A:A,'Up Min'!I:I,)</f>
        <v/>
      </c>
      <c r="AJ20" s="45" t="str">
        <f t="array" ref="AJ20">_xlfn.XLOOKUP(B20,'Up Max'!A:A,'Up Max'!I:I,)</f>
        <v/>
      </c>
      <c r="AK20" s="39" t="str">
        <f t="array" ref="AK20">_xlfn.XLOOKUP(B20,'Up Stats'!A:A,'Up Stats'!J:J,)</f>
        <v/>
      </c>
      <c r="AL20" s="40" t="str">
        <f>IFERROR(__xludf.DUMMYFUNCTION("if(AND(AM20=FALSE,AN20=FALSE),,if(AM20=AN20,JOIN("""",""Static: "",AM20),JOIN("""",""Min:  "",AM20, CHAR(10),""Max: "",AN20)))"),"")</f>
        <v/>
      </c>
      <c r="AM20" s="45" t="str">
        <f t="array" ref="AM20">_xlfn.XLOOKUP(B20,'Up Min'!A:A,'Up Min'!J:J,)</f>
        <v/>
      </c>
      <c r="AN20" s="45" t="str">
        <f t="array" ref="AN20">_xlfn.XLOOKUP(B20,'Up Max'!A:A,'Up Max'!J:J,)</f>
        <v/>
      </c>
      <c r="AO20" s="34" t="str">
        <f t="array" ref="AO20">CONCATENATE(_xlfn.XLOOKUP(B20,'Up Cells'!A:A,'Up Cells'!B:B,))</f>
        <v>4</v>
      </c>
      <c r="AP20" s="34" t="str">
        <f t="array" ref="AP20">CONCATENATE(_xlfn.XLOOKUP(B20,'Up Rarity'!A:A,'Up Rarity'!B:B,),CHAR(10),"-")</f>
        <v>Rare
-</v>
      </c>
    </row>
    <row r="21">
      <c r="A21" s="83" t="str">
        <f t="array" ref="A21">_xlfn.XLOOKUP(B21,'Up Icon'!A:A,'Up Icon'!B:B,)</f>
        <v/>
      </c>
      <c r="B21" s="63" t="str">
        <f t="array" ref="B21">HYPERLINK(_xlfn.XLOOKUP('Up Names'!C18,'Up Wiki'!A:A,'Up Wiki'!B:B,),'Up Names'!C18)</f>
        <v>Blitz Planting</v>
      </c>
      <c r="C21" s="52" t="str">
        <f t="array" ref="C21">_xlfn.XLOOKUP(B21,'Up Desc'!A:A,'Up Desc'!B:B,)</f>
        <v>Firing briefly increases your move speed.</v>
      </c>
      <c r="D21" s="52" t="str">
        <f t="array" ref="D21">_xlfn.XLOOKUP(B21,'Up Turbo'!A:A,'Up Turbo'!B:B,)</f>
        <v>n/a</v>
      </c>
      <c r="E21" s="53" t="str">
        <f t="array" ref="E21">_xlfn.XLOOKUP(B21,'Up Stats'!A:A,'Up Stats'!B:B,)</f>
        <v>Speed</v>
      </c>
      <c r="F21" s="54" t="str">
        <f>IFERROR(__xludf.DUMMYFUNCTION("if(AND(G21=FALSE,H21=FALSE),,if(G21=H21,JOIN("""",""Static: "",G21),JOIN("""",""Min:  "",G21, CHAR(10),""Max: "",H21)))"),"Min:  1.8
Max: 2.2")</f>
        <v>Min:  1.8
Max: 2.2</v>
      </c>
      <c r="G21" s="64">
        <f t="array" ref="G21">_xlfn.XLOOKUP(B21,'Up Min'!A:A,'Up Min'!B:B,)</f>
        <v>1.8</v>
      </c>
      <c r="H21" s="65">
        <f t="array" ref="H21">_xlfn.XLOOKUP(B21,'Up Max'!A:A,'Up Max'!B:B,)</f>
        <v>2.2</v>
      </c>
      <c r="I21" s="53" t="str">
        <f t="array" ref="I21">_xlfn.XLOOKUP(B21,'Up Stats'!A:A,'Up Stats'!C:C,)</f>
        <v/>
      </c>
      <c r="J21" s="54" t="str">
        <f>IFERROR(__xludf.DUMMYFUNCTION("if(AND(K21=FALSE,L21=FALSE),,if(K21=L21,JOIN("""",""Static: "",K21),JOIN("""",""Min:  "",K21, CHAR(10),""Max: "",L21)))"),"")</f>
        <v/>
      </c>
      <c r="K21" s="72" t="str">
        <f t="array" ref="K21">_xlfn.XLOOKUP(B21,'Up Min'!A:A,'Up Min'!C:C,)</f>
        <v/>
      </c>
      <c r="L21" s="72" t="str">
        <f t="array" ref="L21">_xlfn.XLOOKUP(B21,'Up Max'!A:A,'Up Max'!C:C,)</f>
        <v/>
      </c>
      <c r="M21" s="57" t="str">
        <f t="array" ref="M21">_xlfn.XLOOKUP(B21,'Up Stats'!A:A,'Up Stats'!D:D,)</f>
        <v/>
      </c>
      <c r="N21" s="54" t="str">
        <f>IFERROR(__xludf.DUMMYFUNCTION("if(AND(O21=FALSE,P21=FALSE),,if(O21=P21,JOIN("""",""Static: "",O21),JOIN("""",""Min:  "",O21, CHAR(10),""Max: "",P21)))"),"")</f>
        <v/>
      </c>
      <c r="O21" s="55" t="str">
        <f t="array" ref="O21">_xlfn.XLOOKUP(B21,'Up Min'!A:A,'Up Min'!D:D,)</f>
        <v/>
      </c>
      <c r="P21" s="55" t="str">
        <f t="array" ref="P21">_xlfn.XLOOKUP(B21,'Up Max'!A:A,'Up Max'!D:D,)</f>
        <v/>
      </c>
      <c r="Q21" s="57" t="str">
        <f t="array" ref="Q21">_xlfn.XLOOKUP(B21,'Up Stats'!A:A,'Up Stats'!E:E,)</f>
        <v/>
      </c>
      <c r="R21" s="54" t="str">
        <f>IFERROR(__xludf.DUMMYFUNCTION("if(AND(S21=FALSE,T21=FALSE),,if(S21=T21,JOIN("""",""Static: "",S21),JOIN("""",""Min:  "",S21, CHAR(10),""Max: "",T21)))"),"")</f>
        <v/>
      </c>
      <c r="S21" s="55" t="str">
        <f t="array" ref="S21">_xlfn.XLOOKUP(B21,'Up Min'!A:A,'Up Min'!E:E,)</f>
        <v/>
      </c>
      <c r="T21" s="55" t="str">
        <f t="array" ref="T21">_xlfn.XLOOKUP(B21,'Up Max'!A:A,'Up Max'!E:E,)</f>
        <v/>
      </c>
      <c r="U21" s="57" t="str">
        <f t="array" ref="U21">_xlfn.XLOOKUP(B21,'Up Stats'!A:A,'Up Stats'!F:F,)</f>
        <v/>
      </c>
      <c r="V21" s="54" t="str">
        <f>IFERROR(__xludf.DUMMYFUNCTION("if(AND(W21=FALSE,X21=FALSE),,if(W21=X21,JOIN("""",""Static: "",W21),JOIN("""",""Min:  "",W21, CHAR(10),""Max: "",X21)))"),"")</f>
        <v/>
      </c>
      <c r="W21" s="55" t="str">
        <f t="array" ref="W21">_xlfn.XLOOKUP(B21,'Up Min'!A:A,'Up Min'!F:F,)</f>
        <v/>
      </c>
      <c r="X21" s="55" t="str">
        <f t="array" ref="X21">_xlfn.XLOOKUP(B21,'Up Max'!A:A,'Up Max'!F:F,)</f>
        <v/>
      </c>
      <c r="Y21" s="57" t="str">
        <f t="array" ref="Y21">_xlfn.XLOOKUP(B21,'Up Stats'!A:A,'Up Stats'!G:G,)</f>
        <v/>
      </c>
      <c r="Z21" s="54" t="str">
        <f>IFERROR(__xludf.DUMMYFUNCTION("if(AND(AA21=FALSE,AB21=FALSE),,if(AA21=AB21,JOIN("""",""Static: "",AA21),JOIN("""",""Min:  "",AA21, CHAR(10),""Max: "",AB21)))"),"")</f>
        <v/>
      </c>
      <c r="AA21" s="55" t="str">
        <f t="array" ref="AA21">_xlfn.XLOOKUP(B21,'Up Min'!A:A,'Up Min'!G:G,)</f>
        <v/>
      </c>
      <c r="AB21" s="55" t="str">
        <f t="array" ref="AB21">_xlfn.XLOOKUP(B21,'Up Max'!A:A,'Up Max'!G:G,)</f>
        <v/>
      </c>
      <c r="AC21" s="57" t="str">
        <f t="array" ref="AC21">_xlfn.XLOOKUP(B21,'Up Stats'!A:A,'Up Stats'!H:H,)</f>
        <v/>
      </c>
      <c r="AD21" s="54" t="str">
        <f>IFERROR(__xludf.DUMMYFUNCTION("if(AND(AE21=FALSE,AF21=FALSE),,if(AE21=AF21,JOIN("""",""Static: "",AE21),JOIN("""",""Min:  "",AE21, CHAR(10),""Max: "",AF21)))"),"")</f>
        <v/>
      </c>
      <c r="AE21" s="55" t="str">
        <f t="array" ref="AE21">_xlfn.XLOOKUP(B21,'Up Min'!A:A,'Up Min'!H:H,)</f>
        <v/>
      </c>
      <c r="AF21" s="55" t="str">
        <f t="array" ref="AF21">_xlfn.XLOOKUP(B21,'Up Max'!A:A,'Up Max'!H:H,)</f>
        <v/>
      </c>
      <c r="AG21" s="57" t="str">
        <f t="array" ref="AG21">_xlfn.XLOOKUP(B21,'Up Stats'!A:A,'Up Stats'!I:I,)</f>
        <v/>
      </c>
      <c r="AH21" s="54" t="str">
        <f>IFERROR(__xludf.DUMMYFUNCTION("if(AND(AI21=FALSE,AJ21=FALSE),,if(AI21=AJ21,JOIN("""",""Static: "",AI21),JOIN("""",""Min:  "",AI21, CHAR(10),""Max: "",AJ21)))"),"")</f>
        <v/>
      </c>
      <c r="AI21" s="55" t="str">
        <f t="array" ref="AI21">_xlfn.XLOOKUP(B21,'Up Min'!A:A,'Up Min'!I:I,)</f>
        <v/>
      </c>
      <c r="AJ21" s="55" t="str">
        <f t="array" ref="AJ21">_xlfn.XLOOKUP(B21,'Up Max'!A:A,'Up Max'!I:I,)</f>
        <v/>
      </c>
      <c r="AK21" s="57" t="str">
        <f t="array" ref="AK21">_xlfn.XLOOKUP(B21,'Up Stats'!A:A,'Up Stats'!J:J,)</f>
        <v/>
      </c>
      <c r="AL21" s="54" t="str">
        <f>IFERROR(__xludf.DUMMYFUNCTION("if(AND(AM21=FALSE,AN21=FALSE),,if(AM21=AN21,JOIN("""",""Static: "",AM21),JOIN("""",""Min:  "",AM21, CHAR(10),""Max: "",AN21)))"),"")</f>
        <v/>
      </c>
      <c r="AM21" s="55" t="str">
        <f t="array" ref="AM21">_xlfn.XLOOKUP(B21,'Up Min'!A:A,'Up Min'!J:J,)</f>
        <v/>
      </c>
      <c r="AN21" s="55" t="str">
        <f t="array" ref="AN21">_xlfn.XLOOKUP(B21,'Up Max'!A:A,'Up Max'!J:J,)</f>
        <v/>
      </c>
      <c r="AO21" s="51" t="str">
        <f t="array" ref="AO21">CONCATENATE(_xlfn.XLOOKUP(B21,'Up Cells'!A:A,'Up Cells'!B:B,))</f>
        <v>4</v>
      </c>
      <c r="AP21" s="51" t="str">
        <f t="array" ref="AP21">CONCATENATE(_xlfn.XLOOKUP(B21,'Up Rarity'!A:A,'Up Rarity'!B:B,),CHAR(10),"-")</f>
        <v>Rare
-</v>
      </c>
    </row>
    <row r="22">
      <c r="A22" s="83" t="str">
        <f t="array" ref="A22">_xlfn.XLOOKUP(B22,'Up Icon'!A:A,'Up Icon'!B:B,)</f>
        <v/>
      </c>
      <c r="B22" s="66" t="str">
        <f t="array" ref="B22">HYPERLINK(_xlfn.XLOOKUP('Up Names'!C19,'Up Wiki'!A:A,'Up Wiki'!B:B,),'Up Names'!C19)</f>
        <v>Electrified Pellets</v>
      </c>
      <c r="C22" s="67" t="str">
        <f t="array" ref="C22">_xlfn.XLOOKUP(B22,'Up Desc'!A:A,'Up Desc'!B:B,)</f>
        <v>Pellets apply shock.</v>
      </c>
      <c r="D22" s="37" t="str">
        <f t="array" ref="D22">_xlfn.XLOOKUP(B22,'Up Turbo'!A:A,'Up Turbo'!B:B,)</f>
        <v>n/a</v>
      </c>
      <c r="E22" s="39" t="str">
        <f t="array" ref="E22">_xlfn.XLOOKUP(B22,'Up Stats'!A:A,'Up Stats'!B:B,)</f>
        <v>Element</v>
      </c>
      <c r="F22" s="40" t="str">
        <f>IFERROR(__xludf.DUMMYFUNCTION("if(AND(G22=FALSE,H22=FALSE),,if(G22=H22,JOIN("""",""Static: "",G22),JOIN("""",""Min:  "",G22, CHAR(10),""Max: "",H22)))"),"Min:  4
Max: 6")</f>
        <v>Min:  4
Max: 6</v>
      </c>
      <c r="G22" s="69">
        <f t="array" ref="G22">_xlfn.XLOOKUP(B22,'Up Min'!A:A,'Up Min'!B:B,)</f>
        <v>4</v>
      </c>
      <c r="H22" s="68">
        <f t="array" ref="H22">_xlfn.XLOOKUP(B22,'Up Max'!A:A,'Up Max'!B:B,)</f>
        <v>6</v>
      </c>
      <c r="I22" s="39" t="str">
        <f t="array" ref="I22">_xlfn.XLOOKUP(B22,'Up Stats'!A:A,'Up Stats'!C:C,)</f>
        <v/>
      </c>
      <c r="J22" s="40" t="str">
        <f>IFERROR(__xludf.DUMMYFUNCTION("if(AND(K22=FALSE,L22=FALSE),,if(K22=L22,JOIN("""",""Static: "",K22),JOIN("""",""Min:  "",K22, CHAR(10),""Max: "",L22)))"),"")</f>
        <v/>
      </c>
      <c r="K22" s="74" t="str">
        <f t="array" ref="K22">_xlfn.XLOOKUP(B22,'Up Min'!A:A,'Up Min'!C:C,)</f>
        <v/>
      </c>
      <c r="L22" s="74" t="str">
        <f t="array" ref="L22">_xlfn.XLOOKUP(B22,'Up Max'!A:A,'Up Max'!C:C,)</f>
        <v/>
      </c>
      <c r="M22" s="48" t="str">
        <f t="array" ref="M22">_xlfn.XLOOKUP(B22,'Up Stats'!A:A,'Up Stats'!D:D,)</f>
        <v/>
      </c>
      <c r="N22" s="40" t="str">
        <f>IFERROR(__xludf.DUMMYFUNCTION("if(AND(O22=FALSE,P22=FALSE),,if(O22=P22,JOIN("""",""Static: "",O22),JOIN("""",""Min:  "",O22, CHAR(10),""Max: "",P22)))"),"")</f>
        <v/>
      </c>
      <c r="O22" s="42" t="str">
        <f t="array" ref="O22">_xlfn.XLOOKUP(B22,'Up Min'!A:A,'Up Min'!D:D,)</f>
        <v/>
      </c>
      <c r="P22" s="42" t="str">
        <f t="array" ref="P22">_xlfn.XLOOKUP(B22,'Up Max'!A:A,'Up Max'!D:D,)</f>
        <v/>
      </c>
      <c r="Q22" s="48" t="str">
        <f t="array" ref="Q22">_xlfn.XLOOKUP(B22,'Up Stats'!A:A,'Up Stats'!E:E,)</f>
        <v/>
      </c>
      <c r="R22" s="40" t="str">
        <f>IFERROR(__xludf.DUMMYFUNCTION("if(AND(S22=FALSE,T22=FALSE),,if(S22=T22,JOIN("""",""Static: "",S22),JOIN("""",""Min:  "",S22, CHAR(10),""Max: "",T22)))"),"")</f>
        <v/>
      </c>
      <c r="S22" s="42" t="str">
        <f t="array" ref="S22">_xlfn.XLOOKUP(B22,'Up Min'!A:A,'Up Min'!E:E,)</f>
        <v/>
      </c>
      <c r="T22" s="42" t="str">
        <f t="array" ref="T22">_xlfn.XLOOKUP(B22,'Up Max'!A:A,'Up Max'!E:E,)</f>
        <v/>
      </c>
      <c r="U22" s="48" t="str">
        <f t="array" ref="U22">_xlfn.XLOOKUP(B22,'Up Stats'!A:A,'Up Stats'!F:F,)</f>
        <v/>
      </c>
      <c r="V22" s="40" t="str">
        <f>IFERROR(__xludf.DUMMYFUNCTION("if(AND(W22=FALSE,X22=FALSE),,if(W22=X22,JOIN("""",""Static: "",W22),JOIN("""",""Min:  "",W22, CHAR(10),""Max: "",X22)))"),"")</f>
        <v/>
      </c>
      <c r="W22" s="42" t="str">
        <f t="array" ref="W22">_xlfn.XLOOKUP(B22,'Up Min'!A:A,'Up Min'!F:F,)</f>
        <v/>
      </c>
      <c r="X22" s="42" t="str">
        <f t="array" ref="X22">_xlfn.XLOOKUP(B22,'Up Max'!A:A,'Up Max'!F:F,)</f>
        <v/>
      </c>
      <c r="Y22" s="48" t="str">
        <f t="array" ref="Y22">_xlfn.XLOOKUP(B22,'Up Stats'!A:A,'Up Stats'!G:G,)</f>
        <v/>
      </c>
      <c r="Z22" s="40" t="str">
        <f>IFERROR(__xludf.DUMMYFUNCTION("if(AND(AA22=FALSE,AB22=FALSE),,if(AA22=AB22,JOIN("""",""Static: "",AA22),JOIN("""",""Min:  "",AA22, CHAR(10),""Max: "",AB22)))"),"")</f>
        <v/>
      </c>
      <c r="AA22" s="42" t="str">
        <f t="array" ref="AA22">_xlfn.XLOOKUP(B22,'Up Min'!A:A,'Up Min'!G:G,)</f>
        <v/>
      </c>
      <c r="AB22" s="42" t="str">
        <f t="array" ref="AB22">_xlfn.XLOOKUP(B22,'Up Max'!A:A,'Up Max'!G:G,)</f>
        <v/>
      </c>
      <c r="AC22" s="48" t="str">
        <f t="array" ref="AC22">_xlfn.XLOOKUP(B22,'Up Stats'!A:A,'Up Stats'!H:H,)</f>
        <v/>
      </c>
      <c r="AD22" s="40" t="str">
        <f>IFERROR(__xludf.DUMMYFUNCTION("if(AND(AE22=FALSE,AF22=FALSE),,if(AE22=AF22,JOIN("""",""Static: "",AE22),JOIN("""",""Min:  "",AE22, CHAR(10),""Max: "",AF22)))"),"")</f>
        <v/>
      </c>
      <c r="AE22" s="42" t="str">
        <f t="array" ref="AE22">_xlfn.XLOOKUP(B22,'Up Min'!A:A,'Up Min'!H:H,)</f>
        <v/>
      </c>
      <c r="AF22" s="42" t="str">
        <f t="array" ref="AF22">_xlfn.XLOOKUP(B22,'Up Max'!A:A,'Up Max'!H:H,)</f>
        <v/>
      </c>
      <c r="AG22" s="48" t="str">
        <f t="array" ref="AG22">_xlfn.XLOOKUP(B22,'Up Stats'!A:A,'Up Stats'!I:I,)</f>
        <v/>
      </c>
      <c r="AH22" s="40" t="str">
        <f>IFERROR(__xludf.DUMMYFUNCTION("if(AND(AI22=FALSE,AJ22=FALSE),,if(AI22=AJ22,JOIN("""",""Static: "",AI22),JOIN("""",""Min:  "",AI22, CHAR(10),""Max: "",AJ22)))"),"")</f>
        <v/>
      </c>
      <c r="AI22" s="42" t="str">
        <f t="array" ref="AI22">_xlfn.XLOOKUP(B22,'Up Min'!A:A,'Up Min'!I:I,)</f>
        <v/>
      </c>
      <c r="AJ22" s="42" t="str">
        <f t="array" ref="AJ22">_xlfn.XLOOKUP(B22,'Up Max'!A:A,'Up Max'!I:I,)</f>
        <v/>
      </c>
      <c r="AK22" s="48" t="str">
        <f t="array" ref="AK22">_xlfn.XLOOKUP(B22,'Up Stats'!A:A,'Up Stats'!J:J,)</f>
        <v/>
      </c>
      <c r="AL22" s="40" t="str">
        <f>IFERROR(__xludf.DUMMYFUNCTION("if(AND(AM22=FALSE,AN22=FALSE),,if(AM22=AN22,JOIN("""",""Static: "",AM22),JOIN("""",""Min:  "",AM22, CHAR(10),""Max: "",AN22)))"),"")</f>
        <v/>
      </c>
      <c r="AM22" s="42" t="str">
        <f t="array" ref="AM22">_xlfn.XLOOKUP(B22,'Up Min'!A:A,'Up Min'!J:J,)</f>
        <v/>
      </c>
      <c r="AN22" s="42" t="str">
        <f t="array" ref="AN22">_xlfn.XLOOKUP(B22,'Up Max'!A:A,'Up Max'!J:J,)</f>
        <v/>
      </c>
      <c r="AO22" s="34" t="str">
        <f t="array" ref="AO22">CONCATENATE(_xlfn.XLOOKUP(B22,'Up Cells'!A:A,'Up Cells'!B:B,))</f>
        <v>6</v>
      </c>
      <c r="AP22" s="34" t="str">
        <f t="array" ref="AP22">CONCATENATE(_xlfn.XLOOKUP(B22,'Up Rarity'!A:A,'Up Rarity'!B:B,),CHAR(10),"-")</f>
        <v>Rare
-</v>
      </c>
    </row>
    <row r="23">
      <c r="A23" s="83" t="str">
        <f t="array" ref="A23">_xlfn.XLOOKUP(B23,'Up Icon'!A:A,'Up Icon'!B:B,)</f>
        <v/>
      </c>
      <c r="B23" s="63" t="str">
        <f t="array" ref="B23">HYPERLINK(_xlfn.XLOOKUP('Up Names'!C20,'Up Wiki'!A:A,'Up Wiki'!B:B,),'Up Names'!C20)</f>
        <v>High Caliber Pellets</v>
      </c>
      <c r="C23" s="70" t="str">
        <f t="array" ref="C23">_xlfn.XLOOKUP(B23,'Up Desc'!A:A,'Up Desc'!B:B,)</f>
        <v>Fire slower, high-damage pellets that automatically dive toward targets.</v>
      </c>
      <c r="D23" s="52" t="str">
        <f t="array" ref="D23">_xlfn.XLOOKUP(B23,'Up Turbo'!A:A,'Up Turbo'!B:B,)</f>
        <v>n/a</v>
      </c>
      <c r="E23" s="53" t="str">
        <f t="array" ref="E23">_xlfn.XLOOKUP(B23,'Up Stats'!A:A,'Up Stats'!B:B,)</f>
        <v>Damage</v>
      </c>
      <c r="F23" s="54" t="str">
        <f>IFERROR(__xludf.DUMMYFUNCTION("if(AND(G23=FALSE,H23=FALSE),,if(G23=H23,JOIN("""",""Static: "",G23),JOIN("""",""Min:  "",G23, CHAR(10),""Max: "",H23)))"),"Min:  75%
Max: 85%")</f>
        <v>Min:  75%
Max: 85%</v>
      </c>
      <c r="G23" s="59">
        <f t="array" ref="G23">_xlfn.XLOOKUP(B23,'Up Min'!A:A,'Up Min'!B:B,)</f>
        <v>0.75</v>
      </c>
      <c r="H23" s="59">
        <f t="array" ref="H23">_xlfn.XLOOKUP(B23,'Up Max'!A:A,'Up Max'!B:B,)</f>
        <v>0.85</v>
      </c>
      <c r="I23" s="53" t="str">
        <f t="array" ref="I23">_xlfn.XLOOKUP(B23,'Up Stats'!A:A,'Up Stats'!C:C,)</f>
        <v>Magazine Size</v>
      </c>
      <c r="J23" s="54" t="str">
        <f>IFERROR(__xludf.DUMMYFUNCTION("if(AND(K23=FALSE,L23=FALSE),,if(K23=L23,JOIN("""",""Static: "",K23),JOIN("""",""Min:  "",K23, CHAR(10),""Max: "",L23)))"),"Min:  -64%
Max: 16%")</f>
        <v>Min:  -64%
Max: 16%</v>
      </c>
      <c r="K23" s="59">
        <f t="array" ref="K23">_xlfn.XLOOKUP(B23,'Up Min'!A:A,'Up Min'!C:C,)</f>
        <v>-0.64</v>
      </c>
      <c r="L23" s="59">
        <f t="array" ref="L23">_xlfn.XLOOKUP(B23,'Up Max'!A:A,'Up Max'!C:C,)</f>
        <v>0.16</v>
      </c>
      <c r="M23" s="53" t="str">
        <f t="array" ref="M23">_xlfn.XLOOKUP(B23,'Up Stats'!A:A,'Up Stats'!D:D,)</f>
        <v>Fire Rate</v>
      </c>
      <c r="N23" s="54" t="str">
        <f>IFERROR(__xludf.DUMMYFUNCTION("if(AND(O23=FALSE,P23=FALSE),,if(O23=P23,JOIN("""",""Static: "",O23),JOIN("""",""Min:  "",O23, CHAR(10),""Max: "",P23)))"),"Min:  -63.16%
Max: -66.67%")</f>
        <v>Min:  -63.16%
Max: -66.67%</v>
      </c>
      <c r="O23" s="71">
        <f t="array" ref="O23">_xlfn.XLOOKUP(B23,'Up Min'!A:A,'Up Min'!D:D,)</f>
        <v>-0.6316</v>
      </c>
      <c r="P23" s="71">
        <f t="array" ref="P23">_xlfn.XLOOKUP(B23,'Up Max'!A:A,'Up Max'!D:D,)</f>
        <v>-0.6667</v>
      </c>
      <c r="Q23" s="57" t="str">
        <f t="array" ref="Q23">_xlfn.XLOOKUP(B23,'Up Stats'!A:A,'Up Stats'!E:E,)</f>
        <v>Horizontal Spread</v>
      </c>
      <c r="R23" s="54" t="str">
        <f>IFERROR(__xludf.DUMMYFUNCTION("if(AND(S23=FALSE,T23=FALSE),,if(S23=T23,JOIN("""",""Static: "",S23),JOIN("""",""Min:  "",S23, CHAR(10),""Max: "",T23)))"),"Static: -70%")</f>
        <v>Static: -70%</v>
      </c>
      <c r="S23" s="59">
        <f t="array" ref="S23">_xlfn.XLOOKUP(B23,'Up Min'!A:A,'Up Min'!E:E,)</f>
        <v>-0.7</v>
      </c>
      <c r="T23" s="59">
        <f t="array" ref="T23">_xlfn.XLOOKUP(B23,'Up Max'!A:A,'Up Max'!E:E,)</f>
        <v>-0.7</v>
      </c>
      <c r="U23" s="53" t="str">
        <f t="array" ref="U23">_xlfn.XLOOKUP(B23,'Up Stats'!A:A,'Up Stats'!F:F,)</f>
        <v>Vertical Spread</v>
      </c>
      <c r="V23" s="54" t="str">
        <f>IFERROR(__xludf.DUMMYFUNCTION("if(AND(W23=FALSE,X23=FALSE),,if(W23=X23,JOIN("""",""Static: "",W23),JOIN("""",""Min:  "",W23, CHAR(10),""Max: "",X23)))"),"Static: -70%")</f>
        <v>Static: -70%</v>
      </c>
      <c r="W23" s="59">
        <f t="array" ref="W23">_xlfn.XLOOKUP(B23,'Up Min'!A:A,'Up Min'!F:F,)</f>
        <v>-0.7</v>
      </c>
      <c r="X23" s="59">
        <f t="array" ref="X23">_xlfn.XLOOKUP(B23,'Up Max'!A:A,'Up Max'!F:F,)</f>
        <v>-0.7</v>
      </c>
      <c r="Y23" s="53" t="str">
        <f t="array" ref="Y23">_xlfn.XLOOKUP(B23,'Up Stats'!A:A,'Up Stats'!G:G,)</f>
        <v/>
      </c>
      <c r="Z23" s="54" t="str">
        <f>IFERROR(__xludf.DUMMYFUNCTION("if(AND(AA23=FALSE,AB23=FALSE),,if(AA23=AB23,JOIN("""",""Static: "",AA23),JOIN("""",""Min:  "",AA23, CHAR(10),""Max: "",AB23)))"),"")</f>
        <v/>
      </c>
      <c r="AA23" s="55" t="str">
        <f t="array" ref="AA23">_xlfn.XLOOKUP(B23,'Up Min'!A:A,'Up Min'!G:G,)</f>
        <v/>
      </c>
      <c r="AB23" s="56" t="str">
        <f t="array" ref="AB23">_xlfn.XLOOKUP(B23,'Up Max'!A:A,'Up Max'!G:G,)</f>
        <v/>
      </c>
      <c r="AC23" s="53" t="str">
        <f t="array" ref="AC23">_xlfn.XLOOKUP(B23,'Up Stats'!A:A,'Up Stats'!H:H,)</f>
        <v/>
      </c>
      <c r="AD23" s="54" t="str">
        <f>IFERROR(__xludf.DUMMYFUNCTION("if(AND(AE23=FALSE,AF23=FALSE),,if(AE23=AF23,JOIN("""",""Static: "",AE23),JOIN("""",""Min:  "",AE23, CHAR(10),""Max: "",AF23)))"),"")</f>
        <v/>
      </c>
      <c r="AE23" s="55" t="str">
        <f t="array" ref="AE23">_xlfn.XLOOKUP(B23,'Up Min'!A:A,'Up Min'!H:H,)</f>
        <v/>
      </c>
      <c r="AF23" s="55" t="str">
        <f t="array" ref="AF23">_xlfn.XLOOKUP(B23,'Up Max'!A:A,'Up Max'!H:H,)</f>
        <v/>
      </c>
      <c r="AG23" s="57" t="str">
        <f t="array" ref="AG23">_xlfn.XLOOKUP(B23,'Up Stats'!A:A,'Up Stats'!I:I,)</f>
        <v/>
      </c>
      <c r="AH23" s="54" t="str">
        <f>IFERROR(__xludf.DUMMYFUNCTION("if(AND(AI23=FALSE,AJ23=FALSE),,if(AI23=AJ23,JOIN("""",""Static: "",AI23),JOIN("""",""Min:  "",AI23, CHAR(10),""Max: "",AJ23)))"),"")</f>
        <v/>
      </c>
      <c r="AI23" s="55" t="str">
        <f t="array" ref="AI23">_xlfn.XLOOKUP(B23,'Up Min'!A:A,'Up Min'!I:I,)</f>
        <v/>
      </c>
      <c r="AJ23" s="55" t="str">
        <f t="array" ref="AJ23">_xlfn.XLOOKUP(B23,'Up Max'!A:A,'Up Max'!I:I,)</f>
        <v/>
      </c>
      <c r="AK23" s="57" t="str">
        <f t="array" ref="AK23">_xlfn.XLOOKUP(B23,'Up Stats'!A:A,'Up Stats'!J:J,)</f>
        <v/>
      </c>
      <c r="AL23" s="54" t="str">
        <f>IFERROR(__xludf.DUMMYFUNCTION("if(AND(AM23=FALSE,AN23=FALSE),,if(AM23=AN23,JOIN("""",""Static: "",AM23),JOIN("""",""Min:  "",AM23, CHAR(10),""Max: "",AN23)))"),"")</f>
        <v/>
      </c>
      <c r="AM23" s="55" t="str">
        <f t="array" ref="AM23">_xlfn.XLOOKUP(B23,'Up Min'!A:A,'Up Min'!J:J,)</f>
        <v/>
      </c>
      <c r="AN23" s="55" t="str">
        <f t="array" ref="AN23">_xlfn.XLOOKUP(B23,'Up Max'!A:A,'Up Max'!J:J,)</f>
        <v/>
      </c>
      <c r="AO23" s="51" t="str">
        <f t="array" ref="AO23">CONCATENATE(_xlfn.XLOOKUP(B23,'Up Cells'!A:A,'Up Cells'!B:B,))</f>
        <v>5</v>
      </c>
      <c r="AP23" s="51" t="str">
        <f t="array" ref="AP23">CONCATENATE(_xlfn.XLOOKUP(B23,'Up Rarity'!A:A,'Up Rarity'!B:B,),CHAR(10),"-")</f>
        <v>Rare
-</v>
      </c>
    </row>
    <row r="24">
      <c r="A24" s="83" t="str">
        <f t="array" ref="A24">_xlfn.XLOOKUP(B24,'Up Icon'!A:A,'Up Icon'!B:B,)</f>
        <v/>
      </c>
      <c r="B24" s="66" t="str">
        <f t="array" ref="B24">HYPERLINK(_xlfn.XLOOKUP('Up Names'!C21,'Up Wiki'!A:A,'Up Wiki'!B:B,),'Up Names'!C21)</f>
        <v>Over Extended</v>
      </c>
      <c r="C24" s="67" t="str">
        <f t="array" ref="C24">_xlfn.XLOOKUP(B24,'Up Desc'!A:A,'Up Desc'!B:B,)</f>
        <v>Range and accuracy are increased, but magazine size is decreased.</v>
      </c>
      <c r="D24" s="37" t="str">
        <f t="array" ref="D24">_xlfn.XLOOKUP(B24,'Up Turbo'!A:A,'Up Turbo'!B:B,)</f>
        <v>n/a</v>
      </c>
      <c r="E24" s="39" t="str">
        <f t="array" ref="E24">_xlfn.XLOOKUP(B24,'Up Stats'!A:A,'Up Stats'!B:B,)</f>
        <v>Range</v>
      </c>
      <c r="F24" s="40" t="str">
        <f>IFERROR(__xludf.DUMMYFUNCTION("if(AND(G24=FALSE,H24=FALSE),,if(G24=H24,JOIN("""",""Static: "",G24),JOIN("""",""Min:  "",G24, CHAR(10),""Max: "",H24)))"),"Min:  62%
Max: 100%")</f>
        <v>Min:  62%
Max: 100%</v>
      </c>
      <c r="G24" s="41">
        <f t="array" ref="G24">_xlfn.XLOOKUP(B24,'Up Min'!A:A,'Up Min'!B:B,)</f>
        <v>0.62</v>
      </c>
      <c r="H24" s="41">
        <f t="array" ref="H24">_xlfn.XLOOKUP(B24,'Up Max'!A:A,'Up Max'!B:B,)</f>
        <v>1</v>
      </c>
      <c r="I24" s="39" t="str">
        <f t="array" ref="I24">_xlfn.XLOOKUP(B24,'Up Stats'!A:A,'Up Stats'!C:C,)</f>
        <v>Horizontal Spread</v>
      </c>
      <c r="J24" s="40" t="str">
        <f>IFERROR(__xludf.DUMMYFUNCTION("if(AND(K24=FALSE,L24=FALSE),,if(K24=L24,JOIN("""",""Static: "",K24),JOIN("""",""Min:  "",K24, CHAR(10),""Max: "",L24)))"),"Min:  -25%
Max: -15%")</f>
        <v>Min:  -25%
Max: -15%</v>
      </c>
      <c r="K24" s="41">
        <f t="array" ref="K24">_xlfn.XLOOKUP(B24,'Up Min'!A:A,'Up Min'!C:C,)</f>
        <v>-0.25</v>
      </c>
      <c r="L24" s="41">
        <f t="array" ref="L24">_xlfn.XLOOKUP(B24,'Up Max'!A:A,'Up Max'!C:C,)</f>
        <v>-0.15</v>
      </c>
      <c r="M24" s="39" t="str">
        <f t="array" ref="M24">_xlfn.XLOOKUP(B24,'Up Stats'!A:A,'Up Stats'!D:D,)</f>
        <v>Vertical Spread</v>
      </c>
      <c r="N24" s="40" t="str">
        <f>IFERROR(__xludf.DUMMYFUNCTION("if(AND(O24=FALSE,P24=FALSE),,if(O24=P24,JOIN("""",""Static: "",O24),JOIN("""",""Min:  "",O24, CHAR(10),""Max: "",P24)))"),"Min:  -25%
Max: -15%")</f>
        <v>Min:  -25%
Max: -15%</v>
      </c>
      <c r="O24" s="41">
        <f t="array" ref="O24">_xlfn.XLOOKUP(B24,'Up Min'!A:A,'Up Min'!D:D,)</f>
        <v>-0.25</v>
      </c>
      <c r="P24" s="41">
        <f t="array" ref="P24">_xlfn.XLOOKUP(B24,'Up Max'!A:A,'Up Max'!D:D,)</f>
        <v>-0.15</v>
      </c>
      <c r="Q24" s="48" t="str">
        <f t="array" ref="Q24">_xlfn.XLOOKUP(B24,'Up Stats'!A:A,'Up Stats'!E:E,)</f>
        <v>Magazine Size</v>
      </c>
      <c r="R24" s="40" t="str">
        <f>IFERROR(__xludf.DUMMYFUNCTION("if(AND(S24=FALSE,T24=FALSE),,if(S24=T24,JOIN("""",""Static: "",S24),JOIN("""",""Min:  "",S24, CHAR(10),""Max: "",T24)))"),"Min:  -40%
Max: -30%")</f>
        <v>Min:  -40%
Max: -30%</v>
      </c>
      <c r="S24" s="41">
        <f t="array" ref="S24">_xlfn.XLOOKUP(B24,'Up Min'!A:A,'Up Min'!E:E,)</f>
        <v>-0.4</v>
      </c>
      <c r="T24" s="41">
        <f t="array" ref="T24">_xlfn.XLOOKUP(B24,'Up Max'!A:A,'Up Max'!E:E,)</f>
        <v>-0.3</v>
      </c>
      <c r="U24" s="39" t="str">
        <f t="array" ref="U24">_xlfn.XLOOKUP(B24,'Up Stats'!A:A,'Up Stats'!F:F,)</f>
        <v/>
      </c>
      <c r="V24" s="40" t="str">
        <f>IFERROR(__xludf.DUMMYFUNCTION("if(AND(W24=FALSE,X24=FALSE),,if(W24=X24,JOIN("""",""Static: "",W24),JOIN("""",""Min:  "",W24, CHAR(10),""Max: "",X24)))"),"")</f>
        <v/>
      </c>
      <c r="W24" s="74" t="str">
        <f t="array" ref="W24">_xlfn.XLOOKUP(B24,'Up Min'!A:A,'Up Min'!F:F,)</f>
        <v/>
      </c>
      <c r="X24" s="74" t="str">
        <f t="array" ref="X24">_xlfn.XLOOKUP(B24,'Up Max'!A:A,'Up Max'!F:F,)</f>
        <v/>
      </c>
      <c r="Y24" s="48" t="str">
        <f t="array" ref="Y24">_xlfn.XLOOKUP(B24,'Up Stats'!A:A,'Up Stats'!G:G,)</f>
        <v/>
      </c>
      <c r="Z24" s="40" t="str">
        <f>IFERROR(__xludf.DUMMYFUNCTION("if(AND(AA24=FALSE,AB24=FALSE),,if(AA24=AB24,JOIN("""",""Static: "",AA24),JOIN("""",""Min:  "",AA24, CHAR(10),""Max: "",AB24)))"),"")</f>
        <v/>
      </c>
      <c r="AA24" s="42" t="str">
        <f t="array" ref="AA24">_xlfn.XLOOKUP(B24,'Up Min'!A:A,'Up Min'!G:G,)</f>
        <v/>
      </c>
      <c r="AB24" s="42" t="str">
        <f t="array" ref="AB24">_xlfn.XLOOKUP(B24,'Up Max'!A:A,'Up Max'!G:G,)</f>
        <v/>
      </c>
      <c r="AC24" s="48" t="str">
        <f t="array" ref="AC24">_xlfn.XLOOKUP(B24,'Up Stats'!A:A,'Up Stats'!H:H,)</f>
        <v/>
      </c>
      <c r="AD24" s="40" t="str">
        <f>IFERROR(__xludf.DUMMYFUNCTION("if(AND(AE24=FALSE,AF24=FALSE),,if(AE24=AF24,JOIN("""",""Static: "",AE24),JOIN("""",""Min:  "",AE24, CHAR(10),""Max: "",AF24)))"),"")</f>
        <v/>
      </c>
      <c r="AE24" s="74" t="str">
        <f t="array" ref="AE24">_xlfn.XLOOKUP(B24,'Up Min'!A:A,'Up Min'!H:H,)</f>
        <v/>
      </c>
      <c r="AF24" s="74" t="str">
        <f t="array" ref="AF24">_xlfn.XLOOKUP(B24,'Up Max'!A:A,'Up Max'!H:H,)</f>
        <v/>
      </c>
      <c r="AG24" s="48" t="str">
        <f t="array" ref="AG24">_xlfn.XLOOKUP(B24,'Up Stats'!A:A,'Up Stats'!I:I,)</f>
        <v/>
      </c>
      <c r="AH24" s="40" t="str">
        <f>IFERROR(__xludf.DUMMYFUNCTION("if(AND(AI24=FALSE,AJ24=FALSE),,if(AI24=AJ24,JOIN("""",""Static: "",AI24),JOIN("""",""Min:  "",AI24, CHAR(10),""Max: "",AJ24)))"),"")</f>
        <v/>
      </c>
      <c r="AI24" s="42" t="str">
        <f t="array" ref="AI24">_xlfn.XLOOKUP(B24,'Up Min'!A:A,'Up Min'!I:I,)</f>
        <v/>
      </c>
      <c r="AJ24" s="42" t="str">
        <f t="array" ref="AJ24">_xlfn.XLOOKUP(B24,'Up Max'!A:A,'Up Max'!I:I,)</f>
        <v/>
      </c>
      <c r="AK24" s="48" t="str">
        <f t="array" ref="AK24">_xlfn.XLOOKUP(B24,'Up Stats'!A:A,'Up Stats'!J:J,)</f>
        <v/>
      </c>
      <c r="AL24" s="40" t="str">
        <f>IFERROR(__xludf.DUMMYFUNCTION("if(AND(AM24=FALSE,AN24=FALSE),,if(AM24=AN24,JOIN("""",""Static: "",AM24),JOIN("""",""Min:  "",AM24, CHAR(10),""Max: "",AN24)))"),"")</f>
        <v/>
      </c>
      <c r="AM24" s="42" t="str">
        <f t="array" ref="AM24">_xlfn.XLOOKUP(B24,'Up Min'!A:A,'Up Min'!J:J,)</f>
        <v/>
      </c>
      <c r="AN24" s="42" t="str">
        <f t="array" ref="AN24">_xlfn.XLOOKUP(B24,'Up Max'!A:A,'Up Max'!J:J,)</f>
        <v/>
      </c>
      <c r="AO24" s="34" t="str">
        <f t="array" ref="AO24">CONCATENATE(_xlfn.XLOOKUP(B24,'Up Cells'!A:A,'Up Cells'!B:B,))</f>
        <v>4</v>
      </c>
      <c r="AP24" s="34" t="str">
        <f t="array" ref="AP24">CONCATENATE(_xlfn.XLOOKUP(B24,'Up Rarity'!A:A,'Up Rarity'!B:B,),CHAR(10),"-")</f>
        <v>Rare
-</v>
      </c>
    </row>
    <row r="25">
      <c r="A25" s="83" t="str">
        <f t="array" ref="A25">_xlfn.XLOOKUP(B25,'Up Icon'!A:A,'Up Icon'!B:B,)</f>
        <v/>
      </c>
      <c r="B25" s="63" t="str">
        <f t="array" ref="B25">HYPERLINK(_xlfn.XLOOKUP('Up Names'!C22,'Up Wiki'!A:A,'Up Wiki'!B:B,),'Up Names'!C22)</f>
        <v>Quick Grouping</v>
      </c>
      <c r="C25" s="52" t="str">
        <f t="array" ref="C25">_xlfn.XLOOKUP(B25,'Up Desc'!A:A,'Up Desc'!B:B,)</f>
        <v>Fire a shot of 6 pellets. Magazine size and ammo capacity are increased.</v>
      </c>
      <c r="D25" s="52" t="str">
        <f t="array" ref="D25">_xlfn.XLOOKUP(B25,'Up Turbo'!A:A,'Up Turbo'!B:B,)</f>
        <v>n/a</v>
      </c>
      <c r="E25" s="53" t="str">
        <f t="array" ref="E25">_xlfn.XLOOKUP(B25,'Up Stats'!A:A,'Up Stats'!B:B,)</f>
        <v>Bullets per Shot</v>
      </c>
      <c r="F25" s="54" t="str">
        <f>IFERROR(__xludf.DUMMYFUNCTION("if(AND(G25=FALSE,H25=FALSE),,if(G25=H25,JOIN("""",""Static: "",G25),JOIN("""",""Min:  "",G25, CHAR(10),""Max: "",H25)))"),"Static: 4")</f>
        <v>Static: 4</v>
      </c>
      <c r="G25" s="64">
        <f t="array" ref="G25">_xlfn.XLOOKUP(B25,'Up Min'!A:A,'Up Min'!B:B,)</f>
        <v>4</v>
      </c>
      <c r="H25" s="65">
        <f t="array" ref="H25">_xlfn.XLOOKUP(B25,'Up Max'!A:A,'Up Max'!B:B,)</f>
        <v>4</v>
      </c>
      <c r="I25" s="53" t="str">
        <f t="array" ref="I25">_xlfn.XLOOKUP(B25,'Up Stats'!A:A,'Up Stats'!C:C,)</f>
        <v>Fire Rate</v>
      </c>
      <c r="J25" s="54" t="str">
        <f>IFERROR(__xludf.DUMMYFUNCTION("if(AND(K25=FALSE,L25=FALSE),,if(K25=L25,JOIN("""",""Static: "",K25),JOIN("""",""Min:  "",K25, CHAR(10),""Max: "",L25)))"),"Min:  -74.07%
Max: 81.08%")</f>
        <v>Min:  -74.07%
Max: 81.08%</v>
      </c>
      <c r="K25" s="71">
        <f t="array" ref="K25">_xlfn.XLOOKUP(B25,'Up Min'!A:A,'Up Min'!C:C,)</f>
        <v>-0.7407</v>
      </c>
      <c r="L25" s="71">
        <f t="array" ref="L25">_xlfn.XLOOKUP(B25,'Up Max'!A:A,'Up Max'!C:C,)</f>
        <v>0.8108</v>
      </c>
      <c r="M25" s="53" t="str">
        <f t="array" ref="M25">_xlfn.XLOOKUP(B25,'Up Stats'!A:A,'Up Stats'!D:D,)</f>
        <v>Magazine Size</v>
      </c>
      <c r="N25" s="54" t="str">
        <f>IFERROR(__xludf.DUMMYFUNCTION("if(AND(O25=FALSE,P25=FALSE),,if(O25=P25,JOIN("""",""Static: "",O25),JOIN("""",""Min:  "",O25, CHAR(10),""Max: "",P25)))"),"Static: 24")</f>
        <v>Static: 24</v>
      </c>
      <c r="O25" s="65">
        <f t="array" ref="O25">_xlfn.XLOOKUP(B25,'Up Min'!A:A,'Up Min'!D:D,)</f>
        <v>24</v>
      </c>
      <c r="P25" s="64">
        <f t="array" ref="P25">_xlfn.XLOOKUP(B25,'Up Max'!A:A,'Up Max'!D:D,)</f>
        <v>24</v>
      </c>
      <c r="Q25" s="57" t="str">
        <f t="array" ref="Q25">_xlfn.XLOOKUP(B25,'Up Stats'!A:A,'Up Stats'!E:E,)</f>
        <v>Ammo Capacity</v>
      </c>
      <c r="R25" s="54" t="str">
        <f>IFERROR(__xludf.DUMMYFUNCTION("if(AND(S25=FALSE,T25=FALSE),,if(S25=T25,JOIN("""",""Static: "",S25),JOIN("""",""Min:  "",S25, CHAR(10),""Max: "",T25)))"),"Min:  24
Max: 40")</f>
        <v>Min:  24
Max: 40</v>
      </c>
      <c r="S25" s="65">
        <f t="array" ref="S25">_xlfn.XLOOKUP(B25,'Up Min'!A:A,'Up Min'!E:E,)</f>
        <v>24</v>
      </c>
      <c r="T25" s="65">
        <f t="array" ref="T25">_xlfn.XLOOKUP(B25,'Up Max'!A:A,'Up Max'!E:E,)</f>
        <v>40</v>
      </c>
      <c r="U25" s="57" t="str">
        <f t="array" ref="U25">_xlfn.XLOOKUP(B25,'Up Stats'!A:A,'Up Stats'!F:F,)</f>
        <v/>
      </c>
      <c r="V25" s="54" t="str">
        <f>IFERROR(__xludf.DUMMYFUNCTION("if(AND(W25=FALSE,X25=FALSE),,if(W25=X25,JOIN("""",""Static: "",W25),JOIN("""",""Min:  "",W25, CHAR(10),""Max: "",X25)))"),"")</f>
        <v/>
      </c>
      <c r="W25" s="56" t="str">
        <f t="array" ref="W25">_xlfn.XLOOKUP(B25,'Up Min'!A:A,'Up Min'!F:F,)</f>
        <v/>
      </c>
      <c r="X25" s="56" t="str">
        <f t="array" ref="X25">_xlfn.XLOOKUP(B25,'Up Max'!A:A,'Up Max'!F:F,)</f>
        <v/>
      </c>
      <c r="Y25" s="57" t="str">
        <f t="array" ref="Y25">_xlfn.XLOOKUP(B25,'Up Stats'!A:A,'Up Stats'!G:G,)</f>
        <v/>
      </c>
      <c r="Z25" s="54" t="str">
        <f>IFERROR(__xludf.DUMMYFUNCTION("if(AND(AA25=FALSE,AB25=FALSE),,if(AA25=AB25,JOIN("""",""Static: "",AA25),JOIN("""",""Min:  "",AA25, CHAR(10),""Max: "",AB25)))"),"")</f>
        <v/>
      </c>
      <c r="AA25" s="55" t="str">
        <f t="array" ref="AA25">_xlfn.XLOOKUP(B25,'Up Min'!A:A,'Up Min'!G:G,)</f>
        <v/>
      </c>
      <c r="AB25" s="55" t="str">
        <f t="array" ref="AB25">_xlfn.XLOOKUP(B25,'Up Max'!A:A,'Up Max'!G:G,)</f>
        <v/>
      </c>
      <c r="AC25" s="57" t="str">
        <f t="array" ref="AC25">_xlfn.XLOOKUP(B25,'Up Stats'!A:A,'Up Stats'!H:H,)</f>
        <v/>
      </c>
      <c r="AD25" s="54" t="str">
        <f>IFERROR(__xludf.DUMMYFUNCTION("if(AND(AE25=FALSE,AF25=FALSE),,if(AE25=AF25,JOIN("""",""Static: "",AE25),JOIN("""",""Min:  "",AE25, CHAR(10),""Max: "",AF25)))"),"")</f>
        <v/>
      </c>
      <c r="AE25" s="55" t="str">
        <f t="array" ref="AE25">_xlfn.XLOOKUP(B25,'Up Min'!A:A,'Up Min'!H:H,)</f>
        <v/>
      </c>
      <c r="AF25" s="55" t="str">
        <f t="array" ref="AF25">_xlfn.XLOOKUP(B25,'Up Max'!A:A,'Up Max'!H:H,)</f>
        <v/>
      </c>
      <c r="AG25" s="57" t="str">
        <f t="array" ref="AG25">_xlfn.XLOOKUP(B25,'Up Stats'!A:A,'Up Stats'!I:I,)</f>
        <v/>
      </c>
      <c r="AH25" s="54" t="str">
        <f>IFERROR(__xludf.DUMMYFUNCTION("if(AND(AI25=FALSE,AJ25=FALSE),,if(AI25=AJ25,JOIN("""",""Static: "",AI25),JOIN("""",""Min:  "",AI25, CHAR(10),""Max: "",AJ25)))"),"")</f>
        <v/>
      </c>
      <c r="AI25" s="55" t="str">
        <f t="array" ref="AI25">_xlfn.XLOOKUP(B25,'Up Min'!A:A,'Up Min'!I:I,)</f>
        <v/>
      </c>
      <c r="AJ25" s="55" t="str">
        <f t="array" ref="AJ25">_xlfn.XLOOKUP(B25,'Up Max'!A:A,'Up Max'!I:I,)</f>
        <v/>
      </c>
      <c r="AK25" s="57" t="str">
        <f t="array" ref="AK25">_xlfn.XLOOKUP(B25,'Up Stats'!A:A,'Up Stats'!J:J,)</f>
        <v/>
      </c>
      <c r="AL25" s="54" t="str">
        <f>IFERROR(__xludf.DUMMYFUNCTION("if(AND(AM25=FALSE,AN25=FALSE),,if(AM25=AN25,JOIN("""",""Static: "",AM25),JOIN("""",""Min:  "",AM25, CHAR(10),""Max: "",AN25)))"),"")</f>
        <v/>
      </c>
      <c r="AM25" s="55" t="str">
        <f t="array" ref="AM25">_xlfn.XLOOKUP(B25,'Up Min'!A:A,'Up Min'!J:J,)</f>
        <v/>
      </c>
      <c r="AN25" s="55" t="str">
        <f t="array" ref="AN25">_xlfn.XLOOKUP(B25,'Up Max'!A:A,'Up Max'!J:J,)</f>
        <v/>
      </c>
      <c r="AO25" s="51" t="str">
        <f t="array" ref="AO25">CONCATENATE(_xlfn.XLOOKUP(B25,'Up Cells'!A:A,'Up Cells'!B:B,))</f>
        <v>4</v>
      </c>
      <c r="AP25" s="51" t="str">
        <f t="array" ref="AP25">CONCATENATE(_xlfn.XLOOKUP(B25,'Up Rarity'!A:A,'Up Rarity'!B:B,),CHAR(10),"-")</f>
        <v>Rare
-</v>
      </c>
    </row>
    <row r="26">
      <c r="A26" s="83" t="str">
        <f t="array" ref="A26">_xlfn.XLOOKUP(B26,'Up Icon'!A:A,'Up Icon'!B:B,)</f>
        <v/>
      </c>
      <c r="B26" s="66" t="str">
        <f t="array" ref="B26">HYPERLINK(_xlfn.XLOOKUP('Up Names'!C23,'Up Wiki'!A:A,'Up Wiki'!B:B,),'Up Names'!C23)</f>
        <v>Quick Release</v>
      </c>
      <c r="C26" s="67" t="str">
        <f t="array" ref="C26">_xlfn.XLOOKUP(B26,'Up Desc'!A:A,'Up Desc'!B:B,)</f>
        <v>Releasing the swarm before your magazine is empty gives you a burst of speed.</v>
      </c>
      <c r="D26" s="37" t="str">
        <f t="array" ref="D26">_xlfn.XLOOKUP(B26,'Up Turbo'!A:A,'Up Turbo'!B:B,)</f>
        <v>n/a</v>
      </c>
      <c r="E26" s="39" t="str">
        <f t="array" ref="E26">_xlfn.XLOOKUP(B26,'Up Stats'!A:A,'Up Stats'!B:B,)</f>
        <v>Speed</v>
      </c>
      <c r="F26" s="40" t="str">
        <f>IFERROR(__xludf.DUMMYFUNCTION("if(AND(G26=FALSE,H26=FALSE),,if(G26=H26,JOIN("""",""Static: "",G26),JOIN("""",""Min:  "",G26, CHAR(10),""Max: "",H26)))"),"Min:  4
Max: 5.5")</f>
        <v>Min:  4
Max: 5.5</v>
      </c>
      <c r="G26" s="69">
        <f t="array" ref="G26">_xlfn.XLOOKUP(B26,'Up Min'!A:A,'Up Min'!B:B,)</f>
        <v>4</v>
      </c>
      <c r="H26" s="68">
        <f t="array" ref="H26">_xlfn.XLOOKUP(B26,'Up Max'!A:A,'Up Max'!B:B,)</f>
        <v>5.5</v>
      </c>
      <c r="I26" s="39" t="str">
        <f t="array" ref="I26">_xlfn.XLOOKUP(B26,'Up Stats'!A:A,'Up Stats'!C:C,)</f>
        <v>Duration</v>
      </c>
      <c r="J26" s="40" t="str">
        <f>IFERROR(__xludf.DUMMYFUNCTION("if(AND(K26=FALSE,L26=FALSE),,if(K26=L26,JOIN("""",""Static: "",K26),JOIN("""",""Min:  "",K26, CHAR(10),""Max: "",L26)))"),"Min:  1
Max: 2.3")</f>
        <v>Min:  1
Max: 2.3</v>
      </c>
      <c r="K26" s="68">
        <f t="array" ref="K26">_xlfn.XLOOKUP(B26,'Up Min'!A:A,'Up Min'!C:C,)</f>
        <v>1</v>
      </c>
      <c r="L26" s="69">
        <f t="array" ref="L26">_xlfn.XLOOKUP(B26,'Up Max'!A:A,'Up Max'!C:C,)</f>
        <v>2.3</v>
      </c>
      <c r="M26" s="39" t="str">
        <f t="array" ref="M26">_xlfn.XLOOKUP(B26,'Up Stats'!A:A,'Up Stats'!D:D,)</f>
        <v/>
      </c>
      <c r="N26" s="40" t="str">
        <f>IFERROR(__xludf.DUMMYFUNCTION("if(AND(O26=FALSE,P26=FALSE),,if(O26=P26,JOIN("""",""Static: "",O26),JOIN("""",""Min:  "",O26, CHAR(10),""Max: "",P26)))"),"")</f>
        <v/>
      </c>
      <c r="O26" s="42" t="str">
        <f t="array" ref="O26">_xlfn.XLOOKUP(B26,'Up Min'!A:A,'Up Min'!D:D,)</f>
        <v/>
      </c>
      <c r="P26" s="42" t="str">
        <f t="array" ref="P26">_xlfn.XLOOKUP(B26,'Up Max'!A:A,'Up Max'!D:D,)</f>
        <v/>
      </c>
      <c r="Q26" s="48" t="str">
        <f t="array" ref="Q26">_xlfn.XLOOKUP(B26,'Up Stats'!A:A,'Up Stats'!E:E,)</f>
        <v/>
      </c>
      <c r="R26" s="40" t="str">
        <f>IFERROR(__xludf.DUMMYFUNCTION("if(AND(S26=FALSE,T26=FALSE),,if(S26=T26,JOIN("""",""Static: "",S26),JOIN("""",""Min:  "",S26, CHAR(10),""Max: "",T26)))"),"")</f>
        <v/>
      </c>
      <c r="S26" s="42" t="str">
        <f t="array" ref="S26">_xlfn.XLOOKUP(B26,'Up Min'!A:A,'Up Min'!E:E,)</f>
        <v/>
      </c>
      <c r="T26" s="42" t="str">
        <f t="array" ref="T26">_xlfn.XLOOKUP(B26,'Up Max'!A:A,'Up Max'!E:E,)</f>
        <v/>
      </c>
      <c r="U26" s="48" t="str">
        <f t="array" ref="U26">_xlfn.XLOOKUP(B26,'Up Stats'!A:A,'Up Stats'!F:F,)</f>
        <v/>
      </c>
      <c r="V26" s="40" t="str">
        <f>IFERROR(__xludf.DUMMYFUNCTION("if(AND(W26=FALSE,X26=FALSE),,if(W26=X26,JOIN("""",""Static: "",W26),JOIN("""",""Min:  "",W26, CHAR(10),""Max: "",X26)))"),"")</f>
        <v/>
      </c>
      <c r="W26" s="42" t="str">
        <f t="array" ref="W26">_xlfn.XLOOKUP(B26,'Up Min'!A:A,'Up Min'!F:F,)</f>
        <v/>
      </c>
      <c r="X26" s="42" t="str">
        <f t="array" ref="X26">_xlfn.XLOOKUP(B26,'Up Max'!A:A,'Up Max'!F:F,)</f>
        <v/>
      </c>
      <c r="Y26" s="48" t="str">
        <f t="array" ref="Y26">_xlfn.XLOOKUP(B26,'Up Stats'!A:A,'Up Stats'!G:G,)</f>
        <v/>
      </c>
      <c r="Z26" s="40" t="str">
        <f>IFERROR(__xludf.DUMMYFUNCTION("if(AND(AA26=FALSE,AB26=FALSE),,if(AA26=AB26,JOIN("""",""Static: "",AA26),JOIN("""",""Min:  "",AA26, CHAR(10),""Max: "",AB26)))"),"")</f>
        <v/>
      </c>
      <c r="AA26" s="42" t="str">
        <f t="array" ref="AA26">_xlfn.XLOOKUP(B26,'Up Min'!A:A,'Up Min'!G:G,)</f>
        <v/>
      </c>
      <c r="AB26" s="42" t="str">
        <f t="array" ref="AB26">_xlfn.XLOOKUP(B26,'Up Max'!A:A,'Up Max'!G:G,)</f>
        <v/>
      </c>
      <c r="AC26" s="48" t="str">
        <f t="array" ref="AC26">_xlfn.XLOOKUP(B26,'Up Stats'!A:A,'Up Stats'!H:H,)</f>
        <v/>
      </c>
      <c r="AD26" s="40" t="str">
        <f>IFERROR(__xludf.DUMMYFUNCTION("if(AND(AE26=FALSE,AF26=FALSE),,if(AE26=AF26,JOIN("""",""Static: "",AE26),JOIN("""",""Min:  "",AE26, CHAR(10),""Max: "",AF26)))"),"")</f>
        <v/>
      </c>
      <c r="AE26" s="42" t="str">
        <f t="array" ref="AE26">_xlfn.XLOOKUP(B26,'Up Min'!A:A,'Up Min'!H:H,)</f>
        <v/>
      </c>
      <c r="AF26" s="42" t="str">
        <f t="array" ref="AF26">_xlfn.XLOOKUP(B26,'Up Max'!A:A,'Up Max'!H:H,)</f>
        <v/>
      </c>
      <c r="AG26" s="48" t="str">
        <f t="array" ref="AG26">_xlfn.XLOOKUP(B26,'Up Stats'!A:A,'Up Stats'!I:I,)</f>
        <v/>
      </c>
      <c r="AH26" s="40" t="str">
        <f>IFERROR(__xludf.DUMMYFUNCTION("if(AND(AI26=FALSE,AJ26=FALSE),,if(AI26=AJ26,JOIN("""",""Static: "",AI26),JOIN("""",""Min:  "",AI26, CHAR(10),""Max: "",AJ26)))"),"")</f>
        <v/>
      </c>
      <c r="AI26" s="42" t="str">
        <f t="array" ref="AI26">_xlfn.XLOOKUP(B26,'Up Min'!A:A,'Up Min'!I:I,)</f>
        <v/>
      </c>
      <c r="AJ26" s="42" t="str">
        <f t="array" ref="AJ26">_xlfn.XLOOKUP(B26,'Up Max'!A:A,'Up Max'!I:I,)</f>
        <v/>
      </c>
      <c r="AK26" s="48" t="str">
        <f t="array" ref="AK26">_xlfn.XLOOKUP(B26,'Up Stats'!A:A,'Up Stats'!J:J,)</f>
        <v/>
      </c>
      <c r="AL26" s="40" t="str">
        <f>IFERROR(__xludf.DUMMYFUNCTION("if(AND(AM26=FALSE,AN26=FALSE),,if(AM26=AN26,JOIN("""",""Static: "",AM26),JOIN("""",""Min:  "",AM26, CHAR(10),""Max: "",AN26)))"),"")</f>
        <v/>
      </c>
      <c r="AM26" s="42" t="str">
        <f t="array" ref="AM26">_xlfn.XLOOKUP(B26,'Up Min'!A:A,'Up Min'!J:J,)</f>
        <v/>
      </c>
      <c r="AN26" s="42" t="str">
        <f t="array" ref="AN26">_xlfn.XLOOKUP(B26,'Up Max'!A:A,'Up Max'!J:J,)</f>
        <v/>
      </c>
      <c r="AO26" s="34" t="str">
        <f t="array" ref="AO26">CONCATENATE(_xlfn.XLOOKUP(B26,'Up Cells'!A:A,'Up Cells'!B:B,))</f>
        <v>3</v>
      </c>
      <c r="AP26" s="34" t="str">
        <f t="array" ref="AP26">CONCATENATE(_xlfn.XLOOKUP(B26,'Up Rarity'!A:A,'Up Rarity'!B:B,),CHAR(10),"-")</f>
        <v>Rare
-</v>
      </c>
    </row>
    <row r="27">
      <c r="A27" s="83" t="str">
        <f t="array" ref="A27">_xlfn.XLOOKUP(B27,'Up Icon'!A:A,'Up Icon'!B:B,)</f>
        <v/>
      </c>
      <c r="B27" s="63" t="str">
        <f t="array" ref="B27">HYPERLINK(_xlfn.XLOOKUP('Up Names'!C24,'Up Wiki'!A:A,'Up Wiki'!B:B,),'Up Names'!C24)</f>
        <v>Sprinkler</v>
      </c>
      <c r="C27" s="70" t="str">
        <f t="array" ref="C27">_xlfn.XLOOKUP(B27,'Up Desc'!A:A,'Up Desc'!B:B,)</f>
        <v>Range and spread are both increased.</v>
      </c>
      <c r="D27" s="52" t="str">
        <f t="array" ref="D27">_xlfn.XLOOKUP(B27,'Up Turbo'!A:A,'Up Turbo'!B:B,)</f>
        <v>n/a</v>
      </c>
      <c r="E27" s="53" t="str">
        <f t="array" ref="E27">_xlfn.XLOOKUP(B27,'Up Stats'!A:A,'Up Stats'!B:B,)</f>
        <v>Range</v>
      </c>
      <c r="F27" s="54" t="str">
        <f>IFERROR(__xludf.DUMMYFUNCTION("if(AND(G27=FALSE,H27=FALSE),,if(G27=H27,JOIN("""",""Static: "",G27),JOIN("""",""Min:  "",G27, CHAR(10),""Max: "",H27)))"),"Min:  70%
Max: 130%")</f>
        <v>Min:  70%
Max: 130%</v>
      </c>
      <c r="G27" s="59">
        <f t="array" ref="G27">_xlfn.XLOOKUP(B27,'Up Min'!A:A,'Up Min'!B:B,)</f>
        <v>0.7</v>
      </c>
      <c r="H27" s="59">
        <f t="array" ref="H27">_xlfn.XLOOKUP(B27,'Up Max'!A:A,'Up Max'!B:B,)</f>
        <v>1.3</v>
      </c>
      <c r="I27" s="53" t="str">
        <f t="array" ref="I27">_xlfn.XLOOKUP(B27,'Up Stats'!A:A,'Up Stats'!C:C,)</f>
        <v>Horizontal Spread</v>
      </c>
      <c r="J27" s="54" t="str">
        <f>IFERROR(__xludf.DUMMYFUNCTION("if(AND(K27=FALSE,L27=FALSE),,if(K27=L27,JOIN("""",""Static: "",K27),JOIN("""",""Min:  "",K27, CHAR(10),""Max: "",L27)))"),"Min:  85%
Max: 115%")</f>
        <v>Min:  85%
Max: 115%</v>
      </c>
      <c r="K27" s="59">
        <f t="array" ref="K27">_xlfn.XLOOKUP(B27,'Up Min'!A:A,'Up Min'!C:C,)</f>
        <v>0.85</v>
      </c>
      <c r="L27" s="59">
        <f t="array" ref="L27">_xlfn.XLOOKUP(B27,'Up Max'!A:A,'Up Max'!C:C,)</f>
        <v>1.15</v>
      </c>
      <c r="M27" s="53" t="str">
        <f t="array" ref="M27">_xlfn.XLOOKUP(B27,'Up Stats'!A:A,'Up Stats'!D:D,)</f>
        <v>Vertical Spread</v>
      </c>
      <c r="N27" s="54" t="str">
        <f>IFERROR(__xludf.DUMMYFUNCTION("if(AND(O27=FALSE,P27=FALSE),,if(O27=P27,JOIN("""",""Static: "",O27),JOIN("""",""Min:  "",O27, CHAR(10),""Max: "",P27)))"),"Min:  85%
Max: 115%")</f>
        <v>Min:  85%
Max: 115%</v>
      </c>
      <c r="O27" s="59">
        <f t="array" ref="O27">_xlfn.XLOOKUP(B27,'Up Min'!A:A,'Up Min'!D:D,)</f>
        <v>0.85</v>
      </c>
      <c r="P27" s="59">
        <f t="array" ref="P27">_xlfn.XLOOKUP(B27,'Up Max'!A:A,'Up Max'!D:D,)</f>
        <v>1.15</v>
      </c>
      <c r="Q27" s="57" t="str">
        <f t="array" ref="Q27">_xlfn.XLOOKUP(B27,'Up Stats'!A:A,'Up Stats'!E:E,)</f>
        <v/>
      </c>
      <c r="R27" s="54" t="str">
        <f>IFERROR(__xludf.DUMMYFUNCTION("if(AND(S27=FALSE,T27=FALSE),,if(S27=T27,JOIN("""",""Static: "",S27),JOIN("""",""Min:  "",S27, CHAR(10),""Max: "",T27)))"),"")</f>
        <v/>
      </c>
      <c r="S27" s="56" t="str">
        <f t="array" ref="S27">_xlfn.XLOOKUP(B27,'Up Min'!A:A,'Up Min'!E:E,)</f>
        <v/>
      </c>
      <c r="T27" s="55" t="str">
        <f t="array" ref="T27">_xlfn.XLOOKUP(B27,'Up Max'!A:A,'Up Max'!E:E,)</f>
        <v/>
      </c>
      <c r="U27" s="57" t="str">
        <f t="array" ref="U27">_xlfn.XLOOKUP(B27,'Up Stats'!A:A,'Up Stats'!F:F,)</f>
        <v/>
      </c>
      <c r="V27" s="54" t="str">
        <f>IFERROR(__xludf.DUMMYFUNCTION("if(AND(W27=FALSE,X27=FALSE),,if(W27=X27,JOIN("""",""Static: "",W27),JOIN("""",""Min:  "",W27, CHAR(10),""Max: "",X27)))"),"")</f>
        <v/>
      </c>
      <c r="W27" s="55" t="str">
        <f t="array" ref="W27">_xlfn.XLOOKUP(B27,'Up Min'!A:A,'Up Min'!F:F,)</f>
        <v/>
      </c>
      <c r="X27" s="55" t="str">
        <f t="array" ref="X27">_xlfn.XLOOKUP(B27,'Up Max'!A:A,'Up Max'!F:F,)</f>
        <v/>
      </c>
      <c r="Y27" s="57" t="str">
        <f t="array" ref="Y27">_xlfn.XLOOKUP(B27,'Up Stats'!A:A,'Up Stats'!G:G,)</f>
        <v/>
      </c>
      <c r="Z27" s="54" t="str">
        <f>IFERROR(__xludf.DUMMYFUNCTION("if(AND(AA27=FALSE,AB27=FALSE),,if(AA27=AB27,JOIN("""",""Static: "",AA27),JOIN("""",""Min:  "",AA27, CHAR(10),""Max: "",AB27)))"),"")</f>
        <v/>
      </c>
      <c r="AA27" s="55" t="str">
        <f t="array" ref="AA27">_xlfn.XLOOKUP(B27,'Up Min'!A:A,'Up Min'!G:G,)</f>
        <v/>
      </c>
      <c r="AB27" s="55" t="str">
        <f t="array" ref="AB27">_xlfn.XLOOKUP(B27,'Up Max'!A:A,'Up Max'!G:G,)</f>
        <v/>
      </c>
      <c r="AC27" s="57" t="str">
        <f t="array" ref="AC27">_xlfn.XLOOKUP(B27,'Up Stats'!A:A,'Up Stats'!H:H,)</f>
        <v/>
      </c>
      <c r="AD27" s="54" t="str">
        <f>IFERROR(__xludf.DUMMYFUNCTION("if(AND(AE27=FALSE,AF27=FALSE),,if(AE27=AF27,JOIN("""",""Static: "",AE27),JOIN("""",""Min:  "",AE27, CHAR(10),""Max: "",AF27)))"),"")</f>
        <v/>
      </c>
      <c r="AE27" s="55" t="str">
        <f t="array" ref="AE27">_xlfn.XLOOKUP(B27,'Up Min'!A:A,'Up Min'!H:H,)</f>
        <v/>
      </c>
      <c r="AF27" s="55" t="str">
        <f t="array" ref="AF27">_xlfn.XLOOKUP(B27,'Up Max'!A:A,'Up Max'!H:H,)</f>
        <v/>
      </c>
      <c r="AG27" s="57" t="str">
        <f t="array" ref="AG27">_xlfn.XLOOKUP(B27,'Up Stats'!A:A,'Up Stats'!I:I,)</f>
        <v/>
      </c>
      <c r="AH27" s="54" t="str">
        <f>IFERROR(__xludf.DUMMYFUNCTION("if(AND(AI27=FALSE,AJ27=FALSE),,if(AI27=AJ27,JOIN("""",""Static: "",AI27),JOIN("""",""Min:  "",AI27, CHAR(10),""Max: "",AJ27)))"),"")</f>
        <v/>
      </c>
      <c r="AI27" s="55" t="str">
        <f t="array" ref="AI27">_xlfn.XLOOKUP(B27,'Up Min'!A:A,'Up Min'!I:I,)</f>
        <v/>
      </c>
      <c r="AJ27" s="55" t="str">
        <f t="array" ref="AJ27">_xlfn.XLOOKUP(B27,'Up Max'!A:A,'Up Max'!I:I,)</f>
        <v/>
      </c>
      <c r="AK27" s="57" t="str">
        <f t="array" ref="AK27">_xlfn.XLOOKUP(B27,'Up Stats'!A:A,'Up Stats'!J:J,)</f>
        <v/>
      </c>
      <c r="AL27" s="54" t="str">
        <f>IFERROR(__xludf.DUMMYFUNCTION("if(AND(AM27=FALSE,AN27=FALSE),,if(AM27=AN27,JOIN("""",""Static: "",AM27),JOIN("""",""Min:  "",AM27, CHAR(10),""Max: "",AN27)))"),"")</f>
        <v/>
      </c>
      <c r="AM27" s="55" t="str">
        <f t="array" ref="AM27">_xlfn.XLOOKUP(B27,'Up Min'!A:A,'Up Min'!J:J,)</f>
        <v/>
      </c>
      <c r="AN27" s="55" t="str">
        <f t="array" ref="AN27">_xlfn.XLOOKUP(B27,'Up Max'!A:A,'Up Max'!J:J,)</f>
        <v/>
      </c>
      <c r="AO27" s="51" t="str">
        <f t="array" ref="AO27">CONCATENATE(_xlfn.XLOOKUP(B27,'Up Cells'!A:A,'Up Cells'!B:B,))</f>
        <v>4</v>
      </c>
      <c r="AP27" s="51" t="str">
        <f t="array" ref="AP27">CONCATENATE(_xlfn.XLOOKUP(B27,'Up Rarity'!A:A,'Up Rarity'!B:B,),CHAR(10),"-")</f>
        <v>Rare
-</v>
      </c>
    </row>
    <row r="28">
      <c r="A28" s="83" t="str">
        <f t="array" ref="A28">_xlfn.XLOOKUP(B28,'Up Icon'!A:A,'Up Icon'!B:B,)</f>
        <v/>
      </c>
      <c r="B28" s="66" t="str">
        <f t="array" ref="B28">HYPERLINK(_xlfn.XLOOKUP('Up Names'!C25,'Up Wiki'!A:A,'Up Wiki'!B:B,),'Up Names'!C25)</f>
        <v>Static Reload</v>
      </c>
      <c r="C28" s="37" t="str">
        <f t="array" ref="C28">_xlfn.XLOOKUP(B28,'Up Desc'!A:A,'Up Desc'!B:B,)</f>
        <v>Electrocuting a target with any weapon increases the Swarm Launcher's reload speed.</v>
      </c>
      <c r="D28" s="37" t="str">
        <f t="array" ref="D28">_xlfn.XLOOKUP(B28,'Up Turbo'!A:A,'Up Turbo'!B:B,)</f>
        <v>n/a</v>
      </c>
      <c r="E28" s="39" t="str">
        <f t="array" ref="E28">_xlfn.XLOOKUP(B28,'Up Stats'!A:A,'Up Stats'!B:B,)</f>
        <v>Reload Speed</v>
      </c>
      <c r="F28" s="40" t="str">
        <f>IFERROR(__xludf.DUMMYFUNCTION("if(AND(G28=FALSE,H28=FALSE),,if(G28=H28,JOIN("""",""Static: "",G28),JOIN("""",""Min:  "",G28, CHAR(10),""Max: "",H28)))"),"Min:  -32.43%
Max: -38.27%")</f>
        <v>Min:  -32.43%
Max: -38.27%</v>
      </c>
      <c r="G28" s="78">
        <f t="array" ref="G28">_xlfn.XLOOKUP(B28,'Up Min'!A:A,'Up Min'!B:B,)</f>
        <v>-0.3243</v>
      </c>
      <c r="H28" s="78">
        <f t="array" ref="H28">_xlfn.XLOOKUP(B28,'Up Max'!A:A,'Up Max'!B:B,)</f>
        <v>-0.3827</v>
      </c>
      <c r="I28" s="39" t="str">
        <f t="array" ref="I28">_xlfn.XLOOKUP(B28,'Up Stats'!A:A,'Up Stats'!C:C,)</f>
        <v/>
      </c>
      <c r="J28" s="40" t="str">
        <f>IFERROR(__xludf.DUMMYFUNCTION("if(AND(K28=FALSE,L28=FALSE),,if(K28=L28,JOIN("""",""Static: "",K28),JOIN("""",""Min:  "",K28, CHAR(10),""Max: "",L28)))"),"")</f>
        <v/>
      </c>
      <c r="K28" s="42" t="str">
        <f t="array" ref="K28">_xlfn.XLOOKUP(B28,'Up Min'!A:A,'Up Min'!C:C,)</f>
        <v/>
      </c>
      <c r="L28" s="42" t="str">
        <f t="array" ref="L28">_xlfn.XLOOKUP(B28,'Up Max'!A:A,'Up Max'!C:C,)</f>
        <v/>
      </c>
      <c r="M28" s="48" t="str">
        <f t="array" ref="M28">_xlfn.XLOOKUP(B28,'Up Stats'!A:A,'Up Stats'!D:D,)</f>
        <v/>
      </c>
      <c r="N28" s="40" t="str">
        <f>IFERROR(__xludf.DUMMYFUNCTION("if(AND(O28=FALSE,P28=FALSE),,if(O28=P28,JOIN("""",""Static: "",O28),JOIN("""",""Min:  "",O28, CHAR(10),""Max: "",P28)))"),"")</f>
        <v/>
      </c>
      <c r="O28" s="42" t="str">
        <f t="array" ref="O28">_xlfn.XLOOKUP(B28,'Up Min'!A:A,'Up Min'!D:D,)</f>
        <v/>
      </c>
      <c r="P28" s="42" t="str">
        <f t="array" ref="P28">_xlfn.XLOOKUP(B28,'Up Max'!A:A,'Up Max'!D:D,)</f>
        <v/>
      </c>
      <c r="Q28" s="48" t="str">
        <f t="array" ref="Q28">_xlfn.XLOOKUP(B28,'Up Stats'!A:A,'Up Stats'!E:E,)</f>
        <v/>
      </c>
      <c r="R28" s="40" t="str">
        <f>IFERROR(__xludf.DUMMYFUNCTION("if(AND(S28=FALSE,T28=FALSE),,if(S28=T28,JOIN("""",""Static: "",S28),JOIN("""",""Min:  "",S28, CHAR(10),""Max: "",T28)))"),"")</f>
        <v/>
      </c>
      <c r="S28" s="42" t="str">
        <f t="array" ref="S28">_xlfn.XLOOKUP(B28,'Up Min'!A:A,'Up Min'!E:E,)</f>
        <v/>
      </c>
      <c r="T28" s="42" t="str">
        <f t="array" ref="T28">_xlfn.XLOOKUP(B28,'Up Max'!A:A,'Up Max'!E:E,)</f>
        <v/>
      </c>
      <c r="U28" s="48" t="str">
        <f t="array" ref="U28">_xlfn.XLOOKUP(B28,'Up Stats'!A:A,'Up Stats'!F:F,)</f>
        <v/>
      </c>
      <c r="V28" s="40" t="str">
        <f>IFERROR(__xludf.DUMMYFUNCTION("if(AND(W28=FALSE,X28=FALSE),,if(W28=X28,JOIN("""",""Static: "",W28),JOIN("""",""Min:  "",W28, CHAR(10),""Max: "",X28)))"),"")</f>
        <v/>
      </c>
      <c r="W28" s="42" t="str">
        <f t="array" ref="W28">_xlfn.XLOOKUP(B28,'Up Min'!A:A,'Up Min'!F:F,)</f>
        <v/>
      </c>
      <c r="X28" s="42" t="str">
        <f t="array" ref="X28">_xlfn.XLOOKUP(B28,'Up Max'!A:A,'Up Max'!F:F,)</f>
        <v/>
      </c>
      <c r="Y28" s="48" t="str">
        <f t="array" ref="Y28">_xlfn.XLOOKUP(B28,'Up Stats'!A:A,'Up Stats'!G:G,)</f>
        <v/>
      </c>
      <c r="Z28" s="40" t="str">
        <f>IFERROR(__xludf.DUMMYFUNCTION("if(AND(AA28=FALSE,AB28=FALSE),,if(AA28=AB28,JOIN("""",""Static: "",AA28),JOIN("""",""Min:  "",AA28, CHAR(10),""Max: "",AB28)))"),"")</f>
        <v/>
      </c>
      <c r="AA28" s="42" t="str">
        <f t="array" ref="AA28">_xlfn.XLOOKUP(B28,'Up Min'!A:A,'Up Min'!G:G,)</f>
        <v/>
      </c>
      <c r="AB28" s="42" t="str">
        <f t="array" ref="AB28">_xlfn.XLOOKUP(B28,'Up Max'!A:A,'Up Max'!G:G,)</f>
        <v/>
      </c>
      <c r="AC28" s="48" t="str">
        <f t="array" ref="AC28">_xlfn.XLOOKUP(B28,'Up Stats'!A:A,'Up Stats'!H:H,)</f>
        <v/>
      </c>
      <c r="AD28" s="40" t="str">
        <f>IFERROR(__xludf.DUMMYFUNCTION("if(AND(AE28=FALSE,AF28=FALSE),,if(AE28=AF28,JOIN("""",""Static: "",AE28),JOIN("""",""Min:  "",AE28, CHAR(10),""Max: "",AF28)))"),"")</f>
        <v/>
      </c>
      <c r="AE28" s="42" t="str">
        <f t="array" ref="AE28">_xlfn.XLOOKUP(B28,'Up Min'!A:A,'Up Min'!H:H,)</f>
        <v/>
      </c>
      <c r="AF28" s="42" t="str">
        <f t="array" ref="AF28">_xlfn.XLOOKUP(B28,'Up Max'!A:A,'Up Max'!H:H,)</f>
        <v/>
      </c>
      <c r="AG28" s="48" t="str">
        <f t="array" ref="AG28">_xlfn.XLOOKUP(B28,'Up Stats'!A:A,'Up Stats'!I:I,)</f>
        <v/>
      </c>
      <c r="AH28" s="40" t="str">
        <f>IFERROR(__xludf.DUMMYFUNCTION("if(AND(AI28=FALSE,AJ28=FALSE),,if(AI28=AJ28,JOIN("""",""Static: "",AI28),JOIN("""",""Min:  "",AI28, CHAR(10),""Max: "",AJ28)))"),"")</f>
        <v/>
      </c>
      <c r="AI28" s="42" t="str">
        <f t="array" ref="AI28">_xlfn.XLOOKUP(B28,'Up Min'!A:A,'Up Min'!I:I,)</f>
        <v/>
      </c>
      <c r="AJ28" s="42" t="str">
        <f t="array" ref="AJ28">_xlfn.XLOOKUP(B28,'Up Max'!A:A,'Up Max'!I:I,)</f>
        <v/>
      </c>
      <c r="AK28" s="48" t="str">
        <f t="array" ref="AK28">_xlfn.XLOOKUP(B28,'Up Stats'!A:A,'Up Stats'!J:J,)</f>
        <v/>
      </c>
      <c r="AL28" s="40" t="str">
        <f>IFERROR(__xludf.DUMMYFUNCTION("if(AND(AM28=FALSE,AN28=FALSE),,if(AM28=AN28,JOIN("""",""Static: "",AM28),JOIN("""",""Min:  "",AM28, CHAR(10),""Max: "",AN28)))"),"")</f>
        <v/>
      </c>
      <c r="AM28" s="42" t="str">
        <f t="array" ref="AM28">_xlfn.XLOOKUP(B28,'Up Min'!A:A,'Up Min'!J:J,)</f>
        <v/>
      </c>
      <c r="AN28" s="42" t="str">
        <f t="array" ref="AN28">_xlfn.XLOOKUP(B28,'Up Max'!A:A,'Up Max'!J:J,)</f>
        <v/>
      </c>
      <c r="AO28" s="34" t="str">
        <f t="array" ref="AO28">CONCATENATE(_xlfn.XLOOKUP(B28,'Up Cells'!A:A,'Up Cells'!B:B,))</f>
        <v>3</v>
      </c>
      <c r="AP28" s="34" t="str">
        <f t="array" ref="AP28">CONCATENATE(_xlfn.XLOOKUP(B28,'Up Rarity'!A:A,'Up Rarity'!B:B,),CHAR(10),"-")</f>
        <v>Rare
-</v>
      </c>
    </row>
    <row r="29">
      <c r="A29" s="83" t="str">
        <f t="array" ref="A29">_xlfn.XLOOKUP(B29,'Up Icon'!A:A,'Up Icon'!B:B,)</f>
        <v/>
      </c>
      <c r="B29" s="63" t="str">
        <f t="array" ref="B29">HYPERLINK(_xlfn.XLOOKUP('Up Names'!C26,'Up Wiki'!A:A,'Up Wiki'!B:B,),'Up Names'!C26)</f>
        <v>Tool for the Job</v>
      </c>
      <c r="C29" s="52" t="str">
        <f t="array" ref="C29">_xlfn.XLOOKUP(B29,'Up Desc'!A:A,'Up Desc'!B:B,)</f>
        <v>Regenerate more Swarm Launcher ammo from dealing damage with your other weapon. Ammo capacity is increased.</v>
      </c>
      <c r="D29" s="52" t="str">
        <f t="array" ref="D29">_xlfn.XLOOKUP(B29,'Up Turbo'!A:A,'Up Turbo'!B:B,)</f>
        <v>n/a</v>
      </c>
      <c r="E29" s="53" t="str">
        <f t="array" ref="E29">_xlfn.XLOOKUP(B29,'Up Stats'!A:A,'Up Stats'!B:B,)</f>
        <v>Ammo Capacity</v>
      </c>
      <c r="F29" s="54" t="str">
        <f>IFERROR(__xludf.DUMMYFUNCTION("if(AND(G29=FALSE,H29=FALSE),,if(G29=H29,JOIN("""",""Static: "",G29),JOIN("""",""Min:  "",G29, CHAR(10),""Max: "",H29)))"),"Min:  20%
Max: 40%")</f>
        <v>Min:  20%
Max: 40%</v>
      </c>
      <c r="G29" s="59">
        <f t="array" ref="G29">_xlfn.XLOOKUP(B29,'Up Min'!A:A,'Up Min'!B:B,)</f>
        <v>0.2</v>
      </c>
      <c r="H29" s="59">
        <f t="array" ref="H29">_xlfn.XLOOKUP(B29,'Up Max'!A:A,'Up Max'!B:B,)</f>
        <v>0.4</v>
      </c>
      <c r="I29" s="53" t="str">
        <f t="array" ref="I29">_xlfn.XLOOKUP(B29,'Up Stats'!A:A,'Up Stats'!C:C,)</f>
        <v>Efficiency</v>
      </c>
      <c r="J29" s="54" t="str">
        <f>IFERROR(__xludf.DUMMYFUNCTION("if(AND(K29=FALSE,L29=FALSE),,if(K29=L29,JOIN("""",""Static: "",K29),JOIN("""",""Min:  "",K29, CHAR(10),""Max: "",L29)))"),"Min:  16%
Max: 30%")</f>
        <v>Min:  16%
Max: 30%</v>
      </c>
      <c r="K29" s="59">
        <f t="array" ref="K29">_xlfn.XLOOKUP(B29,'Up Min'!A:A,'Up Min'!C:C,)</f>
        <v>0.16</v>
      </c>
      <c r="L29" s="59">
        <f t="array" ref="L29">_xlfn.XLOOKUP(B29,'Up Max'!A:A,'Up Max'!C:C,)</f>
        <v>0.3</v>
      </c>
      <c r="M29" s="53" t="str">
        <f t="array" ref="M29">_xlfn.XLOOKUP(B29,'Up Stats'!A:A,'Up Stats'!D:D,)</f>
        <v/>
      </c>
      <c r="N29" s="54" t="str">
        <f>IFERROR(__xludf.DUMMYFUNCTION("if(AND(O29=FALSE,P29=FALSE),,if(O29=P29,JOIN("""",""Static: "",O29),JOIN("""",""Min:  "",O29, CHAR(10),""Max: "",P29)))"),"")</f>
        <v/>
      </c>
      <c r="O29" s="55" t="str">
        <f t="array" ref="O29">_xlfn.XLOOKUP(B29,'Up Min'!A:A,'Up Min'!D:D,)</f>
        <v/>
      </c>
      <c r="P29" s="55" t="str">
        <f t="array" ref="P29">_xlfn.XLOOKUP(B29,'Up Max'!A:A,'Up Max'!D:D,)</f>
        <v/>
      </c>
      <c r="Q29" s="57" t="str">
        <f t="array" ref="Q29">_xlfn.XLOOKUP(B29,'Up Stats'!A:A,'Up Stats'!E:E,)</f>
        <v/>
      </c>
      <c r="R29" s="54" t="str">
        <f>IFERROR(__xludf.DUMMYFUNCTION("if(AND(S29=FALSE,T29=FALSE),,if(S29=T29,JOIN("""",""Static: "",S29),JOIN("""",""Min:  "",S29, CHAR(10),""Max: "",T29)))"),"")</f>
        <v/>
      </c>
      <c r="S29" s="55" t="str">
        <f t="array" ref="S29">_xlfn.XLOOKUP(B29,'Up Min'!A:A,'Up Min'!E:E,)</f>
        <v/>
      </c>
      <c r="T29" s="55" t="str">
        <f t="array" ref="T29">_xlfn.XLOOKUP(B29,'Up Max'!A:A,'Up Max'!E:E,)</f>
        <v/>
      </c>
      <c r="U29" s="57" t="str">
        <f t="array" ref="U29">_xlfn.XLOOKUP(B29,'Up Stats'!A:A,'Up Stats'!F:F,)</f>
        <v/>
      </c>
      <c r="V29" s="54" t="str">
        <f>IFERROR(__xludf.DUMMYFUNCTION("if(AND(W29=FALSE,X29=FALSE),,if(W29=X29,JOIN("""",""Static: "",W29),JOIN("""",""Min:  "",W29, CHAR(10),""Max: "",X29)))"),"")</f>
        <v/>
      </c>
      <c r="W29" s="55" t="str">
        <f t="array" ref="W29">_xlfn.XLOOKUP(B29,'Up Min'!A:A,'Up Min'!F:F,)</f>
        <v/>
      </c>
      <c r="X29" s="55" t="str">
        <f t="array" ref="X29">_xlfn.XLOOKUP(B29,'Up Max'!A:A,'Up Max'!F:F,)</f>
        <v/>
      </c>
      <c r="Y29" s="57" t="str">
        <f t="array" ref="Y29">_xlfn.XLOOKUP(B29,'Up Stats'!A:A,'Up Stats'!G:G,)</f>
        <v/>
      </c>
      <c r="Z29" s="54" t="str">
        <f>IFERROR(__xludf.DUMMYFUNCTION("if(AND(AA29=FALSE,AB29=FALSE),,if(AA29=AB29,JOIN("""",""Static: "",AA29),JOIN("""",""Min:  "",AA29, CHAR(10),""Max: "",AB29)))"),"")</f>
        <v/>
      </c>
      <c r="AA29" s="55" t="str">
        <f t="array" ref="AA29">_xlfn.XLOOKUP(B29,'Up Min'!A:A,'Up Min'!G:G,)</f>
        <v/>
      </c>
      <c r="AB29" s="55" t="str">
        <f t="array" ref="AB29">_xlfn.XLOOKUP(B29,'Up Max'!A:A,'Up Max'!G:G,)</f>
        <v/>
      </c>
      <c r="AC29" s="57" t="str">
        <f t="array" ref="AC29">_xlfn.XLOOKUP(B29,'Up Stats'!A:A,'Up Stats'!H:H,)</f>
        <v/>
      </c>
      <c r="AD29" s="54" t="str">
        <f>IFERROR(__xludf.DUMMYFUNCTION("if(AND(AE29=FALSE,AF29=FALSE),,if(AE29=AF29,JOIN("""",""Static: "",AE29),JOIN("""",""Min:  "",AE29, CHAR(10),""Max: "",AF29)))"),"")</f>
        <v/>
      </c>
      <c r="AE29" s="55" t="str">
        <f t="array" ref="AE29">_xlfn.XLOOKUP(B29,'Up Min'!A:A,'Up Min'!H:H,)</f>
        <v/>
      </c>
      <c r="AF29" s="55" t="str">
        <f t="array" ref="AF29">_xlfn.XLOOKUP(B29,'Up Max'!A:A,'Up Max'!H:H,)</f>
        <v/>
      </c>
      <c r="AG29" s="57" t="str">
        <f t="array" ref="AG29">_xlfn.XLOOKUP(B29,'Up Stats'!A:A,'Up Stats'!I:I,)</f>
        <v/>
      </c>
      <c r="AH29" s="54" t="str">
        <f>IFERROR(__xludf.DUMMYFUNCTION("if(AND(AI29=FALSE,AJ29=FALSE),,if(AI29=AJ29,JOIN("""",""Static: "",AI29),JOIN("""",""Min:  "",AI29, CHAR(10),""Max: "",AJ29)))"),"")</f>
        <v/>
      </c>
      <c r="AI29" s="55" t="str">
        <f t="array" ref="AI29">_xlfn.XLOOKUP(B29,'Up Min'!A:A,'Up Min'!I:I,)</f>
        <v/>
      </c>
      <c r="AJ29" s="55" t="str">
        <f t="array" ref="AJ29">_xlfn.XLOOKUP(B29,'Up Max'!A:A,'Up Max'!I:I,)</f>
        <v/>
      </c>
      <c r="AK29" s="57" t="str">
        <f t="array" ref="AK29">_xlfn.XLOOKUP(B29,'Up Stats'!A:A,'Up Stats'!J:J,)</f>
        <v/>
      </c>
      <c r="AL29" s="54" t="str">
        <f>IFERROR(__xludf.DUMMYFUNCTION("if(AND(AM29=FALSE,AN29=FALSE),,if(AM29=AN29,JOIN("""",""Static: "",AM29),JOIN("""",""Min:  "",AM29, CHAR(10),""Max: "",AN29)))"),"")</f>
        <v/>
      </c>
      <c r="AM29" s="55" t="str">
        <f t="array" ref="AM29">_xlfn.XLOOKUP(B29,'Up Min'!A:A,'Up Min'!J:J,)</f>
        <v/>
      </c>
      <c r="AN29" s="55" t="str">
        <f t="array" ref="AN29">_xlfn.XLOOKUP(B29,'Up Max'!A:A,'Up Max'!J:J,)</f>
        <v/>
      </c>
      <c r="AO29" s="51" t="str">
        <f t="array" ref="AO29">CONCATENATE(_xlfn.XLOOKUP(B29,'Up Cells'!A:A,'Up Cells'!B:B,))</f>
        <v>4</v>
      </c>
      <c r="AP29" s="51" t="str">
        <f t="array" ref="AP29">CONCATENATE(_xlfn.XLOOKUP(B29,'Up Rarity'!A:A,'Up Rarity'!B:B,),CHAR(10),"-")</f>
        <v>Rare
-</v>
      </c>
    </row>
    <row r="30">
      <c r="A30" s="84" t="str">
        <f t="array" ref="A30">_xlfn.XLOOKUP(B30,'Up Icon'!A:A,'Up Icon'!B:B,)</f>
        <v/>
      </c>
      <c r="B30" s="66" t="str">
        <f t="array" ref="B30">HYPERLINK(_xlfn.XLOOKUP('Up Names'!C27,'Up Wiki'!A:A,'Up Wiki'!B:B,),'Up Names'!C27)</f>
        <v>Large Energy Storage</v>
      </c>
      <c r="C30" s="37" t="str">
        <f t="array" ref="C30">_xlfn.XLOOKUP(B30,'Up Desc'!A:A,'Up Desc'!B:B,)</f>
        <v>Magazine size is increased.</v>
      </c>
      <c r="D30" s="37" t="str">
        <f t="array" ref="D30">_xlfn.XLOOKUP(B30,'Up Turbo'!A:A,'Up Turbo'!B:B,)</f>
        <v>n/a</v>
      </c>
      <c r="E30" s="39" t="str">
        <f t="array" ref="E30">_xlfn.XLOOKUP(B30,'Up Stats'!A:A,'Up Stats'!B:B,)</f>
        <v>Magazine Size</v>
      </c>
      <c r="F30" s="40" t="str">
        <f>IFERROR(__xludf.DUMMYFUNCTION("if(AND(G30=FALSE,H30=FALSE),,if(G30=H30,JOIN("""",""Static: "",G30),JOIN("""",""Min:  "",G30, CHAR(10),""Max: "",H30)))"),"Min:  7
Max: 12")</f>
        <v>Min:  7
Max: 12</v>
      </c>
      <c r="G30" s="69">
        <f t="array" ref="G30">_xlfn.XLOOKUP(B30,'Up Min'!A:A,'Up Min'!B:B,)</f>
        <v>7</v>
      </c>
      <c r="H30" s="68">
        <f t="array" ref="H30">_xlfn.XLOOKUP(B30,'Up Max'!A:A,'Up Max'!B:B,)</f>
        <v>12</v>
      </c>
      <c r="I30" s="39" t="str">
        <f t="array" ref="I30">_xlfn.XLOOKUP(B30,'Up Stats'!A:A,'Up Stats'!C:C,)</f>
        <v/>
      </c>
      <c r="J30" s="40" t="str">
        <f>IFERROR(__xludf.DUMMYFUNCTION("if(AND(K30=FALSE,L30=FALSE),,if(K30=L30,JOIN("""",""Static: "",K30),JOIN("""",""Min:  "",K30, CHAR(10),""Max: "",L30)))"),"")</f>
        <v/>
      </c>
      <c r="K30" s="74" t="str">
        <f t="array" ref="K30">_xlfn.XLOOKUP(B30,'Up Min'!A:A,'Up Min'!C:C,)</f>
        <v/>
      </c>
      <c r="L30" s="74" t="str">
        <f t="array" ref="L30">_xlfn.XLOOKUP(B30,'Up Max'!A:A,'Up Max'!C:C,)</f>
        <v/>
      </c>
      <c r="M30" s="48" t="str">
        <f t="array" ref="M30">_xlfn.XLOOKUP(B30,'Up Stats'!A:A,'Up Stats'!D:D,)</f>
        <v/>
      </c>
      <c r="N30" s="40" t="str">
        <f>IFERROR(__xludf.DUMMYFUNCTION("if(AND(O30=FALSE,P30=FALSE),,if(O30=P30,JOIN("""",""Static: "",O30),JOIN("""",""Min:  "",O30, CHAR(10),""Max: "",P30)))"),"")</f>
        <v/>
      </c>
      <c r="O30" s="42" t="str">
        <f t="array" ref="O30">_xlfn.XLOOKUP(B30,'Up Min'!A:A,'Up Min'!D:D,)</f>
        <v/>
      </c>
      <c r="P30" s="42" t="str">
        <f t="array" ref="P30">_xlfn.XLOOKUP(B30,'Up Max'!A:A,'Up Max'!D:D,)</f>
        <v/>
      </c>
      <c r="Q30" s="48" t="str">
        <f t="array" ref="Q30">_xlfn.XLOOKUP(B30,'Up Stats'!A:A,'Up Stats'!E:E,)</f>
        <v/>
      </c>
      <c r="R30" s="40" t="str">
        <f>IFERROR(__xludf.DUMMYFUNCTION("if(AND(S30=FALSE,T30=FALSE),,if(S30=T30,JOIN("""",""Static: "",S30),JOIN("""",""Min:  "",S30, CHAR(10),""Max: "",T30)))"),"")</f>
        <v/>
      </c>
      <c r="S30" s="42" t="str">
        <f t="array" ref="S30">_xlfn.XLOOKUP(B30,'Up Min'!A:A,'Up Min'!E:E,)</f>
        <v/>
      </c>
      <c r="T30" s="42" t="str">
        <f t="array" ref="T30">_xlfn.XLOOKUP(B30,'Up Max'!A:A,'Up Max'!E:E,)</f>
        <v/>
      </c>
      <c r="U30" s="48" t="str">
        <f t="array" ref="U30">_xlfn.XLOOKUP(B30,'Up Stats'!A:A,'Up Stats'!F:F,)</f>
        <v/>
      </c>
      <c r="V30" s="40" t="str">
        <f>IFERROR(__xludf.DUMMYFUNCTION("if(AND(W30=FALSE,X30=FALSE),,if(W30=X30,JOIN("""",""Static: "",W30),JOIN("""",""Min:  "",W30, CHAR(10),""Max: "",X30)))"),"")</f>
        <v/>
      </c>
      <c r="W30" s="42" t="str">
        <f t="array" ref="W30">_xlfn.XLOOKUP(B30,'Up Min'!A:A,'Up Min'!F:F,)</f>
        <v/>
      </c>
      <c r="X30" s="42" t="str">
        <f t="array" ref="X30">_xlfn.XLOOKUP(B30,'Up Max'!A:A,'Up Max'!F:F,)</f>
        <v/>
      </c>
      <c r="Y30" s="48" t="str">
        <f t="array" ref="Y30">_xlfn.XLOOKUP(B30,'Up Stats'!A:A,'Up Stats'!G:G,)</f>
        <v/>
      </c>
      <c r="Z30" s="40" t="str">
        <f>IFERROR(__xludf.DUMMYFUNCTION("if(AND(AA30=FALSE,AB30=FALSE),,if(AA30=AB30,JOIN("""",""Static: "",AA30),JOIN("""",""Min:  "",AA30, CHAR(10),""Max: "",AB30)))"),"")</f>
        <v/>
      </c>
      <c r="AA30" s="42" t="str">
        <f t="array" ref="AA30">_xlfn.XLOOKUP(B30,'Up Min'!A:A,'Up Min'!G:G,)</f>
        <v/>
      </c>
      <c r="AB30" s="42" t="str">
        <f t="array" ref="AB30">_xlfn.XLOOKUP(B30,'Up Max'!A:A,'Up Max'!G:G,)</f>
        <v/>
      </c>
      <c r="AC30" s="48" t="str">
        <f t="array" ref="AC30">_xlfn.XLOOKUP(B30,'Up Stats'!A:A,'Up Stats'!H:H,)</f>
        <v/>
      </c>
      <c r="AD30" s="40" t="str">
        <f>IFERROR(__xludf.DUMMYFUNCTION("if(AND(AE30=FALSE,AF30=FALSE),,if(AE30=AF30,JOIN("""",""Static: "",AE30),JOIN("""",""Min:  "",AE30, CHAR(10),""Max: "",AF30)))"),"")</f>
        <v/>
      </c>
      <c r="AE30" s="42" t="str">
        <f t="array" ref="AE30">_xlfn.XLOOKUP(B30,'Up Min'!A:A,'Up Min'!H:H,)</f>
        <v/>
      </c>
      <c r="AF30" s="42" t="str">
        <f t="array" ref="AF30">_xlfn.XLOOKUP(B30,'Up Max'!A:A,'Up Max'!H:H,)</f>
        <v/>
      </c>
      <c r="AG30" s="48" t="str">
        <f t="array" ref="AG30">_xlfn.XLOOKUP(B30,'Up Stats'!A:A,'Up Stats'!I:I,)</f>
        <v/>
      </c>
      <c r="AH30" s="40" t="str">
        <f>IFERROR(__xludf.DUMMYFUNCTION("if(AND(AI30=FALSE,AJ30=FALSE),,if(AI30=AJ30,JOIN("""",""Static: "",AI30),JOIN("""",""Min:  "",AI30, CHAR(10),""Max: "",AJ30)))"),"")</f>
        <v/>
      </c>
      <c r="AI30" s="42" t="str">
        <f t="array" ref="AI30">_xlfn.XLOOKUP(B30,'Up Min'!A:A,'Up Min'!I:I,)</f>
        <v/>
      </c>
      <c r="AJ30" s="42" t="str">
        <f t="array" ref="AJ30">_xlfn.XLOOKUP(B30,'Up Max'!A:A,'Up Max'!I:I,)</f>
        <v/>
      </c>
      <c r="AK30" s="48" t="str">
        <f t="array" ref="AK30">_xlfn.XLOOKUP(B30,'Up Stats'!A:A,'Up Stats'!J:J,)</f>
        <v/>
      </c>
      <c r="AL30" s="40" t="str">
        <f>IFERROR(__xludf.DUMMYFUNCTION("if(AND(AM30=FALSE,AN30=FALSE),,if(AM30=AN30,JOIN("""",""Static: "",AM30),JOIN("""",""Min:  "",AM30, CHAR(10),""Max: "",AN30)))"),"")</f>
        <v/>
      </c>
      <c r="AM30" s="42" t="str">
        <f t="array" ref="AM30">_xlfn.XLOOKUP(B30,'Up Min'!A:A,'Up Min'!J:J,)</f>
        <v/>
      </c>
      <c r="AN30" s="42" t="str">
        <f t="array" ref="AN30">_xlfn.XLOOKUP(B30,'Up Max'!A:A,'Up Max'!J:J,)</f>
        <v/>
      </c>
      <c r="AO30" s="34" t="str">
        <f t="array" ref="AO30">CONCATENATE(_xlfn.XLOOKUP(B30,'Up Cells'!A:A,'Up Cells'!B:B,))</f>
        <v>4</v>
      </c>
      <c r="AP30" s="34" t="str">
        <f t="array" ref="AP30">CONCATENATE(_xlfn.XLOOKUP(B30,'Up Rarity'!A:A,'Up Rarity'!B:B,),CHAR(10),"-")</f>
        <v>Standard
-</v>
      </c>
    </row>
    <row r="31">
      <c r="A31" s="84" t="str">
        <f t="array" ref="A31">_xlfn.XLOOKUP(B31,'Up Icon'!A:A,'Up Icon'!B:B,)</f>
        <v/>
      </c>
      <c r="B31" s="63" t="str">
        <f t="array" ref="B31">HYPERLINK(_xlfn.XLOOKUP('Up Names'!C28,'Up Wiki'!A:A,'Up Wiki'!B:B,),'Up Names'!C28)</f>
        <v>Precise Targeting</v>
      </c>
      <c r="C31" s="52" t="str">
        <f t="array" ref="C31">_xlfn.XLOOKUP(B31,'Up Desc'!A:A,'Up Desc'!B:B,)</f>
        <v>Range is increased while aiming.</v>
      </c>
      <c r="D31" s="52" t="str">
        <f t="array" ref="D31">_xlfn.XLOOKUP(B31,'Up Turbo'!A:A,'Up Turbo'!B:B,)</f>
        <v>n/a</v>
      </c>
      <c r="E31" s="53" t="str">
        <f t="array" ref="E31">_xlfn.XLOOKUP(B31,'Up Stats'!A:A,'Up Stats'!B:B,)</f>
        <v>Range</v>
      </c>
      <c r="F31" s="54" t="str">
        <f>IFERROR(__xludf.DUMMYFUNCTION("if(AND(G31=FALSE,H31=FALSE),,if(G31=H31,JOIN("""",""Static: "",G31),JOIN("""",""Min:  "",G31, CHAR(10),""Max: "",H31)))"),"Min:  9
Max: 15")</f>
        <v>Min:  9
Max: 15</v>
      </c>
      <c r="G31" s="64">
        <f t="array" ref="G31">_xlfn.XLOOKUP(B31,'Up Min'!A:A,'Up Min'!B:B,)</f>
        <v>9</v>
      </c>
      <c r="H31" s="65">
        <f t="array" ref="H31">_xlfn.XLOOKUP(B31,'Up Max'!A:A,'Up Max'!B:B,)</f>
        <v>15</v>
      </c>
      <c r="I31" s="53" t="str">
        <f t="array" ref="I31">_xlfn.XLOOKUP(B31,'Up Stats'!A:A,'Up Stats'!C:C,)</f>
        <v/>
      </c>
      <c r="J31" s="54" t="str">
        <f>IFERROR(__xludf.DUMMYFUNCTION("if(AND(K31=FALSE,L31=FALSE),,if(K31=L31,JOIN("""",""Static: "",K31),JOIN("""",""Min:  "",K31, CHAR(10),""Max: "",L31)))"),"")</f>
        <v/>
      </c>
      <c r="K31" s="55" t="str">
        <f t="array" ref="K31">_xlfn.XLOOKUP(B31,'Up Min'!A:A,'Up Min'!C:C,)</f>
        <v/>
      </c>
      <c r="L31" s="55" t="str">
        <f t="array" ref="L31">_xlfn.XLOOKUP(B31,'Up Max'!A:A,'Up Max'!C:C,)</f>
        <v/>
      </c>
      <c r="M31" s="57" t="str">
        <f t="array" ref="M31">_xlfn.XLOOKUP(B31,'Up Stats'!A:A,'Up Stats'!D:D,)</f>
        <v/>
      </c>
      <c r="N31" s="54" t="str">
        <f>IFERROR(__xludf.DUMMYFUNCTION("if(AND(O31=FALSE,P31=FALSE),,if(O31=P31,JOIN("""",""Static: "",O31),JOIN("""",""Min:  "",O31, CHAR(10),""Max: "",P31)))"),"")</f>
        <v/>
      </c>
      <c r="O31" s="55" t="str">
        <f t="array" ref="O31">_xlfn.XLOOKUP(B31,'Up Min'!A:A,'Up Min'!D:D,)</f>
        <v/>
      </c>
      <c r="P31" s="55" t="str">
        <f t="array" ref="P31">_xlfn.XLOOKUP(B31,'Up Max'!A:A,'Up Max'!D:D,)</f>
        <v/>
      </c>
      <c r="Q31" s="57" t="str">
        <f t="array" ref="Q31">_xlfn.XLOOKUP(B31,'Up Stats'!A:A,'Up Stats'!E:E,)</f>
        <v/>
      </c>
      <c r="R31" s="54" t="str">
        <f>IFERROR(__xludf.DUMMYFUNCTION("if(AND(S31=FALSE,T31=FALSE),,if(S31=T31,JOIN("""",""Static: "",S31),JOIN("""",""Min:  "",S31, CHAR(10),""Max: "",T31)))"),"")</f>
        <v/>
      </c>
      <c r="S31" s="55" t="str">
        <f t="array" ref="S31">_xlfn.XLOOKUP(B31,'Up Min'!A:A,'Up Min'!E:E,)</f>
        <v/>
      </c>
      <c r="T31" s="55" t="str">
        <f t="array" ref="T31">_xlfn.XLOOKUP(B31,'Up Max'!A:A,'Up Max'!E:E,)</f>
        <v/>
      </c>
      <c r="U31" s="57" t="str">
        <f t="array" ref="U31">_xlfn.XLOOKUP(B31,'Up Stats'!A:A,'Up Stats'!F:F,)</f>
        <v/>
      </c>
      <c r="V31" s="54" t="str">
        <f>IFERROR(__xludf.DUMMYFUNCTION("if(AND(W31=FALSE,X31=FALSE),,if(W31=X31,JOIN("""",""Static: "",W31),JOIN("""",""Min:  "",W31, CHAR(10),""Max: "",X31)))"),"")</f>
        <v/>
      </c>
      <c r="W31" s="55" t="str">
        <f t="array" ref="W31">_xlfn.XLOOKUP(B31,'Up Min'!A:A,'Up Min'!F:F,)</f>
        <v/>
      </c>
      <c r="X31" s="55" t="str">
        <f t="array" ref="X31">_xlfn.XLOOKUP(B31,'Up Max'!A:A,'Up Max'!F:F,)</f>
        <v/>
      </c>
      <c r="Y31" s="57" t="str">
        <f t="array" ref="Y31">_xlfn.XLOOKUP(B31,'Up Stats'!A:A,'Up Stats'!G:G,)</f>
        <v/>
      </c>
      <c r="Z31" s="54" t="str">
        <f>IFERROR(__xludf.DUMMYFUNCTION("if(AND(AA31=FALSE,AB31=FALSE),,if(AA31=AB31,JOIN("""",""Static: "",AA31),JOIN("""",""Min:  "",AA31, CHAR(10),""Max: "",AB31)))"),"")</f>
        <v/>
      </c>
      <c r="AA31" s="55" t="str">
        <f t="array" ref="AA31">_xlfn.XLOOKUP(B31,'Up Min'!A:A,'Up Min'!G:G,)</f>
        <v/>
      </c>
      <c r="AB31" s="55" t="str">
        <f t="array" ref="AB31">_xlfn.XLOOKUP(B31,'Up Max'!A:A,'Up Max'!G:G,)</f>
        <v/>
      </c>
      <c r="AC31" s="57" t="str">
        <f t="array" ref="AC31">_xlfn.XLOOKUP(B31,'Up Stats'!A:A,'Up Stats'!H:H,)</f>
        <v/>
      </c>
      <c r="AD31" s="54" t="str">
        <f>IFERROR(__xludf.DUMMYFUNCTION("if(AND(AE31=FALSE,AF31=FALSE),,if(AE31=AF31,JOIN("""",""Static: "",AE31),JOIN("""",""Min:  "",AE31, CHAR(10),""Max: "",AF31)))"),"")</f>
        <v/>
      </c>
      <c r="AE31" s="55" t="str">
        <f t="array" ref="AE31">_xlfn.XLOOKUP(B31,'Up Min'!A:A,'Up Min'!H:H,)</f>
        <v/>
      </c>
      <c r="AF31" s="55" t="str">
        <f t="array" ref="AF31">_xlfn.XLOOKUP(B31,'Up Max'!A:A,'Up Max'!H:H,)</f>
        <v/>
      </c>
      <c r="AG31" s="57" t="str">
        <f t="array" ref="AG31">_xlfn.XLOOKUP(B31,'Up Stats'!A:A,'Up Stats'!I:I,)</f>
        <v/>
      </c>
      <c r="AH31" s="54" t="str">
        <f>IFERROR(__xludf.DUMMYFUNCTION("if(AND(AI31=FALSE,AJ31=FALSE),,if(AI31=AJ31,JOIN("""",""Static: "",AI31),JOIN("""",""Min:  "",AI31, CHAR(10),""Max: "",AJ31)))"),"")</f>
        <v/>
      </c>
      <c r="AI31" s="55" t="str">
        <f t="array" ref="AI31">_xlfn.XLOOKUP(B31,'Up Min'!A:A,'Up Min'!I:I,)</f>
        <v/>
      </c>
      <c r="AJ31" s="55" t="str">
        <f t="array" ref="AJ31">_xlfn.XLOOKUP(B31,'Up Max'!A:A,'Up Max'!I:I,)</f>
        <v/>
      </c>
      <c r="AK31" s="57" t="str">
        <f t="array" ref="AK31">_xlfn.XLOOKUP(B31,'Up Stats'!A:A,'Up Stats'!J:J,)</f>
        <v/>
      </c>
      <c r="AL31" s="54" t="str">
        <f>IFERROR(__xludf.DUMMYFUNCTION("if(AND(AM31=FALSE,AN31=FALSE),,if(AM31=AN31,JOIN("""",""Static: "",AM31),JOIN("""",""Min:  "",AM31, CHAR(10),""Max: "",AN31)))"),"")</f>
        <v/>
      </c>
      <c r="AM31" s="55" t="str">
        <f t="array" ref="AM31">_xlfn.XLOOKUP(B31,'Up Min'!A:A,'Up Min'!J:J,)</f>
        <v/>
      </c>
      <c r="AN31" s="55" t="str">
        <f t="array" ref="AN31">_xlfn.XLOOKUP(B31,'Up Max'!A:A,'Up Max'!J:J,)</f>
        <v/>
      </c>
      <c r="AO31" s="51" t="str">
        <f t="array" ref="AO31">CONCATENATE(_xlfn.XLOOKUP(B31,'Up Cells'!A:A,'Up Cells'!B:B,))</f>
        <v>3</v>
      </c>
      <c r="AP31" s="51" t="str">
        <f t="array" ref="AP31">CONCATENATE(_xlfn.XLOOKUP(B31,'Up Rarity'!A:A,'Up Rarity'!B:B,),CHAR(10),"-")</f>
        <v>Standard
-</v>
      </c>
    </row>
    <row r="32">
      <c r="A32" s="84" t="str">
        <f t="array" ref="A32">_xlfn.XLOOKUP(B32,'Up Icon'!A:A,'Up Icon'!B:B,)</f>
        <v/>
      </c>
      <c r="B32" s="66" t="str">
        <f t="array" ref="B32">HYPERLINK(_xlfn.XLOOKUP('Up Names'!C29,'Up Wiki'!A:A,'Up Wiki'!B:B,),'Up Names'!C29)</f>
        <v>Rapid Pollination</v>
      </c>
      <c r="C32" s="37" t="str">
        <f t="array" ref="C32">_xlfn.XLOOKUP(B32,'Up Desc'!A:A,'Up Desc'!B:B,)</f>
        <v>Fire faster with lower accuracy.</v>
      </c>
      <c r="D32" s="37" t="str">
        <f t="array" ref="D32">_xlfn.XLOOKUP(B32,'Up Turbo'!A:A,'Up Turbo'!B:B,)</f>
        <v>n/a</v>
      </c>
      <c r="E32" s="39" t="str">
        <f t="array" ref="E32">_xlfn.XLOOKUP(B32,'Up Stats'!A:A,'Up Stats'!B:B,)</f>
        <v>Fire Rate</v>
      </c>
      <c r="F32" s="40" t="str">
        <f>IFERROR(__xludf.DUMMYFUNCTION("if(AND(G32=FALSE,H32=FALSE),,if(G32=H32,JOIN("""",""Static: "",G32),JOIN("""",""Min:  "",G32, CHAR(10),""Max: "",H32)))"),"Min:  38.89%
Max: 28.04%")</f>
        <v>Min:  38.89%
Max: 28.04%</v>
      </c>
      <c r="G32" s="78">
        <f t="array" ref="G32">_xlfn.XLOOKUP(B32,'Up Min'!A:A,'Up Min'!B:B,)</f>
        <v>0.3889</v>
      </c>
      <c r="H32" s="78">
        <f t="array" ref="H32">_xlfn.XLOOKUP(B32,'Up Max'!A:A,'Up Max'!B:B,)</f>
        <v>0.2804</v>
      </c>
      <c r="I32" s="39" t="str">
        <f t="array" ref="I32">_xlfn.XLOOKUP(B32,'Up Stats'!A:A,'Up Stats'!C:C,)</f>
        <v>Horizontal Spread</v>
      </c>
      <c r="J32" s="40" t="str">
        <f>IFERROR(__xludf.DUMMYFUNCTION("if(AND(K32=FALSE,L32=FALSE),,if(K32=L32,JOIN("""",""Static: "",K32),JOIN("""",""Min:  "",K32, CHAR(10),""Max: "",L32)))"),"Min:  70%
Max: 130%")</f>
        <v>Min:  70%
Max: 130%</v>
      </c>
      <c r="K32" s="41">
        <f t="array" ref="K32">_xlfn.XLOOKUP(B32,'Up Min'!A:A,'Up Min'!C:C,)</f>
        <v>0.7</v>
      </c>
      <c r="L32" s="41">
        <f t="array" ref="L32">_xlfn.XLOOKUP(B32,'Up Max'!A:A,'Up Max'!C:C,)</f>
        <v>1.3</v>
      </c>
      <c r="M32" s="39" t="str">
        <f t="array" ref="M32">_xlfn.XLOOKUP(B32,'Up Stats'!A:A,'Up Stats'!D:D,)</f>
        <v>Vertical Spread</v>
      </c>
      <c r="N32" s="40" t="str">
        <f>IFERROR(__xludf.DUMMYFUNCTION("if(AND(O32=FALSE,P32=FALSE),,if(O32=P32,JOIN("""",""Static: "",O32),JOIN("""",""Min:  "",O32, CHAR(10),""Max: "",P32)))"),"Min:  70%
Max: 130%")</f>
        <v>Min:  70%
Max: 130%</v>
      </c>
      <c r="O32" s="41">
        <f t="array" ref="O32">_xlfn.XLOOKUP(B32,'Up Min'!A:A,'Up Min'!D:D,)</f>
        <v>0.7</v>
      </c>
      <c r="P32" s="41">
        <f t="array" ref="P32">_xlfn.XLOOKUP(B32,'Up Max'!A:A,'Up Max'!D:D,)</f>
        <v>1.3</v>
      </c>
      <c r="Q32" s="48" t="str">
        <f t="array" ref="Q32">_xlfn.XLOOKUP(B32,'Up Stats'!A:A,'Up Stats'!E:E,)</f>
        <v/>
      </c>
      <c r="R32" s="40" t="str">
        <f>IFERROR(__xludf.DUMMYFUNCTION("if(AND(S32=FALSE,T32=FALSE),,if(S32=T32,JOIN("""",""Static: "",S32),JOIN("""",""Min:  "",S32, CHAR(10),""Max: "",T32)))"),"")</f>
        <v/>
      </c>
      <c r="S32" s="45" t="str">
        <f t="array" ref="S32">_xlfn.XLOOKUP(B32,'Up Min'!A:A,'Up Min'!E:E,)</f>
        <v/>
      </c>
      <c r="T32" s="42" t="str">
        <f t="array" ref="T32">_xlfn.XLOOKUP(B32,'Up Max'!A:A,'Up Max'!E:E,)</f>
        <v/>
      </c>
      <c r="U32" s="48" t="str">
        <f t="array" ref="U32">_xlfn.XLOOKUP(B32,'Up Stats'!A:A,'Up Stats'!F:F,)</f>
        <v/>
      </c>
      <c r="V32" s="40" t="str">
        <f>IFERROR(__xludf.DUMMYFUNCTION("if(AND(W32=FALSE,X32=FALSE),,if(W32=X32,JOIN("""",""Static: "",W32),JOIN("""",""Min:  "",W32, CHAR(10),""Max: "",X32)))"),"")</f>
        <v/>
      </c>
      <c r="W32" s="42" t="str">
        <f t="array" ref="W32">_xlfn.XLOOKUP(B32,'Up Min'!A:A,'Up Min'!F:F,)</f>
        <v/>
      </c>
      <c r="X32" s="42" t="str">
        <f t="array" ref="X32">_xlfn.XLOOKUP(B32,'Up Max'!A:A,'Up Max'!F:F,)</f>
        <v/>
      </c>
      <c r="Y32" s="48" t="str">
        <f t="array" ref="Y32">_xlfn.XLOOKUP(B32,'Up Stats'!A:A,'Up Stats'!G:G,)</f>
        <v/>
      </c>
      <c r="Z32" s="40" t="str">
        <f>IFERROR(__xludf.DUMMYFUNCTION("if(AND(AA32=FALSE,AB32=FALSE),,if(AA32=AB32,JOIN("""",""Static: "",AA32),JOIN("""",""Min:  "",AA32, CHAR(10),""Max: "",AB32)))"),"")</f>
        <v/>
      </c>
      <c r="AA32" s="42" t="str">
        <f t="array" ref="AA32">_xlfn.XLOOKUP(B32,'Up Min'!A:A,'Up Min'!G:G,)</f>
        <v/>
      </c>
      <c r="AB32" s="42" t="str">
        <f t="array" ref="AB32">_xlfn.XLOOKUP(B32,'Up Max'!A:A,'Up Max'!G:G,)</f>
        <v/>
      </c>
      <c r="AC32" s="48" t="str">
        <f t="array" ref="AC32">_xlfn.XLOOKUP(B32,'Up Stats'!A:A,'Up Stats'!H:H,)</f>
        <v/>
      </c>
      <c r="AD32" s="40" t="str">
        <f>IFERROR(__xludf.DUMMYFUNCTION("if(AND(AE32=FALSE,AF32=FALSE),,if(AE32=AF32,JOIN("""",""Static: "",AE32),JOIN("""",""Min:  "",AE32, CHAR(10),""Max: "",AF32)))"),"")</f>
        <v/>
      </c>
      <c r="AE32" s="42" t="str">
        <f t="array" ref="AE32">_xlfn.XLOOKUP(B32,'Up Min'!A:A,'Up Min'!H:H,)</f>
        <v/>
      </c>
      <c r="AF32" s="42" t="str">
        <f t="array" ref="AF32">_xlfn.XLOOKUP(B32,'Up Max'!A:A,'Up Max'!H:H,)</f>
        <v/>
      </c>
      <c r="AG32" s="48" t="str">
        <f t="array" ref="AG32">_xlfn.XLOOKUP(B32,'Up Stats'!A:A,'Up Stats'!I:I,)</f>
        <v/>
      </c>
      <c r="AH32" s="40" t="str">
        <f>IFERROR(__xludf.DUMMYFUNCTION("if(AND(AI32=FALSE,AJ32=FALSE),,if(AI32=AJ32,JOIN("""",""Static: "",AI32),JOIN("""",""Min:  "",AI32, CHAR(10),""Max: "",AJ32)))"),"")</f>
        <v/>
      </c>
      <c r="AI32" s="42" t="str">
        <f t="array" ref="AI32">_xlfn.XLOOKUP(B32,'Up Min'!A:A,'Up Min'!I:I,)</f>
        <v/>
      </c>
      <c r="AJ32" s="42" t="str">
        <f t="array" ref="AJ32">_xlfn.XLOOKUP(B32,'Up Max'!A:A,'Up Max'!I:I,)</f>
        <v/>
      </c>
      <c r="AK32" s="48" t="str">
        <f t="array" ref="AK32">_xlfn.XLOOKUP(B32,'Up Stats'!A:A,'Up Stats'!J:J,)</f>
        <v/>
      </c>
      <c r="AL32" s="40" t="str">
        <f>IFERROR(__xludf.DUMMYFUNCTION("if(AND(AM32=FALSE,AN32=FALSE),,if(AM32=AN32,JOIN("""",""Static: "",AM32),JOIN("""",""Min:  "",AM32, CHAR(10),""Max: "",AN32)))"),"")</f>
        <v/>
      </c>
      <c r="AM32" s="42" t="str">
        <f t="array" ref="AM32">_xlfn.XLOOKUP(B32,'Up Min'!A:A,'Up Min'!J:J,)</f>
        <v/>
      </c>
      <c r="AN32" s="42" t="str">
        <f t="array" ref="AN32">_xlfn.XLOOKUP(B32,'Up Max'!A:A,'Up Max'!J:J,)</f>
        <v/>
      </c>
      <c r="AO32" s="34" t="str">
        <f t="array" ref="AO32">CONCATENATE(_xlfn.XLOOKUP(B32,'Up Cells'!A:A,'Up Cells'!B:B,))</f>
        <v>4</v>
      </c>
      <c r="AP32" s="34" t="str">
        <f t="array" ref="AP32">CONCATENATE(_xlfn.XLOOKUP(B32,'Up Rarity'!A:A,'Up Rarity'!B:B,),CHAR(10),"-")</f>
        <v>Standard
-</v>
      </c>
    </row>
    <row r="33">
      <c r="A33" s="84" t="str">
        <f t="array" ref="A33">_xlfn.XLOOKUP(B33,'Up Icon'!A:A,'Up Icon'!B:B,)</f>
        <v/>
      </c>
      <c r="B33" s="63" t="str">
        <f t="array" ref="B33">HYPERLINK(_xlfn.XLOOKUP('Up Names'!C30,'Up Wiki'!A:A,'Up Wiki'!B:B,),'Up Names'!C30)</f>
        <v>Swarm Reserves</v>
      </c>
      <c r="C33" s="52" t="str">
        <f t="array" ref="C33">_xlfn.XLOOKUP(B33,'Up Desc'!A:A,'Up Desc'!B:B,)</f>
        <v>Ammo reserves are increased.</v>
      </c>
      <c r="D33" s="52" t="str">
        <f t="array" ref="D33">_xlfn.XLOOKUP(B33,'Up Turbo'!A:A,'Up Turbo'!B:B,)</f>
        <v>n/a</v>
      </c>
      <c r="E33" s="53" t="str">
        <f t="array" ref="E33">_xlfn.XLOOKUP(B33,'Up Stats'!A:A,'Up Stats'!B:B,)</f>
        <v>Ammo Capacity</v>
      </c>
      <c r="F33" s="54" t="str">
        <f>IFERROR(__xludf.DUMMYFUNCTION("if(AND(G33=FALSE,H33=FALSE),,if(G33=H33,JOIN("""",""Static: "",G33),JOIN("""",""Min:  "",G33, CHAR(10),""Max: "",H33)))"),"Min:  40
Max: 60")</f>
        <v>Min:  40
Max: 60</v>
      </c>
      <c r="G33" s="64">
        <f t="array" ref="G33">_xlfn.XLOOKUP(B33,'Up Min'!A:A,'Up Min'!B:B,)</f>
        <v>40</v>
      </c>
      <c r="H33" s="65">
        <f t="array" ref="H33">_xlfn.XLOOKUP(B33,'Up Max'!A:A,'Up Max'!B:B,)</f>
        <v>60</v>
      </c>
      <c r="I33" s="53" t="str">
        <f t="array" ref="I33">_xlfn.XLOOKUP(B33,'Up Stats'!A:A,'Up Stats'!C:C,)</f>
        <v/>
      </c>
      <c r="J33" s="54" t="str">
        <f>IFERROR(__xludf.DUMMYFUNCTION("if(AND(K33=FALSE,L33=FALSE),,if(K33=L33,JOIN("""",""Static: "",K33),JOIN("""",""Min:  "",K33, CHAR(10),""Max: "",L33)))"),"")</f>
        <v/>
      </c>
      <c r="K33" s="55" t="str">
        <f t="array" ref="K33">_xlfn.XLOOKUP(B33,'Up Min'!A:A,'Up Min'!C:C,)</f>
        <v/>
      </c>
      <c r="L33" s="55" t="str">
        <f t="array" ref="L33">_xlfn.XLOOKUP(B33,'Up Max'!A:A,'Up Max'!C:C,)</f>
        <v/>
      </c>
      <c r="M33" s="57" t="str">
        <f t="array" ref="M33">_xlfn.XLOOKUP(B33,'Up Stats'!A:A,'Up Stats'!D:D,)</f>
        <v/>
      </c>
      <c r="N33" s="54" t="str">
        <f>IFERROR(__xludf.DUMMYFUNCTION("if(AND(O33=FALSE,P33=FALSE),,if(O33=P33,JOIN("""",""Static: "",O33),JOIN("""",""Min:  "",O33, CHAR(10),""Max: "",P33)))"),"")</f>
        <v/>
      </c>
      <c r="O33" s="55" t="str">
        <f t="array" ref="O33">_xlfn.XLOOKUP(B33,'Up Min'!A:A,'Up Min'!D:D,)</f>
        <v/>
      </c>
      <c r="P33" s="55" t="str">
        <f t="array" ref="P33">_xlfn.XLOOKUP(B33,'Up Max'!A:A,'Up Max'!D:D,)</f>
        <v/>
      </c>
      <c r="Q33" s="57" t="str">
        <f t="array" ref="Q33">_xlfn.XLOOKUP(B33,'Up Stats'!A:A,'Up Stats'!E:E,)</f>
        <v/>
      </c>
      <c r="R33" s="54" t="str">
        <f>IFERROR(__xludf.DUMMYFUNCTION("if(AND(S33=FALSE,T33=FALSE),,if(S33=T33,JOIN("""",""Static: "",S33),JOIN("""",""Min:  "",S33, CHAR(10),""Max: "",T33)))"),"")</f>
        <v/>
      </c>
      <c r="S33" s="55" t="str">
        <f t="array" ref="S33">_xlfn.XLOOKUP(B33,'Up Min'!A:A,'Up Min'!E:E,)</f>
        <v/>
      </c>
      <c r="T33" s="55" t="str">
        <f t="array" ref="T33">_xlfn.XLOOKUP(B33,'Up Max'!A:A,'Up Max'!E:E,)</f>
        <v/>
      </c>
      <c r="U33" s="57" t="str">
        <f t="array" ref="U33">_xlfn.XLOOKUP(B33,'Up Stats'!A:A,'Up Stats'!F:F,)</f>
        <v/>
      </c>
      <c r="V33" s="54" t="str">
        <f>IFERROR(__xludf.DUMMYFUNCTION("if(AND(W33=FALSE,X33=FALSE),,if(W33=X33,JOIN("""",""Static: "",W33),JOIN("""",""Min:  "",W33, CHAR(10),""Max: "",X33)))"),"")</f>
        <v/>
      </c>
      <c r="W33" s="55" t="str">
        <f t="array" ref="W33">_xlfn.XLOOKUP(B33,'Up Min'!A:A,'Up Min'!F:F,)</f>
        <v/>
      </c>
      <c r="X33" s="55" t="str">
        <f t="array" ref="X33">_xlfn.XLOOKUP(B33,'Up Max'!A:A,'Up Max'!F:F,)</f>
        <v/>
      </c>
      <c r="Y33" s="57" t="str">
        <f t="array" ref="Y33">_xlfn.XLOOKUP(B33,'Up Stats'!A:A,'Up Stats'!G:G,)</f>
        <v/>
      </c>
      <c r="Z33" s="54" t="str">
        <f>IFERROR(__xludf.DUMMYFUNCTION("if(AND(AA33=FALSE,AB33=FALSE),,if(AA33=AB33,JOIN("""",""Static: "",AA33),JOIN("""",""Min:  "",AA33, CHAR(10),""Max: "",AB33)))"),"")</f>
        <v/>
      </c>
      <c r="AA33" s="55" t="str">
        <f t="array" ref="AA33">_xlfn.XLOOKUP(B33,'Up Min'!A:A,'Up Min'!G:G,)</f>
        <v/>
      </c>
      <c r="AB33" s="55" t="str">
        <f t="array" ref="AB33">_xlfn.XLOOKUP(B33,'Up Max'!A:A,'Up Max'!G:G,)</f>
        <v/>
      </c>
      <c r="AC33" s="57" t="str">
        <f t="array" ref="AC33">_xlfn.XLOOKUP(B33,'Up Stats'!A:A,'Up Stats'!H:H,)</f>
        <v/>
      </c>
      <c r="AD33" s="54" t="str">
        <f>IFERROR(__xludf.DUMMYFUNCTION("if(AND(AE33=FALSE,AF33=FALSE),,if(AE33=AF33,JOIN("""",""Static: "",AE33),JOIN("""",""Min:  "",AE33, CHAR(10),""Max: "",AF33)))"),"")</f>
        <v/>
      </c>
      <c r="AE33" s="55" t="str">
        <f t="array" ref="AE33">_xlfn.XLOOKUP(B33,'Up Min'!A:A,'Up Min'!H:H,)</f>
        <v/>
      </c>
      <c r="AF33" s="55" t="str">
        <f t="array" ref="AF33">_xlfn.XLOOKUP(B33,'Up Max'!A:A,'Up Max'!H:H,)</f>
        <v/>
      </c>
      <c r="AG33" s="57" t="str">
        <f t="array" ref="AG33">_xlfn.XLOOKUP(B33,'Up Stats'!A:A,'Up Stats'!I:I,)</f>
        <v/>
      </c>
      <c r="AH33" s="54" t="str">
        <f>IFERROR(__xludf.DUMMYFUNCTION("if(AND(AI33=FALSE,AJ33=FALSE),,if(AI33=AJ33,JOIN("""",""Static: "",AI33),JOIN("""",""Min:  "",AI33, CHAR(10),""Max: "",AJ33)))"),"")</f>
        <v/>
      </c>
      <c r="AI33" s="55" t="str">
        <f t="array" ref="AI33">_xlfn.XLOOKUP(B33,'Up Min'!A:A,'Up Min'!I:I,)</f>
        <v/>
      </c>
      <c r="AJ33" s="55" t="str">
        <f t="array" ref="AJ33">_xlfn.XLOOKUP(B33,'Up Max'!A:A,'Up Max'!I:I,)</f>
        <v/>
      </c>
      <c r="AK33" s="57" t="str">
        <f t="array" ref="AK33">_xlfn.XLOOKUP(B33,'Up Stats'!A:A,'Up Stats'!J:J,)</f>
        <v/>
      </c>
      <c r="AL33" s="54" t="str">
        <f>IFERROR(__xludf.DUMMYFUNCTION("if(AND(AM33=FALSE,AN33=FALSE),,if(AM33=AN33,JOIN("""",""Static: "",AM33),JOIN("""",""Min:  "",AM33, CHAR(10),""Max: "",AN33)))"),"")</f>
        <v/>
      </c>
      <c r="AM33" s="55" t="str">
        <f t="array" ref="AM33">_xlfn.XLOOKUP(B33,'Up Min'!A:A,'Up Min'!J:J,)</f>
        <v/>
      </c>
      <c r="AN33" s="55" t="str">
        <f t="array" ref="AN33">_xlfn.XLOOKUP(B33,'Up Max'!A:A,'Up Max'!J:J,)</f>
        <v/>
      </c>
      <c r="AO33" s="51" t="str">
        <f t="array" ref="AO33">CONCATENATE(_xlfn.XLOOKUP(B33,'Up Cells'!A:A,'Up Cells'!B:B,))</f>
        <v>4</v>
      </c>
      <c r="AP33" s="51" t="str">
        <f t="array" ref="AP33">CONCATENATE(_xlfn.XLOOKUP(B33,'Up Rarity'!A:A,'Up Rarity'!B:B,),CHAR(10),"-")</f>
        <v>Standard
-</v>
      </c>
    </row>
    <row r="34">
      <c r="A34" s="84" t="str">
        <f t="array" ref="A34">_xlfn.XLOOKUP(B34,'Up Icon'!A:A,'Up Icon'!B:B,)</f>
        <v/>
      </c>
      <c r="B34" s="66" t="str">
        <f t="array" ref="B34">HYPERLINK(_xlfn.XLOOKUP('Up Names'!C31,'Up Wiki'!A:A,'Up Wiki'!B:B,),'Up Names'!C31)</f>
        <v>Tight Planting</v>
      </c>
      <c r="C34" s="37" t="str">
        <f t="array" ref="C34">_xlfn.XLOOKUP(B34,'Up Desc'!A:A,'Up Desc'!B:B,)</f>
        <v>Spread is reduced.</v>
      </c>
      <c r="D34" s="37" t="str">
        <f t="array" ref="D34">_xlfn.XLOOKUP(B34,'Up Turbo'!A:A,'Up Turbo'!B:B,)</f>
        <v>n/a</v>
      </c>
      <c r="E34" s="39" t="str">
        <f t="array" ref="E34">_xlfn.XLOOKUP(B34,'Up Stats'!A:A,'Up Stats'!B:B,)</f>
        <v>Horizontal Spread</v>
      </c>
      <c r="F34" s="40" t="str">
        <f>IFERROR(__xludf.DUMMYFUNCTION("if(AND(G34=FALSE,H34=FALSE),,if(G34=H34,JOIN("""",""Static: "",G34),JOIN("""",""Min:  "",G34, CHAR(10),""Max: "",H34)))"),"Min:  -40%
Max: -15%")</f>
        <v>Min:  -40%
Max: -15%</v>
      </c>
      <c r="G34" s="41">
        <f t="array" ref="G34">_xlfn.XLOOKUP(B34,'Up Min'!A:A,'Up Min'!B:B,)</f>
        <v>-0.4</v>
      </c>
      <c r="H34" s="41">
        <f t="array" ref="H34">_xlfn.XLOOKUP(B34,'Up Max'!A:A,'Up Max'!B:B,)</f>
        <v>-0.15</v>
      </c>
      <c r="I34" s="39" t="str">
        <f t="array" ref="I34">_xlfn.XLOOKUP(B34,'Up Stats'!A:A,'Up Stats'!C:C,)</f>
        <v>Vertical Spread</v>
      </c>
      <c r="J34" s="40" t="str">
        <f>IFERROR(__xludf.DUMMYFUNCTION("if(AND(K34=FALSE,L34=FALSE),,if(K34=L34,JOIN("""",""Static: "",K34),JOIN("""",""Min:  "",K34, CHAR(10),""Max: "",L34)))"),"Min:  -40%
Max: -15%")</f>
        <v>Min:  -40%
Max: -15%</v>
      </c>
      <c r="K34" s="41">
        <f t="array" ref="K34">_xlfn.XLOOKUP(B34,'Up Min'!A:A,'Up Min'!C:C,)</f>
        <v>-0.4</v>
      </c>
      <c r="L34" s="41">
        <f t="array" ref="L34">_xlfn.XLOOKUP(B34,'Up Max'!A:A,'Up Max'!C:C,)</f>
        <v>-0.15</v>
      </c>
      <c r="M34" s="39" t="str">
        <f t="array" ref="M34">_xlfn.XLOOKUP(B34,'Up Stats'!A:A,'Up Stats'!D:D,)</f>
        <v/>
      </c>
      <c r="N34" s="40" t="str">
        <f>IFERROR(__xludf.DUMMYFUNCTION("if(AND(O34=FALSE,P34=FALSE),,if(O34=P34,JOIN("""",""Static: "",O34),JOIN("""",""Min:  "",O34, CHAR(10),""Max: "",P34)))"),"")</f>
        <v/>
      </c>
      <c r="O34" s="42" t="str">
        <f t="array" ref="O34">_xlfn.XLOOKUP(B34,'Up Min'!A:A,'Up Min'!D:D,)</f>
        <v/>
      </c>
      <c r="P34" s="42" t="str">
        <f t="array" ref="P34">_xlfn.XLOOKUP(B34,'Up Max'!A:A,'Up Max'!D:D,)</f>
        <v/>
      </c>
      <c r="Q34" s="48" t="str">
        <f t="array" ref="Q34">_xlfn.XLOOKUP(B34,'Up Stats'!A:A,'Up Stats'!E:E,)</f>
        <v/>
      </c>
      <c r="R34" s="40" t="str">
        <f>IFERROR(__xludf.DUMMYFUNCTION("if(AND(S34=FALSE,T34=FALSE),,if(S34=T34,JOIN("""",""Static: "",S34),JOIN("""",""Min:  "",S34, CHAR(10),""Max: "",T34)))"),"")</f>
        <v/>
      </c>
      <c r="S34" s="42" t="str">
        <f t="array" ref="S34">_xlfn.XLOOKUP(B34,'Up Min'!A:A,'Up Min'!E:E,)</f>
        <v/>
      </c>
      <c r="T34" s="42" t="str">
        <f t="array" ref="T34">_xlfn.XLOOKUP(B34,'Up Max'!A:A,'Up Max'!E:E,)</f>
        <v/>
      </c>
      <c r="U34" s="48" t="str">
        <f t="array" ref="U34">_xlfn.XLOOKUP(B34,'Up Stats'!A:A,'Up Stats'!F:F,)</f>
        <v/>
      </c>
      <c r="V34" s="40" t="str">
        <f>IFERROR(__xludf.DUMMYFUNCTION("if(AND(W34=FALSE,X34=FALSE),,if(W34=X34,JOIN("""",""Static: "",W34),JOIN("""",""Min:  "",W34, CHAR(10),""Max: "",X34)))"),"")</f>
        <v/>
      </c>
      <c r="W34" s="42" t="str">
        <f t="array" ref="W34">_xlfn.XLOOKUP(B34,'Up Min'!A:A,'Up Min'!F:F,)</f>
        <v/>
      </c>
      <c r="X34" s="42" t="str">
        <f t="array" ref="X34">_xlfn.XLOOKUP(B34,'Up Max'!A:A,'Up Max'!F:F,)</f>
        <v/>
      </c>
      <c r="Y34" s="48" t="str">
        <f t="array" ref="Y34">_xlfn.XLOOKUP(B34,'Up Stats'!A:A,'Up Stats'!G:G,)</f>
        <v/>
      </c>
      <c r="Z34" s="40" t="str">
        <f>IFERROR(__xludf.DUMMYFUNCTION("if(AND(AA34=FALSE,AB34=FALSE),,if(AA34=AB34,JOIN("""",""Static: "",AA34),JOIN("""",""Min:  "",AA34, CHAR(10),""Max: "",AB34)))"),"")</f>
        <v/>
      </c>
      <c r="AA34" s="42" t="str">
        <f t="array" ref="AA34">_xlfn.XLOOKUP(B34,'Up Min'!A:A,'Up Min'!G:G,)</f>
        <v/>
      </c>
      <c r="AB34" s="42" t="str">
        <f t="array" ref="AB34">_xlfn.XLOOKUP(B34,'Up Max'!A:A,'Up Max'!G:G,)</f>
        <v/>
      </c>
      <c r="AC34" s="48" t="str">
        <f t="array" ref="AC34">_xlfn.XLOOKUP(B34,'Up Stats'!A:A,'Up Stats'!H:H,)</f>
        <v/>
      </c>
      <c r="AD34" s="40" t="str">
        <f>IFERROR(__xludf.DUMMYFUNCTION("if(AND(AE34=FALSE,AF34=FALSE),,if(AE34=AF34,JOIN("""",""Static: "",AE34),JOIN("""",""Min:  "",AE34, CHAR(10),""Max: "",AF34)))"),"")</f>
        <v/>
      </c>
      <c r="AE34" s="42" t="str">
        <f t="array" ref="AE34">_xlfn.XLOOKUP(B34,'Up Min'!A:A,'Up Min'!H:H,)</f>
        <v/>
      </c>
      <c r="AF34" s="42" t="str">
        <f t="array" ref="AF34">_xlfn.XLOOKUP(B34,'Up Max'!A:A,'Up Max'!H:H,)</f>
        <v/>
      </c>
      <c r="AG34" s="48" t="str">
        <f t="array" ref="AG34">_xlfn.XLOOKUP(B34,'Up Stats'!A:A,'Up Stats'!I:I,)</f>
        <v/>
      </c>
      <c r="AH34" s="40" t="str">
        <f>IFERROR(__xludf.DUMMYFUNCTION("if(AND(AI34=FALSE,AJ34=FALSE),,if(AI34=AJ34,JOIN("""",""Static: "",AI34),JOIN("""",""Min:  "",AI34, CHAR(10),""Max: "",AJ34)))"),"")</f>
        <v/>
      </c>
      <c r="AI34" s="42" t="str">
        <f t="array" ref="AI34">_xlfn.XLOOKUP(B34,'Up Min'!A:A,'Up Min'!I:I,)</f>
        <v/>
      </c>
      <c r="AJ34" s="42" t="str">
        <f t="array" ref="AJ34">_xlfn.XLOOKUP(B34,'Up Max'!A:A,'Up Max'!I:I,)</f>
        <v/>
      </c>
      <c r="AK34" s="48" t="str">
        <f t="array" ref="AK34">_xlfn.XLOOKUP(B34,'Up Stats'!A:A,'Up Stats'!J:J,)</f>
        <v/>
      </c>
      <c r="AL34" s="40" t="str">
        <f>IFERROR(__xludf.DUMMYFUNCTION("if(AND(AM34=FALSE,AN34=FALSE),,if(AM34=AN34,JOIN("""",""Static: "",AM34),JOIN("""",""Min:  "",AM34, CHAR(10),""Max: "",AN34)))"),"")</f>
        <v/>
      </c>
      <c r="AM34" s="42" t="str">
        <f t="array" ref="AM34">_xlfn.XLOOKUP(B34,'Up Min'!A:A,'Up Min'!J:J,)</f>
        <v/>
      </c>
      <c r="AN34" s="42" t="str">
        <f t="array" ref="AN34">_xlfn.XLOOKUP(B34,'Up Max'!A:A,'Up Max'!J:J,)</f>
        <v/>
      </c>
      <c r="AO34" s="34" t="str">
        <f t="array" ref="AO34">CONCATENATE(_xlfn.XLOOKUP(B34,'Up Cells'!A:A,'Up Cells'!B:B,))</f>
        <v>4</v>
      </c>
      <c r="AP34" s="34" t="str">
        <f t="array" ref="AP34">CONCATENATE(_xlfn.XLOOKUP(B34,'Up Rarity'!A:A,'Up Rarity'!B:B,),CHAR(10),"-")</f>
        <v>Standard
-</v>
      </c>
    </row>
    <row r="35">
      <c r="A35" s="86" t="str">
        <f t="array" ref="A35">_xlfn.XLOOKUP(B35,'Up Icon'!A:A,'Up Icon'!B:B,)</f>
        <v/>
      </c>
      <c r="B35" s="51" t="str">
        <f t="array" ref="B35">HYPERLINK(_xlfn.XLOOKUP('Up Names'!C35,'Up Wiki'!A:A,'Up Wiki'!B:B,),'Up Names'!C35)</f>
        <v/>
      </c>
      <c r="C35" s="52" t="str">
        <f t="array" ref="C35">_xlfn.XLOOKUP(B35,'Up Desc'!A:A,'Up Desc'!B:B,)</f>
        <v/>
      </c>
      <c r="D35" s="52" t="str">
        <f t="array" ref="D35">_xlfn.XLOOKUP(B35,'Up Turbo'!A:A,'Up Turbo'!B:B,)</f>
        <v/>
      </c>
      <c r="E35" s="53" t="str">
        <f t="array" ref="E35">_xlfn.XLOOKUP(B35,'Up Stats'!A:A,'Up Stats'!B:B,)</f>
        <v/>
      </c>
      <c r="F35" s="54" t="str">
        <f>IFERROR(__xludf.DUMMYFUNCTION("if(AND(G35=FALSE,H35=FALSE),,if(G35=H35,JOIN("""",""Static: "",G35),JOIN("""",""Min:  "",G35, CHAR(10),""Max: "",H35)))"),"")</f>
        <v/>
      </c>
      <c r="G35" s="55" t="str">
        <f t="array" ref="G35">_xlfn.XLOOKUP(B35,'Up Min'!A:A,'Up Min'!B:B,)</f>
        <v/>
      </c>
      <c r="H35" s="56" t="str">
        <f t="array" ref="H35">_xlfn.XLOOKUP(B35,'Up Max'!A:A,'Up Max'!B:B,)</f>
        <v/>
      </c>
      <c r="I35" s="53" t="str">
        <f t="array" ref="I35">_xlfn.XLOOKUP(B35,'Up Stats'!A:A,'Up Stats'!C:C,)</f>
        <v/>
      </c>
      <c r="J35" s="54" t="str">
        <f>IFERROR(__xludf.DUMMYFUNCTION("if(AND(K35=FALSE,L35=FALSE),,if(K35=L35,JOIN("""",""Static: "",K35),JOIN("""",""Min:  "",K35, CHAR(10),""Max: "",L35)))"),"")</f>
        <v/>
      </c>
      <c r="K35" s="55" t="str">
        <f t="array" ref="K35">_xlfn.XLOOKUP(B35,'Up Min'!A:A,'Up Min'!C:C,)</f>
        <v/>
      </c>
      <c r="L35" s="55" t="str">
        <f t="array" ref="L35">_xlfn.XLOOKUP(B35,'Up Max'!A:A,'Up Max'!C:C,)</f>
        <v/>
      </c>
      <c r="M35" s="53" t="str">
        <f t="array" ref="M35">_xlfn.XLOOKUP(B35,'Up Stats'!A:A,'Up Stats'!D:D,)</f>
        <v/>
      </c>
      <c r="N35" s="54" t="str">
        <f>IFERROR(__xludf.DUMMYFUNCTION("if(AND(O35=FALSE,P35=FALSE),,if(O35=P35,JOIN("""",""Static: "",O35),JOIN("""",""Min:  "",O35, CHAR(10),""Max: "",P35)))"),"")</f>
        <v/>
      </c>
      <c r="O35" s="55" t="str">
        <f t="array" ref="O35">_xlfn.XLOOKUP(B35,'Up Min'!A:A,'Up Min'!D:D,)</f>
        <v/>
      </c>
      <c r="P35" s="55" t="str">
        <f t="array" ref="P35">_xlfn.XLOOKUP(B35,'Up Max'!A:A,'Up Max'!D:D,)</f>
        <v/>
      </c>
      <c r="Q35" s="57" t="str">
        <f t="array" ref="Q35">_xlfn.XLOOKUP(B35,'Up Stats'!A:A,'Up Stats'!E:E,)</f>
        <v/>
      </c>
      <c r="R35" s="54" t="str">
        <f>IFERROR(__xludf.DUMMYFUNCTION("if(AND(S35=FALSE,T35=FALSE),,if(S35=T35,JOIN("""",""Static: "",S35),JOIN("""",""Min:  "",S35, CHAR(10),""Max: "",T35)))"),"")</f>
        <v/>
      </c>
      <c r="S35" s="55" t="str">
        <f t="array" ref="S35">_xlfn.XLOOKUP(B35,'Up Min'!A:A,'Up Min'!E:E,)</f>
        <v/>
      </c>
      <c r="T35" s="55" t="str">
        <f t="array" ref="T35">_xlfn.XLOOKUP(B35,'Up Max'!A:A,'Up Max'!E:E,)</f>
        <v/>
      </c>
      <c r="U35" s="57" t="str">
        <f t="array" ref="U35">_xlfn.XLOOKUP(B35,'Up Stats'!A:A,'Up Stats'!F:F,)</f>
        <v/>
      </c>
      <c r="V35" s="54" t="str">
        <f>IFERROR(__xludf.DUMMYFUNCTION("if(AND(W35=FALSE,X35=FALSE),,if(W35=X35,JOIN("""",""Static: "",W35),JOIN("""",""Min:  "",W35, CHAR(10),""Max: "",X35)))"),"")</f>
        <v/>
      </c>
      <c r="W35" s="55" t="str">
        <f t="array" ref="W35">_xlfn.XLOOKUP(B35,'Up Min'!A:A,'Up Min'!F:F,)</f>
        <v/>
      </c>
      <c r="X35" s="55" t="str">
        <f t="array" ref="X35">_xlfn.XLOOKUP(B35,'Up Max'!A:A,'Up Max'!F:F,)</f>
        <v/>
      </c>
      <c r="Y35" s="57" t="str">
        <f t="array" ref="Y35">_xlfn.XLOOKUP(B35,'Up Stats'!A:A,'Up Stats'!G:G,)</f>
        <v/>
      </c>
      <c r="Z35" s="54" t="str">
        <f>IFERROR(__xludf.DUMMYFUNCTION("if(AND(AA35=FALSE,AB35=FALSE),,if(AA35=AB35,JOIN("""",""Static: "",AA35),JOIN("""",""Min:  "",AA35, CHAR(10),""Max: "",AB35)))"),"")</f>
        <v/>
      </c>
      <c r="AA35" s="55" t="str">
        <f t="array" ref="AA35">_xlfn.XLOOKUP(B35,'Up Min'!A:A,'Up Min'!G:G,)</f>
        <v/>
      </c>
      <c r="AB35" s="55" t="str">
        <f t="array" ref="AB35">_xlfn.XLOOKUP(B35,'Up Max'!A:A,'Up Max'!G:G,)</f>
        <v/>
      </c>
      <c r="AC35" s="57" t="str">
        <f t="array" ref="AC35">_xlfn.XLOOKUP(B35,'Up Stats'!A:A,'Up Stats'!H:H,)</f>
        <v/>
      </c>
      <c r="AD35" s="54" t="str">
        <f>IFERROR(__xludf.DUMMYFUNCTION("if(AND(AE35=FALSE,AF35=FALSE),,if(AE35=AF35,JOIN("""",""Static: "",AE35),JOIN("""",""Min:  "",AE35, CHAR(10),""Max: "",AF35)))"),"")</f>
        <v/>
      </c>
      <c r="AE35" s="55" t="str">
        <f t="array" ref="AE35">_xlfn.XLOOKUP(B35,'Up Min'!A:A,'Up Min'!H:H,)</f>
        <v/>
      </c>
      <c r="AF35" s="55" t="str">
        <f t="array" ref="AF35">_xlfn.XLOOKUP(B35,'Up Max'!A:A,'Up Max'!H:H,)</f>
        <v/>
      </c>
      <c r="AG35" s="57" t="str">
        <f t="array" ref="AG35">_xlfn.XLOOKUP(B35,'Up Stats'!A:A,'Up Stats'!I:I,)</f>
        <v/>
      </c>
      <c r="AH35" s="54" t="str">
        <f>IFERROR(__xludf.DUMMYFUNCTION("if(AND(AI35=FALSE,AJ35=FALSE),,if(AI35=AJ35,JOIN("""",""Static: "",AI35),JOIN("""",""Min:  "",AI35, CHAR(10),""Max: "",AJ35)))"),"")</f>
        <v/>
      </c>
      <c r="AI35" s="55" t="str">
        <f t="array" ref="AI35">_xlfn.XLOOKUP(B35,'Up Min'!A:A,'Up Min'!I:I,)</f>
        <v/>
      </c>
      <c r="AJ35" s="55" t="str">
        <f t="array" ref="AJ35">_xlfn.XLOOKUP(B35,'Up Max'!A:A,'Up Max'!I:I,)</f>
        <v/>
      </c>
      <c r="AK35" s="57" t="str">
        <f t="array" ref="AK35">_xlfn.XLOOKUP(B35,'Up Stats'!A:A,'Up Stats'!J:J,)</f>
        <v/>
      </c>
      <c r="AL35" s="54" t="str">
        <f>IFERROR(__xludf.DUMMYFUNCTION("if(AND(AM35=FALSE,AN35=FALSE),,if(AM35=AN35,JOIN("""",""Static: "",AM35),JOIN("""",""Min:  "",AM35, CHAR(10),""Max: "",AN35)))"),"")</f>
        <v/>
      </c>
      <c r="AM35" s="55" t="str">
        <f t="array" ref="AM35">_xlfn.XLOOKUP(B35,'Up Min'!A:A,'Up Min'!J:J,)</f>
        <v/>
      </c>
      <c r="AN35" s="55" t="str">
        <f t="array" ref="AN35">_xlfn.XLOOKUP(B35,'Up Max'!A:A,'Up Max'!J:J,)</f>
        <v/>
      </c>
      <c r="AO35" s="51" t="str">
        <f t="array" ref="AO35">CONCATENATE(_xlfn.XLOOKUP(B35,'Up Cells'!A:A,'Up Cells'!B:B,))</f>
        <v/>
      </c>
      <c r="AP35" s="51" t="str">
        <f t="array" ref="AP35">CONCATENATE(_xlfn.XLOOKUP(B35,'Up Rarity'!A:A,'Up Rarity'!B:B,),CHAR(10),"-")</f>
        <v>
-</v>
      </c>
    </row>
    <row r="36">
      <c r="A36" s="87" t="str">
        <f t="array" ref="A36">_xlfn.XLOOKUP(B36,'Up Icon'!A:A,'Up Icon'!B:B,)</f>
        <v/>
      </c>
      <c r="B36" s="34" t="str">
        <f t="array" ref="B36">HYPERLINK(_xlfn.XLOOKUP('Up Names'!C36,'Up Wiki'!A:A,'Up Wiki'!B:B,),'Up Names'!C36)</f>
        <v/>
      </c>
      <c r="C36" s="37" t="str">
        <f t="array" ref="C36">_xlfn.XLOOKUP(B36,'Up Desc'!A:A,'Up Desc'!B:B,)</f>
        <v/>
      </c>
      <c r="D36" s="37" t="str">
        <f t="array" ref="D36">_xlfn.XLOOKUP(B36,'Up Turbo'!A:A,'Up Turbo'!B:B,)</f>
        <v/>
      </c>
      <c r="E36" s="39" t="str">
        <f t="array" ref="E36">_xlfn.XLOOKUP(B36,'Up Stats'!A:A,'Up Stats'!B:B,)</f>
        <v/>
      </c>
      <c r="F36" s="40" t="str">
        <f>IFERROR(__xludf.DUMMYFUNCTION("if(AND(G36=FALSE,H36=FALSE),,if(G36=H36,JOIN("""",""Static: "",G36),JOIN("""",""Min:  "",G36, CHAR(10),""Max: "",H36)))"),"")</f>
        <v/>
      </c>
      <c r="G36" s="42" t="str">
        <f t="array" ref="G36">_xlfn.XLOOKUP(B36,'Up Min'!A:A,'Up Min'!B:B,)</f>
        <v/>
      </c>
      <c r="H36" s="45" t="str">
        <f t="array" ref="H36">_xlfn.XLOOKUP(B36,'Up Max'!A:A,'Up Max'!B:B,)</f>
        <v/>
      </c>
      <c r="I36" s="39" t="str">
        <f t="array" ref="I36">_xlfn.XLOOKUP(B36,'Up Stats'!A:A,'Up Stats'!C:C,)</f>
        <v/>
      </c>
      <c r="J36" s="40" t="str">
        <f>IFERROR(__xludf.DUMMYFUNCTION("if(AND(K36=FALSE,L36=FALSE),,if(K36=L36,JOIN("""",""Static: "",K36),JOIN("""",""Min:  "",K36, CHAR(10),""Max: "",L36)))"),"")</f>
        <v/>
      </c>
      <c r="K36" s="42" t="str">
        <f t="array" ref="K36">_xlfn.XLOOKUP(B36,'Up Min'!A:A,'Up Min'!C:C,)</f>
        <v/>
      </c>
      <c r="L36" s="42" t="str">
        <f t="array" ref="L36">_xlfn.XLOOKUP(B36,'Up Max'!A:A,'Up Max'!C:C,)</f>
        <v/>
      </c>
      <c r="M36" s="39" t="str">
        <f t="array" ref="M36">_xlfn.XLOOKUP(B36,'Up Stats'!A:A,'Up Stats'!D:D,)</f>
        <v/>
      </c>
      <c r="N36" s="40" t="str">
        <f>IFERROR(__xludf.DUMMYFUNCTION("if(AND(O36=FALSE,P36=FALSE),,if(O36=P36,JOIN("""",""Static: "",O36),JOIN("""",""Min:  "",O36, CHAR(10),""Max: "",P36)))"),"")</f>
        <v/>
      </c>
      <c r="O36" s="42" t="str">
        <f t="array" ref="O36">_xlfn.XLOOKUP(B36,'Up Min'!A:A,'Up Min'!D:D,)</f>
        <v/>
      </c>
      <c r="P36" s="42" t="str">
        <f t="array" ref="P36">_xlfn.XLOOKUP(B36,'Up Max'!A:A,'Up Max'!D:D,)</f>
        <v/>
      </c>
      <c r="Q36" s="48" t="str">
        <f t="array" ref="Q36">_xlfn.XLOOKUP(B36,'Up Stats'!A:A,'Up Stats'!E:E,)</f>
        <v/>
      </c>
      <c r="R36" s="40" t="str">
        <f>IFERROR(__xludf.DUMMYFUNCTION("if(AND(S36=FALSE,T36=FALSE),,if(S36=T36,JOIN("""",""Static: "",S36),JOIN("""",""Min:  "",S36, CHAR(10),""Max: "",T36)))"),"")</f>
        <v/>
      </c>
      <c r="S36" s="42" t="str">
        <f t="array" ref="S36">_xlfn.XLOOKUP(B36,'Up Min'!A:A,'Up Min'!E:E,)</f>
        <v/>
      </c>
      <c r="T36" s="42" t="str">
        <f t="array" ref="T36">_xlfn.XLOOKUP(B36,'Up Max'!A:A,'Up Max'!E:E,)</f>
        <v/>
      </c>
      <c r="U36" s="48" t="str">
        <f t="array" ref="U36">_xlfn.XLOOKUP(B36,'Up Stats'!A:A,'Up Stats'!F:F,)</f>
        <v/>
      </c>
      <c r="V36" s="40" t="str">
        <f>IFERROR(__xludf.DUMMYFUNCTION("if(AND(W36=FALSE,X36=FALSE),,if(W36=X36,JOIN("""",""Static: "",W36),JOIN("""",""Min:  "",W36, CHAR(10),""Max: "",X36)))"),"")</f>
        <v/>
      </c>
      <c r="W36" s="42" t="str">
        <f t="array" ref="W36">_xlfn.XLOOKUP(B36,'Up Min'!A:A,'Up Min'!F:F,)</f>
        <v/>
      </c>
      <c r="X36" s="42" t="str">
        <f t="array" ref="X36">_xlfn.XLOOKUP(B36,'Up Max'!A:A,'Up Max'!F:F,)</f>
        <v/>
      </c>
      <c r="Y36" s="48" t="str">
        <f t="array" ref="Y36">_xlfn.XLOOKUP(B36,'Up Stats'!A:A,'Up Stats'!G:G,)</f>
        <v/>
      </c>
      <c r="Z36" s="40" t="str">
        <f>IFERROR(__xludf.DUMMYFUNCTION("if(AND(AA36=FALSE,AB36=FALSE),,if(AA36=AB36,JOIN("""",""Static: "",AA36),JOIN("""",""Min:  "",AA36, CHAR(10),""Max: "",AB36)))"),"")</f>
        <v/>
      </c>
      <c r="AA36" s="42" t="str">
        <f t="array" ref="AA36">_xlfn.XLOOKUP(B36,'Up Min'!A:A,'Up Min'!G:G,)</f>
        <v/>
      </c>
      <c r="AB36" s="42" t="str">
        <f t="array" ref="AB36">_xlfn.XLOOKUP(B36,'Up Max'!A:A,'Up Max'!G:G,)</f>
        <v/>
      </c>
      <c r="AC36" s="48" t="str">
        <f t="array" ref="AC36">_xlfn.XLOOKUP(B36,'Up Stats'!A:A,'Up Stats'!H:H,)</f>
        <v/>
      </c>
      <c r="AD36" s="40" t="str">
        <f>IFERROR(__xludf.DUMMYFUNCTION("if(AND(AE36=FALSE,AF36=FALSE),,if(AE36=AF36,JOIN("""",""Static: "",AE36),JOIN("""",""Min:  "",AE36, CHAR(10),""Max: "",AF36)))"),"")</f>
        <v/>
      </c>
      <c r="AE36" s="42" t="str">
        <f t="array" ref="AE36">_xlfn.XLOOKUP(B36,'Up Min'!A:A,'Up Min'!H:H,)</f>
        <v/>
      </c>
      <c r="AF36" s="42" t="str">
        <f t="array" ref="AF36">_xlfn.XLOOKUP(B36,'Up Max'!A:A,'Up Max'!H:H,)</f>
        <v/>
      </c>
      <c r="AG36" s="48" t="str">
        <f t="array" ref="AG36">_xlfn.XLOOKUP(B36,'Up Stats'!A:A,'Up Stats'!I:I,)</f>
        <v/>
      </c>
      <c r="AH36" s="40" t="str">
        <f>IFERROR(__xludf.DUMMYFUNCTION("if(AND(AI36=FALSE,AJ36=FALSE),,if(AI36=AJ36,JOIN("""",""Static: "",AI36),JOIN("""",""Min:  "",AI36, CHAR(10),""Max: "",AJ36)))"),"")</f>
        <v/>
      </c>
      <c r="AI36" s="42" t="str">
        <f t="array" ref="AI36">_xlfn.XLOOKUP(B36,'Up Min'!A:A,'Up Min'!I:I,)</f>
        <v/>
      </c>
      <c r="AJ36" s="42" t="str">
        <f t="array" ref="AJ36">_xlfn.XLOOKUP(B36,'Up Max'!A:A,'Up Max'!I:I,)</f>
        <v/>
      </c>
      <c r="AK36" s="48" t="str">
        <f t="array" ref="AK36">_xlfn.XLOOKUP(B36,'Up Stats'!A:A,'Up Stats'!J:J,)</f>
        <v/>
      </c>
      <c r="AL36" s="40" t="str">
        <f>IFERROR(__xludf.DUMMYFUNCTION("if(AND(AM36=FALSE,AN36=FALSE),,if(AM36=AN36,JOIN("""",""Static: "",AM36),JOIN("""",""Min:  "",AM36, CHAR(10),""Max: "",AN36)))"),"")</f>
        <v/>
      </c>
      <c r="AM36" s="42" t="str">
        <f t="array" ref="AM36">_xlfn.XLOOKUP(B36,'Up Min'!A:A,'Up Min'!J:J,)</f>
        <v/>
      </c>
      <c r="AN36" s="42" t="str">
        <f t="array" ref="AN36">_xlfn.XLOOKUP(B36,'Up Max'!A:A,'Up Max'!J:J,)</f>
        <v/>
      </c>
      <c r="AO36" s="34" t="str">
        <f t="array" ref="AO36">CONCATENATE(_xlfn.XLOOKUP(B36,'Up Cells'!A:A,'Up Cells'!B:B,))</f>
        <v/>
      </c>
      <c r="AP36" s="34" t="str">
        <f t="array" ref="AP36">CONCATENATE(_xlfn.XLOOKUP(B36,'Up Rarity'!A:A,'Up Rarity'!B:B,),CHAR(10),"-")</f>
        <v>
-</v>
      </c>
    </row>
    <row r="37">
      <c r="A37" s="86" t="str">
        <f t="array" ref="A37">_xlfn.XLOOKUP(B37,'Up Icon'!A:A,'Up Icon'!B:B,)</f>
        <v/>
      </c>
      <c r="B37" s="51" t="str">
        <f t="array" ref="B37">HYPERLINK(_xlfn.XLOOKUP('Up Names'!C37,'Up Wiki'!A:A,'Up Wiki'!B:B,),'Up Names'!C37)</f>
        <v/>
      </c>
      <c r="C37" s="52" t="str">
        <f t="array" ref="C37">_xlfn.XLOOKUP(B37,'Up Desc'!A:A,'Up Desc'!B:B,)</f>
        <v/>
      </c>
      <c r="D37" s="52" t="str">
        <f t="array" ref="D37">_xlfn.XLOOKUP(B37,'Up Turbo'!A:A,'Up Turbo'!B:B,)</f>
        <v/>
      </c>
      <c r="E37" s="53" t="str">
        <f t="array" ref="E37">_xlfn.XLOOKUP(B37,'Up Stats'!A:A,'Up Stats'!B:B,)</f>
        <v/>
      </c>
      <c r="F37" s="54" t="str">
        <f>IFERROR(__xludf.DUMMYFUNCTION("if(AND(G37=FALSE,H37=FALSE),,if(G37=H37,JOIN("""",""Static: "",G37),JOIN("""",""Min:  "",G37, CHAR(10),""Max: "",H37)))"),"")</f>
        <v/>
      </c>
      <c r="G37" s="55" t="str">
        <f t="array" ref="G37">_xlfn.XLOOKUP(B37,'Up Min'!A:A,'Up Min'!B:B,)</f>
        <v/>
      </c>
      <c r="H37" s="56" t="str">
        <f t="array" ref="H37">_xlfn.XLOOKUP(B37,'Up Max'!A:A,'Up Max'!B:B,)</f>
        <v/>
      </c>
      <c r="I37" s="53" t="str">
        <f t="array" ref="I37">_xlfn.XLOOKUP(B37,'Up Stats'!A:A,'Up Stats'!C:C,)</f>
        <v/>
      </c>
      <c r="J37" s="54" t="str">
        <f>IFERROR(__xludf.DUMMYFUNCTION("if(AND(K37=FALSE,L37=FALSE),,if(K37=L37,JOIN("""",""Static: "",K37),JOIN("""",""Min:  "",K37, CHAR(10),""Max: "",L37)))"),"")</f>
        <v/>
      </c>
      <c r="K37" s="55" t="str">
        <f t="array" ref="K37">_xlfn.XLOOKUP(B37,'Up Min'!A:A,'Up Min'!C:C,)</f>
        <v/>
      </c>
      <c r="L37" s="55" t="str">
        <f t="array" ref="L37">_xlfn.XLOOKUP(B37,'Up Max'!A:A,'Up Max'!C:C,)</f>
        <v/>
      </c>
      <c r="M37" s="53" t="str">
        <f t="array" ref="M37">_xlfn.XLOOKUP(B37,'Up Stats'!A:A,'Up Stats'!D:D,)</f>
        <v/>
      </c>
      <c r="N37" s="54" t="str">
        <f>IFERROR(__xludf.DUMMYFUNCTION("if(AND(O37=FALSE,P37=FALSE),,if(O37=P37,JOIN("""",""Static: "",O37),JOIN("""",""Min:  "",O37, CHAR(10),""Max: "",P37)))"),"")</f>
        <v/>
      </c>
      <c r="O37" s="55" t="str">
        <f t="array" ref="O37">_xlfn.XLOOKUP(B37,'Up Min'!A:A,'Up Min'!D:D,)</f>
        <v/>
      </c>
      <c r="P37" s="55" t="str">
        <f t="array" ref="P37">_xlfn.XLOOKUP(B37,'Up Max'!A:A,'Up Max'!D:D,)</f>
        <v/>
      </c>
      <c r="Q37" s="57" t="str">
        <f t="array" ref="Q37">_xlfn.XLOOKUP(B37,'Up Stats'!A:A,'Up Stats'!E:E,)</f>
        <v/>
      </c>
      <c r="R37" s="54" t="str">
        <f>IFERROR(__xludf.DUMMYFUNCTION("if(AND(S37=FALSE,T37=FALSE),,if(S37=T37,JOIN("""",""Static: "",S37),JOIN("""",""Min:  "",S37, CHAR(10),""Max: "",T37)))"),"")</f>
        <v/>
      </c>
      <c r="S37" s="55" t="str">
        <f t="array" ref="S37">_xlfn.XLOOKUP(B37,'Up Min'!A:A,'Up Min'!E:E,)</f>
        <v/>
      </c>
      <c r="T37" s="55" t="str">
        <f t="array" ref="T37">_xlfn.XLOOKUP(B37,'Up Max'!A:A,'Up Max'!E:E,)</f>
        <v/>
      </c>
      <c r="U37" s="57" t="str">
        <f t="array" ref="U37">_xlfn.XLOOKUP(B37,'Up Stats'!A:A,'Up Stats'!F:F,)</f>
        <v/>
      </c>
      <c r="V37" s="54" t="str">
        <f>IFERROR(__xludf.DUMMYFUNCTION("if(AND(W37=FALSE,X37=FALSE),,if(W37=X37,JOIN("""",""Static: "",W37),JOIN("""",""Min:  "",W37, CHAR(10),""Max: "",X37)))"),"")</f>
        <v/>
      </c>
      <c r="W37" s="55" t="str">
        <f t="array" ref="W37">_xlfn.XLOOKUP(B37,'Up Min'!A:A,'Up Min'!F:F,)</f>
        <v/>
      </c>
      <c r="X37" s="55" t="str">
        <f t="array" ref="X37">_xlfn.XLOOKUP(B37,'Up Max'!A:A,'Up Max'!F:F,)</f>
        <v/>
      </c>
      <c r="Y37" s="57" t="str">
        <f t="array" ref="Y37">_xlfn.XLOOKUP(B37,'Up Stats'!A:A,'Up Stats'!G:G,)</f>
        <v/>
      </c>
      <c r="Z37" s="54" t="str">
        <f>IFERROR(__xludf.DUMMYFUNCTION("if(AND(AA37=FALSE,AB37=FALSE),,if(AA37=AB37,JOIN("""",""Static: "",AA37),JOIN("""",""Min:  "",AA37, CHAR(10),""Max: "",AB37)))"),"")</f>
        <v/>
      </c>
      <c r="AA37" s="55" t="str">
        <f t="array" ref="AA37">_xlfn.XLOOKUP(B37,'Up Min'!A:A,'Up Min'!G:G,)</f>
        <v/>
      </c>
      <c r="AB37" s="55" t="str">
        <f t="array" ref="AB37">_xlfn.XLOOKUP(B37,'Up Max'!A:A,'Up Max'!G:G,)</f>
        <v/>
      </c>
      <c r="AC37" s="57" t="str">
        <f t="array" ref="AC37">_xlfn.XLOOKUP(B37,'Up Stats'!A:A,'Up Stats'!H:H,)</f>
        <v/>
      </c>
      <c r="AD37" s="54" t="str">
        <f>IFERROR(__xludf.DUMMYFUNCTION("if(AND(AE37=FALSE,AF37=FALSE),,if(AE37=AF37,JOIN("""",""Static: "",AE37),JOIN("""",""Min:  "",AE37, CHAR(10),""Max: "",AF37)))"),"")</f>
        <v/>
      </c>
      <c r="AE37" s="55" t="str">
        <f t="array" ref="AE37">_xlfn.XLOOKUP(B37,'Up Min'!A:A,'Up Min'!H:H,)</f>
        <v/>
      </c>
      <c r="AF37" s="55" t="str">
        <f t="array" ref="AF37">_xlfn.XLOOKUP(B37,'Up Max'!A:A,'Up Max'!H:H,)</f>
        <v/>
      </c>
      <c r="AG37" s="57" t="str">
        <f t="array" ref="AG37">_xlfn.XLOOKUP(B37,'Up Stats'!A:A,'Up Stats'!I:I,)</f>
        <v/>
      </c>
      <c r="AH37" s="54" t="str">
        <f>IFERROR(__xludf.DUMMYFUNCTION("if(AND(AI37=FALSE,AJ37=FALSE),,if(AI37=AJ37,JOIN("""",""Static: "",AI37),JOIN("""",""Min:  "",AI37, CHAR(10),""Max: "",AJ37)))"),"")</f>
        <v/>
      </c>
      <c r="AI37" s="55" t="str">
        <f t="array" ref="AI37">_xlfn.XLOOKUP(B37,'Up Min'!A:A,'Up Min'!I:I,)</f>
        <v/>
      </c>
      <c r="AJ37" s="55" t="str">
        <f t="array" ref="AJ37">_xlfn.XLOOKUP(B37,'Up Max'!A:A,'Up Max'!I:I,)</f>
        <v/>
      </c>
      <c r="AK37" s="57" t="str">
        <f t="array" ref="AK37">_xlfn.XLOOKUP(B37,'Up Stats'!A:A,'Up Stats'!J:J,)</f>
        <v/>
      </c>
      <c r="AL37" s="54" t="str">
        <f>IFERROR(__xludf.DUMMYFUNCTION("if(AND(AM37=FALSE,AN37=FALSE),,if(AM37=AN37,JOIN("""",""Static: "",AM37),JOIN("""",""Min:  "",AM37, CHAR(10),""Max: "",AN37)))"),"")</f>
        <v/>
      </c>
      <c r="AM37" s="55" t="str">
        <f t="array" ref="AM37">_xlfn.XLOOKUP(B37,'Up Min'!A:A,'Up Min'!J:J,)</f>
        <v/>
      </c>
      <c r="AN37" s="55" t="str">
        <f t="array" ref="AN37">_xlfn.XLOOKUP(B37,'Up Max'!A:A,'Up Max'!J:J,)</f>
        <v/>
      </c>
      <c r="AO37" s="51" t="str">
        <f t="array" ref="AO37">CONCATENATE(_xlfn.XLOOKUP(B37,'Up Cells'!A:A,'Up Cells'!B:B,))</f>
        <v/>
      </c>
      <c r="AP37" s="51" t="str">
        <f t="array" ref="AP37">CONCATENATE(_xlfn.XLOOKUP(B37,'Up Rarity'!A:A,'Up Rarity'!B:B,),CHAR(10),"-")</f>
        <v>
-</v>
      </c>
    </row>
    <row r="38">
      <c r="A38" s="87" t="str">
        <f t="array" ref="A38">_xlfn.XLOOKUP(B38,'Up Icon'!A:A,'Up Icon'!B:B,)</f>
        <v/>
      </c>
      <c r="B38" s="34" t="str">
        <f t="array" ref="B38">HYPERLINK(_xlfn.XLOOKUP('Up Names'!C38,'Up Wiki'!A:A,'Up Wiki'!B:B,),'Up Names'!C38)</f>
        <v/>
      </c>
      <c r="C38" s="37" t="str">
        <f t="array" ref="C38">_xlfn.XLOOKUP(B38,'Up Desc'!A:A,'Up Desc'!B:B,)</f>
        <v/>
      </c>
      <c r="D38" s="37" t="str">
        <f t="array" ref="D38">_xlfn.XLOOKUP(B38,'Up Turbo'!A:A,'Up Turbo'!B:B,)</f>
        <v/>
      </c>
      <c r="E38" s="39" t="str">
        <f t="array" ref="E38">_xlfn.XLOOKUP(B38,'Up Stats'!A:A,'Up Stats'!B:B,)</f>
        <v/>
      </c>
      <c r="F38" s="40" t="str">
        <f>IFERROR(__xludf.DUMMYFUNCTION("if(AND(G38=FALSE,H38=FALSE),,if(G38=H38,JOIN("""",""Static: "",G38),JOIN("""",""Min:  "",G38, CHAR(10),""Max: "",H38)))"),"")</f>
        <v/>
      </c>
      <c r="G38" s="42" t="str">
        <f t="array" ref="G38">_xlfn.XLOOKUP(B38,'Up Min'!A:A,'Up Min'!B:B,)</f>
        <v/>
      </c>
      <c r="H38" s="45" t="str">
        <f t="array" ref="H38">_xlfn.XLOOKUP(B38,'Up Max'!A:A,'Up Max'!B:B,)</f>
        <v/>
      </c>
      <c r="I38" s="39" t="str">
        <f t="array" ref="I38">_xlfn.XLOOKUP(B38,'Up Stats'!A:A,'Up Stats'!C:C,)</f>
        <v/>
      </c>
      <c r="J38" s="40" t="str">
        <f>IFERROR(__xludf.DUMMYFUNCTION("if(AND(K38=FALSE,L38=FALSE),,if(K38=L38,JOIN("""",""Static: "",K38),JOIN("""",""Min:  "",K38, CHAR(10),""Max: "",L38)))"),"")</f>
        <v/>
      </c>
      <c r="K38" s="42" t="str">
        <f t="array" ref="K38">_xlfn.XLOOKUP(B38,'Up Min'!A:A,'Up Min'!C:C,)</f>
        <v/>
      </c>
      <c r="L38" s="42" t="str">
        <f t="array" ref="L38">_xlfn.XLOOKUP(B38,'Up Max'!A:A,'Up Max'!C:C,)</f>
        <v/>
      </c>
      <c r="M38" s="39" t="str">
        <f t="array" ref="M38">_xlfn.XLOOKUP(B38,'Up Stats'!A:A,'Up Stats'!D:D,)</f>
        <v/>
      </c>
      <c r="N38" s="40" t="str">
        <f>IFERROR(__xludf.DUMMYFUNCTION("if(AND(O38=FALSE,P38=FALSE),,if(O38=P38,JOIN("""",""Static: "",O38),JOIN("""",""Min:  "",O38, CHAR(10),""Max: "",P38)))"),"")</f>
        <v/>
      </c>
      <c r="O38" s="42" t="str">
        <f t="array" ref="O38">_xlfn.XLOOKUP(B38,'Up Min'!A:A,'Up Min'!D:D,)</f>
        <v/>
      </c>
      <c r="P38" s="42" t="str">
        <f t="array" ref="P38">_xlfn.XLOOKUP(B38,'Up Max'!A:A,'Up Max'!D:D,)</f>
        <v/>
      </c>
      <c r="Q38" s="48" t="str">
        <f t="array" ref="Q38">_xlfn.XLOOKUP(B38,'Up Stats'!A:A,'Up Stats'!E:E,)</f>
        <v/>
      </c>
      <c r="R38" s="40" t="str">
        <f>IFERROR(__xludf.DUMMYFUNCTION("if(AND(S38=FALSE,T38=FALSE),,if(S38=T38,JOIN("""",""Static: "",S38),JOIN("""",""Min:  "",S38, CHAR(10),""Max: "",T38)))"),"")</f>
        <v/>
      </c>
      <c r="S38" s="42" t="str">
        <f t="array" ref="S38">_xlfn.XLOOKUP(B38,'Up Min'!A:A,'Up Min'!E:E,)</f>
        <v/>
      </c>
      <c r="T38" s="42" t="str">
        <f t="array" ref="T38">_xlfn.XLOOKUP(B38,'Up Max'!A:A,'Up Max'!E:E,)</f>
        <v/>
      </c>
      <c r="U38" s="48" t="str">
        <f t="array" ref="U38">_xlfn.XLOOKUP(B38,'Up Stats'!A:A,'Up Stats'!F:F,)</f>
        <v/>
      </c>
      <c r="V38" s="40" t="str">
        <f>IFERROR(__xludf.DUMMYFUNCTION("if(AND(W38=FALSE,X38=FALSE),,if(W38=X38,JOIN("""",""Static: "",W38),JOIN("""",""Min:  "",W38, CHAR(10),""Max: "",X38)))"),"")</f>
        <v/>
      </c>
      <c r="W38" s="42" t="str">
        <f t="array" ref="W38">_xlfn.XLOOKUP(B38,'Up Min'!A:A,'Up Min'!F:F,)</f>
        <v/>
      </c>
      <c r="X38" s="42" t="str">
        <f t="array" ref="X38">_xlfn.XLOOKUP(B38,'Up Max'!A:A,'Up Max'!F:F,)</f>
        <v/>
      </c>
      <c r="Y38" s="48" t="str">
        <f t="array" ref="Y38">_xlfn.XLOOKUP(B38,'Up Stats'!A:A,'Up Stats'!G:G,)</f>
        <v/>
      </c>
      <c r="Z38" s="40" t="str">
        <f>IFERROR(__xludf.DUMMYFUNCTION("if(AND(AA38=FALSE,AB38=FALSE),,if(AA38=AB38,JOIN("""",""Static: "",AA38),JOIN("""",""Min:  "",AA38, CHAR(10),""Max: "",AB38)))"),"")</f>
        <v/>
      </c>
      <c r="AA38" s="42" t="str">
        <f t="array" ref="AA38">_xlfn.XLOOKUP(B38,'Up Min'!A:A,'Up Min'!G:G,)</f>
        <v/>
      </c>
      <c r="AB38" s="42" t="str">
        <f t="array" ref="AB38">_xlfn.XLOOKUP(B38,'Up Max'!A:A,'Up Max'!G:G,)</f>
        <v/>
      </c>
      <c r="AC38" s="48" t="str">
        <f t="array" ref="AC38">_xlfn.XLOOKUP(B38,'Up Stats'!A:A,'Up Stats'!H:H,)</f>
        <v/>
      </c>
      <c r="AD38" s="40" t="str">
        <f>IFERROR(__xludf.DUMMYFUNCTION("if(AND(AE38=FALSE,AF38=FALSE),,if(AE38=AF38,JOIN("""",""Static: "",AE38),JOIN("""",""Min:  "",AE38, CHAR(10),""Max: "",AF38)))"),"")</f>
        <v/>
      </c>
      <c r="AE38" s="42" t="str">
        <f t="array" ref="AE38">_xlfn.XLOOKUP(B38,'Up Min'!A:A,'Up Min'!H:H,)</f>
        <v/>
      </c>
      <c r="AF38" s="42" t="str">
        <f t="array" ref="AF38">_xlfn.XLOOKUP(B38,'Up Max'!A:A,'Up Max'!H:H,)</f>
        <v/>
      </c>
      <c r="AG38" s="48" t="str">
        <f t="array" ref="AG38">_xlfn.XLOOKUP(B38,'Up Stats'!A:A,'Up Stats'!I:I,)</f>
        <v/>
      </c>
      <c r="AH38" s="40" t="str">
        <f>IFERROR(__xludf.DUMMYFUNCTION("if(AND(AI38=FALSE,AJ38=FALSE),,if(AI38=AJ38,JOIN("""",""Static: "",AI38),JOIN("""",""Min:  "",AI38, CHAR(10),""Max: "",AJ38)))"),"")</f>
        <v/>
      </c>
      <c r="AI38" s="42" t="str">
        <f t="array" ref="AI38">_xlfn.XLOOKUP(B38,'Up Min'!A:A,'Up Min'!I:I,)</f>
        <v/>
      </c>
      <c r="AJ38" s="42" t="str">
        <f t="array" ref="AJ38">_xlfn.XLOOKUP(B38,'Up Max'!A:A,'Up Max'!I:I,)</f>
        <v/>
      </c>
      <c r="AK38" s="48" t="str">
        <f t="array" ref="AK38">_xlfn.XLOOKUP(B38,'Up Stats'!A:A,'Up Stats'!J:J,)</f>
        <v/>
      </c>
      <c r="AL38" s="40" t="str">
        <f>IFERROR(__xludf.DUMMYFUNCTION("if(AND(AM38=FALSE,AN38=FALSE),,if(AM38=AN38,JOIN("""",""Static: "",AM38),JOIN("""",""Min:  "",AM38, CHAR(10),""Max: "",AN38)))"),"")</f>
        <v/>
      </c>
      <c r="AM38" s="42" t="str">
        <f t="array" ref="AM38">_xlfn.XLOOKUP(B38,'Up Min'!A:A,'Up Min'!J:J,)</f>
        <v/>
      </c>
      <c r="AN38" s="42" t="str">
        <f t="array" ref="AN38">_xlfn.XLOOKUP(B38,'Up Max'!A:A,'Up Max'!J:J,)</f>
        <v/>
      </c>
      <c r="AO38" s="34" t="str">
        <f t="array" ref="AO38">CONCATENATE(_xlfn.XLOOKUP(B38,'Up Cells'!A:A,'Up Cells'!B:B,))</f>
        <v/>
      </c>
      <c r="AP38" s="34" t="str">
        <f t="array" ref="AP38">CONCATENATE(_xlfn.XLOOKUP(B38,'Up Rarity'!A:A,'Up Rarity'!B:B,),CHAR(10),"-")</f>
        <v>
-</v>
      </c>
    </row>
    <row r="39">
      <c r="A39" s="86" t="str">
        <f t="array" ref="A39">_xlfn.XLOOKUP(B39,'Up Icon'!A:A,'Up Icon'!B:B,)</f>
        <v/>
      </c>
      <c r="B39" s="51" t="str">
        <f t="array" ref="B39">HYPERLINK(_xlfn.XLOOKUP('Up Names'!C39,'Up Wiki'!A:A,'Up Wiki'!B:B,),'Up Names'!C39)</f>
        <v/>
      </c>
      <c r="C39" s="52" t="str">
        <f t="array" ref="C39">_xlfn.XLOOKUP(B39,'Up Desc'!A:A,'Up Desc'!B:B,)</f>
        <v/>
      </c>
      <c r="D39" s="52" t="str">
        <f t="array" ref="D39">_xlfn.XLOOKUP(B39,'Up Turbo'!A:A,'Up Turbo'!B:B,)</f>
        <v/>
      </c>
      <c r="E39" s="53" t="str">
        <f t="array" ref="E39">_xlfn.XLOOKUP(B39,'Up Stats'!A:A,'Up Stats'!B:B,)</f>
        <v/>
      </c>
      <c r="F39" s="54" t="str">
        <f>IFERROR(__xludf.DUMMYFUNCTION("if(AND(G39=FALSE,H39=FALSE),,if(G39=H39,JOIN("""",""Static: "",G39),JOIN("""",""Min:  "",G39, CHAR(10),""Max: "",H39)))"),"")</f>
        <v/>
      </c>
      <c r="G39" s="55" t="str">
        <f t="array" ref="G39">_xlfn.XLOOKUP(B39,'Up Min'!A:A,'Up Min'!B:B,)</f>
        <v/>
      </c>
      <c r="H39" s="56" t="str">
        <f t="array" ref="H39">_xlfn.XLOOKUP(B39,'Up Max'!A:A,'Up Max'!B:B,)</f>
        <v/>
      </c>
      <c r="I39" s="53" t="str">
        <f t="array" ref="I39">_xlfn.XLOOKUP(B39,'Up Stats'!A:A,'Up Stats'!C:C,)</f>
        <v/>
      </c>
      <c r="J39" s="54" t="str">
        <f>IFERROR(__xludf.DUMMYFUNCTION("if(AND(K39=FALSE,L39=FALSE),,if(K39=L39,JOIN("""",""Static: "",K39),JOIN("""",""Min:  "",K39, CHAR(10),""Max: "",L39)))"),"")</f>
        <v/>
      </c>
      <c r="K39" s="55" t="str">
        <f t="array" ref="K39">_xlfn.XLOOKUP(B39,'Up Min'!A:A,'Up Min'!C:C,)</f>
        <v/>
      </c>
      <c r="L39" s="55" t="str">
        <f t="array" ref="L39">_xlfn.XLOOKUP(B39,'Up Max'!A:A,'Up Max'!C:C,)</f>
        <v/>
      </c>
      <c r="M39" s="53" t="str">
        <f t="array" ref="M39">_xlfn.XLOOKUP(B39,'Up Stats'!A:A,'Up Stats'!D:D,)</f>
        <v/>
      </c>
      <c r="N39" s="54" t="str">
        <f>IFERROR(__xludf.DUMMYFUNCTION("if(AND(O39=FALSE,P39=FALSE),,if(O39=P39,JOIN("""",""Static: "",O39),JOIN("""",""Min:  "",O39, CHAR(10),""Max: "",P39)))"),"")</f>
        <v/>
      </c>
      <c r="O39" s="55" t="str">
        <f t="array" ref="O39">_xlfn.XLOOKUP(B39,'Up Min'!A:A,'Up Min'!D:D,)</f>
        <v/>
      </c>
      <c r="P39" s="55" t="str">
        <f t="array" ref="P39">_xlfn.XLOOKUP(B39,'Up Max'!A:A,'Up Max'!D:D,)</f>
        <v/>
      </c>
      <c r="Q39" s="57" t="str">
        <f t="array" ref="Q39">_xlfn.XLOOKUP(B39,'Up Stats'!A:A,'Up Stats'!E:E,)</f>
        <v/>
      </c>
      <c r="R39" s="54" t="str">
        <f>IFERROR(__xludf.DUMMYFUNCTION("if(AND(S39=FALSE,T39=FALSE),,if(S39=T39,JOIN("""",""Static: "",S39),JOIN("""",""Min:  "",S39, CHAR(10),""Max: "",T39)))"),"")</f>
        <v/>
      </c>
      <c r="S39" s="55" t="str">
        <f t="array" ref="S39">_xlfn.XLOOKUP(B39,'Up Min'!A:A,'Up Min'!E:E,)</f>
        <v/>
      </c>
      <c r="T39" s="55" t="str">
        <f t="array" ref="T39">_xlfn.XLOOKUP(B39,'Up Max'!A:A,'Up Max'!E:E,)</f>
        <v/>
      </c>
      <c r="U39" s="57" t="str">
        <f t="array" ref="U39">_xlfn.XLOOKUP(B39,'Up Stats'!A:A,'Up Stats'!F:F,)</f>
        <v/>
      </c>
      <c r="V39" s="54" t="str">
        <f>IFERROR(__xludf.DUMMYFUNCTION("if(AND(W39=FALSE,X39=FALSE),,if(W39=X39,JOIN("""",""Static: "",W39),JOIN("""",""Min:  "",W39, CHAR(10),""Max: "",X39)))"),"")</f>
        <v/>
      </c>
      <c r="W39" s="55" t="str">
        <f t="array" ref="W39">_xlfn.XLOOKUP(B39,'Up Min'!A:A,'Up Min'!F:F,)</f>
        <v/>
      </c>
      <c r="X39" s="55" t="str">
        <f t="array" ref="X39">_xlfn.XLOOKUP(B39,'Up Max'!A:A,'Up Max'!F:F,)</f>
        <v/>
      </c>
      <c r="Y39" s="57" t="str">
        <f t="array" ref="Y39">_xlfn.XLOOKUP(B39,'Up Stats'!A:A,'Up Stats'!G:G,)</f>
        <v/>
      </c>
      <c r="Z39" s="54" t="str">
        <f>IFERROR(__xludf.DUMMYFUNCTION("if(AND(AA39=FALSE,AB39=FALSE),,if(AA39=AB39,JOIN("""",""Static: "",AA39),JOIN("""",""Min:  "",AA39, CHAR(10),""Max: "",AB39)))"),"")</f>
        <v/>
      </c>
      <c r="AA39" s="55" t="str">
        <f t="array" ref="AA39">_xlfn.XLOOKUP(B39,'Up Min'!A:A,'Up Min'!G:G,)</f>
        <v/>
      </c>
      <c r="AB39" s="55" t="str">
        <f t="array" ref="AB39">_xlfn.XLOOKUP(B39,'Up Max'!A:A,'Up Max'!G:G,)</f>
        <v/>
      </c>
      <c r="AC39" s="57" t="str">
        <f t="array" ref="AC39">_xlfn.XLOOKUP(B39,'Up Stats'!A:A,'Up Stats'!H:H,)</f>
        <v/>
      </c>
      <c r="AD39" s="54" t="str">
        <f>IFERROR(__xludf.DUMMYFUNCTION("if(AND(AE39=FALSE,AF39=FALSE),,if(AE39=AF39,JOIN("""",""Static: "",AE39),JOIN("""",""Min:  "",AE39, CHAR(10),""Max: "",AF39)))"),"")</f>
        <v/>
      </c>
      <c r="AE39" s="55" t="str">
        <f t="array" ref="AE39">_xlfn.XLOOKUP(B39,'Up Min'!A:A,'Up Min'!H:H,)</f>
        <v/>
      </c>
      <c r="AF39" s="55" t="str">
        <f t="array" ref="AF39">_xlfn.XLOOKUP(B39,'Up Max'!A:A,'Up Max'!H:H,)</f>
        <v/>
      </c>
      <c r="AG39" s="57" t="str">
        <f t="array" ref="AG39">_xlfn.XLOOKUP(B39,'Up Stats'!A:A,'Up Stats'!I:I,)</f>
        <v/>
      </c>
      <c r="AH39" s="54" t="str">
        <f>IFERROR(__xludf.DUMMYFUNCTION("if(AND(AI39=FALSE,AJ39=FALSE),,if(AI39=AJ39,JOIN("""",""Static: "",AI39),JOIN("""",""Min:  "",AI39, CHAR(10),""Max: "",AJ39)))"),"")</f>
        <v/>
      </c>
      <c r="AI39" s="55" t="str">
        <f t="array" ref="AI39">_xlfn.XLOOKUP(B39,'Up Min'!A:A,'Up Min'!I:I,)</f>
        <v/>
      </c>
      <c r="AJ39" s="55" t="str">
        <f t="array" ref="AJ39">_xlfn.XLOOKUP(B39,'Up Max'!A:A,'Up Max'!I:I,)</f>
        <v/>
      </c>
      <c r="AK39" s="57" t="str">
        <f t="array" ref="AK39">_xlfn.XLOOKUP(B39,'Up Stats'!A:A,'Up Stats'!J:J,)</f>
        <v/>
      </c>
      <c r="AL39" s="54" t="str">
        <f>IFERROR(__xludf.DUMMYFUNCTION("if(AND(AM39=FALSE,AN39=FALSE),,if(AM39=AN39,JOIN("""",""Static: "",AM39),JOIN("""",""Min:  "",AM39, CHAR(10),""Max: "",AN39)))"),"")</f>
        <v/>
      </c>
      <c r="AM39" s="55" t="str">
        <f t="array" ref="AM39">_xlfn.XLOOKUP(B39,'Up Min'!A:A,'Up Min'!J:J,)</f>
        <v/>
      </c>
      <c r="AN39" s="55" t="str">
        <f t="array" ref="AN39">_xlfn.XLOOKUP(B39,'Up Max'!A:A,'Up Max'!J:J,)</f>
        <v/>
      </c>
      <c r="AO39" s="51" t="str">
        <f t="array" ref="AO39">CONCATENATE(_xlfn.XLOOKUP(B39,'Up Cells'!A:A,'Up Cells'!B:B,))</f>
        <v/>
      </c>
      <c r="AP39" s="51" t="str">
        <f t="array" ref="AP39">CONCATENATE(_xlfn.XLOOKUP(B39,'Up Rarity'!A:A,'Up Rarity'!B:B,),CHAR(10),"-")</f>
        <v>
-</v>
      </c>
    </row>
    <row r="40">
      <c r="A40" s="87" t="str">
        <f t="array" ref="A40">_xlfn.XLOOKUP(B40,'Up Icon'!A:A,'Up Icon'!B:B,)</f>
        <v/>
      </c>
      <c r="B40" s="34" t="str">
        <f t="array" ref="B40">HYPERLINK(_xlfn.XLOOKUP('Up Names'!C40,'Up Wiki'!A:A,'Up Wiki'!B:B,),'Up Names'!C40)</f>
        <v/>
      </c>
      <c r="C40" s="37" t="str">
        <f t="array" ref="C40">_xlfn.XLOOKUP(B40,'Up Desc'!A:A,'Up Desc'!B:B,)</f>
        <v/>
      </c>
      <c r="D40" s="37" t="str">
        <f t="array" ref="D40">_xlfn.XLOOKUP(B40,'Up Turbo'!A:A,'Up Turbo'!B:B,)</f>
        <v/>
      </c>
      <c r="E40" s="39" t="str">
        <f t="array" ref="E40">_xlfn.XLOOKUP(B40,'Up Stats'!A:A,'Up Stats'!B:B,)</f>
        <v/>
      </c>
      <c r="F40" s="40" t="str">
        <f>IFERROR(__xludf.DUMMYFUNCTION("if(AND(G40=FALSE,H40=FALSE),,if(G40=H40,JOIN("""",""Static: "",G40),JOIN("""",""Min:  "",G40, CHAR(10),""Max: "",H40)))"),"")</f>
        <v/>
      </c>
      <c r="G40" s="42" t="str">
        <f t="array" ref="G40">_xlfn.XLOOKUP(B40,'Up Min'!A:A,'Up Min'!B:B,)</f>
        <v/>
      </c>
      <c r="H40" s="45" t="str">
        <f t="array" ref="H40">_xlfn.XLOOKUP(B40,'Up Max'!A:A,'Up Max'!B:B,)</f>
        <v/>
      </c>
      <c r="I40" s="39" t="str">
        <f t="array" ref="I40">_xlfn.XLOOKUP(B40,'Up Stats'!A:A,'Up Stats'!C:C,)</f>
        <v/>
      </c>
      <c r="J40" s="40" t="str">
        <f>IFERROR(__xludf.DUMMYFUNCTION("if(AND(K40=FALSE,L40=FALSE),,if(K40=L40,JOIN("""",""Static: "",K40),JOIN("""",""Min:  "",K40, CHAR(10),""Max: "",L40)))"),"")</f>
        <v/>
      </c>
      <c r="K40" s="42" t="str">
        <f t="array" ref="K40">_xlfn.XLOOKUP(B40,'Up Min'!A:A,'Up Min'!C:C,)</f>
        <v/>
      </c>
      <c r="L40" s="42" t="str">
        <f t="array" ref="L40">_xlfn.XLOOKUP(B40,'Up Max'!A:A,'Up Max'!C:C,)</f>
        <v/>
      </c>
      <c r="M40" s="39" t="str">
        <f t="array" ref="M40">_xlfn.XLOOKUP(B40,'Up Stats'!A:A,'Up Stats'!D:D,)</f>
        <v/>
      </c>
      <c r="N40" s="40" t="str">
        <f>IFERROR(__xludf.DUMMYFUNCTION("if(AND(O40=FALSE,P40=FALSE),,if(O40=P40,JOIN("""",""Static: "",O40),JOIN("""",""Min:  "",O40, CHAR(10),""Max: "",P40)))"),"")</f>
        <v/>
      </c>
      <c r="O40" s="42" t="str">
        <f t="array" ref="O40">_xlfn.XLOOKUP(B40,'Up Min'!A:A,'Up Min'!D:D,)</f>
        <v/>
      </c>
      <c r="P40" s="42" t="str">
        <f t="array" ref="P40">_xlfn.XLOOKUP(B40,'Up Max'!A:A,'Up Max'!D:D,)</f>
        <v/>
      </c>
      <c r="Q40" s="48" t="str">
        <f t="array" ref="Q40">_xlfn.XLOOKUP(B40,'Up Stats'!A:A,'Up Stats'!E:E,)</f>
        <v/>
      </c>
      <c r="R40" s="40" t="str">
        <f>IFERROR(__xludf.DUMMYFUNCTION("if(AND(S40=FALSE,T40=FALSE),,if(S40=T40,JOIN("""",""Static: "",S40),JOIN("""",""Min:  "",S40, CHAR(10),""Max: "",T40)))"),"")</f>
        <v/>
      </c>
      <c r="S40" s="42" t="str">
        <f t="array" ref="S40">_xlfn.XLOOKUP(B40,'Up Min'!A:A,'Up Min'!E:E,)</f>
        <v/>
      </c>
      <c r="T40" s="42" t="str">
        <f t="array" ref="T40">_xlfn.XLOOKUP(B40,'Up Max'!A:A,'Up Max'!E:E,)</f>
        <v/>
      </c>
      <c r="U40" s="48" t="str">
        <f t="array" ref="U40">_xlfn.XLOOKUP(B40,'Up Stats'!A:A,'Up Stats'!F:F,)</f>
        <v/>
      </c>
      <c r="V40" s="40" t="str">
        <f>IFERROR(__xludf.DUMMYFUNCTION("if(AND(W40=FALSE,X40=FALSE),,if(W40=X40,JOIN("""",""Static: "",W40),JOIN("""",""Min:  "",W40, CHAR(10),""Max: "",X40)))"),"")</f>
        <v/>
      </c>
      <c r="W40" s="42" t="str">
        <f t="array" ref="W40">_xlfn.XLOOKUP(B40,'Up Min'!A:A,'Up Min'!F:F,)</f>
        <v/>
      </c>
      <c r="X40" s="42" t="str">
        <f t="array" ref="X40">_xlfn.XLOOKUP(B40,'Up Max'!A:A,'Up Max'!F:F,)</f>
        <v/>
      </c>
      <c r="Y40" s="48" t="str">
        <f t="array" ref="Y40">_xlfn.XLOOKUP(B40,'Up Stats'!A:A,'Up Stats'!G:G,)</f>
        <v/>
      </c>
      <c r="Z40" s="40" t="str">
        <f>IFERROR(__xludf.DUMMYFUNCTION("if(AND(AA40=FALSE,AB40=FALSE),,if(AA40=AB40,JOIN("""",""Static: "",AA40),JOIN("""",""Min:  "",AA40, CHAR(10),""Max: "",AB40)))"),"")</f>
        <v/>
      </c>
      <c r="AA40" s="42" t="str">
        <f t="array" ref="AA40">_xlfn.XLOOKUP(B40,'Up Min'!A:A,'Up Min'!G:G,)</f>
        <v/>
      </c>
      <c r="AB40" s="42" t="str">
        <f t="array" ref="AB40">_xlfn.XLOOKUP(B40,'Up Max'!A:A,'Up Max'!G:G,)</f>
        <v/>
      </c>
      <c r="AC40" s="48" t="str">
        <f t="array" ref="AC40">_xlfn.XLOOKUP(B40,'Up Stats'!A:A,'Up Stats'!H:H,)</f>
        <v/>
      </c>
      <c r="AD40" s="40" t="str">
        <f>IFERROR(__xludf.DUMMYFUNCTION("if(AND(AE40=FALSE,AF40=FALSE),,if(AE40=AF40,JOIN("""",""Static: "",AE40),JOIN("""",""Min:  "",AE40, CHAR(10),""Max: "",AF40)))"),"")</f>
        <v/>
      </c>
      <c r="AE40" s="42" t="str">
        <f t="array" ref="AE40">_xlfn.XLOOKUP(B40,'Up Min'!A:A,'Up Min'!H:H,)</f>
        <v/>
      </c>
      <c r="AF40" s="42" t="str">
        <f t="array" ref="AF40">_xlfn.XLOOKUP(B40,'Up Max'!A:A,'Up Max'!H:H,)</f>
        <v/>
      </c>
      <c r="AG40" s="48" t="str">
        <f t="array" ref="AG40">_xlfn.XLOOKUP(B40,'Up Stats'!A:A,'Up Stats'!I:I,)</f>
        <v/>
      </c>
      <c r="AH40" s="40" t="str">
        <f>IFERROR(__xludf.DUMMYFUNCTION("if(AND(AI40=FALSE,AJ40=FALSE),,if(AI40=AJ40,JOIN("""",""Static: "",AI40),JOIN("""",""Min:  "",AI40, CHAR(10),""Max: "",AJ40)))"),"")</f>
        <v/>
      </c>
      <c r="AI40" s="42" t="str">
        <f t="array" ref="AI40">_xlfn.XLOOKUP(B40,'Up Min'!A:A,'Up Min'!I:I,)</f>
        <v/>
      </c>
      <c r="AJ40" s="42" t="str">
        <f t="array" ref="AJ40">_xlfn.XLOOKUP(B40,'Up Max'!A:A,'Up Max'!I:I,)</f>
        <v/>
      </c>
      <c r="AK40" s="48" t="str">
        <f t="array" ref="AK40">_xlfn.XLOOKUP(B40,'Up Stats'!A:A,'Up Stats'!J:J,)</f>
        <v/>
      </c>
      <c r="AL40" s="40" t="str">
        <f>IFERROR(__xludf.DUMMYFUNCTION("if(AND(AM40=FALSE,AN40=FALSE),,if(AM40=AN40,JOIN("""",""Static: "",AM40),JOIN("""",""Min:  "",AM40, CHAR(10),""Max: "",AN40)))"),"")</f>
        <v/>
      </c>
      <c r="AM40" s="42" t="str">
        <f t="array" ref="AM40">_xlfn.XLOOKUP(B40,'Up Min'!A:A,'Up Min'!J:J,)</f>
        <v/>
      </c>
      <c r="AN40" s="42" t="str">
        <f t="array" ref="AN40">_xlfn.XLOOKUP(B40,'Up Max'!A:A,'Up Max'!J:J,)</f>
        <v/>
      </c>
      <c r="AO40" s="34" t="str">
        <f t="array" ref="AO40">CONCATENATE(_xlfn.XLOOKUP(B40,'Up Cells'!A:A,'Up Cells'!B:B,))</f>
        <v/>
      </c>
      <c r="AP40" s="34" t="str">
        <f t="array" ref="AP40">CONCATENATE(_xlfn.XLOOKUP(B40,'Up Rarity'!A:A,'Up Rarity'!B:B,),CHAR(10),"-")</f>
        <v>
-</v>
      </c>
    </row>
    <row r="41">
      <c r="A41" s="86" t="str">
        <f t="array" ref="A41">_xlfn.XLOOKUP(B41,'Up Icon'!A:A,'Up Icon'!B:B,)</f>
        <v/>
      </c>
      <c r="B41" s="51" t="str">
        <f t="array" ref="B41">HYPERLINK(_xlfn.XLOOKUP('Up Names'!C41,'Up Wiki'!A:A,'Up Wiki'!B:B,),'Up Names'!C41)</f>
        <v/>
      </c>
      <c r="C41" s="52" t="str">
        <f t="array" ref="C41">_xlfn.XLOOKUP(B41,'Up Desc'!A:A,'Up Desc'!B:B,)</f>
        <v/>
      </c>
      <c r="D41" s="52" t="str">
        <f t="array" ref="D41">_xlfn.XLOOKUP(B41,'Up Turbo'!A:A,'Up Turbo'!B:B,)</f>
        <v/>
      </c>
      <c r="E41" s="53" t="str">
        <f t="array" ref="E41">_xlfn.XLOOKUP(B41,'Up Stats'!A:A,'Up Stats'!B:B,)</f>
        <v/>
      </c>
      <c r="F41" s="54" t="str">
        <f>IFERROR(__xludf.DUMMYFUNCTION("if(AND(G41=FALSE,H41=FALSE),,if(G41=H41,JOIN("""",""Static: "",G41),JOIN("""",""Min:  "",G41, CHAR(10),""Max: "",H41)))"),"")</f>
        <v/>
      </c>
      <c r="G41" s="55" t="str">
        <f t="array" ref="G41">_xlfn.XLOOKUP(B41,'Up Min'!A:A,'Up Min'!B:B,)</f>
        <v/>
      </c>
      <c r="H41" s="56" t="str">
        <f t="array" ref="H41">_xlfn.XLOOKUP(B41,'Up Max'!A:A,'Up Max'!B:B,)</f>
        <v/>
      </c>
      <c r="I41" s="53" t="str">
        <f t="array" ref="I41">_xlfn.XLOOKUP(B41,'Up Stats'!A:A,'Up Stats'!C:C,)</f>
        <v/>
      </c>
      <c r="J41" s="54" t="str">
        <f>IFERROR(__xludf.DUMMYFUNCTION("if(AND(K41=FALSE,L41=FALSE),,if(K41=L41,JOIN("""",""Static: "",K41),JOIN("""",""Min:  "",K41, CHAR(10),""Max: "",L41)))"),"")</f>
        <v/>
      </c>
      <c r="K41" s="55" t="str">
        <f t="array" ref="K41">_xlfn.XLOOKUP(B41,'Up Min'!A:A,'Up Min'!C:C,)</f>
        <v/>
      </c>
      <c r="L41" s="55" t="str">
        <f t="array" ref="L41">_xlfn.XLOOKUP(B41,'Up Max'!A:A,'Up Max'!C:C,)</f>
        <v/>
      </c>
      <c r="M41" s="53" t="str">
        <f t="array" ref="M41">_xlfn.XLOOKUP(B41,'Up Stats'!A:A,'Up Stats'!D:D,)</f>
        <v/>
      </c>
      <c r="N41" s="54" t="str">
        <f>IFERROR(__xludf.DUMMYFUNCTION("if(AND(O41=FALSE,P41=FALSE),,if(O41=P41,JOIN("""",""Static: "",O41),JOIN("""",""Min:  "",O41, CHAR(10),""Max: "",P41)))"),"")</f>
        <v/>
      </c>
      <c r="O41" s="55" t="str">
        <f t="array" ref="O41">_xlfn.XLOOKUP(B41,'Up Min'!A:A,'Up Min'!D:D,)</f>
        <v/>
      </c>
      <c r="P41" s="55" t="str">
        <f t="array" ref="P41">_xlfn.XLOOKUP(B41,'Up Max'!A:A,'Up Max'!D:D,)</f>
        <v/>
      </c>
      <c r="Q41" s="57" t="str">
        <f t="array" ref="Q41">_xlfn.XLOOKUP(B41,'Up Stats'!A:A,'Up Stats'!E:E,)</f>
        <v/>
      </c>
      <c r="R41" s="54" t="str">
        <f>IFERROR(__xludf.DUMMYFUNCTION("if(AND(S41=FALSE,T41=FALSE),,if(S41=T41,JOIN("""",""Static: "",S41),JOIN("""",""Min:  "",S41, CHAR(10),""Max: "",T41)))"),"")</f>
        <v/>
      </c>
      <c r="S41" s="55" t="str">
        <f t="array" ref="S41">_xlfn.XLOOKUP(B41,'Up Min'!A:A,'Up Min'!E:E,)</f>
        <v/>
      </c>
      <c r="T41" s="55" t="str">
        <f t="array" ref="T41">_xlfn.XLOOKUP(B41,'Up Max'!A:A,'Up Max'!E:E,)</f>
        <v/>
      </c>
      <c r="U41" s="57" t="str">
        <f t="array" ref="U41">_xlfn.XLOOKUP(B41,'Up Stats'!A:A,'Up Stats'!F:F,)</f>
        <v/>
      </c>
      <c r="V41" s="54" t="str">
        <f>IFERROR(__xludf.DUMMYFUNCTION("if(AND(W41=FALSE,X41=FALSE),,if(W41=X41,JOIN("""",""Static: "",W41),JOIN("""",""Min:  "",W41, CHAR(10),""Max: "",X41)))"),"")</f>
        <v/>
      </c>
      <c r="W41" s="55" t="str">
        <f t="array" ref="W41">_xlfn.XLOOKUP(B41,'Up Min'!A:A,'Up Min'!F:F,)</f>
        <v/>
      </c>
      <c r="X41" s="55" t="str">
        <f t="array" ref="X41">_xlfn.XLOOKUP(B41,'Up Max'!A:A,'Up Max'!F:F,)</f>
        <v/>
      </c>
      <c r="Y41" s="57" t="str">
        <f t="array" ref="Y41">_xlfn.XLOOKUP(B41,'Up Stats'!A:A,'Up Stats'!G:G,)</f>
        <v/>
      </c>
      <c r="Z41" s="54" t="str">
        <f>IFERROR(__xludf.DUMMYFUNCTION("if(AND(AA41=FALSE,AB41=FALSE),,if(AA41=AB41,JOIN("""",""Static: "",AA41),JOIN("""",""Min:  "",AA41, CHAR(10),""Max: "",AB41)))"),"")</f>
        <v/>
      </c>
      <c r="AA41" s="55" t="str">
        <f t="array" ref="AA41">_xlfn.XLOOKUP(B41,'Up Min'!A:A,'Up Min'!G:G,)</f>
        <v/>
      </c>
      <c r="AB41" s="55" t="str">
        <f t="array" ref="AB41">_xlfn.XLOOKUP(B41,'Up Max'!A:A,'Up Max'!G:G,)</f>
        <v/>
      </c>
      <c r="AC41" s="57" t="str">
        <f t="array" ref="AC41">_xlfn.XLOOKUP(B41,'Up Stats'!A:A,'Up Stats'!H:H,)</f>
        <v/>
      </c>
      <c r="AD41" s="54" t="str">
        <f>IFERROR(__xludf.DUMMYFUNCTION("if(AND(AE41=FALSE,AF41=FALSE),,if(AE41=AF41,JOIN("""",""Static: "",AE41),JOIN("""",""Min:  "",AE41, CHAR(10),""Max: "",AF41)))"),"")</f>
        <v/>
      </c>
      <c r="AE41" s="55" t="str">
        <f t="array" ref="AE41">_xlfn.XLOOKUP(B41,'Up Min'!A:A,'Up Min'!H:H,)</f>
        <v/>
      </c>
      <c r="AF41" s="55" t="str">
        <f t="array" ref="AF41">_xlfn.XLOOKUP(B41,'Up Max'!A:A,'Up Max'!H:H,)</f>
        <v/>
      </c>
      <c r="AG41" s="57" t="str">
        <f t="array" ref="AG41">_xlfn.XLOOKUP(B41,'Up Stats'!A:A,'Up Stats'!I:I,)</f>
        <v/>
      </c>
      <c r="AH41" s="54" t="str">
        <f>IFERROR(__xludf.DUMMYFUNCTION("if(AND(AI41=FALSE,AJ41=FALSE),,if(AI41=AJ41,JOIN("""",""Static: "",AI41),JOIN("""",""Min:  "",AI41, CHAR(10),""Max: "",AJ41)))"),"")</f>
        <v/>
      </c>
      <c r="AI41" s="55" t="str">
        <f t="array" ref="AI41">_xlfn.XLOOKUP(B41,'Up Min'!A:A,'Up Min'!I:I,)</f>
        <v/>
      </c>
      <c r="AJ41" s="55" t="str">
        <f t="array" ref="AJ41">_xlfn.XLOOKUP(B41,'Up Max'!A:A,'Up Max'!I:I,)</f>
        <v/>
      </c>
      <c r="AK41" s="57" t="str">
        <f t="array" ref="AK41">_xlfn.XLOOKUP(B41,'Up Stats'!A:A,'Up Stats'!J:J,)</f>
        <v/>
      </c>
      <c r="AL41" s="54" t="str">
        <f>IFERROR(__xludf.DUMMYFUNCTION("if(AND(AM41=FALSE,AN41=FALSE),,if(AM41=AN41,JOIN("""",""Static: "",AM41),JOIN("""",""Min:  "",AM41, CHAR(10),""Max: "",AN41)))"),"")</f>
        <v/>
      </c>
      <c r="AM41" s="55" t="str">
        <f t="array" ref="AM41">_xlfn.XLOOKUP(B41,'Up Min'!A:A,'Up Min'!J:J,)</f>
        <v/>
      </c>
      <c r="AN41" s="55" t="str">
        <f t="array" ref="AN41">_xlfn.XLOOKUP(B41,'Up Max'!A:A,'Up Max'!J:J,)</f>
        <v/>
      </c>
      <c r="AO41" s="51" t="str">
        <f t="array" ref="AO41">CONCATENATE(_xlfn.XLOOKUP(B41,'Up Cells'!A:A,'Up Cells'!B:B,))</f>
        <v/>
      </c>
      <c r="AP41" s="51" t="str">
        <f t="array" ref="AP41">CONCATENATE(_xlfn.XLOOKUP(B41,'Up Rarity'!A:A,'Up Rarity'!B:B,),CHAR(10),"-")</f>
        <v>
-</v>
      </c>
    </row>
    <row r="42">
      <c r="A42" s="87" t="str">
        <f t="array" ref="A42">_xlfn.XLOOKUP(B42,'Up Icon'!A:A,'Up Icon'!B:B,)</f>
        <v/>
      </c>
      <c r="B42" s="34" t="str">
        <f t="array" ref="B42">HYPERLINK(_xlfn.XLOOKUP('Up Names'!C42,'Up Wiki'!A:A,'Up Wiki'!B:B,),'Up Names'!C42)</f>
        <v/>
      </c>
      <c r="C42" s="37" t="str">
        <f t="array" ref="C42">_xlfn.XLOOKUP(B42,'Up Desc'!A:A,'Up Desc'!B:B,)</f>
        <v/>
      </c>
      <c r="D42" s="37" t="str">
        <f t="array" ref="D42">_xlfn.XLOOKUP(B42,'Up Turbo'!A:A,'Up Turbo'!B:B,)</f>
        <v/>
      </c>
      <c r="E42" s="39" t="str">
        <f t="array" ref="E42">_xlfn.XLOOKUP(B42,'Up Stats'!A:A,'Up Stats'!B:B,)</f>
        <v/>
      </c>
      <c r="F42" s="40" t="str">
        <f>IFERROR(__xludf.DUMMYFUNCTION("if(AND(G42=FALSE,H42=FALSE),,if(G42=H42,JOIN("""",""Static: "",G42),JOIN("""",""Min:  "",G42, CHAR(10),""Max: "",H42)))"),"")</f>
        <v/>
      </c>
      <c r="G42" s="42" t="str">
        <f t="array" ref="G42">_xlfn.XLOOKUP(B42,'Up Min'!A:A,'Up Min'!B:B,)</f>
        <v/>
      </c>
      <c r="H42" s="45" t="str">
        <f t="array" ref="H42">_xlfn.XLOOKUP(B42,'Up Max'!A:A,'Up Max'!B:B,)</f>
        <v/>
      </c>
      <c r="I42" s="39" t="str">
        <f t="array" ref="I42">_xlfn.XLOOKUP(B42,'Up Stats'!A:A,'Up Stats'!C:C,)</f>
        <v/>
      </c>
      <c r="J42" s="40" t="str">
        <f>IFERROR(__xludf.DUMMYFUNCTION("if(AND(K42=FALSE,L42=FALSE),,if(K42=L42,JOIN("""",""Static: "",K42),JOIN("""",""Min:  "",K42, CHAR(10),""Max: "",L42)))"),"")</f>
        <v/>
      </c>
      <c r="K42" s="42" t="str">
        <f t="array" ref="K42">_xlfn.XLOOKUP(B42,'Up Min'!A:A,'Up Min'!C:C,)</f>
        <v/>
      </c>
      <c r="L42" s="42" t="str">
        <f t="array" ref="L42">_xlfn.XLOOKUP(B42,'Up Max'!A:A,'Up Max'!C:C,)</f>
        <v/>
      </c>
      <c r="M42" s="39" t="str">
        <f t="array" ref="M42">_xlfn.XLOOKUP(B42,'Up Stats'!A:A,'Up Stats'!D:D,)</f>
        <v/>
      </c>
      <c r="N42" s="40" t="str">
        <f>IFERROR(__xludf.DUMMYFUNCTION("if(AND(O42=FALSE,P42=FALSE),,if(O42=P42,JOIN("""",""Static: "",O42),JOIN("""",""Min:  "",O42, CHAR(10),""Max: "",P42)))"),"")</f>
        <v/>
      </c>
      <c r="O42" s="42" t="str">
        <f t="array" ref="O42">_xlfn.XLOOKUP(B42,'Up Min'!A:A,'Up Min'!D:D,)</f>
        <v/>
      </c>
      <c r="P42" s="42" t="str">
        <f t="array" ref="P42">_xlfn.XLOOKUP(B42,'Up Max'!A:A,'Up Max'!D:D,)</f>
        <v/>
      </c>
      <c r="Q42" s="48" t="str">
        <f t="array" ref="Q42">_xlfn.XLOOKUP(B42,'Up Stats'!A:A,'Up Stats'!E:E,)</f>
        <v/>
      </c>
      <c r="R42" s="40" t="str">
        <f>IFERROR(__xludf.DUMMYFUNCTION("if(AND(S42=FALSE,T42=FALSE),,if(S42=T42,JOIN("""",""Static: "",S42),JOIN("""",""Min:  "",S42, CHAR(10),""Max: "",T42)))"),"")</f>
        <v/>
      </c>
      <c r="S42" s="42" t="str">
        <f t="array" ref="S42">_xlfn.XLOOKUP(B42,'Up Min'!A:A,'Up Min'!E:E,)</f>
        <v/>
      </c>
      <c r="T42" s="42" t="str">
        <f t="array" ref="T42">_xlfn.XLOOKUP(B42,'Up Max'!A:A,'Up Max'!E:E,)</f>
        <v/>
      </c>
      <c r="U42" s="48" t="str">
        <f t="array" ref="U42">_xlfn.XLOOKUP(B42,'Up Stats'!A:A,'Up Stats'!F:F,)</f>
        <v/>
      </c>
      <c r="V42" s="40" t="str">
        <f>IFERROR(__xludf.DUMMYFUNCTION("if(AND(W42=FALSE,X42=FALSE),,if(W42=X42,JOIN("""",""Static: "",W42),JOIN("""",""Min:  "",W42, CHAR(10),""Max: "",X42)))"),"")</f>
        <v/>
      </c>
      <c r="W42" s="42" t="str">
        <f t="array" ref="W42">_xlfn.XLOOKUP(B42,'Up Min'!A:A,'Up Min'!F:F,)</f>
        <v/>
      </c>
      <c r="X42" s="42" t="str">
        <f t="array" ref="X42">_xlfn.XLOOKUP(B42,'Up Max'!A:A,'Up Max'!F:F,)</f>
        <v/>
      </c>
      <c r="Y42" s="48" t="str">
        <f t="array" ref="Y42">_xlfn.XLOOKUP(B42,'Up Stats'!A:A,'Up Stats'!G:G,)</f>
        <v/>
      </c>
      <c r="Z42" s="40" t="str">
        <f>IFERROR(__xludf.DUMMYFUNCTION("if(AND(AA42=FALSE,AB42=FALSE),,if(AA42=AB42,JOIN("""",""Static: "",AA42),JOIN("""",""Min:  "",AA42, CHAR(10),""Max: "",AB42)))"),"")</f>
        <v/>
      </c>
      <c r="AA42" s="42" t="str">
        <f t="array" ref="AA42">_xlfn.XLOOKUP(B42,'Up Min'!A:A,'Up Min'!G:G,)</f>
        <v/>
      </c>
      <c r="AB42" s="42" t="str">
        <f t="array" ref="AB42">_xlfn.XLOOKUP(B42,'Up Max'!A:A,'Up Max'!G:G,)</f>
        <v/>
      </c>
      <c r="AC42" s="48" t="str">
        <f t="array" ref="AC42">_xlfn.XLOOKUP(B42,'Up Stats'!A:A,'Up Stats'!H:H,)</f>
        <v/>
      </c>
      <c r="AD42" s="40" t="str">
        <f>IFERROR(__xludf.DUMMYFUNCTION("if(AND(AE42=FALSE,AF42=FALSE),,if(AE42=AF42,JOIN("""",""Static: "",AE42),JOIN("""",""Min:  "",AE42, CHAR(10),""Max: "",AF42)))"),"")</f>
        <v/>
      </c>
      <c r="AE42" s="42" t="str">
        <f t="array" ref="AE42">_xlfn.XLOOKUP(B42,'Up Min'!A:A,'Up Min'!H:H,)</f>
        <v/>
      </c>
      <c r="AF42" s="42" t="str">
        <f t="array" ref="AF42">_xlfn.XLOOKUP(B42,'Up Max'!A:A,'Up Max'!H:H,)</f>
        <v/>
      </c>
      <c r="AG42" s="48" t="str">
        <f t="array" ref="AG42">_xlfn.XLOOKUP(B42,'Up Stats'!A:A,'Up Stats'!I:I,)</f>
        <v/>
      </c>
      <c r="AH42" s="40" t="str">
        <f>IFERROR(__xludf.DUMMYFUNCTION("if(AND(AI42=FALSE,AJ42=FALSE),,if(AI42=AJ42,JOIN("""",""Static: "",AI42),JOIN("""",""Min:  "",AI42, CHAR(10),""Max: "",AJ42)))"),"")</f>
        <v/>
      </c>
      <c r="AI42" s="42" t="str">
        <f t="array" ref="AI42">_xlfn.XLOOKUP(B42,'Up Min'!A:A,'Up Min'!I:I,)</f>
        <v/>
      </c>
      <c r="AJ42" s="42" t="str">
        <f t="array" ref="AJ42">_xlfn.XLOOKUP(B42,'Up Max'!A:A,'Up Max'!I:I,)</f>
        <v/>
      </c>
      <c r="AK42" s="48" t="str">
        <f t="array" ref="AK42">_xlfn.XLOOKUP(B42,'Up Stats'!A:A,'Up Stats'!J:J,)</f>
        <v/>
      </c>
      <c r="AL42" s="40" t="str">
        <f>IFERROR(__xludf.DUMMYFUNCTION("if(AND(AM42=FALSE,AN42=FALSE),,if(AM42=AN42,JOIN("""",""Static: "",AM42),JOIN("""",""Min:  "",AM42, CHAR(10),""Max: "",AN42)))"),"")</f>
        <v/>
      </c>
      <c r="AM42" s="42" t="str">
        <f t="array" ref="AM42">_xlfn.XLOOKUP(B42,'Up Min'!A:A,'Up Min'!J:J,)</f>
        <v/>
      </c>
      <c r="AN42" s="42" t="str">
        <f t="array" ref="AN42">_xlfn.XLOOKUP(B42,'Up Max'!A:A,'Up Max'!J:J,)</f>
        <v/>
      </c>
      <c r="AO42" s="34" t="str">
        <f t="array" ref="AO42">CONCATENATE(_xlfn.XLOOKUP(B42,'Up Cells'!A:A,'Up Cells'!B:B,))</f>
        <v/>
      </c>
      <c r="AP42" s="34" t="str">
        <f t="array" ref="AP42">CONCATENATE(_xlfn.XLOOKUP(B42,'Up Rarity'!A:A,'Up Rarity'!B:B,),CHAR(10),"-")</f>
        <v>
-</v>
      </c>
    </row>
    <row r="43">
      <c r="A43" s="86" t="str">
        <f t="array" ref="A43">_xlfn.XLOOKUP(B43,'Up Icon'!A:A,'Up Icon'!B:B,)</f>
        <v/>
      </c>
      <c r="B43" s="51" t="str">
        <f t="array" ref="B43">HYPERLINK(_xlfn.XLOOKUP('Up Names'!C43,'Up Wiki'!A:A,'Up Wiki'!B:B,),'Up Names'!C43)</f>
        <v/>
      </c>
      <c r="C43" s="52" t="str">
        <f t="array" ref="C43">_xlfn.XLOOKUP(B43,'Up Desc'!A:A,'Up Desc'!B:B,)</f>
        <v/>
      </c>
      <c r="D43" s="52" t="str">
        <f t="array" ref="D43">_xlfn.XLOOKUP(B43,'Up Turbo'!A:A,'Up Turbo'!B:B,)</f>
        <v/>
      </c>
      <c r="E43" s="53" t="str">
        <f t="array" ref="E43">_xlfn.XLOOKUP(B43,'Up Stats'!A:A,'Up Stats'!B:B,)</f>
        <v/>
      </c>
      <c r="F43" s="54" t="str">
        <f>IFERROR(__xludf.DUMMYFUNCTION("if(AND(G43=FALSE,H43=FALSE),,if(G43=H43,JOIN("""",""Static: "",G43),JOIN("""",""Min:  "",G43, CHAR(10),""Max: "",H43)))"),"")</f>
        <v/>
      </c>
      <c r="G43" s="55" t="str">
        <f t="array" ref="G43">_xlfn.XLOOKUP(B43,'Up Min'!A:A,'Up Min'!B:B,)</f>
        <v/>
      </c>
      <c r="H43" s="56" t="str">
        <f t="array" ref="H43">_xlfn.XLOOKUP(B43,'Up Max'!A:A,'Up Max'!B:B,)</f>
        <v/>
      </c>
      <c r="I43" s="53" t="str">
        <f t="array" ref="I43">_xlfn.XLOOKUP(B43,'Up Stats'!A:A,'Up Stats'!C:C,)</f>
        <v/>
      </c>
      <c r="J43" s="54" t="str">
        <f>IFERROR(__xludf.DUMMYFUNCTION("if(AND(K43=FALSE,L43=FALSE),,if(K43=L43,JOIN("""",""Static: "",K43),JOIN("""",""Min:  "",K43, CHAR(10),""Max: "",L43)))"),"")</f>
        <v/>
      </c>
      <c r="K43" s="55" t="str">
        <f t="array" ref="K43">_xlfn.XLOOKUP(B43,'Up Min'!A:A,'Up Min'!C:C,)</f>
        <v/>
      </c>
      <c r="L43" s="55" t="str">
        <f t="array" ref="L43">_xlfn.XLOOKUP(B43,'Up Max'!A:A,'Up Max'!C:C,)</f>
        <v/>
      </c>
      <c r="M43" s="53" t="str">
        <f t="array" ref="M43">_xlfn.XLOOKUP(B43,'Up Stats'!A:A,'Up Stats'!D:D,)</f>
        <v/>
      </c>
      <c r="N43" s="54" t="str">
        <f>IFERROR(__xludf.DUMMYFUNCTION("if(AND(O43=FALSE,P43=FALSE),,if(O43=P43,JOIN("""",""Static: "",O43),JOIN("""",""Min:  "",O43, CHAR(10),""Max: "",P43)))"),"")</f>
        <v/>
      </c>
      <c r="O43" s="55" t="str">
        <f t="array" ref="O43">_xlfn.XLOOKUP(B43,'Up Min'!A:A,'Up Min'!D:D,)</f>
        <v/>
      </c>
      <c r="P43" s="55" t="str">
        <f t="array" ref="P43">_xlfn.XLOOKUP(B43,'Up Max'!A:A,'Up Max'!D:D,)</f>
        <v/>
      </c>
      <c r="Q43" s="57" t="str">
        <f t="array" ref="Q43">_xlfn.XLOOKUP(B43,'Up Stats'!A:A,'Up Stats'!E:E,)</f>
        <v/>
      </c>
      <c r="R43" s="54" t="str">
        <f>IFERROR(__xludf.DUMMYFUNCTION("if(AND(S43=FALSE,T43=FALSE),,if(S43=T43,JOIN("""",""Static: "",S43),JOIN("""",""Min:  "",S43, CHAR(10),""Max: "",T43)))"),"")</f>
        <v/>
      </c>
      <c r="S43" s="55" t="str">
        <f t="array" ref="S43">_xlfn.XLOOKUP(B43,'Up Min'!A:A,'Up Min'!E:E,)</f>
        <v/>
      </c>
      <c r="T43" s="55" t="str">
        <f t="array" ref="T43">_xlfn.XLOOKUP(B43,'Up Max'!A:A,'Up Max'!E:E,)</f>
        <v/>
      </c>
      <c r="U43" s="57" t="str">
        <f t="array" ref="U43">_xlfn.XLOOKUP(B43,'Up Stats'!A:A,'Up Stats'!F:F,)</f>
        <v/>
      </c>
      <c r="V43" s="54" t="str">
        <f>IFERROR(__xludf.DUMMYFUNCTION("if(AND(W43=FALSE,X43=FALSE),,if(W43=X43,JOIN("""",""Static: "",W43),JOIN("""",""Min:  "",W43, CHAR(10),""Max: "",X43)))"),"")</f>
        <v/>
      </c>
      <c r="W43" s="55" t="str">
        <f t="array" ref="W43">_xlfn.XLOOKUP(B43,'Up Min'!A:A,'Up Min'!F:F,)</f>
        <v/>
      </c>
      <c r="X43" s="55" t="str">
        <f t="array" ref="X43">_xlfn.XLOOKUP(B43,'Up Max'!A:A,'Up Max'!F:F,)</f>
        <v/>
      </c>
      <c r="Y43" s="57" t="str">
        <f t="array" ref="Y43">_xlfn.XLOOKUP(B43,'Up Stats'!A:A,'Up Stats'!G:G,)</f>
        <v/>
      </c>
      <c r="Z43" s="54" t="str">
        <f>IFERROR(__xludf.DUMMYFUNCTION("if(AND(AA43=FALSE,AB43=FALSE),,if(AA43=AB43,JOIN("""",""Static: "",AA43),JOIN("""",""Min:  "",AA43, CHAR(10),""Max: "",AB43)))"),"")</f>
        <v/>
      </c>
      <c r="AA43" s="55" t="str">
        <f t="array" ref="AA43">_xlfn.XLOOKUP(B43,'Up Min'!A:A,'Up Min'!G:G,)</f>
        <v/>
      </c>
      <c r="AB43" s="55" t="str">
        <f t="array" ref="AB43">_xlfn.XLOOKUP(B43,'Up Max'!A:A,'Up Max'!G:G,)</f>
        <v/>
      </c>
      <c r="AC43" s="57" t="str">
        <f t="array" ref="AC43">_xlfn.XLOOKUP(B43,'Up Stats'!A:A,'Up Stats'!H:H,)</f>
        <v/>
      </c>
      <c r="AD43" s="54" t="str">
        <f>IFERROR(__xludf.DUMMYFUNCTION("if(AND(AE43=FALSE,AF43=FALSE),,if(AE43=AF43,JOIN("""",""Static: "",AE43),JOIN("""",""Min:  "",AE43, CHAR(10),""Max: "",AF43)))"),"")</f>
        <v/>
      </c>
      <c r="AE43" s="55" t="str">
        <f t="array" ref="AE43">_xlfn.XLOOKUP(B43,'Up Min'!A:A,'Up Min'!H:H,)</f>
        <v/>
      </c>
      <c r="AF43" s="55" t="str">
        <f t="array" ref="AF43">_xlfn.XLOOKUP(B43,'Up Max'!A:A,'Up Max'!H:H,)</f>
        <v/>
      </c>
      <c r="AG43" s="57" t="str">
        <f t="array" ref="AG43">_xlfn.XLOOKUP(B43,'Up Stats'!A:A,'Up Stats'!I:I,)</f>
        <v/>
      </c>
      <c r="AH43" s="54" t="str">
        <f>IFERROR(__xludf.DUMMYFUNCTION("if(AND(AI43=FALSE,AJ43=FALSE),,if(AI43=AJ43,JOIN("""",""Static: "",AI43),JOIN("""",""Min:  "",AI43, CHAR(10),""Max: "",AJ43)))"),"")</f>
        <v/>
      </c>
      <c r="AI43" s="55" t="str">
        <f t="array" ref="AI43">_xlfn.XLOOKUP(B43,'Up Min'!A:A,'Up Min'!I:I,)</f>
        <v/>
      </c>
      <c r="AJ43" s="55" t="str">
        <f t="array" ref="AJ43">_xlfn.XLOOKUP(B43,'Up Max'!A:A,'Up Max'!I:I,)</f>
        <v/>
      </c>
      <c r="AK43" s="57" t="str">
        <f t="array" ref="AK43">_xlfn.XLOOKUP(B43,'Up Stats'!A:A,'Up Stats'!J:J,)</f>
        <v/>
      </c>
      <c r="AL43" s="54" t="str">
        <f>IFERROR(__xludf.DUMMYFUNCTION("if(AND(AM43=FALSE,AN43=FALSE),,if(AM43=AN43,JOIN("""",""Static: "",AM43),JOIN("""",""Min:  "",AM43, CHAR(10),""Max: "",AN43)))"),"")</f>
        <v/>
      </c>
      <c r="AM43" s="55" t="str">
        <f t="array" ref="AM43">_xlfn.XLOOKUP(B43,'Up Min'!A:A,'Up Min'!J:J,)</f>
        <v/>
      </c>
      <c r="AN43" s="55" t="str">
        <f t="array" ref="AN43">_xlfn.XLOOKUP(B43,'Up Max'!A:A,'Up Max'!J:J,)</f>
        <v/>
      </c>
      <c r="AO43" s="51" t="str">
        <f t="array" ref="AO43">CONCATENATE(_xlfn.XLOOKUP(B43,'Up Cells'!A:A,'Up Cells'!B:B,))</f>
        <v/>
      </c>
      <c r="AP43" s="51" t="str">
        <f t="array" ref="AP43">CONCATENATE(_xlfn.XLOOKUP(B43,'Up Rarity'!A:A,'Up Rarity'!B:B,),CHAR(10),"-")</f>
        <v>
-</v>
      </c>
    </row>
    <row r="44">
      <c r="A44" s="87" t="str">
        <f t="array" ref="A44">_xlfn.XLOOKUP(B44,'Up Icon'!A:A,'Up Icon'!B:B,)</f>
        <v/>
      </c>
      <c r="B44" s="34" t="str">
        <f t="array" ref="B44">HYPERLINK(_xlfn.XLOOKUP('Up Names'!C44,'Up Wiki'!A:A,'Up Wiki'!B:B,),'Up Names'!C44)</f>
        <v/>
      </c>
      <c r="C44" s="37" t="str">
        <f t="array" ref="C44">_xlfn.XLOOKUP(B44,'Up Desc'!A:A,'Up Desc'!B:B,)</f>
        <v/>
      </c>
      <c r="D44" s="37" t="str">
        <f t="array" ref="D44">_xlfn.XLOOKUP(B44,'Up Turbo'!A:A,'Up Turbo'!B:B,)</f>
        <v/>
      </c>
      <c r="E44" s="39" t="str">
        <f t="array" ref="E44">_xlfn.XLOOKUP(B44,'Up Stats'!A:A,'Up Stats'!B:B,)</f>
        <v/>
      </c>
      <c r="F44" s="40" t="str">
        <f>IFERROR(__xludf.DUMMYFUNCTION("if(AND(G44=FALSE,H44=FALSE),,if(G44=H44,JOIN("""",""Static: "",G44),JOIN("""",""Min:  "",G44, CHAR(10),""Max: "",H44)))"),"")</f>
        <v/>
      </c>
      <c r="G44" s="42" t="str">
        <f t="array" ref="G44">_xlfn.XLOOKUP(B44,'Up Min'!A:A,'Up Min'!B:B,)</f>
        <v/>
      </c>
      <c r="H44" s="45" t="str">
        <f t="array" ref="H44">_xlfn.XLOOKUP(B44,'Up Max'!A:A,'Up Max'!B:B,)</f>
        <v/>
      </c>
      <c r="I44" s="39" t="str">
        <f t="array" ref="I44">_xlfn.XLOOKUP(B44,'Up Stats'!A:A,'Up Stats'!C:C,)</f>
        <v/>
      </c>
      <c r="J44" s="40" t="str">
        <f>IFERROR(__xludf.DUMMYFUNCTION("if(AND(K44=FALSE,L44=FALSE),,if(K44=L44,JOIN("""",""Static: "",K44),JOIN("""",""Min:  "",K44, CHAR(10),""Max: "",L44)))"),"")</f>
        <v/>
      </c>
      <c r="K44" s="42" t="str">
        <f t="array" ref="K44">_xlfn.XLOOKUP(B44,'Up Min'!A:A,'Up Min'!C:C,)</f>
        <v/>
      </c>
      <c r="L44" s="42" t="str">
        <f t="array" ref="L44">_xlfn.XLOOKUP(B44,'Up Max'!A:A,'Up Max'!C:C,)</f>
        <v/>
      </c>
      <c r="M44" s="39" t="str">
        <f t="array" ref="M44">_xlfn.XLOOKUP(B44,'Up Stats'!A:A,'Up Stats'!D:D,)</f>
        <v/>
      </c>
      <c r="N44" s="40" t="str">
        <f>IFERROR(__xludf.DUMMYFUNCTION("if(AND(O44=FALSE,P44=FALSE),,if(O44=P44,JOIN("""",""Static: "",O44),JOIN("""",""Min:  "",O44, CHAR(10),""Max: "",P44)))"),"")</f>
        <v/>
      </c>
      <c r="O44" s="42" t="str">
        <f t="array" ref="O44">_xlfn.XLOOKUP(B44,'Up Min'!A:A,'Up Min'!D:D,)</f>
        <v/>
      </c>
      <c r="P44" s="42" t="str">
        <f t="array" ref="P44">_xlfn.XLOOKUP(B44,'Up Max'!A:A,'Up Max'!D:D,)</f>
        <v/>
      </c>
      <c r="Q44" s="48" t="str">
        <f t="array" ref="Q44">_xlfn.XLOOKUP(B44,'Up Stats'!A:A,'Up Stats'!E:E,)</f>
        <v/>
      </c>
      <c r="R44" s="40" t="str">
        <f>IFERROR(__xludf.DUMMYFUNCTION("if(AND(S44=FALSE,T44=FALSE),,if(S44=T44,JOIN("""",""Static: "",S44),JOIN("""",""Min:  "",S44, CHAR(10),""Max: "",T44)))"),"")</f>
        <v/>
      </c>
      <c r="S44" s="42" t="str">
        <f t="array" ref="S44">_xlfn.XLOOKUP(B44,'Up Min'!A:A,'Up Min'!E:E,)</f>
        <v/>
      </c>
      <c r="T44" s="42" t="str">
        <f t="array" ref="T44">_xlfn.XLOOKUP(B44,'Up Max'!A:A,'Up Max'!E:E,)</f>
        <v/>
      </c>
      <c r="U44" s="48" t="str">
        <f t="array" ref="U44">_xlfn.XLOOKUP(B44,'Up Stats'!A:A,'Up Stats'!F:F,)</f>
        <v/>
      </c>
      <c r="V44" s="40" t="str">
        <f>IFERROR(__xludf.DUMMYFUNCTION("if(AND(W44=FALSE,X44=FALSE),,if(W44=X44,JOIN("""",""Static: "",W44),JOIN("""",""Min:  "",W44, CHAR(10),""Max: "",X44)))"),"")</f>
        <v/>
      </c>
      <c r="W44" s="42" t="str">
        <f t="array" ref="W44">_xlfn.XLOOKUP(B44,'Up Min'!A:A,'Up Min'!F:F,)</f>
        <v/>
      </c>
      <c r="X44" s="42" t="str">
        <f t="array" ref="X44">_xlfn.XLOOKUP(B44,'Up Max'!A:A,'Up Max'!F:F,)</f>
        <v/>
      </c>
      <c r="Y44" s="48" t="str">
        <f t="array" ref="Y44">_xlfn.XLOOKUP(B44,'Up Stats'!A:A,'Up Stats'!G:G,)</f>
        <v/>
      </c>
      <c r="Z44" s="40" t="str">
        <f>IFERROR(__xludf.DUMMYFUNCTION("if(AND(AA44=FALSE,AB44=FALSE),,if(AA44=AB44,JOIN("""",""Static: "",AA44),JOIN("""",""Min:  "",AA44, CHAR(10),""Max: "",AB44)))"),"")</f>
        <v/>
      </c>
      <c r="AA44" s="42" t="str">
        <f t="array" ref="AA44">_xlfn.XLOOKUP(B44,'Up Min'!A:A,'Up Min'!G:G,)</f>
        <v/>
      </c>
      <c r="AB44" s="42" t="str">
        <f t="array" ref="AB44">_xlfn.XLOOKUP(B44,'Up Max'!A:A,'Up Max'!G:G,)</f>
        <v/>
      </c>
      <c r="AC44" s="48" t="str">
        <f t="array" ref="AC44">_xlfn.XLOOKUP(B44,'Up Stats'!A:A,'Up Stats'!H:H,)</f>
        <v/>
      </c>
      <c r="AD44" s="40" t="str">
        <f>IFERROR(__xludf.DUMMYFUNCTION("if(AND(AE44=FALSE,AF44=FALSE),,if(AE44=AF44,JOIN("""",""Static: "",AE44),JOIN("""",""Min:  "",AE44, CHAR(10),""Max: "",AF44)))"),"")</f>
        <v/>
      </c>
      <c r="AE44" s="42" t="str">
        <f t="array" ref="AE44">_xlfn.XLOOKUP(B44,'Up Min'!A:A,'Up Min'!H:H,)</f>
        <v/>
      </c>
      <c r="AF44" s="42" t="str">
        <f t="array" ref="AF44">_xlfn.XLOOKUP(B44,'Up Max'!A:A,'Up Max'!H:H,)</f>
        <v/>
      </c>
      <c r="AG44" s="48" t="str">
        <f t="array" ref="AG44">_xlfn.XLOOKUP(B44,'Up Stats'!A:A,'Up Stats'!I:I,)</f>
        <v/>
      </c>
      <c r="AH44" s="40" t="str">
        <f>IFERROR(__xludf.DUMMYFUNCTION("if(AND(AI44=FALSE,AJ44=FALSE),,if(AI44=AJ44,JOIN("""",""Static: "",AI44),JOIN("""",""Min:  "",AI44, CHAR(10),""Max: "",AJ44)))"),"")</f>
        <v/>
      </c>
      <c r="AI44" s="42" t="str">
        <f t="array" ref="AI44">_xlfn.XLOOKUP(B44,'Up Min'!A:A,'Up Min'!I:I,)</f>
        <v/>
      </c>
      <c r="AJ44" s="42" t="str">
        <f t="array" ref="AJ44">_xlfn.XLOOKUP(B44,'Up Max'!A:A,'Up Max'!I:I,)</f>
        <v/>
      </c>
      <c r="AK44" s="48" t="str">
        <f t="array" ref="AK44">_xlfn.XLOOKUP(B44,'Up Stats'!A:A,'Up Stats'!J:J,)</f>
        <v/>
      </c>
      <c r="AL44" s="40" t="str">
        <f>IFERROR(__xludf.DUMMYFUNCTION("if(AND(AM44=FALSE,AN44=FALSE),,if(AM44=AN44,JOIN("""",""Static: "",AM44),JOIN("""",""Min:  "",AM44, CHAR(10),""Max: "",AN44)))"),"")</f>
        <v/>
      </c>
      <c r="AM44" s="42" t="str">
        <f t="array" ref="AM44">_xlfn.XLOOKUP(B44,'Up Min'!A:A,'Up Min'!J:J,)</f>
        <v/>
      </c>
      <c r="AN44" s="42" t="str">
        <f t="array" ref="AN44">_xlfn.XLOOKUP(B44,'Up Max'!A:A,'Up Max'!J:J,)</f>
        <v/>
      </c>
      <c r="AO44" s="34" t="str">
        <f t="array" ref="AO44">CONCATENATE(_xlfn.XLOOKUP(B44,'Up Cells'!A:A,'Up Cells'!B:B,))</f>
        <v/>
      </c>
      <c r="AP44" s="34" t="str">
        <f t="array" ref="AP44">CONCATENATE(_xlfn.XLOOKUP(B44,'Up Rarity'!A:A,'Up Rarity'!B:B,),CHAR(10),"-")</f>
        <v>
-</v>
      </c>
    </row>
    <row r="45">
      <c r="A45" s="86" t="str">
        <f t="array" ref="A45">_xlfn.XLOOKUP(B45,'Up Icon'!A:A,'Up Icon'!B:B,)</f>
        <v/>
      </c>
      <c r="B45" s="51" t="str">
        <f t="array" ref="B45">HYPERLINK(_xlfn.XLOOKUP('Up Names'!C45,'Up Wiki'!A:A,'Up Wiki'!B:B,),'Up Names'!C45)</f>
        <v/>
      </c>
      <c r="C45" s="52" t="str">
        <f t="array" ref="C45">_xlfn.XLOOKUP(B45,'Up Desc'!A:A,'Up Desc'!B:B,)</f>
        <v/>
      </c>
      <c r="D45" s="52" t="str">
        <f t="array" ref="D45">_xlfn.XLOOKUP(B45,'Up Turbo'!A:A,'Up Turbo'!B:B,)</f>
        <v/>
      </c>
      <c r="E45" s="53" t="str">
        <f t="array" ref="E45">_xlfn.XLOOKUP(B45,'Up Stats'!A:A,'Up Stats'!B:B,)</f>
        <v/>
      </c>
      <c r="F45" s="54" t="str">
        <f>IFERROR(__xludf.DUMMYFUNCTION("if(AND(G45=FALSE,H45=FALSE),,if(G45=H45,JOIN("""",""Static: "",G45),JOIN("""",""Min:  "",G45, CHAR(10),""Max: "",H45)))"),"")</f>
        <v/>
      </c>
      <c r="G45" s="55" t="str">
        <f t="array" ref="G45">_xlfn.XLOOKUP(B45,'Up Min'!A:A,'Up Min'!B:B,)</f>
        <v/>
      </c>
      <c r="H45" s="56" t="str">
        <f t="array" ref="H45">_xlfn.XLOOKUP(B45,'Up Max'!A:A,'Up Max'!B:B,)</f>
        <v/>
      </c>
      <c r="I45" s="53" t="str">
        <f t="array" ref="I45">_xlfn.XLOOKUP(B45,'Up Stats'!A:A,'Up Stats'!C:C,)</f>
        <v/>
      </c>
      <c r="J45" s="54" t="str">
        <f>IFERROR(__xludf.DUMMYFUNCTION("if(AND(K45=FALSE,L45=FALSE),,if(K45=L45,JOIN("""",""Static: "",K45),JOIN("""",""Min:  "",K45, CHAR(10),""Max: "",L45)))"),"")</f>
        <v/>
      </c>
      <c r="K45" s="55" t="str">
        <f t="array" ref="K45">_xlfn.XLOOKUP(B45,'Up Min'!A:A,'Up Min'!C:C,)</f>
        <v/>
      </c>
      <c r="L45" s="55" t="str">
        <f t="array" ref="L45">_xlfn.XLOOKUP(B45,'Up Max'!A:A,'Up Max'!C:C,)</f>
        <v/>
      </c>
      <c r="M45" s="53" t="str">
        <f t="array" ref="M45">_xlfn.XLOOKUP(B45,'Up Stats'!A:A,'Up Stats'!D:D,)</f>
        <v/>
      </c>
      <c r="N45" s="54" t="str">
        <f>IFERROR(__xludf.DUMMYFUNCTION("if(AND(O45=FALSE,P45=FALSE),,if(O45=P45,JOIN("""",""Static: "",O45),JOIN("""",""Min:  "",O45, CHAR(10),""Max: "",P45)))"),"")</f>
        <v/>
      </c>
      <c r="O45" s="55" t="str">
        <f t="array" ref="O45">_xlfn.XLOOKUP(B45,'Up Min'!A:A,'Up Min'!D:D,)</f>
        <v/>
      </c>
      <c r="P45" s="55" t="str">
        <f t="array" ref="P45">_xlfn.XLOOKUP(B45,'Up Max'!A:A,'Up Max'!D:D,)</f>
        <v/>
      </c>
      <c r="Q45" s="57" t="str">
        <f t="array" ref="Q45">_xlfn.XLOOKUP(B45,'Up Stats'!A:A,'Up Stats'!E:E,)</f>
        <v/>
      </c>
      <c r="R45" s="54" t="str">
        <f>IFERROR(__xludf.DUMMYFUNCTION("if(AND(S45=FALSE,T45=FALSE),,if(S45=T45,JOIN("""",""Static: "",S45),JOIN("""",""Min:  "",S45, CHAR(10),""Max: "",T45)))"),"")</f>
        <v/>
      </c>
      <c r="S45" s="55" t="str">
        <f t="array" ref="S45">_xlfn.XLOOKUP(B45,'Up Min'!A:A,'Up Min'!E:E,)</f>
        <v/>
      </c>
      <c r="T45" s="55" t="str">
        <f t="array" ref="T45">_xlfn.XLOOKUP(B45,'Up Max'!A:A,'Up Max'!E:E,)</f>
        <v/>
      </c>
      <c r="U45" s="57" t="str">
        <f t="array" ref="U45">_xlfn.XLOOKUP(B45,'Up Stats'!A:A,'Up Stats'!F:F,)</f>
        <v/>
      </c>
      <c r="V45" s="54" t="str">
        <f>IFERROR(__xludf.DUMMYFUNCTION("if(AND(W45=FALSE,X45=FALSE),,if(W45=X45,JOIN("""",""Static: "",W45),JOIN("""",""Min:  "",W45, CHAR(10),""Max: "",X45)))"),"")</f>
        <v/>
      </c>
      <c r="W45" s="55" t="str">
        <f t="array" ref="W45">_xlfn.XLOOKUP(B45,'Up Min'!A:A,'Up Min'!F:F,)</f>
        <v/>
      </c>
      <c r="X45" s="55" t="str">
        <f t="array" ref="X45">_xlfn.XLOOKUP(B45,'Up Max'!A:A,'Up Max'!F:F,)</f>
        <v/>
      </c>
      <c r="Y45" s="57" t="str">
        <f t="array" ref="Y45">_xlfn.XLOOKUP(B45,'Up Stats'!A:A,'Up Stats'!G:G,)</f>
        <v/>
      </c>
      <c r="Z45" s="54" t="str">
        <f>IFERROR(__xludf.DUMMYFUNCTION("if(AND(AA45=FALSE,AB45=FALSE),,if(AA45=AB45,JOIN("""",""Static: "",AA45),JOIN("""",""Min:  "",AA45, CHAR(10),""Max: "",AB45)))"),"")</f>
        <v/>
      </c>
      <c r="AA45" s="55" t="str">
        <f t="array" ref="AA45">_xlfn.XLOOKUP(B45,'Up Min'!A:A,'Up Min'!G:G,)</f>
        <v/>
      </c>
      <c r="AB45" s="55" t="str">
        <f t="array" ref="AB45">_xlfn.XLOOKUP(B45,'Up Max'!A:A,'Up Max'!G:G,)</f>
        <v/>
      </c>
      <c r="AC45" s="57" t="str">
        <f t="array" ref="AC45">_xlfn.XLOOKUP(B45,'Up Stats'!A:A,'Up Stats'!H:H,)</f>
        <v/>
      </c>
      <c r="AD45" s="54" t="str">
        <f>IFERROR(__xludf.DUMMYFUNCTION("if(AND(AE45=FALSE,AF45=FALSE),,if(AE45=AF45,JOIN("""",""Static: "",AE45),JOIN("""",""Min:  "",AE45, CHAR(10),""Max: "",AF45)))"),"")</f>
        <v/>
      </c>
      <c r="AE45" s="55" t="str">
        <f t="array" ref="AE45">_xlfn.XLOOKUP(B45,'Up Min'!A:A,'Up Min'!H:H,)</f>
        <v/>
      </c>
      <c r="AF45" s="55" t="str">
        <f t="array" ref="AF45">_xlfn.XLOOKUP(B45,'Up Max'!A:A,'Up Max'!H:H,)</f>
        <v/>
      </c>
      <c r="AG45" s="57" t="str">
        <f t="array" ref="AG45">_xlfn.XLOOKUP(B45,'Up Stats'!A:A,'Up Stats'!I:I,)</f>
        <v/>
      </c>
      <c r="AH45" s="54" t="str">
        <f>IFERROR(__xludf.DUMMYFUNCTION("if(AND(AI45=FALSE,AJ45=FALSE),,if(AI45=AJ45,JOIN("""",""Static: "",AI45),JOIN("""",""Min:  "",AI45, CHAR(10),""Max: "",AJ45)))"),"")</f>
        <v/>
      </c>
      <c r="AI45" s="55" t="str">
        <f t="array" ref="AI45">_xlfn.XLOOKUP(B45,'Up Min'!A:A,'Up Min'!I:I,)</f>
        <v/>
      </c>
      <c r="AJ45" s="55" t="str">
        <f t="array" ref="AJ45">_xlfn.XLOOKUP(B45,'Up Max'!A:A,'Up Max'!I:I,)</f>
        <v/>
      </c>
      <c r="AK45" s="57" t="str">
        <f t="array" ref="AK45">_xlfn.XLOOKUP(B45,'Up Stats'!A:A,'Up Stats'!J:J,)</f>
        <v/>
      </c>
      <c r="AL45" s="54" t="str">
        <f>IFERROR(__xludf.DUMMYFUNCTION("if(AND(AM45=FALSE,AN45=FALSE),,if(AM45=AN45,JOIN("""",""Static: "",AM45),JOIN("""",""Min:  "",AM45, CHAR(10),""Max: "",AN45)))"),"")</f>
        <v/>
      </c>
      <c r="AM45" s="55" t="str">
        <f t="array" ref="AM45">_xlfn.XLOOKUP(B45,'Up Min'!A:A,'Up Min'!J:J,)</f>
        <v/>
      </c>
      <c r="AN45" s="55" t="str">
        <f t="array" ref="AN45">_xlfn.XLOOKUP(B45,'Up Max'!A:A,'Up Max'!J:J,)</f>
        <v/>
      </c>
      <c r="AO45" s="51" t="str">
        <f t="array" ref="AO45">CONCATENATE(_xlfn.XLOOKUP(B45,'Up Cells'!A:A,'Up Cells'!B:B,))</f>
        <v/>
      </c>
      <c r="AP45" s="51" t="str">
        <f t="array" ref="AP45">CONCATENATE(_xlfn.XLOOKUP(B45,'Up Rarity'!A:A,'Up Rarity'!B:B,),CHAR(10),"-")</f>
        <v>
-</v>
      </c>
    </row>
    <row r="46">
      <c r="A46" s="87" t="str">
        <f t="array" ref="A46">_xlfn.XLOOKUP(B46,'Up Icon'!A:A,'Up Icon'!B:B,)</f>
        <v/>
      </c>
      <c r="B46" s="34" t="str">
        <f t="array" ref="B46">HYPERLINK(_xlfn.XLOOKUP('Up Names'!C46,'Up Wiki'!A:A,'Up Wiki'!B:B,),'Up Names'!C46)</f>
        <v/>
      </c>
      <c r="C46" s="37" t="str">
        <f t="array" ref="C46">_xlfn.XLOOKUP(B46,'Up Desc'!A:A,'Up Desc'!B:B,)</f>
        <v/>
      </c>
      <c r="D46" s="37" t="str">
        <f t="array" ref="D46">_xlfn.XLOOKUP(B46,'Up Turbo'!A:A,'Up Turbo'!B:B,)</f>
        <v/>
      </c>
      <c r="E46" s="39" t="str">
        <f t="array" ref="E46">_xlfn.XLOOKUP(B46,'Up Stats'!A:A,'Up Stats'!B:B,)</f>
        <v/>
      </c>
      <c r="F46" s="40" t="str">
        <f>IFERROR(__xludf.DUMMYFUNCTION("if(AND(G46=FALSE,H46=FALSE),,if(G46=H46,JOIN("""",""Static: "",G46),JOIN("""",""Min:  "",G46, CHAR(10),""Max: "",H46)))"),"")</f>
        <v/>
      </c>
      <c r="G46" s="42" t="str">
        <f t="array" ref="G46">_xlfn.XLOOKUP(B46,'Up Min'!A:A,'Up Min'!B:B,)</f>
        <v/>
      </c>
      <c r="H46" s="45" t="str">
        <f t="array" ref="H46">_xlfn.XLOOKUP(B46,'Up Max'!A:A,'Up Max'!B:B,)</f>
        <v/>
      </c>
      <c r="I46" s="39" t="str">
        <f t="array" ref="I46">_xlfn.XLOOKUP(B46,'Up Stats'!A:A,'Up Stats'!C:C,)</f>
        <v/>
      </c>
      <c r="J46" s="40" t="str">
        <f>IFERROR(__xludf.DUMMYFUNCTION("if(AND(K46=FALSE,L46=FALSE),,if(K46=L46,JOIN("""",""Static: "",K46),JOIN("""",""Min:  "",K46, CHAR(10),""Max: "",L46)))"),"")</f>
        <v/>
      </c>
      <c r="K46" s="42" t="str">
        <f t="array" ref="K46">_xlfn.XLOOKUP(B46,'Up Min'!A:A,'Up Min'!C:C,)</f>
        <v/>
      </c>
      <c r="L46" s="42" t="str">
        <f t="array" ref="L46">_xlfn.XLOOKUP(B46,'Up Max'!A:A,'Up Max'!C:C,)</f>
        <v/>
      </c>
      <c r="M46" s="39" t="str">
        <f t="array" ref="M46">_xlfn.XLOOKUP(B46,'Up Stats'!A:A,'Up Stats'!D:D,)</f>
        <v/>
      </c>
      <c r="N46" s="40" t="str">
        <f>IFERROR(__xludf.DUMMYFUNCTION("if(AND(O46=FALSE,P46=FALSE),,if(O46=P46,JOIN("""",""Static: "",O46),JOIN("""",""Min:  "",O46, CHAR(10),""Max: "",P46)))"),"")</f>
        <v/>
      </c>
      <c r="O46" s="42" t="str">
        <f t="array" ref="O46">_xlfn.XLOOKUP(B46,'Up Min'!A:A,'Up Min'!D:D,)</f>
        <v/>
      </c>
      <c r="P46" s="42" t="str">
        <f t="array" ref="P46">_xlfn.XLOOKUP(B46,'Up Max'!A:A,'Up Max'!D:D,)</f>
        <v/>
      </c>
      <c r="Q46" s="48" t="str">
        <f t="array" ref="Q46">_xlfn.XLOOKUP(B46,'Up Stats'!A:A,'Up Stats'!E:E,)</f>
        <v/>
      </c>
      <c r="R46" s="40" t="str">
        <f>IFERROR(__xludf.DUMMYFUNCTION("if(AND(S46=FALSE,T46=FALSE),,if(S46=T46,JOIN("""",""Static: "",S46),JOIN("""",""Min:  "",S46, CHAR(10),""Max: "",T46)))"),"")</f>
        <v/>
      </c>
      <c r="S46" s="42" t="str">
        <f t="array" ref="S46">_xlfn.XLOOKUP(B46,'Up Min'!A:A,'Up Min'!E:E,)</f>
        <v/>
      </c>
      <c r="T46" s="42" t="str">
        <f t="array" ref="T46">_xlfn.XLOOKUP(B46,'Up Max'!A:A,'Up Max'!E:E,)</f>
        <v/>
      </c>
      <c r="U46" s="48" t="str">
        <f t="array" ref="U46">_xlfn.XLOOKUP(B46,'Up Stats'!A:A,'Up Stats'!F:F,)</f>
        <v/>
      </c>
      <c r="V46" s="40" t="str">
        <f>IFERROR(__xludf.DUMMYFUNCTION("if(AND(W46=FALSE,X46=FALSE),,if(W46=X46,JOIN("""",""Static: "",W46),JOIN("""",""Min:  "",W46, CHAR(10),""Max: "",X46)))"),"")</f>
        <v/>
      </c>
      <c r="W46" s="42" t="str">
        <f t="array" ref="W46">_xlfn.XLOOKUP(B46,'Up Min'!A:A,'Up Min'!F:F,)</f>
        <v/>
      </c>
      <c r="X46" s="42" t="str">
        <f t="array" ref="X46">_xlfn.XLOOKUP(B46,'Up Max'!A:A,'Up Max'!F:F,)</f>
        <v/>
      </c>
      <c r="Y46" s="48" t="str">
        <f t="array" ref="Y46">_xlfn.XLOOKUP(B46,'Up Stats'!A:A,'Up Stats'!G:G,)</f>
        <v/>
      </c>
      <c r="Z46" s="40" t="str">
        <f>IFERROR(__xludf.DUMMYFUNCTION("if(AND(AA46=FALSE,AB46=FALSE),,if(AA46=AB46,JOIN("""",""Static: "",AA46),JOIN("""",""Min:  "",AA46, CHAR(10),""Max: "",AB46)))"),"")</f>
        <v/>
      </c>
      <c r="AA46" s="42" t="str">
        <f t="array" ref="AA46">_xlfn.XLOOKUP(B46,'Up Min'!A:A,'Up Min'!G:G,)</f>
        <v/>
      </c>
      <c r="AB46" s="42" t="str">
        <f t="array" ref="AB46">_xlfn.XLOOKUP(B46,'Up Max'!A:A,'Up Max'!G:G,)</f>
        <v/>
      </c>
      <c r="AC46" s="48" t="str">
        <f t="array" ref="AC46">_xlfn.XLOOKUP(B46,'Up Stats'!A:A,'Up Stats'!H:H,)</f>
        <v/>
      </c>
      <c r="AD46" s="40" t="str">
        <f>IFERROR(__xludf.DUMMYFUNCTION("if(AND(AE46=FALSE,AF46=FALSE),,if(AE46=AF46,JOIN("""",""Static: "",AE46),JOIN("""",""Min:  "",AE46, CHAR(10),""Max: "",AF46)))"),"")</f>
        <v/>
      </c>
      <c r="AE46" s="42" t="str">
        <f t="array" ref="AE46">_xlfn.XLOOKUP(B46,'Up Min'!A:A,'Up Min'!H:H,)</f>
        <v/>
      </c>
      <c r="AF46" s="42" t="str">
        <f t="array" ref="AF46">_xlfn.XLOOKUP(B46,'Up Max'!A:A,'Up Max'!H:H,)</f>
        <v/>
      </c>
      <c r="AG46" s="48" t="str">
        <f t="array" ref="AG46">_xlfn.XLOOKUP(B46,'Up Stats'!A:A,'Up Stats'!I:I,)</f>
        <v/>
      </c>
      <c r="AH46" s="40" t="str">
        <f>IFERROR(__xludf.DUMMYFUNCTION("if(AND(AI46=FALSE,AJ46=FALSE),,if(AI46=AJ46,JOIN("""",""Static: "",AI46),JOIN("""",""Min:  "",AI46, CHAR(10),""Max: "",AJ46)))"),"")</f>
        <v/>
      </c>
      <c r="AI46" s="42" t="str">
        <f t="array" ref="AI46">_xlfn.XLOOKUP(B46,'Up Min'!A:A,'Up Min'!I:I,)</f>
        <v/>
      </c>
      <c r="AJ46" s="42" t="str">
        <f t="array" ref="AJ46">_xlfn.XLOOKUP(B46,'Up Max'!A:A,'Up Max'!I:I,)</f>
        <v/>
      </c>
      <c r="AK46" s="48" t="str">
        <f t="array" ref="AK46">_xlfn.XLOOKUP(B46,'Up Stats'!A:A,'Up Stats'!J:J,)</f>
        <v/>
      </c>
      <c r="AL46" s="40" t="str">
        <f>IFERROR(__xludf.DUMMYFUNCTION("if(AND(AM46=FALSE,AN46=FALSE),,if(AM46=AN46,JOIN("""",""Static: "",AM46),JOIN("""",""Min:  "",AM46, CHAR(10),""Max: "",AN46)))"),"")</f>
        <v/>
      </c>
      <c r="AM46" s="42" t="str">
        <f t="array" ref="AM46">_xlfn.XLOOKUP(B46,'Up Min'!A:A,'Up Min'!J:J,)</f>
        <v/>
      </c>
      <c r="AN46" s="42" t="str">
        <f t="array" ref="AN46">_xlfn.XLOOKUP(B46,'Up Max'!A:A,'Up Max'!J:J,)</f>
        <v/>
      </c>
      <c r="AO46" s="34" t="str">
        <f t="array" ref="AO46">CONCATENATE(_xlfn.XLOOKUP(B46,'Up Cells'!A:A,'Up Cells'!B:B,))</f>
        <v/>
      </c>
      <c r="AP46" s="34" t="str">
        <f t="array" ref="AP46">CONCATENATE(_xlfn.XLOOKUP(B46,'Up Rarity'!A:A,'Up Rarity'!B:B,),CHAR(10),"-")</f>
        <v>
-</v>
      </c>
    </row>
    <row r="47">
      <c r="A47" s="86" t="str">
        <f t="array" ref="A47">_xlfn.XLOOKUP(B47,'Up Icon'!A:A,'Up Icon'!B:B,)</f>
        <v/>
      </c>
      <c r="B47" s="51" t="str">
        <f t="array" ref="B47">HYPERLINK(_xlfn.XLOOKUP('Up Names'!C47,'Up Wiki'!A:A,'Up Wiki'!B:B,),'Up Names'!C47)</f>
        <v/>
      </c>
      <c r="C47" s="52" t="str">
        <f t="array" ref="C47">_xlfn.XLOOKUP(B47,'Up Desc'!A:A,'Up Desc'!B:B,)</f>
        <v/>
      </c>
      <c r="D47" s="52" t="str">
        <f t="array" ref="D47">_xlfn.XLOOKUP(B47,'Up Turbo'!A:A,'Up Turbo'!B:B,)</f>
        <v/>
      </c>
      <c r="E47" s="53" t="str">
        <f t="array" ref="E47">_xlfn.XLOOKUP(B47,'Up Stats'!A:A,'Up Stats'!B:B,)</f>
        <v/>
      </c>
      <c r="F47" s="54" t="str">
        <f>IFERROR(__xludf.DUMMYFUNCTION("if(AND(G47=FALSE,H47=FALSE),,if(G47=H47,JOIN("""",""Static: "",G47),JOIN("""",""Min:  "",G47, CHAR(10),""Max: "",H47)))"),"")</f>
        <v/>
      </c>
      <c r="G47" s="55" t="str">
        <f t="array" ref="G47">_xlfn.XLOOKUP(B47,'Up Min'!A:A,'Up Min'!B:B,)</f>
        <v/>
      </c>
      <c r="H47" s="56" t="str">
        <f t="array" ref="H47">_xlfn.XLOOKUP(B47,'Up Max'!A:A,'Up Max'!B:B,)</f>
        <v/>
      </c>
      <c r="I47" s="53" t="str">
        <f t="array" ref="I47">_xlfn.XLOOKUP(B47,'Up Stats'!A:A,'Up Stats'!C:C,)</f>
        <v/>
      </c>
      <c r="J47" s="54" t="str">
        <f>IFERROR(__xludf.DUMMYFUNCTION("if(AND(K47=FALSE,L47=FALSE),,if(K47=L47,JOIN("""",""Static: "",K47),JOIN("""",""Min:  "",K47, CHAR(10),""Max: "",L47)))"),"")</f>
        <v/>
      </c>
      <c r="K47" s="55" t="str">
        <f t="array" ref="K47">_xlfn.XLOOKUP(B47,'Up Min'!A:A,'Up Min'!C:C,)</f>
        <v/>
      </c>
      <c r="L47" s="55" t="str">
        <f t="array" ref="L47">_xlfn.XLOOKUP(B47,'Up Max'!A:A,'Up Max'!C:C,)</f>
        <v/>
      </c>
      <c r="M47" s="53" t="str">
        <f t="array" ref="M47">_xlfn.XLOOKUP(B47,'Up Stats'!A:A,'Up Stats'!D:D,)</f>
        <v/>
      </c>
      <c r="N47" s="54" t="str">
        <f>IFERROR(__xludf.DUMMYFUNCTION("if(AND(O47=FALSE,P47=FALSE),,if(O47=P47,JOIN("""",""Static: "",O47),JOIN("""",""Min:  "",O47, CHAR(10),""Max: "",P47)))"),"")</f>
        <v/>
      </c>
      <c r="O47" s="55" t="str">
        <f t="array" ref="O47">_xlfn.XLOOKUP(B47,'Up Min'!A:A,'Up Min'!D:D,)</f>
        <v/>
      </c>
      <c r="P47" s="55" t="str">
        <f t="array" ref="P47">_xlfn.XLOOKUP(B47,'Up Max'!A:A,'Up Max'!D:D,)</f>
        <v/>
      </c>
      <c r="Q47" s="57" t="str">
        <f t="array" ref="Q47">_xlfn.XLOOKUP(B47,'Up Stats'!A:A,'Up Stats'!E:E,)</f>
        <v/>
      </c>
      <c r="R47" s="54" t="str">
        <f>IFERROR(__xludf.DUMMYFUNCTION("if(AND(S47=FALSE,T47=FALSE),,if(S47=T47,JOIN("""",""Static: "",S47),JOIN("""",""Min:  "",S47, CHAR(10),""Max: "",T47)))"),"")</f>
        <v/>
      </c>
      <c r="S47" s="55" t="str">
        <f t="array" ref="S47">_xlfn.XLOOKUP(B47,'Up Min'!A:A,'Up Min'!E:E,)</f>
        <v/>
      </c>
      <c r="T47" s="55" t="str">
        <f t="array" ref="T47">_xlfn.XLOOKUP(B47,'Up Max'!A:A,'Up Max'!E:E,)</f>
        <v/>
      </c>
      <c r="U47" s="57" t="str">
        <f t="array" ref="U47">_xlfn.XLOOKUP(B47,'Up Stats'!A:A,'Up Stats'!F:F,)</f>
        <v/>
      </c>
      <c r="V47" s="54" t="str">
        <f>IFERROR(__xludf.DUMMYFUNCTION("if(AND(W47=FALSE,X47=FALSE),,if(W47=X47,JOIN("""",""Static: "",W47),JOIN("""",""Min:  "",W47, CHAR(10),""Max: "",X47)))"),"")</f>
        <v/>
      </c>
      <c r="W47" s="55" t="str">
        <f t="array" ref="W47">_xlfn.XLOOKUP(B47,'Up Min'!A:A,'Up Min'!F:F,)</f>
        <v/>
      </c>
      <c r="X47" s="55" t="str">
        <f t="array" ref="X47">_xlfn.XLOOKUP(B47,'Up Max'!A:A,'Up Max'!F:F,)</f>
        <v/>
      </c>
      <c r="Y47" s="57" t="str">
        <f t="array" ref="Y47">_xlfn.XLOOKUP(B47,'Up Stats'!A:A,'Up Stats'!G:G,)</f>
        <v/>
      </c>
      <c r="Z47" s="54" t="str">
        <f>IFERROR(__xludf.DUMMYFUNCTION("if(AND(AA47=FALSE,AB47=FALSE),,if(AA47=AB47,JOIN("""",""Static: "",AA47),JOIN("""",""Min:  "",AA47, CHAR(10),""Max: "",AB47)))"),"")</f>
        <v/>
      </c>
      <c r="AA47" s="55" t="str">
        <f t="array" ref="AA47">_xlfn.XLOOKUP(B47,'Up Min'!A:A,'Up Min'!G:G,)</f>
        <v/>
      </c>
      <c r="AB47" s="55" t="str">
        <f t="array" ref="AB47">_xlfn.XLOOKUP(B47,'Up Max'!A:A,'Up Max'!G:G,)</f>
        <v/>
      </c>
      <c r="AC47" s="57" t="str">
        <f t="array" ref="AC47">_xlfn.XLOOKUP(B47,'Up Stats'!A:A,'Up Stats'!H:H,)</f>
        <v/>
      </c>
      <c r="AD47" s="54" t="str">
        <f>IFERROR(__xludf.DUMMYFUNCTION("if(AND(AE47=FALSE,AF47=FALSE),,if(AE47=AF47,JOIN("""",""Static: "",AE47),JOIN("""",""Min:  "",AE47, CHAR(10),""Max: "",AF47)))"),"")</f>
        <v/>
      </c>
      <c r="AE47" s="55" t="str">
        <f t="array" ref="AE47">_xlfn.XLOOKUP(B47,'Up Min'!A:A,'Up Min'!H:H,)</f>
        <v/>
      </c>
      <c r="AF47" s="55" t="str">
        <f t="array" ref="AF47">_xlfn.XLOOKUP(B47,'Up Max'!A:A,'Up Max'!H:H,)</f>
        <v/>
      </c>
      <c r="AG47" s="57" t="str">
        <f t="array" ref="AG47">_xlfn.XLOOKUP(B47,'Up Stats'!A:A,'Up Stats'!I:I,)</f>
        <v/>
      </c>
      <c r="AH47" s="54" t="str">
        <f>IFERROR(__xludf.DUMMYFUNCTION("if(AND(AI47=FALSE,AJ47=FALSE),,if(AI47=AJ47,JOIN("""",""Static: "",AI47),JOIN("""",""Min:  "",AI47, CHAR(10),""Max: "",AJ47)))"),"")</f>
        <v/>
      </c>
      <c r="AI47" s="55" t="str">
        <f t="array" ref="AI47">_xlfn.XLOOKUP(B47,'Up Min'!A:A,'Up Min'!I:I,)</f>
        <v/>
      </c>
      <c r="AJ47" s="55" t="str">
        <f t="array" ref="AJ47">_xlfn.XLOOKUP(B47,'Up Max'!A:A,'Up Max'!I:I,)</f>
        <v/>
      </c>
      <c r="AK47" s="57" t="str">
        <f t="array" ref="AK47">_xlfn.XLOOKUP(B47,'Up Stats'!A:A,'Up Stats'!J:J,)</f>
        <v/>
      </c>
      <c r="AL47" s="54" t="str">
        <f>IFERROR(__xludf.DUMMYFUNCTION("if(AND(AM47=FALSE,AN47=FALSE),,if(AM47=AN47,JOIN("""",""Static: "",AM47),JOIN("""",""Min:  "",AM47, CHAR(10),""Max: "",AN47)))"),"")</f>
        <v/>
      </c>
      <c r="AM47" s="55" t="str">
        <f t="array" ref="AM47">_xlfn.XLOOKUP(B47,'Up Min'!A:A,'Up Min'!J:J,)</f>
        <v/>
      </c>
      <c r="AN47" s="55" t="str">
        <f t="array" ref="AN47">_xlfn.XLOOKUP(B47,'Up Max'!A:A,'Up Max'!J:J,)</f>
        <v/>
      </c>
      <c r="AO47" s="51" t="str">
        <f t="array" ref="AO47">CONCATENATE(_xlfn.XLOOKUP(B47,'Up Cells'!A:A,'Up Cells'!B:B,))</f>
        <v/>
      </c>
      <c r="AP47" s="51" t="str">
        <f t="array" ref="AP47">CONCATENATE(_xlfn.XLOOKUP(B47,'Up Rarity'!A:A,'Up Rarity'!B:B,),CHAR(10),"-")</f>
        <v>
-</v>
      </c>
    </row>
  </sheetData>
  <autoFilter ref="$A$1:$AP$47">
    <sortState ref="A1:AP47">
      <sortCondition descending="1" sortBy="cellColor" ref="AP1:AP47" dxfId="2"/>
    </sortState>
  </autoFilter>
  <conditionalFormatting sqref="AO1:AP47">
    <cfRule type="containsText" dxfId="3" priority="1" operator="containsText" text="Oddity">
      <formula>NOT(ISERROR(SEARCH(("Oddity"),(AO1))))</formula>
    </cfRule>
  </conditionalFormatting>
  <conditionalFormatting sqref="AO1:AP47">
    <cfRule type="containsText" dxfId="4" priority="2" operator="containsText" text="Exotic">
      <formula>NOT(ISERROR(SEARCH(("Exotic"),(AO1))))</formula>
    </cfRule>
  </conditionalFormatting>
  <conditionalFormatting sqref="AO1:AP47">
    <cfRule type="containsText" dxfId="5" priority="3" operator="containsText" text="Epic">
      <formula>NOT(ISERROR(SEARCH(("Epic"),(AO1))))</formula>
    </cfRule>
  </conditionalFormatting>
  <conditionalFormatting sqref="AO1:AP47">
    <cfRule type="containsText" dxfId="6" priority="4" operator="containsText" text="Rare">
      <formula>NOT(ISERROR(SEARCH(("Rare"),(AO1))))</formula>
    </cfRule>
  </conditionalFormatting>
  <conditionalFormatting sqref="AO1:AP47">
    <cfRule type="containsText" dxfId="7" priority="5" operator="containsText" text="Standard">
      <formula>NOT(ISERROR(SEARCH(("Standard"),(AO1))))</formula>
    </cfRule>
  </conditionalFormatting>
  <conditionalFormatting sqref="AO1:AP47">
    <cfRule type="containsText" dxfId="8" priority="6" operator="containsText" text="Contraband">
      <formula>NOT(ISERROR(SEARCH(("Contraband"),(AO1))))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12.63"/>
    <col customWidth="1" min="3" max="4" width="31.38"/>
    <col customWidth="1" min="5" max="6" width="12.63"/>
    <col customWidth="1" hidden="1" min="7" max="8" width="12.63"/>
    <col customWidth="1" min="9" max="10" width="12.63"/>
    <col customWidth="1" hidden="1" min="11" max="12" width="12.63"/>
    <col customWidth="1" min="13" max="14" width="12.63"/>
    <col customWidth="1" hidden="1" min="15" max="16" width="12.63"/>
    <col customWidth="1" min="17" max="18" width="12.63"/>
    <col customWidth="1" hidden="1" min="19" max="20" width="12.63"/>
    <col customWidth="1" min="21" max="22" width="12.63"/>
    <col customWidth="1" hidden="1" min="23" max="24" width="12.63"/>
    <col customWidth="1" min="25" max="26" width="12.63"/>
    <col customWidth="1" hidden="1" min="27" max="28" width="12.63"/>
    <col customWidth="1" min="29" max="30" width="12.63"/>
    <col customWidth="1" hidden="1" min="31" max="32" width="12.63"/>
    <col customWidth="1" min="33" max="34" width="12.63"/>
    <col customWidth="1" hidden="1" min="35" max="36" width="12.63"/>
    <col customWidth="1" min="37" max="38" width="12.63"/>
    <col customWidth="1" hidden="1" min="39" max="40" width="12.63"/>
    <col customWidth="1" min="41" max="42" width="8.25"/>
  </cols>
  <sheetData>
    <row r="1">
      <c r="A1" s="28" t="s">
        <v>1</v>
      </c>
      <c r="B1" s="9" t="s">
        <v>2</v>
      </c>
      <c r="C1" s="9" t="s">
        <v>3</v>
      </c>
      <c r="D1" s="11" t="s">
        <v>4</v>
      </c>
      <c r="E1" s="16" t="s">
        <v>6</v>
      </c>
      <c r="F1" s="19" t="s">
        <v>7</v>
      </c>
      <c r="G1" s="21" t="s">
        <v>8</v>
      </c>
      <c r="H1" s="25" t="s">
        <v>9</v>
      </c>
      <c r="I1" s="29" t="s">
        <v>6</v>
      </c>
      <c r="J1" s="19" t="s">
        <v>7</v>
      </c>
      <c r="K1" s="21" t="s">
        <v>8</v>
      </c>
      <c r="L1" s="21" t="s">
        <v>9</v>
      </c>
      <c r="M1" s="29" t="s">
        <v>6</v>
      </c>
      <c r="N1" s="19" t="s">
        <v>7</v>
      </c>
      <c r="O1" s="21" t="s">
        <v>8</v>
      </c>
      <c r="P1" s="21" t="s">
        <v>9</v>
      </c>
      <c r="Q1" s="16" t="s">
        <v>6</v>
      </c>
      <c r="R1" s="19" t="s">
        <v>7</v>
      </c>
      <c r="S1" s="25" t="s">
        <v>8</v>
      </c>
      <c r="T1" s="21" t="s">
        <v>9</v>
      </c>
      <c r="U1" s="16" t="s">
        <v>6</v>
      </c>
      <c r="V1" s="19" t="s">
        <v>7</v>
      </c>
      <c r="W1" s="25" t="s">
        <v>8</v>
      </c>
      <c r="X1" s="25" t="s">
        <v>9</v>
      </c>
      <c r="Y1" s="16" t="s">
        <v>6</v>
      </c>
      <c r="Z1" s="19" t="s">
        <v>7</v>
      </c>
      <c r="AA1" s="21" t="s">
        <v>8</v>
      </c>
      <c r="AB1" s="25" t="s">
        <v>9</v>
      </c>
      <c r="AC1" s="29" t="s">
        <v>6</v>
      </c>
      <c r="AD1" s="19" t="s">
        <v>7</v>
      </c>
      <c r="AE1" s="21" t="s">
        <v>8</v>
      </c>
      <c r="AF1" s="21" t="s">
        <v>9</v>
      </c>
      <c r="AG1" s="29" t="s">
        <v>6</v>
      </c>
      <c r="AH1" s="19" t="s">
        <v>7</v>
      </c>
      <c r="AI1" s="21" t="s">
        <v>8</v>
      </c>
      <c r="AJ1" s="21" t="s">
        <v>9</v>
      </c>
      <c r="AK1" s="16" t="s">
        <v>6</v>
      </c>
      <c r="AL1" s="19" t="s">
        <v>7</v>
      </c>
      <c r="AM1" s="21" t="s">
        <v>8</v>
      </c>
      <c r="AN1" s="21" t="s">
        <v>9</v>
      </c>
      <c r="AO1" s="11" t="s">
        <v>12</v>
      </c>
      <c r="AP1" s="22" t="s">
        <v>13</v>
      </c>
    </row>
    <row r="2">
      <c r="A2" s="31" t="str">
        <f t="array" ref="A2">_xlfn.XLOOKUP(B2,'Up Icon'!A:A,'Up Icon'!B:B,)</f>
        <v/>
      </c>
      <c r="B2" s="34" t="str">
        <f t="array" ref="B2">HYPERLINK(_xlfn.XLOOKUP('Up Names'!D35,'Up Wiki'!A:A,'Up Wiki'!B:B,),'Up Names'!D35)</f>
        <v>Edge Fault</v>
      </c>
      <c r="C2" s="37" t="str">
        <f t="array" ref="C2">_xlfn.XLOOKUP(B2,'Up Desc'!A:A,'Up Desc'!B:B,)</f>
        <v>Increases the size of your upgrade grid.</v>
      </c>
      <c r="D2" s="37" t="str">
        <f t="array" ref="D2">_xlfn.XLOOKUP(B2,'Up Turbo'!A:A,'Up Turbo'!B:B,)</f>
        <v>n/a</v>
      </c>
      <c r="E2" s="39" t="str">
        <f t="array" ref="E2">_xlfn.XLOOKUP(B2,'Up Stats'!A:A,'Up Stats'!B:B,)</f>
        <v/>
      </c>
      <c r="F2" s="40" t="str">
        <f>IFERROR(__xludf.DUMMYFUNCTION("if(AND(G2=FALSE,H2=FALSE),,if(G2=H2,JOIN("""",""Static: "",G2),JOIN("""",""Min:  "",G2, CHAR(10),""Max: "",H2)))"),"")</f>
        <v/>
      </c>
      <c r="G2" s="42" t="str">
        <f t="array" ref="G2">_xlfn.XLOOKUP(B2,'Up Min'!A:A,'Up Min'!B:B,)</f>
        <v/>
      </c>
      <c r="H2" s="45" t="str">
        <f t="array" ref="H2">_xlfn.XLOOKUP(B2,'Up Max'!A:A,'Up Max'!B:B,)</f>
        <v/>
      </c>
      <c r="I2" s="39" t="str">
        <f t="array" ref="I2">_xlfn.XLOOKUP(B2,'Up Stats'!A:A,'Up Stats'!C:C,)</f>
        <v/>
      </c>
      <c r="J2" s="40" t="str">
        <f>IFERROR(__xludf.DUMMYFUNCTION("if(AND(K2=FALSE,L2=FALSE),,if(K2=L2,JOIN("""",""Static: "",K2),JOIN("""",""Min:  "",K2, CHAR(10),""Max: "",L2)))"),"")</f>
        <v/>
      </c>
      <c r="K2" s="42" t="str">
        <f t="array" ref="K2">_xlfn.XLOOKUP(B2,'Up Min'!A:A,'Up Min'!C:C,)</f>
        <v/>
      </c>
      <c r="L2" s="42" t="str">
        <f t="array" ref="L2">_xlfn.XLOOKUP(B2,'Up Max'!A:A,'Up Max'!C:C,)</f>
        <v/>
      </c>
      <c r="M2" s="39" t="str">
        <f t="array" ref="M2">_xlfn.XLOOKUP(B2,'Up Stats'!A:A,'Up Stats'!D:D,)</f>
        <v/>
      </c>
      <c r="N2" s="40" t="str">
        <f>IFERROR(__xludf.DUMMYFUNCTION("if(AND(O2=FALSE,P2=FALSE),,if(O2=P2,JOIN("""",""Static: "",O2),JOIN("""",""Min:  "",O2, CHAR(10),""Max: "",P2)))"),"")</f>
        <v/>
      </c>
      <c r="O2" s="42" t="str">
        <f t="array" ref="O2">_xlfn.XLOOKUP(B2,'Up Min'!A:A,'Up Min'!D:D,)</f>
        <v/>
      </c>
      <c r="P2" s="42" t="str">
        <f t="array" ref="P2">_xlfn.XLOOKUP(B2,'Up Max'!A:A,'Up Max'!D:D,)</f>
        <v/>
      </c>
      <c r="Q2" s="48" t="str">
        <f t="array" ref="Q2">_xlfn.XLOOKUP(B2,'Up Stats'!A:A,'Up Stats'!E:E,)</f>
        <v/>
      </c>
      <c r="R2" s="40" t="str">
        <f>IFERROR(__xludf.DUMMYFUNCTION("if(AND(S2=FALSE,T2=FALSE),,if(S2=T2,JOIN("""",""Static: "",S2),JOIN("""",""Min:  "",S2, CHAR(10),""Max: "",T2)))"),"")</f>
        <v/>
      </c>
      <c r="S2" s="42" t="str">
        <f t="array" ref="S2">_xlfn.XLOOKUP(B2,'Up Min'!A:A,'Up Min'!E:E,)</f>
        <v/>
      </c>
      <c r="T2" s="42" t="str">
        <f t="array" ref="T2">_xlfn.XLOOKUP(B2,'Up Max'!A:A,'Up Max'!E:E,)</f>
        <v/>
      </c>
      <c r="U2" s="48" t="str">
        <f t="array" ref="U2">_xlfn.XLOOKUP(B2,'Up Stats'!A:A,'Up Stats'!F:F,)</f>
        <v/>
      </c>
      <c r="V2" s="40" t="str">
        <f>IFERROR(__xludf.DUMMYFUNCTION("if(AND(W2=FALSE,X2=FALSE),,if(W2=X2,JOIN("""",""Static: "",W2),JOIN("""",""Min:  "",W2, CHAR(10),""Max: "",X2)))"),"")</f>
        <v/>
      </c>
      <c r="W2" s="42" t="str">
        <f t="array" ref="W2">_xlfn.XLOOKUP(B2,'Up Min'!A:A,'Up Min'!F:F,)</f>
        <v/>
      </c>
      <c r="X2" s="42" t="str">
        <f t="array" ref="X2">_xlfn.XLOOKUP(B2,'Up Max'!A:A,'Up Max'!F:F,)</f>
        <v/>
      </c>
      <c r="Y2" s="48" t="str">
        <f t="array" ref="Y2">_xlfn.XLOOKUP(B2,'Up Stats'!A:A,'Up Stats'!G:G,)</f>
        <v/>
      </c>
      <c r="Z2" s="40" t="str">
        <f>IFERROR(__xludf.DUMMYFUNCTION("if(AND(AA2=FALSE,AB2=FALSE),,if(AA2=AB2,JOIN("""",""Static: "",AA2),JOIN("""",""Min:  "",AA2, CHAR(10),""Max: "",AB2)))"),"")</f>
        <v/>
      </c>
      <c r="AA2" s="42" t="str">
        <f t="array" ref="AA2">_xlfn.XLOOKUP(B2,'Up Min'!A:A,'Up Min'!G:G,)</f>
        <v/>
      </c>
      <c r="AB2" s="42" t="str">
        <f t="array" ref="AB2">_xlfn.XLOOKUP(B2,'Up Max'!A:A,'Up Max'!G:G,)</f>
        <v/>
      </c>
      <c r="AC2" s="48" t="str">
        <f t="array" ref="AC2">_xlfn.XLOOKUP(B2,'Up Stats'!A:A,'Up Stats'!H:H,)</f>
        <v/>
      </c>
      <c r="AD2" s="40" t="str">
        <f>IFERROR(__xludf.DUMMYFUNCTION("if(AND(AE2=FALSE,AF2=FALSE),,if(AE2=AF2,JOIN("""",""Static: "",AE2),JOIN("""",""Min:  "",AE2, CHAR(10),""Max: "",AF2)))"),"")</f>
        <v/>
      </c>
      <c r="AE2" s="42" t="str">
        <f t="array" ref="AE2">_xlfn.XLOOKUP(B2,'Up Min'!A:A,'Up Min'!H:H,)</f>
        <v/>
      </c>
      <c r="AF2" s="42" t="str">
        <f t="array" ref="AF2">_xlfn.XLOOKUP(B2,'Up Max'!A:A,'Up Max'!H:H,)</f>
        <v/>
      </c>
      <c r="AG2" s="48" t="str">
        <f t="array" ref="AG2">_xlfn.XLOOKUP(B2,'Up Stats'!A:A,'Up Stats'!I:I,)</f>
        <v/>
      </c>
      <c r="AH2" s="40" t="str">
        <f>IFERROR(__xludf.DUMMYFUNCTION("if(AND(AI2=FALSE,AJ2=FALSE),,if(AI2=AJ2,JOIN("""",""Static: "",AI2),JOIN("""",""Min:  "",AI2, CHAR(10),""Max: "",AJ2)))"),"")</f>
        <v/>
      </c>
      <c r="AI2" s="42" t="str">
        <f t="array" ref="AI2">_xlfn.XLOOKUP(B2,'Up Min'!A:A,'Up Min'!I:I,)</f>
        <v/>
      </c>
      <c r="AJ2" s="42" t="str">
        <f t="array" ref="AJ2">_xlfn.XLOOKUP(B2,'Up Max'!A:A,'Up Max'!I:I,)</f>
        <v/>
      </c>
      <c r="AK2" s="48" t="str">
        <f t="array" ref="AK2">_xlfn.XLOOKUP(B2,'Up Stats'!A:A,'Up Stats'!J:J,)</f>
        <v/>
      </c>
      <c r="AL2" s="40" t="str">
        <f>IFERROR(__xludf.DUMMYFUNCTION("if(AND(AM2=FALSE,AN2=FALSE),,if(AM2=AN2,JOIN("""",""Static: "",AM2),JOIN("""",""Min:  "",AM2, CHAR(10),""Max: "",AN2)))"),"")</f>
        <v/>
      </c>
      <c r="AM2" s="42" t="str">
        <f t="array" ref="AM2">_xlfn.XLOOKUP(B2,'Up Min'!A:A,'Up Min'!J:J,)</f>
        <v/>
      </c>
      <c r="AN2" s="42" t="str">
        <f t="array" ref="AN2">_xlfn.XLOOKUP(B2,'Up Max'!A:A,'Up Max'!J:J,)</f>
        <v/>
      </c>
      <c r="AO2" s="34" t="str">
        <f t="array" ref="AO2">CONCATENATE(_xlfn.XLOOKUP(B2,'Up Cells'!A:A,'Up Cells'!B:B,))</f>
        <v>1</v>
      </c>
      <c r="AP2" s="34" t="str">
        <f t="array" ref="AP2">CONCATENATE(_xlfn.XLOOKUP(B2,'Up Rarity'!A:A,'Up Rarity'!B:B,),CHAR(10),"-")</f>
        <v>Contraband
-</v>
      </c>
    </row>
    <row r="3">
      <c r="A3" s="31" t="str">
        <f t="array" ref="A3">_xlfn.XLOOKUP(B3,'Up Icon'!A:A,'Up Icon'!B:B,)</f>
        <v/>
      </c>
      <c r="B3" s="51" t="str">
        <f t="array" ref="B3">HYPERLINK(_xlfn.XLOOKUP('Up Names'!D36,'Up Wiki'!A:A,'Up Wiki'!B:B,),'Up Names'!D36)</f>
        <v>Multiversal Thievery</v>
      </c>
      <c r="C3" s="52" t="str">
        <f t="array" ref="C3">_xlfn.XLOOKUP(B3,'Up Desc'!A:A,'Up Desc'!B:B,)</f>
        <v>Commandeers 1 column from each of your other upgrade grids.</v>
      </c>
      <c r="D3" s="52" t="str">
        <f t="array" ref="D3">_xlfn.XLOOKUP(B3,'Up Turbo'!A:A,'Up Turbo'!B:B,)</f>
        <v>n/a</v>
      </c>
      <c r="E3" s="53" t="str">
        <f t="array" ref="E3">_xlfn.XLOOKUP(B3,'Up Stats'!A:A,'Up Stats'!B:B,)</f>
        <v/>
      </c>
      <c r="F3" s="54" t="str">
        <f>IFERROR(__xludf.DUMMYFUNCTION("if(AND(G3=FALSE,H3=FALSE),,if(G3=H3,JOIN("""",""Static: "",G3),JOIN("""",""Min:  "",G3, CHAR(10),""Max: "",H3)))"),"")</f>
        <v/>
      </c>
      <c r="G3" s="55" t="str">
        <f t="array" ref="G3">_xlfn.XLOOKUP(B3,'Up Min'!A:A,'Up Min'!B:B,)</f>
        <v/>
      </c>
      <c r="H3" s="56" t="str">
        <f t="array" ref="H3">_xlfn.XLOOKUP(B3,'Up Max'!A:A,'Up Max'!B:B,)</f>
        <v/>
      </c>
      <c r="I3" s="53" t="str">
        <f t="array" ref="I3">_xlfn.XLOOKUP(B3,'Up Stats'!A:A,'Up Stats'!C:C,)</f>
        <v/>
      </c>
      <c r="J3" s="54" t="str">
        <f>IFERROR(__xludf.DUMMYFUNCTION("if(AND(K3=FALSE,L3=FALSE),,if(K3=L3,JOIN("""",""Static: "",K3),JOIN("""",""Min:  "",K3, CHAR(10),""Max: "",L3)))"),"")</f>
        <v/>
      </c>
      <c r="K3" s="55" t="str">
        <f t="array" ref="K3">_xlfn.XLOOKUP(B3,'Up Min'!A:A,'Up Min'!C:C,)</f>
        <v/>
      </c>
      <c r="L3" s="55" t="str">
        <f t="array" ref="L3">_xlfn.XLOOKUP(B3,'Up Max'!A:A,'Up Max'!C:C,)</f>
        <v/>
      </c>
      <c r="M3" s="53" t="str">
        <f t="array" ref="M3">_xlfn.XLOOKUP(B3,'Up Stats'!A:A,'Up Stats'!D:D,)</f>
        <v/>
      </c>
      <c r="N3" s="54" t="str">
        <f>IFERROR(__xludf.DUMMYFUNCTION("if(AND(O3=FALSE,P3=FALSE),,if(O3=P3,JOIN("""",""Static: "",O3),JOIN("""",""Min:  "",O3, CHAR(10),""Max: "",P3)))"),"")</f>
        <v/>
      </c>
      <c r="O3" s="55" t="str">
        <f t="array" ref="O3">_xlfn.XLOOKUP(B3,'Up Min'!A:A,'Up Min'!D:D,)</f>
        <v/>
      </c>
      <c r="P3" s="55" t="str">
        <f t="array" ref="P3">_xlfn.XLOOKUP(B3,'Up Max'!A:A,'Up Max'!D:D,)</f>
        <v/>
      </c>
      <c r="Q3" s="57" t="str">
        <f t="array" ref="Q3">_xlfn.XLOOKUP(B3,'Up Stats'!A:A,'Up Stats'!E:E,)</f>
        <v/>
      </c>
      <c r="R3" s="54" t="str">
        <f>IFERROR(__xludf.DUMMYFUNCTION("if(AND(S3=FALSE,T3=FALSE),,if(S3=T3,JOIN("""",""Static: "",S3),JOIN("""",""Min:  "",S3, CHAR(10),""Max: "",T3)))"),"")</f>
        <v/>
      </c>
      <c r="S3" s="55" t="str">
        <f t="array" ref="S3">_xlfn.XLOOKUP(B3,'Up Min'!A:A,'Up Min'!E:E,)</f>
        <v/>
      </c>
      <c r="T3" s="55" t="str">
        <f t="array" ref="T3">_xlfn.XLOOKUP(B3,'Up Max'!A:A,'Up Max'!E:E,)</f>
        <v/>
      </c>
      <c r="U3" s="57" t="str">
        <f t="array" ref="U3">_xlfn.XLOOKUP(B3,'Up Stats'!A:A,'Up Stats'!F:F,)</f>
        <v/>
      </c>
      <c r="V3" s="54" t="str">
        <f>IFERROR(__xludf.DUMMYFUNCTION("if(AND(W3=FALSE,X3=FALSE),,if(W3=X3,JOIN("""",""Static: "",W3),JOIN("""",""Min:  "",W3, CHAR(10),""Max: "",X3)))"),"")</f>
        <v/>
      </c>
      <c r="W3" s="55" t="str">
        <f t="array" ref="W3">_xlfn.XLOOKUP(B3,'Up Min'!A:A,'Up Min'!F:F,)</f>
        <v/>
      </c>
      <c r="X3" s="55" t="str">
        <f t="array" ref="X3">_xlfn.XLOOKUP(B3,'Up Max'!A:A,'Up Max'!F:F,)</f>
        <v/>
      </c>
      <c r="Y3" s="57" t="str">
        <f t="array" ref="Y3">_xlfn.XLOOKUP(B3,'Up Stats'!A:A,'Up Stats'!G:G,)</f>
        <v/>
      </c>
      <c r="Z3" s="54" t="str">
        <f>IFERROR(__xludf.DUMMYFUNCTION("if(AND(AA3=FALSE,AB3=FALSE),,if(AA3=AB3,JOIN("""",""Static: "",AA3),JOIN("""",""Min:  "",AA3, CHAR(10),""Max: "",AB3)))"),"")</f>
        <v/>
      </c>
      <c r="AA3" s="55" t="str">
        <f t="array" ref="AA3">_xlfn.XLOOKUP(B3,'Up Min'!A:A,'Up Min'!G:G,)</f>
        <v/>
      </c>
      <c r="AB3" s="55" t="str">
        <f t="array" ref="AB3">_xlfn.XLOOKUP(B3,'Up Max'!A:A,'Up Max'!G:G,)</f>
        <v/>
      </c>
      <c r="AC3" s="57" t="str">
        <f t="array" ref="AC3">_xlfn.XLOOKUP(B3,'Up Stats'!A:A,'Up Stats'!H:H,)</f>
        <v/>
      </c>
      <c r="AD3" s="54" t="str">
        <f>IFERROR(__xludf.DUMMYFUNCTION("if(AND(AE3=FALSE,AF3=FALSE),,if(AE3=AF3,JOIN("""",""Static: "",AE3),JOIN("""",""Min:  "",AE3, CHAR(10),""Max: "",AF3)))"),"")</f>
        <v/>
      </c>
      <c r="AE3" s="55" t="str">
        <f t="array" ref="AE3">_xlfn.XLOOKUP(B3,'Up Min'!A:A,'Up Min'!H:H,)</f>
        <v/>
      </c>
      <c r="AF3" s="55" t="str">
        <f t="array" ref="AF3">_xlfn.XLOOKUP(B3,'Up Max'!A:A,'Up Max'!H:H,)</f>
        <v/>
      </c>
      <c r="AG3" s="57" t="str">
        <f t="array" ref="AG3">_xlfn.XLOOKUP(B3,'Up Stats'!A:A,'Up Stats'!I:I,)</f>
        <v/>
      </c>
      <c r="AH3" s="54" t="str">
        <f>IFERROR(__xludf.DUMMYFUNCTION("if(AND(AI3=FALSE,AJ3=FALSE),,if(AI3=AJ3,JOIN("""",""Static: "",AI3),JOIN("""",""Min:  "",AI3, CHAR(10),""Max: "",AJ3)))"),"")</f>
        <v/>
      </c>
      <c r="AI3" s="55" t="str">
        <f t="array" ref="AI3">_xlfn.XLOOKUP(B3,'Up Min'!A:A,'Up Min'!I:I,)</f>
        <v/>
      </c>
      <c r="AJ3" s="55" t="str">
        <f t="array" ref="AJ3">_xlfn.XLOOKUP(B3,'Up Max'!A:A,'Up Max'!I:I,)</f>
        <v/>
      </c>
      <c r="AK3" s="57" t="str">
        <f t="array" ref="AK3">_xlfn.XLOOKUP(B3,'Up Stats'!A:A,'Up Stats'!J:J,)</f>
        <v/>
      </c>
      <c r="AL3" s="54" t="str">
        <f>IFERROR(__xludf.DUMMYFUNCTION("if(AND(AM3=FALSE,AN3=FALSE),,if(AM3=AN3,JOIN("""",""Static: "",AM3),JOIN("""",""Min:  "",AM3, CHAR(10),""Max: "",AN3)))"),"")</f>
        <v/>
      </c>
      <c r="AM3" s="55" t="str">
        <f t="array" ref="AM3">_xlfn.XLOOKUP(B3,'Up Min'!A:A,'Up Min'!J:J,)</f>
        <v/>
      </c>
      <c r="AN3" s="55" t="str">
        <f t="array" ref="AN3">_xlfn.XLOOKUP(B3,'Up Max'!A:A,'Up Max'!J:J,)</f>
        <v/>
      </c>
      <c r="AO3" s="51" t="str">
        <f t="array" ref="AO3">CONCATENATE(_xlfn.XLOOKUP(B3,'Up Cells'!A:A,'Up Cells'!B:B,))</f>
        <v>1</v>
      </c>
      <c r="AP3" s="51" t="str">
        <f t="array" ref="AP3">CONCATENATE(_xlfn.XLOOKUP(B3,'Up Rarity'!A:A,'Up Rarity'!B:B,),CHAR(10),"-")</f>
        <v>Contraband
-</v>
      </c>
    </row>
    <row r="4">
      <c r="A4" s="60" t="str">
        <f t="array" ref="A4">_xlfn.XLOOKUP(B4,'Up Icon'!A:A,'Up Icon'!B:B,)</f>
        <v/>
      </c>
      <c r="B4" s="34" t="str">
        <f t="array" ref="B4">HYPERLINK(_xlfn.XLOOKUP('Up Names'!D37,'Up Wiki'!A:A,'Up Wiki'!B:B,),'Up Names'!D37)</f>
        <v>Boundary Incursion</v>
      </c>
      <c r="C4" s="37" t="str">
        <f t="array" ref="C4">_xlfn.XLOOKUP(B4,'Up Desc'!A:A,'Up Desc'!B:B,)</f>
        <v>Increases the size of your upgrade grid.</v>
      </c>
      <c r="D4" s="37" t="str">
        <f t="array" ref="D4">_xlfn.XLOOKUP(B4,'Up Turbo'!A:A,'Up Turbo'!B:B,)</f>
        <v>n/a</v>
      </c>
      <c r="E4" s="39" t="str">
        <f t="array" ref="E4">_xlfn.XLOOKUP(B4,'Up Stats'!A:A,'Up Stats'!B:B,)</f>
        <v/>
      </c>
      <c r="F4" s="40" t="str">
        <f>IFERROR(__xludf.DUMMYFUNCTION("if(AND(G4=FALSE,H4=FALSE),,if(G4=H4,JOIN("""",""Static: "",G4),JOIN("""",""Min:  "",G4, CHAR(10),""Max: "",H4)))"),"")</f>
        <v/>
      </c>
      <c r="G4" s="42" t="str">
        <f t="array" ref="G4">_xlfn.XLOOKUP(B4,'Up Min'!A:A,'Up Min'!B:B,)</f>
        <v/>
      </c>
      <c r="H4" s="45" t="str">
        <f t="array" ref="H4">_xlfn.XLOOKUP(B4,'Up Max'!A:A,'Up Max'!B:B,)</f>
        <v/>
      </c>
      <c r="I4" s="39" t="str">
        <f t="array" ref="I4">_xlfn.XLOOKUP(B4,'Up Stats'!A:A,'Up Stats'!C:C,)</f>
        <v/>
      </c>
      <c r="J4" s="40" t="str">
        <f>IFERROR(__xludf.DUMMYFUNCTION("if(AND(K4=FALSE,L4=FALSE),,if(K4=L4,JOIN("""",""Static: "",K4),JOIN("""",""Min:  "",K4, CHAR(10),""Max: "",L4)))"),"")</f>
        <v/>
      </c>
      <c r="K4" s="42" t="str">
        <f t="array" ref="K4">_xlfn.XLOOKUP(B4,'Up Min'!A:A,'Up Min'!C:C,)</f>
        <v/>
      </c>
      <c r="L4" s="42" t="str">
        <f t="array" ref="L4">_xlfn.XLOOKUP(B4,'Up Max'!A:A,'Up Max'!C:C,)</f>
        <v/>
      </c>
      <c r="M4" s="39" t="str">
        <f t="array" ref="M4">_xlfn.XLOOKUP(B4,'Up Stats'!A:A,'Up Stats'!D:D,)</f>
        <v/>
      </c>
      <c r="N4" s="40" t="str">
        <f>IFERROR(__xludf.DUMMYFUNCTION("if(AND(O4=FALSE,P4=FALSE),,if(O4=P4,JOIN("""",""Static: "",O4),JOIN("""",""Min:  "",O4, CHAR(10),""Max: "",P4)))"),"")</f>
        <v/>
      </c>
      <c r="O4" s="42" t="str">
        <f t="array" ref="O4">_xlfn.XLOOKUP(B4,'Up Min'!A:A,'Up Min'!D:D,)</f>
        <v/>
      </c>
      <c r="P4" s="42" t="str">
        <f t="array" ref="P4">_xlfn.XLOOKUP(B4,'Up Max'!A:A,'Up Max'!D:D,)</f>
        <v/>
      </c>
      <c r="Q4" s="48" t="str">
        <f t="array" ref="Q4">_xlfn.XLOOKUP(B4,'Up Stats'!A:A,'Up Stats'!E:E,)</f>
        <v/>
      </c>
      <c r="R4" s="40" t="str">
        <f>IFERROR(__xludf.DUMMYFUNCTION("if(AND(S4=FALSE,T4=FALSE),,if(S4=T4,JOIN("""",""Static: "",S4),JOIN("""",""Min:  "",S4, CHAR(10),""Max: "",T4)))"),"")</f>
        <v/>
      </c>
      <c r="S4" s="42" t="str">
        <f t="array" ref="S4">_xlfn.XLOOKUP(B4,'Up Min'!A:A,'Up Min'!E:E,)</f>
        <v/>
      </c>
      <c r="T4" s="42" t="str">
        <f t="array" ref="T4">_xlfn.XLOOKUP(B4,'Up Max'!A:A,'Up Max'!E:E,)</f>
        <v/>
      </c>
      <c r="U4" s="48" t="str">
        <f t="array" ref="U4">_xlfn.XLOOKUP(B4,'Up Stats'!A:A,'Up Stats'!F:F,)</f>
        <v/>
      </c>
      <c r="V4" s="40" t="str">
        <f>IFERROR(__xludf.DUMMYFUNCTION("if(AND(W4=FALSE,X4=FALSE),,if(W4=X4,JOIN("""",""Static: "",W4),JOIN("""",""Min:  "",W4, CHAR(10),""Max: "",X4)))"),"")</f>
        <v/>
      </c>
      <c r="W4" s="42" t="str">
        <f t="array" ref="W4">_xlfn.XLOOKUP(B4,'Up Min'!A:A,'Up Min'!F:F,)</f>
        <v/>
      </c>
      <c r="X4" s="42" t="str">
        <f t="array" ref="X4">_xlfn.XLOOKUP(B4,'Up Max'!A:A,'Up Max'!F:F,)</f>
        <v/>
      </c>
      <c r="Y4" s="48" t="str">
        <f t="array" ref="Y4">_xlfn.XLOOKUP(B4,'Up Stats'!A:A,'Up Stats'!G:G,)</f>
        <v/>
      </c>
      <c r="Z4" s="40" t="str">
        <f>IFERROR(__xludf.DUMMYFUNCTION("if(AND(AA4=FALSE,AB4=FALSE),,if(AA4=AB4,JOIN("""",""Static: "",AA4),JOIN("""",""Min:  "",AA4, CHAR(10),""Max: "",AB4)))"),"")</f>
        <v/>
      </c>
      <c r="AA4" s="42" t="str">
        <f t="array" ref="AA4">_xlfn.XLOOKUP(B4,'Up Min'!A:A,'Up Min'!G:G,)</f>
        <v/>
      </c>
      <c r="AB4" s="42" t="str">
        <f t="array" ref="AB4">_xlfn.XLOOKUP(B4,'Up Max'!A:A,'Up Max'!G:G,)</f>
        <v/>
      </c>
      <c r="AC4" s="48" t="str">
        <f t="array" ref="AC4">_xlfn.XLOOKUP(B4,'Up Stats'!A:A,'Up Stats'!H:H,)</f>
        <v/>
      </c>
      <c r="AD4" s="40" t="str">
        <f>IFERROR(__xludf.DUMMYFUNCTION("if(AND(AE4=FALSE,AF4=FALSE),,if(AE4=AF4,JOIN("""",""Static: "",AE4),JOIN("""",""Min:  "",AE4, CHAR(10),""Max: "",AF4)))"),"")</f>
        <v/>
      </c>
      <c r="AE4" s="42" t="str">
        <f t="array" ref="AE4">_xlfn.XLOOKUP(B4,'Up Min'!A:A,'Up Min'!H:H,)</f>
        <v/>
      </c>
      <c r="AF4" s="42" t="str">
        <f t="array" ref="AF4">_xlfn.XLOOKUP(B4,'Up Max'!A:A,'Up Max'!H:H,)</f>
        <v/>
      </c>
      <c r="AG4" s="48" t="str">
        <f t="array" ref="AG4">_xlfn.XLOOKUP(B4,'Up Stats'!A:A,'Up Stats'!I:I,)</f>
        <v/>
      </c>
      <c r="AH4" s="40" t="str">
        <f>IFERROR(__xludf.DUMMYFUNCTION("if(AND(AI4=FALSE,AJ4=FALSE),,if(AI4=AJ4,JOIN("""",""Static: "",AI4),JOIN("""",""Min:  "",AI4, CHAR(10),""Max: "",AJ4)))"),"")</f>
        <v/>
      </c>
      <c r="AI4" s="42" t="str">
        <f t="array" ref="AI4">_xlfn.XLOOKUP(B4,'Up Min'!A:A,'Up Min'!I:I,)</f>
        <v/>
      </c>
      <c r="AJ4" s="42" t="str">
        <f t="array" ref="AJ4">_xlfn.XLOOKUP(B4,'Up Max'!A:A,'Up Max'!I:I,)</f>
        <v/>
      </c>
      <c r="AK4" s="48" t="str">
        <f t="array" ref="AK4">_xlfn.XLOOKUP(B4,'Up Stats'!A:A,'Up Stats'!J:J,)</f>
        <v/>
      </c>
      <c r="AL4" s="40" t="str">
        <f>IFERROR(__xludf.DUMMYFUNCTION("if(AND(AM4=FALSE,AN4=FALSE),,if(AM4=AN4,JOIN("""",""Static: "",AM4),JOIN("""",""Min:  "",AM4, CHAR(10),""Max: "",AN4)))"),"")</f>
        <v/>
      </c>
      <c r="AM4" s="42" t="str">
        <f t="array" ref="AM4">_xlfn.XLOOKUP(B4,'Up Min'!A:A,'Up Min'!J:J,)</f>
        <v/>
      </c>
      <c r="AN4" s="42" t="str">
        <f t="array" ref="AN4">_xlfn.XLOOKUP(B4,'Up Max'!A:A,'Up Max'!J:J,)</f>
        <v/>
      </c>
      <c r="AO4" s="34" t="str">
        <f t="array" ref="AO4">CONCATENATE(_xlfn.XLOOKUP(B4,'Up Cells'!A:A,'Up Cells'!B:B,))</f>
        <v>1</v>
      </c>
      <c r="AP4" s="34" t="str">
        <f t="array" ref="AP4">CONCATENATE(_xlfn.XLOOKUP(B4,'Up Rarity'!A:A,'Up Rarity'!B:B,),CHAR(10),"-")</f>
        <v>Oddity
-</v>
      </c>
    </row>
    <row r="5">
      <c r="A5" s="62" t="str">
        <f t="array" ref="A5">_xlfn.XLOOKUP(B5,'Up Icon'!A:A,'Up Icon'!B:B,)</f>
        <v/>
      </c>
      <c r="B5" s="63" t="str">
        <f t="array" ref="B5">HYPERLINK(_xlfn.XLOOKUP('Up Names'!D2,'Up Wiki'!A:A,'Up Wiki'!B:B,),'Up Names'!D2)</f>
        <v>Arc Lightning</v>
      </c>
      <c r="C5" s="52" t="str">
        <f t="array" ref="C5">_xlfn.XLOOKUP(B5,'Up Desc'!A:A,'Up Desc'!B:B,)</f>
        <v>Damaging a target with the laser has a chance to arc a shocking bolt of lightning to nearby enemies.</v>
      </c>
      <c r="D5" s="52" t="str">
        <f t="array" ref="D5">_xlfn.XLOOKUP(B5,'Up Turbo'!A:A,'Up Turbo'!B:B,)</f>
        <v/>
      </c>
      <c r="E5" s="53" t="str">
        <f t="array" ref="E5">_xlfn.XLOOKUP(B5,'Up Stats'!A:A,'Up Stats'!B:B,)</f>
        <v>Chance</v>
      </c>
      <c r="F5" s="54" t="str">
        <f>IFERROR(__xludf.DUMMYFUNCTION("if(AND(G5=FALSE,H5=FALSE),,if(G5=H5,JOIN("""",""Static: "",G5),JOIN("""",""Min:  "",G5, CHAR(10),""Max: "",H5)))"),"Min:  35%
Max: 62%")</f>
        <v>Min:  35%
Max: 62%</v>
      </c>
      <c r="G5" s="59">
        <f t="array" ref="G5">_xlfn.XLOOKUP(B5,'Up Min'!A:A,'Up Min'!B:B,)</f>
        <v>0.35</v>
      </c>
      <c r="H5" s="59">
        <f t="array" ref="H5">_xlfn.XLOOKUP(B5,'Up Max'!A:A,'Up Max'!B:B,)</f>
        <v>0.62</v>
      </c>
      <c r="I5" s="53" t="str">
        <f t="array" ref="I5">_xlfn.XLOOKUP(B5,'Up Stats'!A:A,'Up Stats'!C:C,)</f>
        <v/>
      </c>
      <c r="J5" s="54" t="str">
        <f>IFERROR(__xludf.DUMMYFUNCTION("if(AND(K5=FALSE,L5=FALSE),,if(K5=L5,JOIN("""",""Static: "",K5),JOIN("""",""Min:  "",K5, CHAR(10),""Max: "",L5)))"),"")</f>
        <v/>
      </c>
      <c r="K5" s="55" t="str">
        <f t="array" ref="K5">_xlfn.XLOOKUP(B5,'Up Min'!A:A,'Up Min'!C:C,)</f>
        <v/>
      </c>
      <c r="L5" s="55" t="str">
        <f t="array" ref="L5">_xlfn.XLOOKUP(B5,'Up Max'!A:A,'Up Max'!C:C,)</f>
        <v/>
      </c>
      <c r="M5" s="57" t="str">
        <f t="array" ref="M5">_xlfn.XLOOKUP(B5,'Up Stats'!A:A,'Up Stats'!D:D,)</f>
        <v/>
      </c>
      <c r="N5" s="54" t="str">
        <f>IFERROR(__xludf.DUMMYFUNCTION("if(AND(O5=FALSE,P5=FALSE),,if(O5=P5,JOIN("""",""Static: "",O5),JOIN("""",""Min:  "",O5, CHAR(10),""Max: "",P5)))"),"")</f>
        <v/>
      </c>
      <c r="O5" s="55" t="str">
        <f t="array" ref="O5">_xlfn.XLOOKUP(B5,'Up Min'!A:A,'Up Min'!D:D,)</f>
        <v/>
      </c>
      <c r="P5" s="55" t="str">
        <f t="array" ref="P5">_xlfn.XLOOKUP(B5,'Up Max'!A:A,'Up Max'!D:D,)</f>
        <v/>
      </c>
      <c r="Q5" s="57" t="str">
        <f t="array" ref="Q5">_xlfn.XLOOKUP(B5,'Up Stats'!A:A,'Up Stats'!E:E,)</f>
        <v/>
      </c>
      <c r="R5" s="54" t="str">
        <f>IFERROR(__xludf.DUMMYFUNCTION("if(AND(S5=FALSE,T5=FALSE),,if(S5=T5,JOIN("""",""Static: "",S5),JOIN("""",""Min:  "",S5, CHAR(10),""Max: "",T5)))"),"")</f>
        <v/>
      </c>
      <c r="S5" s="55" t="str">
        <f t="array" ref="S5">_xlfn.XLOOKUP(B5,'Up Min'!A:A,'Up Min'!E:E,)</f>
        <v/>
      </c>
      <c r="T5" s="55" t="str">
        <f t="array" ref="T5">_xlfn.XLOOKUP(B5,'Up Max'!A:A,'Up Max'!E:E,)</f>
        <v/>
      </c>
      <c r="U5" s="57" t="str">
        <f t="array" ref="U5">_xlfn.XLOOKUP(B5,'Up Stats'!A:A,'Up Stats'!F:F,)</f>
        <v/>
      </c>
      <c r="V5" s="54" t="str">
        <f>IFERROR(__xludf.DUMMYFUNCTION("if(AND(W5=FALSE,X5=FALSE),,if(W5=X5,JOIN("""",""Static: "",W5),JOIN("""",""Min:  "",W5, CHAR(10),""Max: "",X5)))"),"")</f>
        <v/>
      </c>
      <c r="W5" s="55" t="str">
        <f t="array" ref="W5">_xlfn.XLOOKUP(B5,'Up Min'!A:A,'Up Min'!F:F,)</f>
        <v/>
      </c>
      <c r="X5" s="55" t="str">
        <f t="array" ref="X5">_xlfn.XLOOKUP(B5,'Up Max'!A:A,'Up Max'!F:F,)</f>
        <v/>
      </c>
      <c r="Y5" s="57" t="str">
        <f t="array" ref="Y5">_xlfn.XLOOKUP(B5,'Up Stats'!A:A,'Up Stats'!G:G,)</f>
        <v/>
      </c>
      <c r="Z5" s="54" t="str">
        <f>IFERROR(__xludf.DUMMYFUNCTION("if(AND(AA5=FALSE,AB5=FALSE),,if(AA5=AB5,JOIN("""",""Static: "",AA5),JOIN("""",""Min:  "",AA5, CHAR(10),""Max: "",AB5)))"),"")</f>
        <v/>
      </c>
      <c r="AA5" s="55" t="str">
        <f t="array" ref="AA5">_xlfn.XLOOKUP(B5,'Up Min'!A:A,'Up Min'!G:G,)</f>
        <v/>
      </c>
      <c r="AB5" s="55" t="str">
        <f t="array" ref="AB5">_xlfn.XLOOKUP(B5,'Up Max'!A:A,'Up Max'!G:G,)</f>
        <v/>
      </c>
      <c r="AC5" s="57" t="str">
        <f t="array" ref="AC5">_xlfn.XLOOKUP(B5,'Up Stats'!A:A,'Up Stats'!H:H,)</f>
        <v/>
      </c>
      <c r="AD5" s="54" t="str">
        <f>IFERROR(__xludf.DUMMYFUNCTION("if(AND(AE5=FALSE,AF5=FALSE),,if(AE5=AF5,JOIN("""",""Static: "",AE5),JOIN("""",""Min:  "",AE5, CHAR(10),""Max: "",AF5)))"),"")</f>
        <v/>
      </c>
      <c r="AE5" s="55" t="str">
        <f t="array" ref="AE5">_xlfn.XLOOKUP(B5,'Up Min'!A:A,'Up Min'!H:H,)</f>
        <v/>
      </c>
      <c r="AF5" s="55" t="str">
        <f t="array" ref="AF5">_xlfn.XLOOKUP(B5,'Up Max'!A:A,'Up Max'!H:H,)</f>
        <v/>
      </c>
      <c r="AG5" s="57" t="str">
        <f t="array" ref="AG5">_xlfn.XLOOKUP(B5,'Up Stats'!A:A,'Up Stats'!I:I,)</f>
        <v/>
      </c>
      <c r="AH5" s="54" t="str">
        <f>IFERROR(__xludf.DUMMYFUNCTION("if(AND(AI5=FALSE,AJ5=FALSE),,if(AI5=AJ5,JOIN("""",""Static: "",AI5),JOIN("""",""Min:  "",AI5, CHAR(10),""Max: "",AJ5)))"),"")</f>
        <v/>
      </c>
      <c r="AI5" s="55" t="str">
        <f t="array" ref="AI5">_xlfn.XLOOKUP(B5,'Up Min'!A:A,'Up Min'!I:I,)</f>
        <v/>
      </c>
      <c r="AJ5" s="55" t="str">
        <f t="array" ref="AJ5">_xlfn.XLOOKUP(B5,'Up Max'!A:A,'Up Max'!I:I,)</f>
        <v/>
      </c>
      <c r="AK5" s="57" t="str">
        <f t="array" ref="AK5">_xlfn.XLOOKUP(B5,'Up Stats'!A:A,'Up Stats'!J:J,)</f>
        <v/>
      </c>
      <c r="AL5" s="54" t="str">
        <f>IFERROR(__xludf.DUMMYFUNCTION("if(AND(AM5=FALSE,AN5=FALSE),,if(AM5=AN5,JOIN("""",""Static: "",AM5),JOIN("""",""Min:  "",AM5, CHAR(10),""Max: "",AN5)))"),"")</f>
        <v/>
      </c>
      <c r="AM5" s="55" t="str">
        <f t="array" ref="AM5">_xlfn.XLOOKUP(B5,'Up Min'!A:A,'Up Min'!J:J,)</f>
        <v/>
      </c>
      <c r="AN5" s="55" t="str">
        <f t="array" ref="AN5">_xlfn.XLOOKUP(B5,'Up Max'!A:A,'Up Max'!J:J,)</f>
        <v/>
      </c>
      <c r="AO5" s="51" t="str">
        <f t="array" ref="AO5">CONCATENATE(_xlfn.XLOOKUP(B5,'Up Cells'!A:A,'Up Cells'!B:B,))</f>
        <v>5</v>
      </c>
      <c r="AP5" s="76" t="str">
        <f t="array" ref="AP5">CONCATENATE(_xlfn.XLOOKUP(B5,'Up Rarity'!A:A,'Up Rarity'!B:B,),CHAR(10),"-")</f>
        <v>Exotic
-</v>
      </c>
    </row>
    <row r="6">
      <c r="A6" s="62" t="str">
        <f t="array" ref="A6">_xlfn.XLOOKUP(B6,'Up Icon'!A:A,'Up Icon'!B:B,)</f>
        <v/>
      </c>
      <c r="B6" s="66" t="str">
        <f t="array" ref="B6">HYPERLINK(_xlfn.XLOOKUP('Up Names'!D3,'Up Wiki'!A:A,'Up Wiki'!B:B,),'Up Names'!D3)</f>
        <v>Autocycler</v>
      </c>
      <c r="C6" s="67" t="str">
        <f t="array" ref="C6">_xlfn.XLOOKUP(B6,'Up Desc'!A:A,'Up Desc'!B:B,)</f>
        <v>The DMLR automatically switches between DMR and laser modes at the given interval, and the laser has infinite charge. Dealing damage with the DMR increases laser damage and dealing damage with the laser increases DMR damage.</v>
      </c>
      <c r="D6" s="37" t="str">
        <f t="array" ref="D6">_xlfn.XLOOKUP(B6,'Up Turbo'!A:A,'Up Turbo'!B:B,)</f>
        <v/>
      </c>
      <c r="E6" s="39" t="str">
        <f t="array" ref="E6">_xlfn.XLOOKUP(B6,'Up Stats'!A:A,'Up Stats'!B:B,)</f>
        <v>Switch Interval</v>
      </c>
      <c r="F6" s="40" t="str">
        <f>IFERROR(__xludf.DUMMYFUNCTION("if(AND(G6=FALSE,H6=FALSE),,if(G6=H6,JOIN("""",""Static: "",G6),JOIN("""",""Min:  "",G6, CHAR(10),""Max: "",H6)))"),"Min:  2.75
Max: 5")</f>
        <v>Min:  2.75
Max: 5</v>
      </c>
      <c r="G6" s="69">
        <f t="array" ref="G6">_xlfn.XLOOKUP(B6,'Up Min'!A:A,'Up Min'!B:B,)</f>
        <v>2.75</v>
      </c>
      <c r="H6" s="68">
        <f t="array" ref="H6">_xlfn.XLOOKUP(B6,'Up Max'!A:A,'Up Max'!B:B,)</f>
        <v>5</v>
      </c>
      <c r="I6" s="39" t="str">
        <f t="array" ref="I6">_xlfn.XLOOKUP(B6,'Up Stats'!A:A,'Up Stats'!C:C,)</f>
        <v>Damage per Stack</v>
      </c>
      <c r="J6" s="40" t="str">
        <f>IFERROR(__xludf.DUMMYFUNCTION("if(AND(K6=FALSE,L6=FALSE),,if(K6=L6,JOIN("""",""Static: "",K6),JOIN("""",""Min:  "",K6, CHAR(10),""Max: "",L6)))"),"Min:  6%
Max: 14%")</f>
        <v>Min:  6%
Max: 14%</v>
      </c>
      <c r="K6" s="41">
        <f t="array" ref="K6">_xlfn.XLOOKUP(B6,'Up Min'!A:A,'Up Min'!C:C,)</f>
        <v>0.06</v>
      </c>
      <c r="L6" s="41">
        <f t="array" ref="L6">_xlfn.XLOOKUP(B6,'Up Max'!A:A,'Up Max'!C:C,)</f>
        <v>0.14</v>
      </c>
      <c r="M6" s="39" t="str">
        <f t="array" ref="M6">_xlfn.XLOOKUP(B6,'Up Stats'!A:A,'Up Stats'!D:D,)</f>
        <v/>
      </c>
      <c r="N6" s="40" t="str">
        <f>IFERROR(__xludf.DUMMYFUNCTION("if(AND(O6=FALSE,P6=FALSE),,if(O6=P6,JOIN("""",""Static: "",O6),JOIN("""",""Min:  "",O6, CHAR(10),""Max: "",P6)))"),"")</f>
        <v/>
      </c>
      <c r="O6" s="42" t="str">
        <f t="array" ref="O6">_xlfn.XLOOKUP(B6,'Up Min'!A:A,'Up Min'!D:D,)</f>
        <v/>
      </c>
      <c r="P6" s="42" t="str">
        <f t="array" ref="P6">_xlfn.XLOOKUP(B6,'Up Max'!A:A,'Up Max'!D:D,)</f>
        <v/>
      </c>
      <c r="Q6" s="48" t="str">
        <f t="array" ref="Q6">_xlfn.XLOOKUP(B6,'Up Stats'!A:A,'Up Stats'!E:E,)</f>
        <v/>
      </c>
      <c r="R6" s="40" t="str">
        <f>IFERROR(__xludf.DUMMYFUNCTION("if(AND(S6=FALSE,T6=FALSE),,if(S6=T6,JOIN("""",""Static: "",S6),JOIN("""",""Min:  "",S6, CHAR(10),""Max: "",T6)))"),"")</f>
        <v/>
      </c>
      <c r="S6" s="42" t="str">
        <f t="array" ref="S6">_xlfn.XLOOKUP(B6,'Up Min'!A:A,'Up Min'!E:E,)</f>
        <v/>
      </c>
      <c r="T6" s="42" t="str">
        <f t="array" ref="T6">_xlfn.XLOOKUP(B6,'Up Max'!A:A,'Up Max'!E:E,)</f>
        <v/>
      </c>
      <c r="U6" s="48" t="str">
        <f t="array" ref="U6">_xlfn.XLOOKUP(B6,'Up Stats'!A:A,'Up Stats'!F:F,)</f>
        <v/>
      </c>
      <c r="V6" s="40" t="str">
        <f>IFERROR(__xludf.DUMMYFUNCTION("if(AND(W6=FALSE,X6=FALSE),,if(W6=X6,JOIN("""",""Static: "",W6),JOIN("""",""Min:  "",W6, CHAR(10),""Max: "",X6)))"),"")</f>
        <v/>
      </c>
      <c r="W6" s="42" t="str">
        <f t="array" ref="W6">_xlfn.XLOOKUP(B6,'Up Min'!A:A,'Up Min'!F:F,)</f>
        <v/>
      </c>
      <c r="X6" s="42" t="str">
        <f t="array" ref="X6">_xlfn.XLOOKUP(B6,'Up Max'!A:A,'Up Max'!F:F,)</f>
        <v/>
      </c>
      <c r="Y6" s="48" t="str">
        <f t="array" ref="Y6">_xlfn.XLOOKUP(B6,'Up Stats'!A:A,'Up Stats'!G:G,)</f>
        <v/>
      </c>
      <c r="Z6" s="40" t="str">
        <f>IFERROR(__xludf.DUMMYFUNCTION("if(AND(AA6=FALSE,AB6=FALSE),,if(AA6=AB6,JOIN("""",""Static: "",AA6),JOIN("""",""Min:  "",AA6, CHAR(10),""Max: "",AB6)))"),"")</f>
        <v/>
      </c>
      <c r="AA6" s="42" t="str">
        <f t="array" ref="AA6">_xlfn.XLOOKUP(B6,'Up Min'!A:A,'Up Min'!G:G,)</f>
        <v/>
      </c>
      <c r="AB6" s="42" t="str">
        <f t="array" ref="AB6">_xlfn.XLOOKUP(B6,'Up Max'!A:A,'Up Max'!G:G,)</f>
        <v/>
      </c>
      <c r="AC6" s="48" t="str">
        <f t="array" ref="AC6">_xlfn.XLOOKUP(B6,'Up Stats'!A:A,'Up Stats'!H:H,)</f>
        <v/>
      </c>
      <c r="AD6" s="40" t="str">
        <f>IFERROR(__xludf.DUMMYFUNCTION("if(AND(AE6=FALSE,AF6=FALSE),,if(AE6=AF6,JOIN("""",""Static: "",AE6),JOIN("""",""Min:  "",AE6, CHAR(10),""Max: "",AF6)))"),"")</f>
        <v/>
      </c>
      <c r="AE6" s="42" t="str">
        <f t="array" ref="AE6">_xlfn.XLOOKUP(B6,'Up Min'!A:A,'Up Min'!H:H,)</f>
        <v/>
      </c>
      <c r="AF6" s="42" t="str">
        <f t="array" ref="AF6">_xlfn.XLOOKUP(B6,'Up Max'!A:A,'Up Max'!H:H,)</f>
        <v/>
      </c>
      <c r="AG6" s="48" t="str">
        <f t="array" ref="AG6">_xlfn.XLOOKUP(B6,'Up Stats'!A:A,'Up Stats'!I:I,)</f>
        <v/>
      </c>
      <c r="AH6" s="40" t="str">
        <f>IFERROR(__xludf.DUMMYFUNCTION("if(AND(AI6=FALSE,AJ6=FALSE),,if(AI6=AJ6,JOIN("""",""Static: "",AI6),JOIN("""",""Min:  "",AI6, CHAR(10),""Max: "",AJ6)))"),"")</f>
        <v/>
      </c>
      <c r="AI6" s="42" t="str">
        <f t="array" ref="AI6">_xlfn.XLOOKUP(B6,'Up Min'!A:A,'Up Min'!I:I,)</f>
        <v/>
      </c>
      <c r="AJ6" s="42" t="str">
        <f t="array" ref="AJ6">_xlfn.XLOOKUP(B6,'Up Max'!A:A,'Up Max'!I:I,)</f>
        <v/>
      </c>
      <c r="AK6" s="48" t="str">
        <f t="array" ref="AK6">_xlfn.XLOOKUP(B6,'Up Stats'!A:A,'Up Stats'!J:J,)</f>
        <v/>
      </c>
      <c r="AL6" s="40" t="str">
        <f>IFERROR(__xludf.DUMMYFUNCTION("if(AND(AM6=FALSE,AN6=FALSE),,if(AM6=AN6,JOIN("""",""Static: "",AM6),JOIN("""",""Min:  "",AM6, CHAR(10),""Max: "",AN6)))"),"")</f>
        <v/>
      </c>
      <c r="AM6" s="42" t="str">
        <f t="array" ref="AM6">_xlfn.XLOOKUP(B6,'Up Min'!A:A,'Up Min'!J:J,)</f>
        <v/>
      </c>
      <c r="AN6" s="42" t="str">
        <f t="array" ref="AN6">_xlfn.XLOOKUP(B6,'Up Max'!A:A,'Up Max'!J:J,)</f>
        <v/>
      </c>
      <c r="AO6" s="34" t="str">
        <f t="array" ref="AO6">CONCATENATE(_xlfn.XLOOKUP(B6,'Up Cells'!A:A,'Up Cells'!B:B,))</f>
        <v>7</v>
      </c>
      <c r="AP6" s="77" t="str">
        <f t="array" ref="AP6">CONCATENATE(_xlfn.XLOOKUP(B6,'Up Rarity'!A:A,'Up Rarity'!B:B,),CHAR(10),"-")</f>
        <v>Exotic
-</v>
      </c>
    </row>
    <row r="7">
      <c r="A7" s="62" t="str">
        <f t="array" ref="A7">_xlfn.XLOOKUP(B7,'Up Icon'!A:A,'Up Icon'!B:B,)</f>
        <v/>
      </c>
      <c r="B7" s="63" t="str">
        <f t="array" ref="B7">HYPERLINK(_xlfn.XLOOKUP('Up Names'!D4,'Up Wiki'!A:A,'Up Wiki'!B:B,),'Up Names'!D4)</f>
        <v>Hot Swap</v>
      </c>
      <c r="C7" s="52" t="str">
        <f t="array" ref="C7">_xlfn.XLOOKUP(B7,'Up Desc'!A:A,'Up Desc'!B:B,)</f>
        <v>The laser becomes the default mode. Dealing damage with the laser generates ammo for a more powerful DMR mode</v>
      </c>
      <c r="D7" s="52" t="str">
        <f t="array" ref="D7">_xlfn.XLOOKUP(B7,'Up Turbo'!A:A,'Up Turbo'!B:B,)</f>
        <v/>
      </c>
      <c r="E7" s="53" t="str">
        <f t="array" ref="E7">_xlfn.XLOOKUP(B7,'Up Stats'!A:A,'Up Stats'!B:B,)</f>
        <v>Laser Damage</v>
      </c>
      <c r="F7" s="54" t="str">
        <f>IFERROR(__xludf.DUMMYFUNCTION("if(AND(G7=FALSE,H7=FALSE),,if(G7=H7,JOIN("""",""Static: "",G7),JOIN("""",""Min:  "",G7, CHAR(10),""Max: "",H7)))"),"Min:  -55%
Max: -45%")</f>
        <v>Min:  -55%
Max: -45%</v>
      </c>
      <c r="G7" s="59">
        <f t="array" ref="G7">_xlfn.XLOOKUP(B7,'Up Min'!A:A,'Up Min'!B:B,)</f>
        <v>-0.55</v>
      </c>
      <c r="H7" s="59">
        <f t="array" ref="H7">_xlfn.XLOOKUP(B7,'Up Max'!A:A,'Up Max'!B:B,)</f>
        <v>-0.45</v>
      </c>
      <c r="I7" s="53" t="str">
        <f t="array" ref="I7">_xlfn.XLOOKUP(B7,'Up Stats'!A:A,'Up Stats'!C:C,)</f>
        <v>Laser Charge On Hit</v>
      </c>
      <c r="J7" s="54" t="str">
        <f>IFERROR(__xludf.DUMMYFUNCTION("if(AND(K7=FALSE,L7=FALSE),,if(K7=L7,JOIN("""",""Static: "",K7),JOIN("""",""Min:  "",K7, CHAR(10),""Max: "",L7)))"),"Static: 0%")</f>
        <v>Static: 0%</v>
      </c>
      <c r="K7" s="59">
        <f t="array" ref="K7">_xlfn.XLOOKUP(B7,'Up Min'!A:A,'Up Min'!C:C,)</f>
        <v>0</v>
      </c>
      <c r="L7" s="59">
        <f t="array" ref="L7">_xlfn.XLOOKUP(B7,'Up Max'!A:A,'Up Max'!C:C,)</f>
        <v>0</v>
      </c>
      <c r="M7" s="53" t="str">
        <f t="array" ref="M7">_xlfn.XLOOKUP(B7,'Up Stats'!A:A,'Up Stats'!D:D,)</f>
        <v>Laser Charge Consumption</v>
      </c>
      <c r="N7" s="54" t="str">
        <f>IFERROR(__xludf.DUMMYFUNCTION("if(AND(O7=FALSE,P7=FALSE),,if(O7=P7,JOIN("""",""Static: "",O7),JOIN("""",""Min:  "",O7, CHAR(10),""Max: "",P7)))"),"Min:  -30%
Max: -20%")</f>
        <v>Min:  -30%
Max: -20%</v>
      </c>
      <c r="O7" s="59">
        <f t="array" ref="O7">_xlfn.XLOOKUP(B7,'Up Min'!A:A,'Up Min'!D:D,)</f>
        <v>-0.3</v>
      </c>
      <c r="P7" s="59">
        <f t="array" ref="P7">_xlfn.XLOOKUP(B7,'Up Max'!A:A,'Up Max'!D:D,)</f>
        <v>-0.2</v>
      </c>
      <c r="Q7" s="57" t="str">
        <f t="array" ref="Q7">_xlfn.XLOOKUP(B7,'Up Stats'!A:A,'Up Stats'!E:E,)</f>
        <v>Ammo Generated by Laser</v>
      </c>
      <c r="R7" s="54" t="str">
        <f>IFERROR(__xludf.DUMMYFUNCTION("if(AND(S7=FALSE,T7=FALSE),,if(S7=T7,JOIN("""",""Static: "",S7),JOIN("""",""Min:  "",S7, CHAR(10),""Max: "",T7)))"),"Min:  0.1
Max: 0.3")</f>
        <v>Min:  0.1
Max: 0.3</v>
      </c>
      <c r="S7" s="65">
        <f t="array" ref="S7">_xlfn.XLOOKUP(B7,'Up Min'!A:A,'Up Min'!E:E,)</f>
        <v>0.1</v>
      </c>
      <c r="T7" s="65">
        <f t="array" ref="T7">_xlfn.XLOOKUP(B7,'Up Max'!A:A,'Up Max'!E:E,)</f>
        <v>0.3</v>
      </c>
      <c r="U7" s="53" t="str">
        <f t="array" ref="U7">_xlfn.XLOOKUP(B7,'Up Stats'!A:A,'Up Stats'!F:F,)</f>
        <v>Fire Rate</v>
      </c>
      <c r="V7" s="54" t="str">
        <f>IFERROR(__xludf.DUMMYFUNCTION("if(AND(W7=FALSE,X7=FALSE),,if(W7=X7,JOIN("""",""Static: "",W7),JOIN("""",""Min:  "",W7, CHAR(10),""Max: "",X7)))"),"Min:  -24.81%
Max: -27.01%")</f>
        <v>Min:  -24.81%
Max: -27.01%</v>
      </c>
      <c r="W7" s="71">
        <f t="array" ref="W7">_xlfn.XLOOKUP(B7,'Up Min'!A:A,'Up Min'!F:F,)</f>
        <v>-0.2481</v>
      </c>
      <c r="X7" s="71">
        <f t="array" ref="X7">_xlfn.XLOOKUP(B7,'Up Max'!A:A,'Up Max'!F:F,)</f>
        <v>-0.2701</v>
      </c>
      <c r="Y7" s="53" t="str">
        <f t="array" ref="Y7">_xlfn.XLOOKUP(B7,'Up Stats'!A:A,'Up Stats'!G:G,)</f>
        <v>Damage</v>
      </c>
      <c r="Z7" s="54" t="str">
        <f>IFERROR(__xludf.DUMMYFUNCTION("if(AND(AA7=FALSE,AB7=FALSE),,if(AA7=AB7,JOIN("""",""Static: "",AA7),JOIN("""",""Min:  "",AA7, CHAR(10),""Max: "",AB7)))"),"Min:  150%
Max: 156%")</f>
        <v>Min:  150%
Max: 156%</v>
      </c>
      <c r="AA7" s="59">
        <f t="array" ref="AA7">_xlfn.XLOOKUP(B7,'Up Min'!A:A,'Up Min'!G:G,)</f>
        <v>1.5</v>
      </c>
      <c r="AB7" s="59">
        <f t="array" ref="AB7">_xlfn.XLOOKUP(B7,'Up Max'!A:A,'Up Max'!G:G,)</f>
        <v>1.56</v>
      </c>
      <c r="AC7" s="53" t="str">
        <f t="array" ref="AC7">_xlfn.XLOOKUP(B7,'Up Stats'!A:A,'Up Stats'!H:H,)</f>
        <v>Ammo Cost</v>
      </c>
      <c r="AD7" s="54" t="str">
        <f>IFERROR(__xludf.DUMMYFUNCTION("if(AND(AE7=FALSE,AF7=FALSE),,if(AE7=AF7,JOIN("""",""Static: "",AE7),JOIN("""",""Min:  "",AE7, CHAR(10),""Max: "",AF7)))"),"Static: 1")</f>
        <v>Static: 1</v>
      </c>
      <c r="AE7" s="65">
        <f t="array" ref="AE7">_xlfn.XLOOKUP(B7,'Up Min'!A:A,'Up Min'!H:H,)</f>
        <v>1</v>
      </c>
      <c r="AF7" s="64">
        <f t="array" ref="AF7">_xlfn.XLOOKUP(B7,'Up Max'!A:A,'Up Max'!H:H,)</f>
        <v>1</v>
      </c>
      <c r="AG7" s="53" t="str">
        <f t="array" ref="AG7">_xlfn.XLOOKUP(B7,'Up Stats'!A:A,'Up Stats'!I:I,)</f>
        <v>Magazine Size</v>
      </c>
      <c r="AH7" s="54" t="str">
        <f>IFERROR(__xludf.DUMMYFUNCTION("if(AND(AI7=FALSE,AJ7=FALSE),,if(AI7=AJ7,JOIN("""",""Static: "",AI7),JOIN("""",""Min:  "",AI7, CHAR(10),""Max: "",AJ7)))"),"Static: -50%")</f>
        <v>Static: -50%</v>
      </c>
      <c r="AI7" s="59">
        <f t="array" ref="AI7">_xlfn.XLOOKUP(B7,'Up Min'!A:A,'Up Min'!I:I,)</f>
        <v>-0.5</v>
      </c>
      <c r="AJ7" s="59">
        <f t="array" ref="AJ7">_xlfn.XLOOKUP(B7,'Up Max'!A:A,'Up Max'!I:I,)</f>
        <v>-0.5</v>
      </c>
      <c r="AK7" s="53" t="str">
        <f t="array" ref="AK7">_xlfn.XLOOKUP(B7,'Up Stats'!A:A,'Up Stats'!J:J,)</f>
        <v/>
      </c>
      <c r="AL7" s="54" t="str">
        <f>IFERROR(__xludf.DUMMYFUNCTION("if(AND(AM7=FALSE,AN7=FALSE),,if(AM7=AN7,JOIN("""",""Static: "",AM7),JOIN("""",""Min:  "",AM7, CHAR(10),""Max: "",AN7)))"),"")</f>
        <v/>
      </c>
      <c r="AM7" s="56" t="str">
        <f t="array" ref="AM7">_xlfn.XLOOKUP(B7,'Up Min'!A:A,'Up Min'!J:J,)</f>
        <v/>
      </c>
      <c r="AN7" s="56" t="str">
        <f t="array" ref="AN7">_xlfn.XLOOKUP(B7,'Up Max'!A:A,'Up Max'!J:J,)</f>
        <v/>
      </c>
      <c r="AO7" s="51" t="str">
        <f t="array" ref="AO7">CONCATENATE(_xlfn.XLOOKUP(B7,'Up Cells'!A:A,'Up Cells'!B:B,))</f>
        <v>6</v>
      </c>
      <c r="AP7" s="76" t="str">
        <f t="array" ref="AP7">CONCATENATE(_xlfn.XLOOKUP(B7,'Up Rarity'!A:A,'Up Rarity'!B:B,),CHAR(10),"-")</f>
        <v>Exotic
-</v>
      </c>
    </row>
    <row r="8">
      <c r="A8" s="62" t="str">
        <f t="array" ref="A8">_xlfn.XLOOKUP(B8,'Up Icon'!A:A,'Up Icon'!B:B,)</f>
        <v/>
      </c>
      <c r="B8" s="66" t="str">
        <f t="array" ref="B8">HYPERLINK(_xlfn.XLOOKUP('Up Names'!D5,'Up Wiki'!A:A,'Up Wiki'!B:B,),'Up Names'!D5)</f>
        <v>Voltaic Battery</v>
      </c>
      <c r="C8" s="37" t="str">
        <f t="array" ref="C8">_xlfn.XLOOKUP(B8,'Up Desc'!A:A,'Up Desc'!B:B,)</f>
        <v>Throw used magazines on reload to deal a shock explosion. Shoot the discarded mag to cause a second, larger explosion. Explosion power increases when less ammo is tossed.</v>
      </c>
      <c r="D8" s="37" t="str">
        <f t="array" ref="D8">_xlfn.XLOOKUP(B8,'Up Turbo'!A:A,'Up Turbo'!B:B,)</f>
        <v/>
      </c>
      <c r="E8" s="39" t="str">
        <f t="array" ref="E8">_xlfn.XLOOKUP(B8,'Up Stats'!A:A,'Up Stats'!B:B,)</f>
        <v>Damage</v>
      </c>
      <c r="F8" s="40" t="str">
        <f>IFERROR(__xludf.DUMMYFUNCTION("if(AND(G8=FALSE,H8=FALSE),,if(G8=H8,JOIN("""",""Static: "",G8),JOIN("""",""Min:  "",G8, CHAR(10),""Max: "",H8)))"),"Min:  20
Max: 33")</f>
        <v>Min:  20
Max: 33</v>
      </c>
      <c r="G8" s="69">
        <f t="array" ref="G8">_xlfn.XLOOKUP(B8,'Up Min'!A:A,'Up Min'!B:B,)</f>
        <v>20</v>
      </c>
      <c r="H8" s="68">
        <f t="array" ref="H8">_xlfn.XLOOKUP(B8,'Up Max'!A:A,'Up Max'!B:B,)</f>
        <v>33</v>
      </c>
      <c r="I8" s="39" t="str">
        <f t="array" ref="I8">_xlfn.XLOOKUP(B8,'Up Stats'!A:A,'Up Stats'!C:C,)</f>
        <v>Explosion Size</v>
      </c>
      <c r="J8" s="40" t="str">
        <f>IFERROR(__xludf.DUMMYFUNCTION("if(AND(K8=FALSE,L8=FALSE),,if(K8=L8,JOIN("""",""Static: "",K8),JOIN("""",""Min:  "",K8, CHAR(10),""Max: "",L8)))"),"Min:  3
Max: 5")</f>
        <v>Min:  3
Max: 5</v>
      </c>
      <c r="K8" s="69">
        <f t="array" ref="K8">_xlfn.XLOOKUP(B8,'Up Min'!A:A,'Up Min'!C:C,)</f>
        <v>3</v>
      </c>
      <c r="L8" s="69">
        <f t="array" ref="L8">_xlfn.XLOOKUP(B8,'Up Max'!A:A,'Up Max'!C:C,)</f>
        <v>5</v>
      </c>
      <c r="M8" s="39" t="str">
        <f t="array" ref="M8">_xlfn.XLOOKUP(B8,'Up Stats'!A:A,'Up Stats'!D:D,)</f>
        <v>Secondary Explosion Size</v>
      </c>
      <c r="N8" s="40" t="str">
        <f>IFERROR(__xludf.DUMMYFUNCTION("if(AND(O8=FALSE,P8=FALSE),,if(O8=P8,JOIN("""",""Static: "",O8),JOIN("""",""Min:  "",O8, CHAR(10),""Max: "",P8)))"),"Min:  8
Max: 14")</f>
        <v>Min:  8
Max: 14</v>
      </c>
      <c r="O8" s="68">
        <f t="array" ref="O8">_xlfn.XLOOKUP(B8,'Up Min'!A:A,'Up Min'!D:D,)</f>
        <v>8</v>
      </c>
      <c r="P8" s="69">
        <f t="array" ref="P8">_xlfn.XLOOKUP(B8,'Up Max'!A:A,'Up Max'!D:D,)</f>
        <v>14</v>
      </c>
      <c r="Q8" s="48" t="str">
        <f t="array" ref="Q8">_xlfn.XLOOKUP(B8,'Up Stats'!A:A,'Up Stats'!E:E,)</f>
        <v>Reload Speed</v>
      </c>
      <c r="R8" s="40" t="str">
        <f>IFERROR(__xludf.DUMMYFUNCTION("if(AND(S8=FALSE,T8=FALSE),,if(S8=T8,JOIN("""",""Static: "",S8),JOIN("""",""Min:  "",S8, CHAR(10),""Max: "",T8)))"),"Static: -16.84%")</f>
        <v>Static: -16.84%</v>
      </c>
      <c r="S8" s="78">
        <f t="array" ref="S8">_xlfn.XLOOKUP(B8,'Up Min'!A:A,'Up Min'!E:E,)</f>
        <v>-0.1684</v>
      </c>
      <c r="T8" s="78">
        <f t="array" ref="T8">_xlfn.XLOOKUP(B8,'Up Max'!A:A,'Up Max'!E:E,)</f>
        <v>-0.1684</v>
      </c>
      <c r="U8" s="48" t="str">
        <f t="array" ref="U8">_xlfn.XLOOKUP(B8,'Up Stats'!A:A,'Up Stats'!F:F,)</f>
        <v/>
      </c>
      <c r="V8" s="40" t="str">
        <f>IFERROR(__xludf.DUMMYFUNCTION("if(AND(W8=FALSE,X8=FALSE),,if(W8=X8,JOIN("""",""Static: "",W8),JOIN("""",""Min:  "",W8, CHAR(10),""Max: "",X8)))"),"")</f>
        <v/>
      </c>
      <c r="W8" s="45" t="str">
        <f t="array" ref="W8">_xlfn.XLOOKUP(B8,'Up Min'!A:A,'Up Min'!F:F,)</f>
        <v/>
      </c>
      <c r="X8" s="45" t="str">
        <f t="array" ref="X8">_xlfn.XLOOKUP(B8,'Up Max'!A:A,'Up Max'!F:F,)</f>
        <v/>
      </c>
      <c r="Y8" s="48" t="str">
        <f t="array" ref="Y8">_xlfn.XLOOKUP(B8,'Up Stats'!A:A,'Up Stats'!G:G,)</f>
        <v/>
      </c>
      <c r="Z8" s="40" t="str">
        <f>IFERROR(__xludf.DUMMYFUNCTION("if(AND(AA8=FALSE,AB8=FALSE),,if(AA8=AB8,JOIN("""",""Static: "",AA8),JOIN("""",""Min:  "",AA8, CHAR(10),""Max: "",AB8)))"),"")</f>
        <v/>
      </c>
      <c r="AA8" s="42" t="str">
        <f t="array" ref="AA8">_xlfn.XLOOKUP(B8,'Up Min'!A:A,'Up Min'!G:G,)</f>
        <v/>
      </c>
      <c r="AB8" s="74" t="str">
        <f t="array" ref="AB8">_xlfn.XLOOKUP(B8,'Up Max'!A:A,'Up Max'!G:G,)</f>
        <v/>
      </c>
      <c r="AC8" s="79" t="str">
        <f t="array" ref="AC8">_xlfn.XLOOKUP(B8,'Up Stats'!A:A,'Up Stats'!H:H,)</f>
        <v/>
      </c>
      <c r="AD8" s="40" t="str">
        <f>IFERROR(__xludf.DUMMYFUNCTION("if(AND(AE8=FALSE,AF8=FALSE),,if(AE8=AF8,JOIN("""",""Static: "",AE8),JOIN("""",""Min:  "",AE8, CHAR(10),""Max: "",AF8)))"),"")</f>
        <v/>
      </c>
      <c r="AE8" s="42" t="str">
        <f t="array" ref="AE8">_xlfn.XLOOKUP(B8,'Up Min'!A:A,'Up Min'!H:H,)</f>
        <v/>
      </c>
      <c r="AF8" s="42" t="str">
        <f t="array" ref="AF8">_xlfn.XLOOKUP(B8,'Up Max'!A:A,'Up Max'!H:H,)</f>
        <v/>
      </c>
      <c r="AG8" s="79" t="str">
        <f t="array" ref="AG8">_xlfn.XLOOKUP(B8,'Up Stats'!A:A,'Up Stats'!I:I,)</f>
        <v/>
      </c>
      <c r="AH8" s="40" t="str">
        <f>IFERROR(__xludf.DUMMYFUNCTION("if(AND(AI8=FALSE,AJ8=FALSE),,if(AI8=AJ8,JOIN("""",""Static: "",AI8),JOIN("""",""Min:  "",AI8, CHAR(10),""Max: "",AJ8)))"),"")</f>
        <v/>
      </c>
      <c r="AI8" s="42" t="str">
        <f t="array" ref="AI8">_xlfn.XLOOKUP(B8,'Up Min'!A:A,'Up Min'!I:I,)</f>
        <v/>
      </c>
      <c r="AJ8" s="42" t="str">
        <f t="array" ref="AJ8">_xlfn.XLOOKUP(B8,'Up Max'!A:A,'Up Max'!I:I,)</f>
        <v/>
      </c>
      <c r="AK8" s="48" t="str">
        <f t="array" ref="AK8">_xlfn.XLOOKUP(B8,'Up Stats'!A:A,'Up Stats'!J:J,)</f>
        <v/>
      </c>
      <c r="AL8" s="40" t="str">
        <f>IFERROR(__xludf.DUMMYFUNCTION("if(AND(AM8=FALSE,AN8=FALSE),,if(AM8=AN8,JOIN("""",""Static: "",AM8),JOIN("""",""Min:  "",AM8, CHAR(10),""Max: "",AN8)))"),"")</f>
        <v/>
      </c>
      <c r="AM8" s="42" t="str">
        <f t="array" ref="AM8">_xlfn.XLOOKUP(B8,'Up Min'!A:A,'Up Min'!J:J,)</f>
        <v/>
      </c>
      <c r="AN8" s="42" t="str">
        <f t="array" ref="AN8">_xlfn.XLOOKUP(B8,'Up Max'!A:A,'Up Max'!J:J,)</f>
        <v/>
      </c>
      <c r="AO8" s="34" t="str">
        <f t="array" ref="AO8">CONCATENATE(_xlfn.XLOOKUP(B8,'Up Cells'!A:A,'Up Cells'!B:B,))</f>
        <v>6</v>
      </c>
      <c r="AP8" s="77" t="str">
        <f t="array" ref="AP8">CONCATENATE(_xlfn.XLOOKUP(B8,'Up Rarity'!A:A,'Up Rarity'!B:B,),CHAR(10),"-")</f>
        <v>Exotic
-</v>
      </c>
    </row>
    <row r="9">
      <c r="A9" s="75" t="str">
        <f t="array" ref="A9">_xlfn.XLOOKUP(B9,'Up Icon'!A:A,'Up Icon'!B:B,)</f>
        <v/>
      </c>
      <c r="B9" s="63" t="str">
        <f t="array" ref="B9">HYPERLINK(_xlfn.XLOOKUP('Up Names'!D6,'Up Wiki'!A:A,'Up Wiki'!B:B,),'Up Names'!D6)</f>
        <v>Demonstrator's Trick</v>
      </c>
      <c r="C9" s="70" t="str">
        <f t="array" ref="C9">_xlfn.XLOOKUP(B9,'Up Desc'!A:A,'Up Desc'!B:B,)</f>
        <v>When Voltaic Battery is equipped, you may cancel a reload by switching weapons when your magazine is empty to throw the battery again. Consecutive throws decrease the explosion's size and damage.</v>
      </c>
      <c r="D9" s="52" t="str">
        <f t="array" ref="D9">_xlfn.XLOOKUP(B9,'Up Turbo'!A:A,'Up Turbo'!B:B,)</f>
        <v>n/a</v>
      </c>
      <c r="E9" s="53" t="str">
        <f t="array" ref="E9">_xlfn.XLOOKUP(B9,'Up Stats'!A:A,'Up Stats'!B:B,)</f>
        <v>Efficacy per Thorn</v>
      </c>
      <c r="F9" s="54" t="str">
        <f>IFERROR(__xludf.DUMMYFUNCTION("if(AND(G9=FALSE,H9=FALSE),,if(G9=H9,JOIN("""",""Static: "",G9),JOIN("""",""Min:  "",G9, CHAR(10),""Max: "",H9)))"),"Min:  -40%
Max: -27%")</f>
        <v>Min:  -40%
Max: -27%</v>
      </c>
      <c r="G9" s="59">
        <f t="array" ref="G9">_xlfn.XLOOKUP(B9,'Up Min'!A:A,'Up Min'!B:B,)</f>
        <v>-0.4</v>
      </c>
      <c r="H9" s="59">
        <f t="array" ref="H9">_xlfn.XLOOKUP(B9,'Up Max'!A:A,'Up Max'!B:B,)</f>
        <v>-0.27</v>
      </c>
      <c r="I9" s="53" t="str">
        <f t="array" ref="I9">_xlfn.XLOOKUP(B9,'Up Stats'!A:A,'Up Stats'!C:C,)</f>
        <v/>
      </c>
      <c r="J9" s="54" t="str">
        <f>IFERROR(__xludf.DUMMYFUNCTION("if(AND(K9=FALSE,L9=FALSE),,if(K9=L9,JOIN("""",""Static: "",K9),JOIN("""",""Min:  "",K9, CHAR(10),""Max: "",L9)))"),"")</f>
        <v/>
      </c>
      <c r="K9" s="55" t="str">
        <f t="array" ref="K9">_xlfn.XLOOKUP(B9,'Up Min'!A:A,'Up Min'!C:C,)</f>
        <v/>
      </c>
      <c r="L9" s="55" t="str">
        <f t="array" ref="L9">_xlfn.XLOOKUP(B9,'Up Max'!A:A,'Up Max'!C:C,)</f>
        <v/>
      </c>
      <c r="M9" s="57" t="str">
        <f t="array" ref="M9">_xlfn.XLOOKUP(B9,'Up Stats'!A:A,'Up Stats'!D:D,)</f>
        <v/>
      </c>
      <c r="N9" s="54" t="str">
        <f>IFERROR(__xludf.DUMMYFUNCTION("if(AND(O9=FALSE,P9=FALSE),,if(O9=P9,JOIN("""",""Static: "",O9),JOIN("""",""Min:  "",O9, CHAR(10),""Max: "",P9)))"),"")</f>
        <v/>
      </c>
      <c r="O9" s="55" t="str">
        <f t="array" ref="O9">_xlfn.XLOOKUP(B9,'Up Min'!A:A,'Up Min'!D:D,)</f>
        <v/>
      </c>
      <c r="P9" s="55" t="str">
        <f t="array" ref="P9">_xlfn.XLOOKUP(B9,'Up Max'!A:A,'Up Max'!D:D,)</f>
        <v/>
      </c>
      <c r="Q9" s="57" t="str">
        <f t="array" ref="Q9">_xlfn.XLOOKUP(B9,'Up Stats'!A:A,'Up Stats'!E:E,)</f>
        <v/>
      </c>
      <c r="R9" s="54" t="str">
        <f>IFERROR(__xludf.DUMMYFUNCTION("if(AND(S9=FALSE,T9=FALSE),,if(S9=T9,JOIN("""",""Static: "",S9),JOIN("""",""Min:  "",S9, CHAR(10),""Max: "",T9)))"),"")</f>
        <v/>
      </c>
      <c r="S9" s="55" t="str">
        <f t="array" ref="S9">_xlfn.XLOOKUP(B9,'Up Min'!A:A,'Up Min'!E:E,)</f>
        <v/>
      </c>
      <c r="T9" s="55" t="str">
        <f t="array" ref="T9">_xlfn.XLOOKUP(B9,'Up Max'!A:A,'Up Max'!E:E,)</f>
        <v/>
      </c>
      <c r="U9" s="57" t="str">
        <f t="array" ref="U9">_xlfn.XLOOKUP(B9,'Up Stats'!A:A,'Up Stats'!F:F,)</f>
        <v/>
      </c>
      <c r="V9" s="54" t="str">
        <f>IFERROR(__xludf.DUMMYFUNCTION("if(AND(W9=FALSE,X9=FALSE),,if(W9=X9,JOIN("""",""Static: "",W9),JOIN("""",""Min:  "",W9, CHAR(10),""Max: "",X9)))"),"")</f>
        <v/>
      </c>
      <c r="W9" s="55" t="str">
        <f t="array" ref="W9">_xlfn.XLOOKUP(B9,'Up Min'!A:A,'Up Min'!F:F,)</f>
        <v/>
      </c>
      <c r="X9" s="55" t="str">
        <f t="array" ref="X9">_xlfn.XLOOKUP(B9,'Up Max'!A:A,'Up Max'!F:F,)</f>
        <v/>
      </c>
      <c r="Y9" s="57" t="str">
        <f t="array" ref="Y9">_xlfn.XLOOKUP(B9,'Up Stats'!A:A,'Up Stats'!G:G,)</f>
        <v/>
      </c>
      <c r="Z9" s="54" t="str">
        <f>IFERROR(__xludf.DUMMYFUNCTION("if(AND(AA9=FALSE,AB9=FALSE),,if(AA9=AB9,JOIN("""",""Static: "",AA9),JOIN("""",""Min:  "",AA9, CHAR(10),""Max: "",AB9)))"),"")</f>
        <v/>
      </c>
      <c r="AA9" s="55" t="str">
        <f t="array" ref="AA9">_xlfn.XLOOKUP(B9,'Up Min'!A:A,'Up Min'!G:G,)</f>
        <v/>
      </c>
      <c r="AB9" s="55" t="str">
        <f t="array" ref="AB9">_xlfn.XLOOKUP(B9,'Up Max'!A:A,'Up Max'!G:G,)</f>
        <v/>
      </c>
      <c r="AC9" s="57" t="str">
        <f t="array" ref="AC9">_xlfn.XLOOKUP(B9,'Up Stats'!A:A,'Up Stats'!H:H,)</f>
        <v/>
      </c>
      <c r="AD9" s="54" t="str">
        <f>IFERROR(__xludf.DUMMYFUNCTION("if(AND(AE9=FALSE,AF9=FALSE),,if(AE9=AF9,JOIN("""",""Static: "",AE9),JOIN("""",""Min:  "",AE9, CHAR(10),""Max: "",AF9)))"),"")</f>
        <v/>
      </c>
      <c r="AE9" s="55" t="str">
        <f t="array" ref="AE9">_xlfn.XLOOKUP(B9,'Up Min'!A:A,'Up Min'!H:H,)</f>
        <v/>
      </c>
      <c r="AF9" s="55" t="str">
        <f t="array" ref="AF9">_xlfn.XLOOKUP(B9,'Up Max'!A:A,'Up Max'!H:H,)</f>
        <v/>
      </c>
      <c r="AG9" s="57" t="str">
        <f t="array" ref="AG9">_xlfn.XLOOKUP(B9,'Up Stats'!A:A,'Up Stats'!I:I,)</f>
        <v/>
      </c>
      <c r="AH9" s="54" t="str">
        <f>IFERROR(__xludf.DUMMYFUNCTION("if(AND(AI9=FALSE,AJ9=FALSE),,if(AI9=AJ9,JOIN("""",""Static: "",AI9),JOIN("""",""Min:  "",AI9, CHAR(10),""Max: "",AJ9)))"),"")</f>
        <v/>
      </c>
      <c r="AI9" s="55" t="str">
        <f t="array" ref="AI9">_xlfn.XLOOKUP(B9,'Up Min'!A:A,'Up Min'!I:I,)</f>
        <v/>
      </c>
      <c r="AJ9" s="55" t="str">
        <f t="array" ref="AJ9">_xlfn.XLOOKUP(B9,'Up Max'!A:A,'Up Max'!I:I,)</f>
        <v/>
      </c>
      <c r="AK9" s="57" t="str">
        <f t="array" ref="AK9">_xlfn.XLOOKUP(B9,'Up Stats'!A:A,'Up Stats'!J:J,)</f>
        <v/>
      </c>
      <c r="AL9" s="54" t="str">
        <f>IFERROR(__xludf.DUMMYFUNCTION("if(AND(AM9=FALSE,AN9=FALSE),,if(AM9=AN9,JOIN("""",""Static: "",AM9),JOIN("""",""Min:  "",AM9, CHAR(10),""Max: "",AN9)))"),"")</f>
        <v/>
      </c>
      <c r="AM9" s="55" t="str">
        <f t="array" ref="AM9">_xlfn.XLOOKUP(B9,'Up Min'!A:A,'Up Min'!J:J,)</f>
        <v/>
      </c>
      <c r="AN9" s="55" t="str">
        <f t="array" ref="AN9">_xlfn.XLOOKUP(B9,'Up Max'!A:A,'Up Max'!J:J,)</f>
        <v/>
      </c>
      <c r="AO9" s="51" t="str">
        <f t="array" ref="AO9">CONCATENATE(_xlfn.XLOOKUP(B9,'Up Cells'!A:A,'Up Cells'!B:B,))</f>
        <v>3</v>
      </c>
      <c r="AP9" s="76" t="str">
        <f t="array" ref="AP9">CONCATENATE(_xlfn.XLOOKUP(B9,'Up Rarity'!A:A,'Up Rarity'!B:B,),CHAR(10),"-")</f>
        <v>Epic
-</v>
      </c>
    </row>
    <row r="10">
      <c r="A10" s="75" t="str">
        <f t="array" ref="A10">_xlfn.XLOOKUP(B10,'Up Icon'!A:A,'Up Icon'!B:B,)</f>
        <v/>
      </c>
      <c r="B10" s="66" t="str">
        <f t="array" ref="B10">HYPERLINK(_xlfn.XLOOKUP('Up Names'!D7,'Up Wiki'!A:A,'Up Wiki'!B:B,),'Up Names'!D7)</f>
        <v>Engineering Nanites</v>
      </c>
      <c r="C10" s="37" t="str">
        <f t="array" ref="C10">_xlfn.XLOOKUP(B10,'Up Desc'!A:A,'Up Desc'!B:B,)</f>
        <v>The laser heals allies.</v>
      </c>
      <c r="D10" s="37" t="str">
        <f t="array" ref="D10">_xlfn.XLOOKUP(B10,'Up Turbo'!A:A,'Up Turbo'!B:B,)</f>
        <v>n/a</v>
      </c>
      <c r="E10" s="39" t="str">
        <f t="array" ref="E10">_xlfn.XLOOKUP(B10,'Up Stats'!A:A,'Up Stats'!B:B,)</f>
        <v>Healing</v>
      </c>
      <c r="F10" s="40" t="str">
        <f>IFERROR(__xludf.DUMMYFUNCTION("if(AND(G10=FALSE,H10=FALSE),,if(G10=H10,JOIN("""",""Static: "",G10),JOIN("""",""Min:  "",G10, CHAR(10),""Max: "",H10)))"),"Min:  90%
Max: 120%")</f>
        <v>Min:  90%
Max: 120%</v>
      </c>
      <c r="G10" s="41">
        <f t="array" ref="G10">_xlfn.XLOOKUP(B10,'Up Min'!A:A,'Up Min'!B:B,)</f>
        <v>0.9</v>
      </c>
      <c r="H10" s="41">
        <f t="array" ref="H10">_xlfn.XLOOKUP(B10,'Up Max'!A:A,'Up Max'!B:B,)</f>
        <v>1.2</v>
      </c>
      <c r="I10" s="39" t="str">
        <f t="array" ref="I10">_xlfn.XLOOKUP(B10,'Up Stats'!A:A,'Up Stats'!C:C,)</f>
        <v/>
      </c>
      <c r="J10" s="40" t="str">
        <f>IFERROR(__xludf.DUMMYFUNCTION("if(AND(K10=FALSE,L10=FALSE),,if(K10=L10,JOIN("""",""Static: "",K10),JOIN("""",""Min:  "",K10, CHAR(10),""Max: "",L10)))"),"")</f>
        <v/>
      </c>
      <c r="K10" s="42" t="str">
        <f t="array" ref="K10">_xlfn.XLOOKUP(B10,'Up Min'!A:A,'Up Min'!C:C,)</f>
        <v/>
      </c>
      <c r="L10" s="42" t="str">
        <f t="array" ref="L10">_xlfn.XLOOKUP(B10,'Up Max'!A:A,'Up Max'!C:C,)</f>
        <v/>
      </c>
      <c r="M10" s="48" t="str">
        <f t="array" ref="M10">_xlfn.XLOOKUP(B10,'Up Stats'!A:A,'Up Stats'!D:D,)</f>
        <v/>
      </c>
      <c r="N10" s="40" t="str">
        <f>IFERROR(__xludf.DUMMYFUNCTION("if(AND(O10=FALSE,P10=FALSE),,if(O10=P10,JOIN("""",""Static: "",O10),JOIN("""",""Min:  "",O10, CHAR(10),""Max: "",P10)))"),"")</f>
        <v/>
      </c>
      <c r="O10" s="42" t="str">
        <f t="array" ref="O10">_xlfn.XLOOKUP(B10,'Up Min'!A:A,'Up Min'!D:D,)</f>
        <v/>
      </c>
      <c r="P10" s="42" t="str">
        <f t="array" ref="P10">_xlfn.XLOOKUP(B10,'Up Max'!A:A,'Up Max'!D:D,)</f>
        <v/>
      </c>
      <c r="Q10" s="48" t="str">
        <f t="array" ref="Q10">_xlfn.XLOOKUP(B10,'Up Stats'!A:A,'Up Stats'!E:E,)</f>
        <v/>
      </c>
      <c r="R10" s="40" t="str">
        <f>IFERROR(__xludf.DUMMYFUNCTION("if(AND(S10=FALSE,T10=FALSE),,if(S10=T10,JOIN("""",""Static: "",S10),JOIN("""",""Min:  "",S10, CHAR(10),""Max: "",T10)))"),"")</f>
        <v/>
      </c>
      <c r="S10" s="42" t="str">
        <f t="array" ref="S10">_xlfn.XLOOKUP(B10,'Up Min'!A:A,'Up Min'!E:E,)</f>
        <v/>
      </c>
      <c r="T10" s="42" t="str">
        <f t="array" ref="T10">_xlfn.XLOOKUP(B10,'Up Max'!A:A,'Up Max'!E:E,)</f>
        <v/>
      </c>
      <c r="U10" s="48" t="str">
        <f t="array" ref="U10">_xlfn.XLOOKUP(B10,'Up Stats'!A:A,'Up Stats'!F:F,)</f>
        <v/>
      </c>
      <c r="V10" s="40" t="str">
        <f>IFERROR(__xludf.DUMMYFUNCTION("if(AND(W10=FALSE,X10=FALSE),,if(W10=X10,JOIN("""",""Static: "",W10),JOIN("""",""Min:  "",W10, CHAR(10),""Max: "",X10)))"),"")</f>
        <v/>
      </c>
      <c r="W10" s="42" t="str">
        <f t="array" ref="W10">_xlfn.XLOOKUP(B10,'Up Min'!A:A,'Up Min'!F:F,)</f>
        <v/>
      </c>
      <c r="X10" s="42" t="str">
        <f t="array" ref="X10">_xlfn.XLOOKUP(B10,'Up Max'!A:A,'Up Max'!F:F,)</f>
        <v/>
      </c>
      <c r="Y10" s="48" t="str">
        <f t="array" ref="Y10">_xlfn.XLOOKUP(B10,'Up Stats'!A:A,'Up Stats'!G:G,)</f>
        <v/>
      </c>
      <c r="Z10" s="40" t="str">
        <f>IFERROR(__xludf.DUMMYFUNCTION("if(AND(AA10=FALSE,AB10=FALSE),,if(AA10=AB10,JOIN("""",""Static: "",AA10),JOIN("""",""Min:  "",AA10, CHAR(10),""Max: "",AB10)))"),"")</f>
        <v/>
      </c>
      <c r="AA10" s="42" t="str">
        <f t="array" ref="AA10">_xlfn.XLOOKUP(B10,'Up Min'!A:A,'Up Min'!G:G,)</f>
        <v/>
      </c>
      <c r="AB10" s="42" t="str">
        <f t="array" ref="AB10">_xlfn.XLOOKUP(B10,'Up Max'!A:A,'Up Max'!G:G,)</f>
        <v/>
      </c>
      <c r="AC10" s="48" t="str">
        <f t="array" ref="AC10">_xlfn.XLOOKUP(B10,'Up Stats'!A:A,'Up Stats'!H:H,)</f>
        <v/>
      </c>
      <c r="AD10" s="40" t="str">
        <f>IFERROR(__xludf.DUMMYFUNCTION("if(AND(AE10=FALSE,AF10=FALSE),,if(AE10=AF10,JOIN("""",""Static: "",AE10),JOIN("""",""Min:  "",AE10, CHAR(10),""Max: "",AF10)))"),"")</f>
        <v/>
      </c>
      <c r="AE10" s="42" t="str">
        <f t="array" ref="AE10">_xlfn.XLOOKUP(B10,'Up Min'!A:A,'Up Min'!H:H,)</f>
        <v/>
      </c>
      <c r="AF10" s="42" t="str">
        <f t="array" ref="AF10">_xlfn.XLOOKUP(B10,'Up Max'!A:A,'Up Max'!H:H,)</f>
        <v/>
      </c>
      <c r="AG10" s="48" t="str">
        <f t="array" ref="AG10">_xlfn.XLOOKUP(B10,'Up Stats'!A:A,'Up Stats'!I:I,)</f>
        <v/>
      </c>
      <c r="AH10" s="40" t="str">
        <f>IFERROR(__xludf.DUMMYFUNCTION("if(AND(AI10=FALSE,AJ10=FALSE),,if(AI10=AJ10,JOIN("""",""Static: "",AI10),JOIN("""",""Min:  "",AI10, CHAR(10),""Max: "",AJ10)))"),"")</f>
        <v/>
      </c>
      <c r="AI10" s="42" t="str">
        <f t="array" ref="AI10">_xlfn.XLOOKUP(B10,'Up Min'!A:A,'Up Min'!I:I,)</f>
        <v/>
      </c>
      <c r="AJ10" s="42" t="str">
        <f t="array" ref="AJ10">_xlfn.XLOOKUP(B10,'Up Max'!A:A,'Up Max'!I:I,)</f>
        <v/>
      </c>
      <c r="AK10" s="48" t="str">
        <f t="array" ref="AK10">_xlfn.XLOOKUP(B10,'Up Stats'!A:A,'Up Stats'!J:J,)</f>
        <v/>
      </c>
      <c r="AL10" s="40" t="str">
        <f>IFERROR(__xludf.DUMMYFUNCTION("if(AND(AM10=FALSE,AN10=FALSE),,if(AM10=AN10,JOIN("""",""Static: "",AM10),JOIN("""",""Min:  "",AM10, CHAR(10),""Max: "",AN10)))"),"")</f>
        <v/>
      </c>
      <c r="AM10" s="42" t="str">
        <f t="array" ref="AM10">_xlfn.XLOOKUP(B10,'Up Min'!A:A,'Up Min'!J:J,)</f>
        <v/>
      </c>
      <c r="AN10" s="42" t="str">
        <f t="array" ref="AN10">_xlfn.XLOOKUP(B10,'Up Max'!A:A,'Up Max'!J:J,)</f>
        <v/>
      </c>
      <c r="AO10" s="34" t="str">
        <f t="array" ref="AO10">CONCATENATE(_xlfn.XLOOKUP(B10,'Up Cells'!A:A,'Up Cells'!B:B,))</f>
        <v>4</v>
      </c>
      <c r="AP10" s="77" t="str">
        <f t="array" ref="AP10">CONCATENATE(_xlfn.XLOOKUP(B10,'Up Rarity'!A:A,'Up Rarity'!B:B,),CHAR(10),"-")</f>
        <v>Epic
-</v>
      </c>
    </row>
    <row r="11">
      <c r="A11" s="75" t="str">
        <f t="array" ref="A11">_xlfn.XLOOKUP(B11,'Up Icon'!A:A,'Up Icon'!B:B,)</f>
        <v/>
      </c>
      <c r="B11" s="63" t="str">
        <f t="array" ref="B11">HYPERLINK(_xlfn.XLOOKUP('Up Names'!D8,'Up Wiki'!A:A,'Up Wiki'!B:B,),'Up Names'!D8)</f>
        <v>Hazard Recycling</v>
      </c>
      <c r="C11" s="70" t="str">
        <f t="array" ref="C11">_xlfn.XLOOKUP(B11,'Up Desc'!A:A,'Up Desc'!B:B,)</f>
        <v>Gain laser charge when the given element is fully applied to you.</v>
      </c>
      <c r="D11" s="52" t="str">
        <f t="array" ref="D11">_xlfn.XLOOKUP(B11,'Up Turbo'!A:A,'Up Turbo'!B:B,)</f>
        <v>n/a</v>
      </c>
      <c r="E11" s="53" t="str">
        <f t="array" ref="E11">_xlfn.XLOOKUP(B11,'Up Stats'!A:A,'Up Stats'!B:B,)</f>
        <v>Charge</v>
      </c>
      <c r="F11" s="54" t="str">
        <f>IFERROR(__xludf.DUMMYFUNCTION("if(AND(G11=FALSE,H11=FALSE),,if(G11=H11,JOIN("""",""Static: "",G11),JOIN("""",""Min:  "",G11, CHAR(10),""Max: "",H11)))"),"Min:  21
Max: 28")</f>
        <v>Min:  21
Max: 28</v>
      </c>
      <c r="G11" s="64">
        <f t="array" ref="G11">_xlfn.XLOOKUP(B11,'Up Min'!A:A,'Up Min'!B:B,)</f>
        <v>21</v>
      </c>
      <c r="H11" s="65">
        <f t="array" ref="H11">_xlfn.XLOOKUP(B11,'Up Max'!A:A,'Up Max'!B:B,)</f>
        <v>28</v>
      </c>
      <c r="I11" s="53" t="str">
        <f t="array" ref="I11">_xlfn.XLOOKUP(B11,'Up Stats'!A:A,'Up Stats'!C:C,)</f>
        <v>Element</v>
      </c>
      <c r="J11" s="54" t="str">
        <f>IFERROR(__xludf.DUMMYFUNCTION("if(AND(K11=FALSE,L11=FALSE),,if(K11=L11,JOIN("""",""Static: "",K11),JOIN("""",""Min:  "",K11, CHAR(10),""Max: "",L11)))"),"Static: element")</f>
        <v>Static: element</v>
      </c>
      <c r="K11" s="65" t="str">
        <f t="array" ref="K11">_xlfn.XLOOKUP(B11,'Up Min'!A:A,'Up Min'!C:C,)</f>
        <v>element</v>
      </c>
      <c r="L11" s="64" t="str">
        <f t="array" ref="L11">_xlfn.XLOOKUP(B11,'Up Max'!A:A,'Up Max'!C:C,)</f>
        <v>element</v>
      </c>
      <c r="M11" s="53" t="str">
        <f t="array" ref="M11">_xlfn.XLOOKUP(B11,'Up Stats'!A:A,'Up Stats'!D:D,)</f>
        <v/>
      </c>
      <c r="N11" s="54" t="str">
        <f>IFERROR(__xludf.DUMMYFUNCTION("if(AND(O11=FALSE,P11=FALSE),,if(O11=P11,JOIN("""",""Static: "",O11),JOIN("""",""Min:  "",O11, CHAR(10),""Max: "",P11)))"),"")</f>
        <v/>
      </c>
      <c r="O11" s="55" t="str">
        <f t="array" ref="O11">_xlfn.XLOOKUP(B11,'Up Min'!A:A,'Up Min'!D:D,)</f>
        <v/>
      </c>
      <c r="P11" s="55" t="str">
        <f t="array" ref="P11">_xlfn.XLOOKUP(B11,'Up Max'!A:A,'Up Max'!D:D,)</f>
        <v/>
      </c>
      <c r="Q11" s="57" t="str">
        <f t="array" ref="Q11">_xlfn.XLOOKUP(B11,'Up Stats'!A:A,'Up Stats'!E:E,)</f>
        <v/>
      </c>
      <c r="R11" s="54" t="str">
        <f>IFERROR(__xludf.DUMMYFUNCTION("if(AND(S11=FALSE,T11=FALSE),,if(S11=T11,JOIN("""",""Static: "",S11),JOIN("""",""Min:  "",S11, CHAR(10),""Max: "",T11)))"),"")</f>
        <v/>
      </c>
      <c r="S11" s="55" t="str">
        <f t="array" ref="S11">_xlfn.XLOOKUP(B11,'Up Min'!A:A,'Up Min'!E:E,)</f>
        <v/>
      </c>
      <c r="T11" s="55" t="str">
        <f t="array" ref="T11">_xlfn.XLOOKUP(B11,'Up Max'!A:A,'Up Max'!E:E,)</f>
        <v/>
      </c>
      <c r="U11" s="57" t="str">
        <f t="array" ref="U11">_xlfn.XLOOKUP(B11,'Up Stats'!A:A,'Up Stats'!F:F,)</f>
        <v/>
      </c>
      <c r="V11" s="54" t="str">
        <f>IFERROR(__xludf.DUMMYFUNCTION("if(AND(W11=FALSE,X11=FALSE),,if(W11=X11,JOIN("""",""Static: "",W11),JOIN("""",""Min:  "",W11, CHAR(10),""Max: "",X11)))"),"")</f>
        <v/>
      </c>
      <c r="W11" s="72" t="str">
        <f t="array" ref="W11">_xlfn.XLOOKUP(B11,'Up Min'!A:A,'Up Min'!F:F,)</f>
        <v/>
      </c>
      <c r="X11" s="72" t="str">
        <f t="array" ref="X11">_xlfn.XLOOKUP(B11,'Up Max'!A:A,'Up Max'!F:F,)</f>
        <v/>
      </c>
      <c r="Y11" s="57" t="str">
        <f t="array" ref="Y11">_xlfn.XLOOKUP(B11,'Up Stats'!A:A,'Up Stats'!G:G,)</f>
        <v/>
      </c>
      <c r="Z11" s="54" t="str">
        <f>IFERROR(__xludf.DUMMYFUNCTION("if(AND(AA11=FALSE,AB11=FALSE),,if(AA11=AB11,JOIN("""",""Static: "",AA11),JOIN("""",""Min:  "",AA11, CHAR(10),""Max: "",AB11)))"),"")</f>
        <v/>
      </c>
      <c r="AA11" s="55" t="str">
        <f t="array" ref="AA11">_xlfn.XLOOKUP(B11,'Up Min'!A:A,'Up Min'!G:G,)</f>
        <v/>
      </c>
      <c r="AB11" s="72" t="str">
        <f t="array" ref="AB11">_xlfn.XLOOKUP(B11,'Up Max'!A:A,'Up Max'!G:G,)</f>
        <v/>
      </c>
      <c r="AC11" s="80" t="str">
        <f t="array" ref="AC11">_xlfn.XLOOKUP(B11,'Up Stats'!A:A,'Up Stats'!H:H,)</f>
        <v/>
      </c>
      <c r="AD11" s="54" t="str">
        <f>IFERROR(__xludf.DUMMYFUNCTION("if(AND(AE11=FALSE,AF11=FALSE),,if(AE11=AF11,JOIN("""",""Static: "",AE11),JOIN("""",""Min:  "",AE11, CHAR(10),""Max: "",AF11)))"),"")</f>
        <v/>
      </c>
      <c r="AE11" s="55" t="str">
        <f t="array" ref="AE11">_xlfn.XLOOKUP(B11,'Up Min'!A:A,'Up Min'!H:H,)</f>
        <v/>
      </c>
      <c r="AF11" s="55" t="str">
        <f t="array" ref="AF11">_xlfn.XLOOKUP(B11,'Up Max'!A:A,'Up Max'!H:H,)</f>
        <v/>
      </c>
      <c r="AG11" s="80" t="str">
        <f t="array" ref="AG11">_xlfn.XLOOKUP(B11,'Up Stats'!A:A,'Up Stats'!I:I,)</f>
        <v/>
      </c>
      <c r="AH11" s="54" t="str">
        <f>IFERROR(__xludf.DUMMYFUNCTION("if(AND(AI11=FALSE,AJ11=FALSE),,if(AI11=AJ11,JOIN("""",""Static: "",AI11),JOIN("""",""Min:  "",AI11, CHAR(10),""Max: "",AJ11)))"),"")</f>
        <v/>
      </c>
      <c r="AI11" s="55" t="str">
        <f t="array" ref="AI11">_xlfn.XLOOKUP(B11,'Up Min'!A:A,'Up Min'!I:I,)</f>
        <v/>
      </c>
      <c r="AJ11" s="55" t="str">
        <f t="array" ref="AJ11">_xlfn.XLOOKUP(B11,'Up Max'!A:A,'Up Max'!I:I,)</f>
        <v/>
      </c>
      <c r="AK11" s="57" t="str">
        <f t="array" ref="AK11">_xlfn.XLOOKUP(B11,'Up Stats'!A:A,'Up Stats'!J:J,)</f>
        <v/>
      </c>
      <c r="AL11" s="54" t="str">
        <f>IFERROR(__xludf.DUMMYFUNCTION("if(AND(AM11=FALSE,AN11=FALSE),,if(AM11=AN11,JOIN("""",""Static: "",AM11),JOIN("""",""Min:  "",AM11, CHAR(10),""Max: "",AN11)))"),"")</f>
        <v/>
      </c>
      <c r="AM11" s="55" t="str">
        <f t="array" ref="AM11">_xlfn.XLOOKUP(B11,'Up Min'!A:A,'Up Min'!J:J,)</f>
        <v/>
      </c>
      <c r="AN11" s="55" t="str">
        <f t="array" ref="AN11">_xlfn.XLOOKUP(B11,'Up Max'!A:A,'Up Max'!J:J,)</f>
        <v/>
      </c>
      <c r="AO11" s="51" t="str">
        <f t="array" ref="AO11">CONCATENATE(_xlfn.XLOOKUP(B11,'Up Cells'!A:A,'Up Cells'!B:B,))</f>
        <v>5</v>
      </c>
      <c r="AP11" s="76" t="str">
        <f t="array" ref="AP11">CONCATENATE(_xlfn.XLOOKUP(B11,'Up Rarity'!A:A,'Up Rarity'!B:B,),CHAR(10),"-")</f>
        <v>Epic
-</v>
      </c>
    </row>
    <row r="12">
      <c r="A12" s="75" t="str">
        <f t="array" ref="A12">_xlfn.XLOOKUP(B12,'Up Icon'!A:A,'Up Icon'!B:B,)</f>
        <v/>
      </c>
      <c r="B12" s="66" t="str">
        <f t="array" ref="B12">HYPERLINK(_xlfn.XLOOKUP('Up Names'!D9,'Up Wiki'!A:A,'Up Wiki'!B:B,),'Up Names'!D9)</f>
        <v>Overcharge Cycling</v>
      </c>
      <c r="C12" s="67" t="str">
        <f t="array" ref="C12">_xlfn.XLOOKUP(B12,'Up Desc'!A:A,'Up Desc'!B:B,)</f>
        <v>Killing a target has a chance to refund DMR ammo.</v>
      </c>
      <c r="D12" s="37" t="str">
        <f t="array" ref="D12">_xlfn.XLOOKUP(B12,'Up Turbo'!A:A,'Up Turbo'!B:B,)</f>
        <v>n/a</v>
      </c>
      <c r="E12" s="39" t="str">
        <f t="array" ref="E12">_xlfn.XLOOKUP(B12,'Up Stats'!A:A,'Up Stats'!B:B,)</f>
        <v>Chance</v>
      </c>
      <c r="F12" s="40" t="str">
        <f>IFERROR(__xludf.DUMMYFUNCTION("if(AND(G12=FALSE,H12=FALSE),,if(G12=H12,JOIN("""",""Static: "",G12),JOIN("""",""Min:  "",G12, CHAR(10),""Max: "",H12)))"),"Min:  30%
Max: 60%")</f>
        <v>Min:  30%
Max: 60%</v>
      </c>
      <c r="G12" s="41">
        <f t="array" ref="G12">_xlfn.XLOOKUP(B12,'Up Min'!A:A,'Up Min'!B:B,)</f>
        <v>0.3</v>
      </c>
      <c r="H12" s="41">
        <f t="array" ref="H12">_xlfn.XLOOKUP(B12,'Up Max'!A:A,'Up Max'!B:B,)</f>
        <v>0.6</v>
      </c>
      <c r="I12" s="39" t="str">
        <f t="array" ref="I12">_xlfn.XLOOKUP(B12,'Up Stats'!A:A,'Up Stats'!C:C,)</f>
        <v>Ammo Refunded</v>
      </c>
      <c r="J12" s="40" t="str">
        <f>IFERROR(__xludf.DUMMYFUNCTION("if(AND(K12=FALSE,L12=FALSE),,if(K12=L12,JOIN("""",""Static: "",K12),JOIN("""",""Min:  "",K12, CHAR(10),""Max: "",L12)))"),"Min:  1
Max: 3")</f>
        <v>Min:  1
Max: 3</v>
      </c>
      <c r="K12" s="68">
        <f t="array" ref="K12">_xlfn.XLOOKUP(B12,'Up Min'!A:A,'Up Min'!C:C,)</f>
        <v>1</v>
      </c>
      <c r="L12" s="69">
        <f t="array" ref="L12">_xlfn.XLOOKUP(B12,'Up Max'!A:A,'Up Max'!C:C,)</f>
        <v>3</v>
      </c>
      <c r="M12" s="39" t="str">
        <f t="array" ref="M12">_xlfn.XLOOKUP(B12,'Up Stats'!A:A,'Up Stats'!D:D,)</f>
        <v/>
      </c>
      <c r="N12" s="40" t="str">
        <f>IFERROR(__xludf.DUMMYFUNCTION("if(AND(O12=FALSE,P12=FALSE),,if(O12=P12,JOIN("""",""Static: "",O12),JOIN("""",""Min:  "",O12, CHAR(10),""Max: "",P12)))"),"")</f>
        <v/>
      </c>
      <c r="O12" s="42" t="str">
        <f t="array" ref="O12">_xlfn.XLOOKUP(B12,'Up Min'!A:A,'Up Min'!D:D,)</f>
        <v/>
      </c>
      <c r="P12" s="42" t="str">
        <f t="array" ref="P12">_xlfn.XLOOKUP(B12,'Up Max'!A:A,'Up Max'!D:D,)</f>
        <v/>
      </c>
      <c r="Q12" s="48" t="str">
        <f t="array" ref="Q12">_xlfn.XLOOKUP(B12,'Up Stats'!A:A,'Up Stats'!E:E,)</f>
        <v/>
      </c>
      <c r="R12" s="40" t="str">
        <f>IFERROR(__xludf.DUMMYFUNCTION("if(AND(S12=FALSE,T12=FALSE),,if(S12=T12,JOIN("""",""Static: "",S12),JOIN("""",""Min:  "",S12, CHAR(10),""Max: "",T12)))"),"")</f>
        <v/>
      </c>
      <c r="S12" s="42" t="str">
        <f t="array" ref="S12">_xlfn.XLOOKUP(B12,'Up Min'!A:A,'Up Min'!E:E,)</f>
        <v/>
      </c>
      <c r="T12" s="42" t="str">
        <f t="array" ref="T12">_xlfn.XLOOKUP(B12,'Up Max'!A:A,'Up Max'!E:E,)</f>
        <v/>
      </c>
      <c r="U12" s="48" t="str">
        <f t="array" ref="U12">_xlfn.XLOOKUP(B12,'Up Stats'!A:A,'Up Stats'!F:F,)</f>
        <v/>
      </c>
      <c r="V12" s="40" t="str">
        <f>IFERROR(__xludf.DUMMYFUNCTION("if(AND(W12=FALSE,X12=FALSE),,if(W12=X12,JOIN("""",""Static: "",W12),JOIN("""",""Min:  "",W12, CHAR(10),""Max: "",X12)))"),"")</f>
        <v/>
      </c>
      <c r="W12" s="74" t="str">
        <f t="array" ref="W12">_xlfn.XLOOKUP(B12,'Up Min'!A:A,'Up Min'!F:F,)</f>
        <v/>
      </c>
      <c r="X12" s="74" t="str">
        <f t="array" ref="X12">_xlfn.XLOOKUP(B12,'Up Max'!A:A,'Up Max'!F:F,)</f>
        <v/>
      </c>
      <c r="Y12" s="48" t="str">
        <f t="array" ref="Y12">_xlfn.XLOOKUP(B12,'Up Stats'!A:A,'Up Stats'!G:G,)</f>
        <v/>
      </c>
      <c r="Z12" s="40" t="str">
        <f>IFERROR(__xludf.DUMMYFUNCTION("if(AND(AA12=FALSE,AB12=FALSE),,if(AA12=AB12,JOIN("""",""Static: "",AA12),JOIN("""",""Min:  "",AA12, CHAR(10),""Max: "",AB12)))"),"")</f>
        <v/>
      </c>
      <c r="AA12" s="42" t="str">
        <f t="array" ref="AA12">_xlfn.XLOOKUP(B12,'Up Min'!A:A,'Up Min'!G:G,)</f>
        <v/>
      </c>
      <c r="AB12" s="74" t="str">
        <f t="array" ref="AB12">_xlfn.XLOOKUP(B12,'Up Max'!A:A,'Up Max'!G:G,)</f>
        <v/>
      </c>
      <c r="AC12" s="79" t="str">
        <f t="array" ref="AC12">_xlfn.XLOOKUP(B12,'Up Stats'!A:A,'Up Stats'!H:H,)</f>
        <v/>
      </c>
      <c r="AD12" s="40" t="str">
        <f>IFERROR(__xludf.DUMMYFUNCTION("if(AND(AE12=FALSE,AF12=FALSE),,if(AE12=AF12,JOIN("""",""Static: "",AE12),JOIN("""",""Min:  "",AE12, CHAR(10),""Max: "",AF12)))"),"")</f>
        <v/>
      </c>
      <c r="AE12" s="42" t="str">
        <f t="array" ref="AE12">_xlfn.XLOOKUP(B12,'Up Min'!A:A,'Up Min'!H:H,)</f>
        <v/>
      </c>
      <c r="AF12" s="42" t="str">
        <f t="array" ref="AF12">_xlfn.XLOOKUP(B12,'Up Max'!A:A,'Up Max'!H:H,)</f>
        <v/>
      </c>
      <c r="AG12" s="79" t="str">
        <f t="array" ref="AG12">_xlfn.XLOOKUP(B12,'Up Stats'!A:A,'Up Stats'!I:I,)</f>
        <v/>
      </c>
      <c r="AH12" s="40" t="str">
        <f>IFERROR(__xludf.DUMMYFUNCTION("if(AND(AI12=FALSE,AJ12=FALSE),,if(AI12=AJ12,JOIN("""",""Static: "",AI12),JOIN("""",""Min:  "",AI12, CHAR(10),""Max: "",AJ12)))"),"")</f>
        <v/>
      </c>
      <c r="AI12" s="42" t="str">
        <f t="array" ref="AI12">_xlfn.XLOOKUP(B12,'Up Min'!A:A,'Up Min'!I:I,)</f>
        <v/>
      </c>
      <c r="AJ12" s="42" t="str">
        <f t="array" ref="AJ12">_xlfn.XLOOKUP(B12,'Up Max'!A:A,'Up Max'!I:I,)</f>
        <v/>
      </c>
      <c r="AK12" s="48" t="str">
        <f t="array" ref="AK12">_xlfn.XLOOKUP(B12,'Up Stats'!A:A,'Up Stats'!J:J,)</f>
        <v/>
      </c>
      <c r="AL12" s="40" t="str">
        <f>IFERROR(__xludf.DUMMYFUNCTION("if(AND(AM12=FALSE,AN12=FALSE),,if(AM12=AN12,JOIN("""",""Static: "",AM12),JOIN("""",""Min:  "",AM12, CHAR(10),""Max: "",AN12)))"),"")</f>
        <v/>
      </c>
      <c r="AM12" s="42" t="str">
        <f t="array" ref="AM12">_xlfn.XLOOKUP(B12,'Up Min'!A:A,'Up Min'!J:J,)</f>
        <v/>
      </c>
      <c r="AN12" s="42" t="str">
        <f t="array" ref="AN12">_xlfn.XLOOKUP(B12,'Up Max'!A:A,'Up Max'!J:J,)</f>
        <v/>
      </c>
      <c r="AO12" s="34" t="str">
        <f t="array" ref="AO12">CONCATENATE(_xlfn.XLOOKUP(B12,'Up Cells'!A:A,'Up Cells'!B:B,))</f>
        <v>5</v>
      </c>
      <c r="AP12" s="77" t="str">
        <f t="array" ref="AP12">CONCATENATE(_xlfn.XLOOKUP(B12,'Up Rarity'!A:A,'Up Rarity'!B:B,),CHAR(10),"-")</f>
        <v>Epic
-</v>
      </c>
    </row>
    <row r="13">
      <c r="A13" s="75" t="str">
        <f t="array" ref="A13">_xlfn.XLOOKUP(B13,'Up Icon'!A:A,'Up Icon'!B:B,)</f>
        <v/>
      </c>
      <c r="B13" s="63" t="str">
        <f t="array" ref="B13">HYPERLINK(_xlfn.XLOOKUP('Up Names'!D10,'Up Wiki'!A:A,'Up Wiki'!B:B,),'Up Names'!D10)</f>
        <v>Photon Surge</v>
      </c>
      <c r="C13" s="52" t="str">
        <f t="array" ref="C13">_xlfn.XLOOKUP(B13,'Up Desc'!A:A,'Up Desc'!B:B,)</f>
        <v>Move faster while firing the laser.</v>
      </c>
      <c r="D13" s="52" t="str">
        <f t="array" ref="D13">_xlfn.XLOOKUP(B13,'Up Turbo'!A:A,'Up Turbo'!B:B,)</f>
        <v>n/a</v>
      </c>
      <c r="E13" s="53" t="str">
        <f t="array" ref="E13">_xlfn.XLOOKUP(B13,'Up Stats'!A:A,'Up Stats'!B:B,)</f>
        <v>Speed</v>
      </c>
      <c r="F13" s="54" t="str">
        <f>IFERROR(__xludf.DUMMYFUNCTION("if(AND(G13=FALSE,H13=FALSE),,if(G13=H13,JOIN("""",""Static: "",G13),JOIN("""",""Min:  "",G13, CHAR(10),""Max: "",H13)))"),"Min:  3.5
Max: 6.5")</f>
        <v>Min:  3.5
Max: 6.5</v>
      </c>
      <c r="G13" s="64">
        <f t="array" ref="G13">_xlfn.XLOOKUP(B13,'Up Min'!A:A,'Up Min'!B:B,)</f>
        <v>3.5</v>
      </c>
      <c r="H13" s="65">
        <f t="array" ref="H13">_xlfn.XLOOKUP(B13,'Up Max'!A:A,'Up Max'!B:B,)</f>
        <v>6.5</v>
      </c>
      <c r="I13" s="53" t="str">
        <f t="array" ref="I13">_xlfn.XLOOKUP(B13,'Up Stats'!A:A,'Up Stats'!C:C,)</f>
        <v/>
      </c>
      <c r="J13" s="54" t="str">
        <f>IFERROR(__xludf.DUMMYFUNCTION("if(AND(K13=FALSE,L13=FALSE),,if(K13=L13,JOIN("""",""Static: "",K13),JOIN("""",""Min:  "",K13, CHAR(10),""Max: "",L13)))"),"")</f>
        <v/>
      </c>
      <c r="K13" s="55" t="str">
        <f t="array" ref="K13">_xlfn.XLOOKUP(B13,'Up Min'!A:A,'Up Min'!C:C,)</f>
        <v/>
      </c>
      <c r="L13" s="55" t="str">
        <f t="array" ref="L13">_xlfn.XLOOKUP(B13,'Up Max'!A:A,'Up Max'!C:C,)</f>
        <v/>
      </c>
      <c r="M13" s="57" t="str">
        <f t="array" ref="M13">_xlfn.XLOOKUP(B13,'Up Stats'!A:A,'Up Stats'!D:D,)</f>
        <v/>
      </c>
      <c r="N13" s="54" t="str">
        <f>IFERROR(__xludf.DUMMYFUNCTION("if(AND(O13=FALSE,P13=FALSE),,if(O13=P13,JOIN("""",""Static: "",O13),JOIN("""",""Min:  "",O13, CHAR(10),""Max: "",P13)))"),"")</f>
        <v/>
      </c>
      <c r="O13" s="55" t="str">
        <f t="array" ref="O13">_xlfn.XLOOKUP(B13,'Up Min'!A:A,'Up Min'!D:D,)</f>
        <v/>
      </c>
      <c r="P13" s="55" t="str">
        <f t="array" ref="P13">_xlfn.XLOOKUP(B13,'Up Max'!A:A,'Up Max'!D:D,)</f>
        <v/>
      </c>
      <c r="Q13" s="57" t="str">
        <f t="array" ref="Q13">_xlfn.XLOOKUP(B13,'Up Stats'!A:A,'Up Stats'!E:E,)</f>
        <v/>
      </c>
      <c r="R13" s="54" t="str">
        <f>IFERROR(__xludf.DUMMYFUNCTION("if(AND(S13=FALSE,T13=FALSE),,if(S13=T13,JOIN("""",""Static: "",S13),JOIN("""",""Min:  "",S13, CHAR(10),""Max: "",T13)))"),"")</f>
        <v/>
      </c>
      <c r="S13" s="55" t="str">
        <f t="array" ref="S13">_xlfn.XLOOKUP(B13,'Up Min'!A:A,'Up Min'!E:E,)</f>
        <v/>
      </c>
      <c r="T13" s="55" t="str">
        <f t="array" ref="T13">_xlfn.XLOOKUP(B13,'Up Max'!A:A,'Up Max'!E:E,)</f>
        <v/>
      </c>
      <c r="U13" s="57" t="str">
        <f t="array" ref="U13">_xlfn.XLOOKUP(B13,'Up Stats'!A:A,'Up Stats'!F:F,)</f>
        <v/>
      </c>
      <c r="V13" s="54" t="str">
        <f>IFERROR(__xludf.DUMMYFUNCTION("if(AND(W13=FALSE,X13=FALSE),,if(W13=X13,JOIN("""",""Static: "",W13),JOIN("""",""Min:  "",W13, CHAR(10),""Max: "",X13)))"),"")</f>
        <v/>
      </c>
      <c r="W13" s="55" t="str">
        <f t="array" ref="W13">_xlfn.XLOOKUP(B13,'Up Min'!A:A,'Up Min'!F:F,)</f>
        <v/>
      </c>
      <c r="X13" s="55" t="str">
        <f t="array" ref="X13">_xlfn.XLOOKUP(B13,'Up Max'!A:A,'Up Max'!F:F,)</f>
        <v/>
      </c>
      <c r="Y13" s="57" t="str">
        <f t="array" ref="Y13">_xlfn.XLOOKUP(B13,'Up Stats'!A:A,'Up Stats'!G:G,)</f>
        <v/>
      </c>
      <c r="Z13" s="54" t="str">
        <f>IFERROR(__xludf.DUMMYFUNCTION("if(AND(AA13=FALSE,AB13=FALSE),,if(AA13=AB13,JOIN("""",""Static: "",AA13),JOIN("""",""Min:  "",AA13, CHAR(10),""Max: "",AB13)))"),"")</f>
        <v/>
      </c>
      <c r="AA13" s="55" t="str">
        <f t="array" ref="AA13">_xlfn.XLOOKUP(B13,'Up Min'!A:A,'Up Min'!G:G,)</f>
        <v/>
      </c>
      <c r="AB13" s="55" t="str">
        <f t="array" ref="AB13">_xlfn.XLOOKUP(B13,'Up Max'!A:A,'Up Max'!G:G,)</f>
        <v/>
      </c>
      <c r="AC13" s="57" t="str">
        <f t="array" ref="AC13">_xlfn.XLOOKUP(B13,'Up Stats'!A:A,'Up Stats'!H:H,)</f>
        <v/>
      </c>
      <c r="AD13" s="54" t="str">
        <f>IFERROR(__xludf.DUMMYFUNCTION("if(AND(AE13=FALSE,AF13=FALSE),,if(AE13=AF13,JOIN("""",""Static: "",AE13),JOIN("""",""Min:  "",AE13, CHAR(10),""Max: "",AF13)))"),"")</f>
        <v/>
      </c>
      <c r="AE13" s="55" t="str">
        <f t="array" ref="AE13">_xlfn.XLOOKUP(B13,'Up Min'!A:A,'Up Min'!H:H,)</f>
        <v/>
      </c>
      <c r="AF13" s="55" t="str">
        <f t="array" ref="AF13">_xlfn.XLOOKUP(B13,'Up Max'!A:A,'Up Max'!H:H,)</f>
        <v/>
      </c>
      <c r="AG13" s="57" t="str">
        <f t="array" ref="AG13">_xlfn.XLOOKUP(B13,'Up Stats'!A:A,'Up Stats'!I:I,)</f>
        <v/>
      </c>
      <c r="AH13" s="54" t="str">
        <f>IFERROR(__xludf.DUMMYFUNCTION("if(AND(AI13=FALSE,AJ13=FALSE),,if(AI13=AJ13,JOIN("""",""Static: "",AI13),JOIN("""",""Min:  "",AI13, CHAR(10),""Max: "",AJ13)))"),"")</f>
        <v/>
      </c>
      <c r="AI13" s="55" t="str">
        <f t="array" ref="AI13">_xlfn.XLOOKUP(B13,'Up Min'!A:A,'Up Min'!I:I,)</f>
        <v/>
      </c>
      <c r="AJ13" s="55" t="str">
        <f t="array" ref="AJ13">_xlfn.XLOOKUP(B13,'Up Max'!A:A,'Up Max'!I:I,)</f>
        <v/>
      </c>
      <c r="AK13" s="57" t="str">
        <f t="array" ref="AK13">_xlfn.XLOOKUP(B13,'Up Stats'!A:A,'Up Stats'!J:J,)</f>
        <v/>
      </c>
      <c r="AL13" s="54" t="str">
        <f>IFERROR(__xludf.DUMMYFUNCTION("if(AND(AM13=FALSE,AN13=FALSE),,if(AM13=AN13,JOIN("""",""Static: "",AM13),JOIN("""",""Min:  "",AM13, CHAR(10),""Max: "",AN13)))"),"")</f>
        <v/>
      </c>
      <c r="AM13" s="55" t="str">
        <f t="array" ref="AM13">_xlfn.XLOOKUP(B13,'Up Min'!A:A,'Up Min'!J:J,)</f>
        <v/>
      </c>
      <c r="AN13" s="55" t="str">
        <f t="array" ref="AN13">_xlfn.XLOOKUP(B13,'Up Max'!A:A,'Up Max'!J:J,)</f>
        <v/>
      </c>
      <c r="AO13" s="51" t="str">
        <f t="array" ref="AO13">CONCATENATE(_xlfn.XLOOKUP(B13,'Up Cells'!A:A,'Up Cells'!B:B,))</f>
        <v>4</v>
      </c>
      <c r="AP13" s="76" t="str">
        <f t="array" ref="AP13">CONCATENATE(_xlfn.XLOOKUP(B13,'Up Rarity'!A:A,'Up Rarity'!B:B,),CHAR(10),"-")</f>
        <v>Epic
-</v>
      </c>
    </row>
    <row r="14">
      <c r="A14" s="75" t="str">
        <f t="array" ref="A14">_xlfn.XLOOKUP(B14,'Up Icon'!A:A,'Up Icon'!B:B,)</f>
        <v/>
      </c>
      <c r="B14" s="66" t="str">
        <f t="array" ref="B14">HYPERLINK(_xlfn.XLOOKUP('Up Names'!D11,'Up Wiki'!A:A,'Up Wiki'!B:B,),'Up Names'!D11)</f>
        <v>Two Way Charging</v>
      </c>
      <c r="C14" s="37" t="str">
        <f t="array" ref="C14">_xlfn.XLOOKUP(B14,'Up Desc'!A:A,'Up Desc'!B:B,)</f>
        <v>Dealing damage with the laser regenerates bullets in your magazine.</v>
      </c>
      <c r="D14" s="37" t="str">
        <f t="array" ref="D14">_xlfn.XLOOKUP(B14,'Up Turbo'!A:A,'Up Turbo'!B:B,)</f>
        <v>n/a</v>
      </c>
      <c r="E14" s="39" t="str">
        <f t="array" ref="E14">_xlfn.XLOOKUP(B14,'Up Stats'!A:A,'Up Stats'!B:B,)</f>
        <v>Ammo Generated by Laser</v>
      </c>
      <c r="F14" s="40" t="str">
        <f>IFERROR(__xludf.DUMMYFUNCTION("if(AND(G14=FALSE,H14=FALSE),,if(G14=H14,JOIN("""",""Static: "",G14),JOIN("""",""Min:  "",G14, CHAR(10),""Max: "",H14)))"),"Min:  0.43
Max: 0.65")</f>
        <v>Min:  0.43
Max: 0.65</v>
      </c>
      <c r="G14" s="69">
        <f t="array" ref="G14">_xlfn.XLOOKUP(B14,'Up Min'!A:A,'Up Min'!B:B,)</f>
        <v>0.43</v>
      </c>
      <c r="H14" s="68">
        <f t="array" ref="H14">_xlfn.XLOOKUP(B14,'Up Max'!A:A,'Up Max'!B:B,)</f>
        <v>0.65</v>
      </c>
      <c r="I14" s="39" t="str">
        <f t="array" ref="I14">_xlfn.XLOOKUP(B14,'Up Stats'!A:A,'Up Stats'!C:C,)</f>
        <v/>
      </c>
      <c r="J14" s="40" t="str">
        <f>IFERROR(__xludf.DUMMYFUNCTION("if(AND(K14=FALSE,L14=FALSE),,if(K14=L14,JOIN("""",""Static: "",K14),JOIN("""",""Min:  "",K14, CHAR(10),""Max: "",L14)))"),"")</f>
        <v/>
      </c>
      <c r="K14" s="42" t="str">
        <f t="array" ref="K14">_xlfn.XLOOKUP(B14,'Up Min'!A:A,'Up Min'!C:C,)</f>
        <v/>
      </c>
      <c r="L14" s="42" t="str">
        <f t="array" ref="L14">_xlfn.XLOOKUP(B14,'Up Max'!A:A,'Up Max'!C:C,)</f>
        <v/>
      </c>
      <c r="M14" s="39" t="str">
        <f t="array" ref="M14">_xlfn.XLOOKUP(B14,'Up Stats'!A:A,'Up Stats'!D:D,)</f>
        <v/>
      </c>
      <c r="N14" s="40" t="str">
        <f>IFERROR(__xludf.DUMMYFUNCTION("if(AND(O14=FALSE,P14=FALSE),,if(O14=P14,JOIN("""",""Static: "",O14),JOIN("""",""Min:  "",O14, CHAR(10),""Max: "",P14)))"),"")</f>
        <v/>
      </c>
      <c r="O14" s="42" t="str">
        <f t="array" ref="O14">_xlfn.XLOOKUP(B14,'Up Min'!A:A,'Up Min'!D:D,)</f>
        <v/>
      </c>
      <c r="P14" s="42" t="str">
        <f t="array" ref="P14">_xlfn.XLOOKUP(B14,'Up Max'!A:A,'Up Max'!D:D,)</f>
        <v/>
      </c>
      <c r="Q14" s="48" t="str">
        <f t="array" ref="Q14">_xlfn.XLOOKUP(B14,'Up Stats'!A:A,'Up Stats'!E:E,)</f>
        <v/>
      </c>
      <c r="R14" s="40" t="str">
        <f>IFERROR(__xludf.DUMMYFUNCTION("if(AND(S14=FALSE,T14=FALSE),,if(S14=T14,JOIN("""",""Static: "",S14),JOIN("""",""Min:  "",S14, CHAR(10),""Max: "",T14)))"),"")</f>
        <v/>
      </c>
      <c r="S14" s="42" t="str">
        <f t="array" ref="S14">_xlfn.XLOOKUP(B14,'Up Min'!A:A,'Up Min'!E:E,)</f>
        <v/>
      </c>
      <c r="T14" s="42" t="str">
        <f t="array" ref="T14">_xlfn.XLOOKUP(B14,'Up Max'!A:A,'Up Max'!E:E,)</f>
        <v/>
      </c>
      <c r="U14" s="48" t="str">
        <f t="array" ref="U14">_xlfn.XLOOKUP(B14,'Up Stats'!A:A,'Up Stats'!F:F,)</f>
        <v/>
      </c>
      <c r="V14" s="40" t="str">
        <f>IFERROR(__xludf.DUMMYFUNCTION("if(AND(W14=FALSE,X14=FALSE),,if(W14=X14,JOIN("""",""Static: "",W14),JOIN("""",""Min:  "",W14, CHAR(10),""Max: "",X14)))"),"")</f>
        <v/>
      </c>
      <c r="W14" s="42" t="str">
        <f t="array" ref="W14">_xlfn.XLOOKUP(B14,'Up Min'!A:A,'Up Min'!F:F,)</f>
        <v/>
      </c>
      <c r="X14" s="42" t="str">
        <f t="array" ref="X14">_xlfn.XLOOKUP(B14,'Up Max'!A:A,'Up Max'!F:F,)</f>
        <v/>
      </c>
      <c r="Y14" s="48" t="str">
        <f t="array" ref="Y14">_xlfn.XLOOKUP(B14,'Up Stats'!A:A,'Up Stats'!G:G,)</f>
        <v/>
      </c>
      <c r="Z14" s="40" t="str">
        <f>IFERROR(__xludf.DUMMYFUNCTION("if(AND(AA14=FALSE,AB14=FALSE),,if(AA14=AB14,JOIN("""",""Static: "",AA14),JOIN("""",""Min:  "",AA14, CHAR(10),""Max: "",AB14)))"),"")</f>
        <v/>
      </c>
      <c r="AA14" s="42" t="str">
        <f t="array" ref="AA14">_xlfn.XLOOKUP(B14,'Up Min'!A:A,'Up Min'!G:G,)</f>
        <v/>
      </c>
      <c r="AB14" s="42" t="str">
        <f t="array" ref="AB14">_xlfn.XLOOKUP(B14,'Up Max'!A:A,'Up Max'!G:G,)</f>
        <v/>
      </c>
      <c r="AC14" s="48" t="str">
        <f t="array" ref="AC14">_xlfn.XLOOKUP(B14,'Up Stats'!A:A,'Up Stats'!H:H,)</f>
        <v/>
      </c>
      <c r="AD14" s="40" t="str">
        <f>IFERROR(__xludf.DUMMYFUNCTION("if(AND(AE14=FALSE,AF14=FALSE),,if(AE14=AF14,JOIN("""",""Static: "",AE14),JOIN("""",""Min:  "",AE14, CHAR(10),""Max: "",AF14)))"),"")</f>
        <v/>
      </c>
      <c r="AE14" s="42" t="str">
        <f t="array" ref="AE14">_xlfn.XLOOKUP(B14,'Up Min'!A:A,'Up Min'!H:H,)</f>
        <v/>
      </c>
      <c r="AF14" s="42" t="str">
        <f t="array" ref="AF14">_xlfn.XLOOKUP(B14,'Up Max'!A:A,'Up Max'!H:H,)</f>
        <v/>
      </c>
      <c r="AG14" s="48" t="str">
        <f t="array" ref="AG14">_xlfn.XLOOKUP(B14,'Up Stats'!A:A,'Up Stats'!I:I,)</f>
        <v/>
      </c>
      <c r="AH14" s="40" t="str">
        <f>IFERROR(__xludf.DUMMYFUNCTION("if(AND(AI14=FALSE,AJ14=FALSE),,if(AI14=AJ14,JOIN("""",""Static: "",AI14),JOIN("""",""Min:  "",AI14, CHAR(10),""Max: "",AJ14)))"),"")</f>
        <v/>
      </c>
      <c r="AI14" s="42" t="str">
        <f t="array" ref="AI14">_xlfn.XLOOKUP(B14,'Up Min'!A:A,'Up Min'!I:I,)</f>
        <v/>
      </c>
      <c r="AJ14" s="42" t="str">
        <f t="array" ref="AJ14">_xlfn.XLOOKUP(B14,'Up Max'!A:A,'Up Max'!I:I,)</f>
        <v/>
      </c>
      <c r="AK14" s="48" t="str">
        <f t="array" ref="AK14">_xlfn.XLOOKUP(B14,'Up Stats'!A:A,'Up Stats'!J:J,)</f>
        <v/>
      </c>
      <c r="AL14" s="40" t="str">
        <f>IFERROR(__xludf.DUMMYFUNCTION("if(AND(AM14=FALSE,AN14=FALSE),,if(AM14=AN14,JOIN("""",""Static: "",AM14),JOIN("""",""Min:  "",AM14, CHAR(10),""Max: "",AN14)))"),"")</f>
        <v/>
      </c>
      <c r="AM14" s="42" t="str">
        <f t="array" ref="AM14">_xlfn.XLOOKUP(B14,'Up Min'!A:A,'Up Min'!J:J,)</f>
        <v/>
      </c>
      <c r="AN14" s="42" t="str">
        <f t="array" ref="AN14">_xlfn.XLOOKUP(B14,'Up Max'!A:A,'Up Max'!J:J,)</f>
        <v/>
      </c>
      <c r="AO14" s="34" t="str">
        <f t="array" ref="AO14">CONCATENATE(_xlfn.XLOOKUP(B14,'Up Cells'!A:A,'Up Cells'!B:B,))</f>
        <v>5</v>
      </c>
      <c r="AP14" s="77" t="str">
        <f t="array" ref="AP14">CONCATENATE(_xlfn.XLOOKUP(B14,'Up Rarity'!A:A,'Up Rarity'!B:B,),CHAR(10),"-")</f>
        <v>Epic
-</v>
      </c>
    </row>
    <row r="15">
      <c r="A15" s="83" t="str">
        <f t="array" ref="A15">_xlfn.XLOOKUP(B15,'Up Icon'!A:A,'Up Icon'!B:B,)</f>
        <v/>
      </c>
      <c r="B15" s="63" t="str">
        <f t="array" ref="B15">HYPERLINK(_xlfn.XLOOKUP('Up Names'!D12,'Up Wiki'!A:A,'Up Wiki'!B:B,),'Up Names'!D12)</f>
        <v>Assist Charge</v>
      </c>
      <c r="C15" s="52" t="str">
        <f t="array" ref="C15">_xlfn.XLOOKUP(B15,'Up Desc'!A:A,'Up Desc'!B:B,)</f>
        <v>Healing an ally with the laser provides some charge.</v>
      </c>
      <c r="D15" s="52" t="str">
        <f t="array" ref="D15">_xlfn.XLOOKUP(B15,'Up Turbo'!A:A,'Up Turbo'!B:B,)</f>
        <v>n/a</v>
      </c>
      <c r="E15" s="53" t="str">
        <f t="array" ref="E15">_xlfn.XLOOKUP(B15,'Up Stats'!A:A,'Up Stats'!B:B,)</f>
        <v>Charge on Heal</v>
      </c>
      <c r="F15" s="54" t="str">
        <f>IFERROR(__xludf.DUMMYFUNCTION("if(AND(G15=FALSE,H15=FALSE),,if(G15=H15,JOIN("""",""Static: "",G15),JOIN("""",""Min:  "",G15, CHAR(10),""Max: "",H15)))"),"Min:  104%
Max: 156%")</f>
        <v>Min:  104%
Max: 156%</v>
      </c>
      <c r="G15" s="59">
        <f t="array" ref="G15">_xlfn.XLOOKUP(B15,'Up Min'!A:A,'Up Min'!B:B,)</f>
        <v>1.04</v>
      </c>
      <c r="H15" s="59">
        <f t="array" ref="H15">_xlfn.XLOOKUP(B15,'Up Max'!A:A,'Up Max'!B:B,)</f>
        <v>1.56</v>
      </c>
      <c r="I15" s="53" t="str">
        <f t="array" ref="I15">_xlfn.XLOOKUP(B15,'Up Stats'!A:A,'Up Stats'!C:C,)</f>
        <v/>
      </c>
      <c r="J15" s="54" t="str">
        <f>IFERROR(__xludf.DUMMYFUNCTION("if(AND(K15=FALSE,L15=FALSE),,if(K15=L15,JOIN("""",""Static: "",K15),JOIN("""",""Min:  "",K15, CHAR(10),""Max: "",L15)))"),"")</f>
        <v/>
      </c>
      <c r="K15" s="72" t="str">
        <f t="array" ref="K15">_xlfn.XLOOKUP(B15,'Up Min'!A:A,'Up Min'!C:C,)</f>
        <v/>
      </c>
      <c r="L15" s="72" t="str">
        <f t="array" ref="L15">_xlfn.XLOOKUP(B15,'Up Max'!A:A,'Up Max'!C:C,)</f>
        <v/>
      </c>
      <c r="M15" s="57" t="str">
        <f t="array" ref="M15">_xlfn.XLOOKUP(B15,'Up Stats'!A:A,'Up Stats'!D:D,)</f>
        <v/>
      </c>
      <c r="N15" s="54" t="str">
        <f>IFERROR(__xludf.DUMMYFUNCTION("if(AND(O15=FALSE,P15=FALSE),,if(O15=P15,JOIN("""",""Static: "",O15),JOIN("""",""Min:  "",O15, CHAR(10),""Max: "",P15)))"),"")</f>
        <v/>
      </c>
      <c r="O15" s="72" t="str">
        <f t="array" ref="O15">_xlfn.XLOOKUP(B15,'Up Min'!A:A,'Up Min'!D:D,)</f>
        <v/>
      </c>
      <c r="P15" s="72" t="str">
        <f t="array" ref="P15">_xlfn.XLOOKUP(B15,'Up Max'!A:A,'Up Max'!D:D,)</f>
        <v/>
      </c>
      <c r="Q15" s="57" t="str">
        <f t="array" ref="Q15">_xlfn.XLOOKUP(B15,'Up Stats'!A:A,'Up Stats'!E:E,)</f>
        <v/>
      </c>
      <c r="R15" s="54" t="str">
        <f>IFERROR(__xludf.DUMMYFUNCTION("if(AND(S15=FALSE,T15=FALSE),,if(S15=T15,JOIN("""",""Static: "",S15),JOIN("""",""Min:  "",S15, CHAR(10),""Max: "",T15)))"),"")</f>
        <v/>
      </c>
      <c r="S15" s="55" t="str">
        <f t="array" ref="S15">_xlfn.XLOOKUP(B15,'Up Min'!A:A,'Up Min'!E:E,)</f>
        <v/>
      </c>
      <c r="T15" s="55" t="str">
        <f t="array" ref="T15">_xlfn.XLOOKUP(B15,'Up Max'!A:A,'Up Max'!E:E,)</f>
        <v/>
      </c>
      <c r="U15" s="57" t="str">
        <f t="array" ref="U15">_xlfn.XLOOKUP(B15,'Up Stats'!A:A,'Up Stats'!F:F,)</f>
        <v/>
      </c>
      <c r="V15" s="54" t="str">
        <f>IFERROR(__xludf.DUMMYFUNCTION("if(AND(W15=FALSE,X15=FALSE),,if(W15=X15,JOIN("""",""Static: "",W15),JOIN("""",""Min:  "",W15, CHAR(10),""Max: "",X15)))"),"")</f>
        <v/>
      </c>
      <c r="W15" s="55" t="str">
        <f t="array" ref="W15">_xlfn.XLOOKUP(B15,'Up Min'!A:A,'Up Min'!F:F,)</f>
        <v/>
      </c>
      <c r="X15" s="55" t="str">
        <f t="array" ref="X15">_xlfn.XLOOKUP(B15,'Up Max'!A:A,'Up Max'!F:F,)</f>
        <v/>
      </c>
      <c r="Y15" s="57" t="str">
        <f t="array" ref="Y15">_xlfn.XLOOKUP(B15,'Up Stats'!A:A,'Up Stats'!G:G,)</f>
        <v/>
      </c>
      <c r="Z15" s="54" t="str">
        <f>IFERROR(__xludf.DUMMYFUNCTION("if(AND(AA15=FALSE,AB15=FALSE),,if(AA15=AB15,JOIN("""",""Static: "",AA15),JOIN("""",""Min:  "",AA15, CHAR(10),""Max: "",AB15)))"),"")</f>
        <v/>
      </c>
      <c r="AA15" s="55" t="str">
        <f t="array" ref="AA15">_xlfn.XLOOKUP(B15,'Up Min'!A:A,'Up Min'!G:G,)</f>
        <v/>
      </c>
      <c r="AB15" s="55" t="str">
        <f t="array" ref="AB15">_xlfn.XLOOKUP(B15,'Up Max'!A:A,'Up Max'!G:G,)</f>
        <v/>
      </c>
      <c r="AC15" s="57" t="str">
        <f t="array" ref="AC15">_xlfn.XLOOKUP(B15,'Up Stats'!A:A,'Up Stats'!H:H,)</f>
        <v/>
      </c>
      <c r="AD15" s="54" t="str">
        <f>IFERROR(__xludf.DUMMYFUNCTION("if(AND(AE15=FALSE,AF15=FALSE),,if(AE15=AF15,JOIN("""",""Static: "",AE15),JOIN("""",""Min:  "",AE15, CHAR(10),""Max: "",AF15)))"),"")</f>
        <v/>
      </c>
      <c r="AE15" s="55" t="str">
        <f t="array" ref="AE15">_xlfn.XLOOKUP(B15,'Up Min'!A:A,'Up Min'!H:H,)</f>
        <v/>
      </c>
      <c r="AF15" s="55" t="str">
        <f t="array" ref="AF15">_xlfn.XLOOKUP(B15,'Up Max'!A:A,'Up Max'!H:H,)</f>
        <v/>
      </c>
      <c r="AG15" s="57" t="str">
        <f t="array" ref="AG15">_xlfn.XLOOKUP(B15,'Up Stats'!A:A,'Up Stats'!I:I,)</f>
        <v/>
      </c>
      <c r="AH15" s="54" t="str">
        <f>IFERROR(__xludf.DUMMYFUNCTION("if(AND(AI15=FALSE,AJ15=FALSE),,if(AI15=AJ15,JOIN("""",""Static: "",AI15),JOIN("""",""Min:  "",AI15, CHAR(10),""Max: "",AJ15)))"),"")</f>
        <v/>
      </c>
      <c r="AI15" s="55" t="str">
        <f t="array" ref="AI15">_xlfn.XLOOKUP(B15,'Up Min'!A:A,'Up Min'!I:I,)</f>
        <v/>
      </c>
      <c r="AJ15" s="55" t="str">
        <f t="array" ref="AJ15">_xlfn.XLOOKUP(B15,'Up Max'!A:A,'Up Max'!I:I,)</f>
        <v/>
      </c>
      <c r="AK15" s="57" t="str">
        <f t="array" ref="AK15">_xlfn.XLOOKUP(B15,'Up Stats'!A:A,'Up Stats'!J:J,)</f>
        <v/>
      </c>
      <c r="AL15" s="54" t="str">
        <f>IFERROR(__xludf.DUMMYFUNCTION("if(AND(AM15=FALSE,AN15=FALSE),,if(AM15=AN15,JOIN("""",""Static: "",AM15),JOIN("""",""Min:  "",AM15, CHAR(10),""Max: "",AN15)))"),"")</f>
        <v/>
      </c>
      <c r="AM15" s="55" t="str">
        <f t="array" ref="AM15">_xlfn.XLOOKUP(B15,'Up Min'!A:A,'Up Min'!J:J,)</f>
        <v/>
      </c>
      <c r="AN15" s="55" t="str">
        <f t="array" ref="AN15">_xlfn.XLOOKUP(B15,'Up Max'!A:A,'Up Max'!J:J,)</f>
        <v/>
      </c>
      <c r="AO15" s="51" t="str">
        <f t="array" ref="AO15">CONCATENATE(_xlfn.XLOOKUP(B15,'Up Cells'!A:A,'Up Cells'!B:B,))</f>
        <v>3</v>
      </c>
      <c r="AP15" s="76" t="str">
        <f t="array" ref="AP15">CONCATENATE(_xlfn.XLOOKUP(B15,'Up Rarity'!A:A,'Up Rarity'!B:B,),CHAR(10),"-")</f>
        <v>Rare
-</v>
      </c>
    </row>
    <row r="16">
      <c r="A16" s="83" t="str">
        <f t="array" ref="A16">_xlfn.XLOOKUP(B16,'Up Icon'!A:A,'Up Icon'!B:B,)</f>
        <v/>
      </c>
      <c r="B16" s="66" t="str">
        <f t="array" ref="B16">HYPERLINK(_xlfn.XLOOKUP('Up Names'!D13,'Up Wiki'!A:A,'Up Wiki'!B:B,),'Up Names'!D13)</f>
        <v>Coronal Ejection</v>
      </c>
      <c r="C16" s="37" t="str">
        <f t="array" ref="C16">_xlfn.XLOOKUP(B16,'Up Desc'!A:A,'Up Desc'!B:B,)</f>
        <v>Laser damage is greatly increased, but it uses charge faster. The laser must be fully charged to fire.</v>
      </c>
      <c r="D16" s="37" t="str">
        <f t="array" ref="D16">_xlfn.XLOOKUP(B16,'Up Turbo'!A:A,'Up Turbo'!B:B,)</f>
        <v>n/a</v>
      </c>
      <c r="E16" s="39" t="str">
        <f t="array" ref="E16">_xlfn.XLOOKUP(B16,'Up Stats'!A:A,'Up Stats'!B:B,)</f>
        <v>Laser Damage</v>
      </c>
      <c r="F16" s="40" t="str">
        <f>IFERROR(__xludf.DUMMYFUNCTION("if(AND(G16=FALSE,H16=FALSE),,if(G16=H16,JOIN("""",""Static: "",G16),JOIN("""",""Min:  "",G16, CHAR(10),""Max: "",H16)))"),"Min:  280%
Max: 320%")</f>
        <v>Min:  280%
Max: 320%</v>
      </c>
      <c r="G16" s="41">
        <f t="array" ref="G16">_xlfn.XLOOKUP(B16,'Up Min'!A:A,'Up Min'!B:B,)</f>
        <v>2.8</v>
      </c>
      <c r="H16" s="41">
        <f t="array" ref="H16">_xlfn.XLOOKUP(B16,'Up Max'!A:A,'Up Max'!B:B,)</f>
        <v>3.2</v>
      </c>
      <c r="I16" s="39" t="str">
        <f t="array" ref="I16">_xlfn.XLOOKUP(B16,'Up Stats'!A:A,'Up Stats'!C:C,)</f>
        <v>Laser Charge Consumption</v>
      </c>
      <c r="J16" s="40" t="str">
        <f>IFERROR(__xludf.DUMMYFUNCTION("if(AND(K16=FALSE,L16=FALSE),,if(K16=L16,JOIN("""",""Static: "",K16),JOIN("""",""Min:  "",K16, CHAR(10),""Max: "",L16)))"),"Min:  280%
Max: 320%")</f>
        <v>Min:  280%
Max: 320%</v>
      </c>
      <c r="K16" s="41">
        <f t="array" ref="K16">_xlfn.XLOOKUP(B16,'Up Min'!A:A,'Up Min'!C:C,)</f>
        <v>2.8</v>
      </c>
      <c r="L16" s="41">
        <f t="array" ref="L16">_xlfn.XLOOKUP(B16,'Up Max'!A:A,'Up Max'!C:C,)</f>
        <v>3.2</v>
      </c>
      <c r="M16" s="39" t="str">
        <f t="array" ref="M16">_xlfn.XLOOKUP(B16,'Up Stats'!A:A,'Up Stats'!D:D,)</f>
        <v>Min Laser Charge</v>
      </c>
      <c r="N16" s="40" t="str">
        <f>IFERROR(__xludf.DUMMYFUNCTION("if(AND(O16=FALSE,P16=FALSE),,if(O16=P16,JOIN("""",""Static: "",O16),JOIN("""",""Min:  "",O16, CHAR(10),""Max: "",P16)))"),"Static: 100%")</f>
        <v>Static: 100%</v>
      </c>
      <c r="O16" s="41">
        <f t="array" ref="O16">_xlfn.XLOOKUP(B16,'Up Min'!A:A,'Up Min'!D:D,)</f>
        <v>1</v>
      </c>
      <c r="P16" s="41">
        <f t="array" ref="P16">_xlfn.XLOOKUP(B16,'Up Max'!A:A,'Up Max'!D:D,)</f>
        <v>1</v>
      </c>
      <c r="Q16" s="48" t="str">
        <f t="array" ref="Q16">_xlfn.XLOOKUP(B16,'Up Stats'!A:A,'Up Stats'!E:E,)</f>
        <v/>
      </c>
      <c r="R16" s="40" t="str">
        <f>IFERROR(__xludf.DUMMYFUNCTION("if(AND(S16=FALSE,T16=FALSE),,if(S16=T16,JOIN("""",""Static: "",S16),JOIN("""",""Min:  "",S16, CHAR(10),""Max: "",T16)))"),"")</f>
        <v/>
      </c>
      <c r="S16" s="45" t="str">
        <f t="array" ref="S16">_xlfn.XLOOKUP(B16,'Up Min'!A:A,'Up Min'!E:E,)</f>
        <v/>
      </c>
      <c r="T16" s="42" t="str">
        <f t="array" ref="T16">_xlfn.XLOOKUP(B16,'Up Max'!A:A,'Up Max'!E:E,)</f>
        <v/>
      </c>
      <c r="U16" s="48" t="str">
        <f t="array" ref="U16">_xlfn.XLOOKUP(B16,'Up Stats'!A:A,'Up Stats'!F:F,)</f>
        <v/>
      </c>
      <c r="V16" s="40" t="str">
        <f>IFERROR(__xludf.DUMMYFUNCTION("if(AND(W16=FALSE,X16=FALSE),,if(W16=X16,JOIN("""",""Static: "",W16),JOIN("""",""Min:  "",W16, CHAR(10),""Max: "",X16)))"),"")</f>
        <v/>
      </c>
      <c r="W16" s="42" t="str">
        <f t="array" ref="W16">_xlfn.XLOOKUP(B16,'Up Min'!A:A,'Up Min'!F:F,)</f>
        <v/>
      </c>
      <c r="X16" s="42" t="str">
        <f t="array" ref="X16">_xlfn.XLOOKUP(B16,'Up Max'!A:A,'Up Max'!F:F,)</f>
        <v/>
      </c>
      <c r="Y16" s="48" t="str">
        <f t="array" ref="Y16">_xlfn.XLOOKUP(B16,'Up Stats'!A:A,'Up Stats'!G:G,)</f>
        <v/>
      </c>
      <c r="Z16" s="40" t="str">
        <f>IFERROR(__xludf.DUMMYFUNCTION("if(AND(AA16=FALSE,AB16=FALSE),,if(AA16=AB16,JOIN("""",""Static: "",AA16),JOIN("""",""Min:  "",AA16, CHAR(10),""Max: "",AB16)))"),"")</f>
        <v/>
      </c>
      <c r="AA16" s="42" t="str">
        <f t="array" ref="AA16">_xlfn.XLOOKUP(B16,'Up Min'!A:A,'Up Min'!G:G,)</f>
        <v/>
      </c>
      <c r="AB16" s="42" t="str">
        <f t="array" ref="AB16">_xlfn.XLOOKUP(B16,'Up Max'!A:A,'Up Max'!G:G,)</f>
        <v/>
      </c>
      <c r="AC16" s="48" t="str">
        <f t="array" ref="AC16">_xlfn.XLOOKUP(B16,'Up Stats'!A:A,'Up Stats'!H:H,)</f>
        <v/>
      </c>
      <c r="AD16" s="40" t="str">
        <f>IFERROR(__xludf.DUMMYFUNCTION("if(AND(AE16=FALSE,AF16=FALSE),,if(AE16=AF16,JOIN("""",""Static: "",AE16),JOIN("""",""Min:  "",AE16, CHAR(10),""Max: "",AF16)))"),"")</f>
        <v/>
      </c>
      <c r="AE16" s="42" t="str">
        <f t="array" ref="AE16">_xlfn.XLOOKUP(B16,'Up Min'!A:A,'Up Min'!H:H,)</f>
        <v/>
      </c>
      <c r="AF16" s="42" t="str">
        <f t="array" ref="AF16">_xlfn.XLOOKUP(B16,'Up Max'!A:A,'Up Max'!H:H,)</f>
        <v/>
      </c>
      <c r="AG16" s="48" t="str">
        <f t="array" ref="AG16">_xlfn.XLOOKUP(B16,'Up Stats'!A:A,'Up Stats'!I:I,)</f>
        <v/>
      </c>
      <c r="AH16" s="40" t="str">
        <f>IFERROR(__xludf.DUMMYFUNCTION("if(AND(AI16=FALSE,AJ16=FALSE),,if(AI16=AJ16,JOIN("""",""Static: "",AI16),JOIN("""",""Min:  "",AI16, CHAR(10),""Max: "",AJ16)))"),"")</f>
        <v/>
      </c>
      <c r="AI16" s="42" t="str">
        <f t="array" ref="AI16">_xlfn.XLOOKUP(B16,'Up Min'!A:A,'Up Min'!I:I,)</f>
        <v/>
      </c>
      <c r="AJ16" s="42" t="str">
        <f t="array" ref="AJ16">_xlfn.XLOOKUP(B16,'Up Max'!A:A,'Up Max'!I:I,)</f>
        <v/>
      </c>
      <c r="AK16" s="48" t="str">
        <f t="array" ref="AK16">_xlfn.XLOOKUP(B16,'Up Stats'!A:A,'Up Stats'!J:J,)</f>
        <v/>
      </c>
      <c r="AL16" s="40" t="str">
        <f>IFERROR(__xludf.DUMMYFUNCTION("if(AND(AM16=FALSE,AN16=FALSE),,if(AM16=AN16,JOIN("""",""Static: "",AM16),JOIN("""",""Min:  "",AM16, CHAR(10),""Max: "",AN16)))"),"")</f>
        <v/>
      </c>
      <c r="AM16" s="42" t="str">
        <f t="array" ref="AM16">_xlfn.XLOOKUP(B16,'Up Min'!A:A,'Up Min'!J:J,)</f>
        <v/>
      </c>
      <c r="AN16" s="42" t="str">
        <f t="array" ref="AN16">_xlfn.XLOOKUP(B16,'Up Max'!A:A,'Up Max'!J:J,)</f>
        <v/>
      </c>
      <c r="AO16" s="34" t="str">
        <f t="array" ref="AO16">CONCATENATE(_xlfn.XLOOKUP(B16,'Up Cells'!A:A,'Up Cells'!B:B,))</f>
        <v>6</v>
      </c>
      <c r="AP16" s="77" t="str">
        <f t="array" ref="AP16">CONCATENATE(_xlfn.XLOOKUP(B16,'Up Rarity'!A:A,'Up Rarity'!B:B,),CHAR(10),"-")</f>
        <v>Rare
-</v>
      </c>
    </row>
    <row r="17">
      <c r="A17" s="83" t="str">
        <f t="array" ref="A17">_xlfn.XLOOKUP(B17,'Up Icon'!A:A,'Up Icon'!B:B,)</f>
        <v/>
      </c>
      <c r="B17" s="63" t="str">
        <f t="array" ref="B17">HYPERLINK(_xlfn.XLOOKUP('Up Names'!D14,'Up Wiki'!A:A,'Up Wiki'!B:B,),'Up Names'!D14)</f>
        <v>Corrosive Laser</v>
      </c>
      <c r="C17" s="52" t="str">
        <f t="array" ref="C17">_xlfn.XLOOKUP(B17,'Up Desc'!A:A,'Up Desc'!B:B,)</f>
        <v>Laser deals acid damage.</v>
      </c>
      <c r="D17" s="52" t="str">
        <f t="array" ref="D17">_xlfn.XLOOKUP(B17,'Up Turbo'!A:A,'Up Turbo'!B:B,)</f>
        <v>n/a</v>
      </c>
      <c r="E17" s="53" t="str">
        <f t="array" ref="E17">_xlfn.XLOOKUP(B17,'Up Stats'!A:A,'Up Stats'!B:B,)</f>
        <v>Laser Element</v>
      </c>
      <c r="F17" s="54" t="str">
        <f>IFERROR(__xludf.DUMMYFUNCTION("if(AND(G17=FALSE,H17=FALSE),,if(G17=H17,JOIN("""",""Static: "",G17),JOIN("""",""Min:  "",G17, CHAR(10),""Max: "",H17)))"),"Min:  7
Max: 11")</f>
        <v>Min:  7
Max: 11</v>
      </c>
      <c r="G17" s="64">
        <f t="array" ref="G17">_xlfn.XLOOKUP(B17,'Up Min'!A:A,'Up Min'!B:B,)</f>
        <v>7</v>
      </c>
      <c r="H17" s="65">
        <f t="array" ref="H17">_xlfn.XLOOKUP(B17,'Up Max'!A:A,'Up Max'!B:B,)</f>
        <v>11</v>
      </c>
      <c r="I17" s="53" t="str">
        <f t="array" ref="I17">_xlfn.XLOOKUP(B17,'Up Stats'!A:A,'Up Stats'!C:C,)</f>
        <v/>
      </c>
      <c r="J17" s="54" t="str">
        <f>IFERROR(__xludf.DUMMYFUNCTION("if(AND(K17=FALSE,L17=FALSE),,if(K17=L17,JOIN("""",""Static: "",K17),JOIN("""",""Min:  "",K17, CHAR(10),""Max: "",L17)))"),"")</f>
        <v/>
      </c>
      <c r="K17" s="55" t="str">
        <f t="array" ref="K17">_xlfn.XLOOKUP(B17,'Up Min'!A:A,'Up Min'!C:C,)</f>
        <v/>
      </c>
      <c r="L17" s="55" t="str">
        <f t="array" ref="L17">_xlfn.XLOOKUP(B17,'Up Max'!A:A,'Up Max'!C:C,)</f>
        <v/>
      </c>
      <c r="M17" s="57" t="str">
        <f t="array" ref="M17">_xlfn.XLOOKUP(B17,'Up Stats'!A:A,'Up Stats'!D:D,)</f>
        <v/>
      </c>
      <c r="N17" s="54" t="str">
        <f>IFERROR(__xludf.DUMMYFUNCTION("if(AND(O17=FALSE,P17=FALSE),,if(O17=P17,JOIN("""",""Static: "",O17),JOIN("""",""Min:  "",O17, CHAR(10),""Max: "",P17)))"),"")</f>
        <v/>
      </c>
      <c r="O17" s="55" t="str">
        <f t="array" ref="O17">_xlfn.XLOOKUP(B17,'Up Min'!A:A,'Up Min'!D:D,)</f>
        <v/>
      </c>
      <c r="P17" s="55" t="str">
        <f t="array" ref="P17">_xlfn.XLOOKUP(B17,'Up Max'!A:A,'Up Max'!D:D,)</f>
        <v/>
      </c>
      <c r="Q17" s="57" t="str">
        <f t="array" ref="Q17">_xlfn.XLOOKUP(B17,'Up Stats'!A:A,'Up Stats'!E:E,)</f>
        <v/>
      </c>
      <c r="R17" s="54" t="str">
        <f>IFERROR(__xludf.DUMMYFUNCTION("if(AND(S17=FALSE,T17=FALSE),,if(S17=T17,JOIN("""",""Static: "",S17),JOIN("""",""Min:  "",S17, CHAR(10),""Max: "",T17)))"),"")</f>
        <v/>
      </c>
      <c r="S17" s="55" t="str">
        <f t="array" ref="S17">_xlfn.XLOOKUP(B17,'Up Min'!A:A,'Up Min'!E:E,)</f>
        <v/>
      </c>
      <c r="T17" s="55" t="str">
        <f t="array" ref="T17">_xlfn.XLOOKUP(B17,'Up Max'!A:A,'Up Max'!E:E,)</f>
        <v/>
      </c>
      <c r="U17" s="57" t="str">
        <f t="array" ref="U17">_xlfn.XLOOKUP(B17,'Up Stats'!A:A,'Up Stats'!F:F,)</f>
        <v/>
      </c>
      <c r="V17" s="54" t="str">
        <f>IFERROR(__xludf.DUMMYFUNCTION("if(AND(W17=FALSE,X17=FALSE),,if(W17=X17,JOIN("""",""Static: "",W17),JOIN("""",""Min:  "",W17, CHAR(10),""Max: "",X17)))"),"")</f>
        <v/>
      </c>
      <c r="W17" s="55" t="str">
        <f t="array" ref="W17">_xlfn.XLOOKUP(B17,'Up Min'!A:A,'Up Min'!F:F,)</f>
        <v/>
      </c>
      <c r="X17" s="55" t="str">
        <f t="array" ref="X17">_xlfn.XLOOKUP(B17,'Up Max'!A:A,'Up Max'!F:F,)</f>
        <v/>
      </c>
      <c r="Y17" s="57" t="str">
        <f t="array" ref="Y17">_xlfn.XLOOKUP(B17,'Up Stats'!A:A,'Up Stats'!G:G,)</f>
        <v/>
      </c>
      <c r="Z17" s="54" t="str">
        <f>IFERROR(__xludf.DUMMYFUNCTION("if(AND(AA17=FALSE,AB17=FALSE),,if(AA17=AB17,JOIN("""",""Static: "",AA17),JOIN("""",""Min:  "",AA17, CHAR(10),""Max: "",AB17)))"),"")</f>
        <v/>
      </c>
      <c r="AA17" s="55" t="str">
        <f t="array" ref="AA17">_xlfn.XLOOKUP(B17,'Up Min'!A:A,'Up Min'!G:G,)</f>
        <v/>
      </c>
      <c r="AB17" s="55" t="str">
        <f t="array" ref="AB17">_xlfn.XLOOKUP(B17,'Up Max'!A:A,'Up Max'!G:G,)</f>
        <v/>
      </c>
      <c r="AC17" s="57" t="str">
        <f t="array" ref="AC17">_xlfn.XLOOKUP(B17,'Up Stats'!A:A,'Up Stats'!H:H,)</f>
        <v/>
      </c>
      <c r="AD17" s="54" t="str">
        <f>IFERROR(__xludf.DUMMYFUNCTION("if(AND(AE17=FALSE,AF17=FALSE),,if(AE17=AF17,JOIN("""",""Static: "",AE17),JOIN("""",""Min:  "",AE17, CHAR(10),""Max: "",AF17)))"),"")</f>
        <v/>
      </c>
      <c r="AE17" s="55" t="str">
        <f t="array" ref="AE17">_xlfn.XLOOKUP(B17,'Up Min'!A:A,'Up Min'!H:H,)</f>
        <v/>
      </c>
      <c r="AF17" s="55" t="str">
        <f t="array" ref="AF17">_xlfn.XLOOKUP(B17,'Up Max'!A:A,'Up Max'!H:H,)</f>
        <v/>
      </c>
      <c r="AG17" s="57" t="str">
        <f t="array" ref="AG17">_xlfn.XLOOKUP(B17,'Up Stats'!A:A,'Up Stats'!I:I,)</f>
        <v/>
      </c>
      <c r="AH17" s="54" t="str">
        <f>IFERROR(__xludf.DUMMYFUNCTION("if(AND(AI17=FALSE,AJ17=FALSE),,if(AI17=AJ17,JOIN("""",""Static: "",AI17),JOIN("""",""Min:  "",AI17, CHAR(10),""Max: "",AJ17)))"),"")</f>
        <v/>
      </c>
      <c r="AI17" s="55" t="str">
        <f t="array" ref="AI17">_xlfn.XLOOKUP(B17,'Up Min'!A:A,'Up Min'!I:I,)</f>
        <v/>
      </c>
      <c r="AJ17" s="55" t="str">
        <f t="array" ref="AJ17">_xlfn.XLOOKUP(B17,'Up Max'!A:A,'Up Max'!I:I,)</f>
        <v/>
      </c>
      <c r="AK17" s="57" t="str">
        <f t="array" ref="AK17">_xlfn.XLOOKUP(B17,'Up Stats'!A:A,'Up Stats'!J:J,)</f>
        <v/>
      </c>
      <c r="AL17" s="54" t="str">
        <f>IFERROR(__xludf.DUMMYFUNCTION("if(AND(AM17=FALSE,AN17=FALSE),,if(AM17=AN17,JOIN("""",""Static: "",AM17),JOIN("""",""Min:  "",AM17, CHAR(10),""Max: "",AN17)))"),"")</f>
        <v/>
      </c>
      <c r="AM17" s="55" t="str">
        <f t="array" ref="AM17">_xlfn.XLOOKUP(B17,'Up Min'!A:A,'Up Min'!J:J,)</f>
        <v/>
      </c>
      <c r="AN17" s="55" t="str">
        <f t="array" ref="AN17">_xlfn.XLOOKUP(B17,'Up Max'!A:A,'Up Max'!J:J,)</f>
        <v/>
      </c>
      <c r="AO17" s="51" t="str">
        <f t="array" ref="AO17">CONCATENATE(_xlfn.XLOOKUP(B17,'Up Cells'!A:A,'Up Cells'!B:B,))</f>
        <v>4</v>
      </c>
      <c r="AP17" s="76" t="str">
        <f t="array" ref="AP17">CONCATENATE(_xlfn.XLOOKUP(B17,'Up Rarity'!A:A,'Up Rarity'!B:B,),CHAR(10),"-")</f>
        <v>Rare
-</v>
      </c>
    </row>
    <row r="18">
      <c r="A18" s="83" t="str">
        <f t="array" ref="A18">_xlfn.XLOOKUP(B18,'Up Icon'!A:A,'Up Icon'!B:B,)</f>
        <v/>
      </c>
      <c r="B18" s="66" t="str">
        <f t="array" ref="B18">HYPERLINK(_xlfn.XLOOKUP('Up Names'!D15,'Up Wiki'!A:A,'Up Wiki'!B:B,),'Up Names'!D15)</f>
        <v>Hard-Light Bypass</v>
      </c>
      <c r="C18" s="37" t="str">
        <f t="array" ref="C18">_xlfn.XLOOKUP(B18,'Up Desc'!A:A,'Up Desc'!B:B,)</f>
        <v>The laser pierces shields.</v>
      </c>
      <c r="D18" s="37" t="str">
        <f t="array" ref="D18">_xlfn.XLOOKUP(B18,'Up Turbo'!A:A,'Up Turbo'!B:B,)</f>
        <v>n/a</v>
      </c>
      <c r="E18" s="48" t="str">
        <f t="array" ref="E18">_xlfn.XLOOKUP(B18,'Up Stats'!A:A,'Up Stats'!B:B,)</f>
        <v/>
      </c>
      <c r="F18" s="40" t="str">
        <f>IFERROR(__xludf.DUMMYFUNCTION("if(AND(G18=FALSE,H18=FALSE),,if(G18=H18,JOIN("""",""Static: "",G18),JOIN("""",""Min:  "",G18, CHAR(10),""Max: "",H18)))"),"")</f>
        <v/>
      </c>
      <c r="G18" s="74" t="str">
        <f t="array" ref="G18">_xlfn.XLOOKUP(B18,'Up Min'!A:A,'Up Min'!B:B,)</f>
        <v/>
      </c>
      <c r="H18" s="74" t="str">
        <f t="array" ref="H18">_xlfn.XLOOKUP(B18,'Up Max'!A:A,'Up Max'!B:B,)</f>
        <v/>
      </c>
      <c r="I18" s="39" t="str">
        <f t="array" ref="I18">_xlfn.XLOOKUP(B18,'Up Stats'!A:A,'Up Stats'!C:C,)</f>
        <v/>
      </c>
      <c r="J18" s="40" t="str">
        <f>IFERROR(__xludf.DUMMYFUNCTION("if(AND(K18=FALSE,L18=FALSE),,if(K18=L18,JOIN("""",""Static: "",K18),JOIN("""",""Min:  "",K18, CHAR(10),""Max: "",L18)))"),"")</f>
        <v/>
      </c>
      <c r="K18" s="42" t="str">
        <f t="array" ref="K18">_xlfn.XLOOKUP(B18,'Up Min'!A:A,'Up Min'!C:C,)</f>
        <v/>
      </c>
      <c r="L18" s="42" t="str">
        <f t="array" ref="L18">_xlfn.XLOOKUP(B18,'Up Max'!A:A,'Up Max'!C:C,)</f>
        <v/>
      </c>
      <c r="M18" s="39" t="str">
        <f t="array" ref="M18">_xlfn.XLOOKUP(B18,'Up Stats'!A:A,'Up Stats'!D:D,)</f>
        <v/>
      </c>
      <c r="N18" s="40" t="str">
        <f>IFERROR(__xludf.DUMMYFUNCTION("if(AND(O18=FALSE,P18=FALSE),,if(O18=P18,JOIN("""",""Static: "",O18),JOIN("""",""Min:  "",O18, CHAR(10),""Max: "",P18)))"),"")</f>
        <v/>
      </c>
      <c r="O18" s="42" t="str">
        <f t="array" ref="O18">_xlfn.XLOOKUP(B18,'Up Min'!A:A,'Up Min'!D:D,)</f>
        <v/>
      </c>
      <c r="P18" s="42" t="str">
        <f t="array" ref="P18">_xlfn.XLOOKUP(B18,'Up Max'!A:A,'Up Max'!D:D,)</f>
        <v/>
      </c>
      <c r="Q18" s="48" t="str">
        <f t="array" ref="Q18">_xlfn.XLOOKUP(B18,'Up Stats'!A:A,'Up Stats'!E:E,)</f>
        <v/>
      </c>
      <c r="R18" s="40" t="str">
        <f>IFERROR(__xludf.DUMMYFUNCTION("if(AND(S18=FALSE,T18=FALSE),,if(S18=T18,JOIN("""",""Static: "",S18),JOIN("""",""Min:  "",S18, CHAR(10),""Max: "",T18)))"),"")</f>
        <v/>
      </c>
      <c r="S18" s="42" t="str">
        <f t="array" ref="S18">_xlfn.XLOOKUP(B18,'Up Min'!A:A,'Up Min'!E:E,)</f>
        <v/>
      </c>
      <c r="T18" s="42" t="str">
        <f t="array" ref="T18">_xlfn.XLOOKUP(B18,'Up Max'!A:A,'Up Max'!E:E,)</f>
        <v/>
      </c>
      <c r="U18" s="48" t="str">
        <f t="array" ref="U18">_xlfn.XLOOKUP(B18,'Up Stats'!A:A,'Up Stats'!F:F,)</f>
        <v/>
      </c>
      <c r="V18" s="40" t="str">
        <f>IFERROR(__xludf.DUMMYFUNCTION("if(AND(W18=FALSE,X18=FALSE),,if(W18=X18,JOIN("""",""Static: "",W18),JOIN("""",""Min:  "",W18, CHAR(10),""Max: "",X18)))"),"")</f>
        <v/>
      </c>
      <c r="W18" s="42" t="str">
        <f t="array" ref="W18">_xlfn.XLOOKUP(B18,'Up Min'!A:A,'Up Min'!F:F,)</f>
        <v/>
      </c>
      <c r="X18" s="42" t="str">
        <f t="array" ref="X18">_xlfn.XLOOKUP(B18,'Up Max'!A:A,'Up Max'!F:F,)</f>
        <v/>
      </c>
      <c r="Y18" s="48" t="str">
        <f t="array" ref="Y18">_xlfn.XLOOKUP(B18,'Up Stats'!A:A,'Up Stats'!G:G,)</f>
        <v/>
      </c>
      <c r="Z18" s="40" t="str">
        <f>IFERROR(__xludf.DUMMYFUNCTION("if(AND(AA18=FALSE,AB18=FALSE),,if(AA18=AB18,JOIN("""",""Static: "",AA18),JOIN("""",""Min:  "",AA18, CHAR(10),""Max: "",AB18)))"),"")</f>
        <v/>
      </c>
      <c r="AA18" s="42" t="str">
        <f t="array" ref="AA18">_xlfn.XLOOKUP(B18,'Up Min'!A:A,'Up Min'!G:G,)</f>
        <v/>
      </c>
      <c r="AB18" s="42" t="str">
        <f t="array" ref="AB18">_xlfn.XLOOKUP(B18,'Up Max'!A:A,'Up Max'!G:G,)</f>
        <v/>
      </c>
      <c r="AC18" s="48" t="str">
        <f t="array" ref="AC18">_xlfn.XLOOKUP(B18,'Up Stats'!A:A,'Up Stats'!H:H,)</f>
        <v/>
      </c>
      <c r="AD18" s="40" t="str">
        <f>IFERROR(__xludf.DUMMYFUNCTION("if(AND(AE18=FALSE,AF18=FALSE),,if(AE18=AF18,JOIN("""",""Static: "",AE18),JOIN("""",""Min:  "",AE18, CHAR(10),""Max: "",AF18)))"),"")</f>
        <v/>
      </c>
      <c r="AE18" s="42" t="str">
        <f t="array" ref="AE18">_xlfn.XLOOKUP(B18,'Up Min'!A:A,'Up Min'!H:H,)</f>
        <v/>
      </c>
      <c r="AF18" s="42" t="str">
        <f t="array" ref="AF18">_xlfn.XLOOKUP(B18,'Up Max'!A:A,'Up Max'!H:H,)</f>
        <v/>
      </c>
      <c r="AG18" s="48" t="str">
        <f t="array" ref="AG18">_xlfn.XLOOKUP(B18,'Up Stats'!A:A,'Up Stats'!I:I,)</f>
        <v/>
      </c>
      <c r="AH18" s="40" t="str">
        <f>IFERROR(__xludf.DUMMYFUNCTION("if(AND(AI18=FALSE,AJ18=FALSE),,if(AI18=AJ18,JOIN("""",""Static: "",AI18),JOIN("""",""Min:  "",AI18, CHAR(10),""Max: "",AJ18)))"),"")</f>
        <v/>
      </c>
      <c r="AI18" s="42" t="str">
        <f t="array" ref="AI18">_xlfn.XLOOKUP(B18,'Up Min'!A:A,'Up Min'!I:I,)</f>
        <v/>
      </c>
      <c r="AJ18" s="42" t="str">
        <f t="array" ref="AJ18">_xlfn.XLOOKUP(B18,'Up Max'!A:A,'Up Max'!I:I,)</f>
        <v/>
      </c>
      <c r="AK18" s="48" t="str">
        <f t="array" ref="AK18">_xlfn.XLOOKUP(B18,'Up Stats'!A:A,'Up Stats'!J:J,)</f>
        <v/>
      </c>
      <c r="AL18" s="40" t="str">
        <f>IFERROR(__xludf.DUMMYFUNCTION("if(AND(AM18=FALSE,AN18=FALSE),,if(AM18=AN18,JOIN("""",""Static: "",AM18),JOIN("""",""Min:  "",AM18, CHAR(10),""Max: "",AN18)))"),"")</f>
        <v/>
      </c>
      <c r="AM18" s="42" t="str">
        <f t="array" ref="AM18">_xlfn.XLOOKUP(B18,'Up Min'!A:A,'Up Min'!J:J,)</f>
        <v/>
      </c>
      <c r="AN18" s="42" t="str">
        <f t="array" ref="AN18">_xlfn.XLOOKUP(B18,'Up Max'!A:A,'Up Max'!J:J,)</f>
        <v/>
      </c>
      <c r="AO18" s="34" t="str">
        <f t="array" ref="AO18">CONCATENATE(_xlfn.XLOOKUP(B18,'Up Cells'!A:A,'Up Cells'!B:B,))</f>
        <v>4</v>
      </c>
      <c r="AP18" s="77" t="str">
        <f t="array" ref="AP18">CONCATENATE(_xlfn.XLOOKUP(B18,'Up Rarity'!A:A,'Up Rarity'!B:B,),CHAR(10),"-")</f>
        <v>Rare
-</v>
      </c>
    </row>
    <row r="19">
      <c r="A19" s="83" t="str">
        <f t="array" ref="A19">_xlfn.XLOOKUP(B19,'Up Icon'!A:A,'Up Icon'!B:B,)</f>
        <v/>
      </c>
      <c r="B19" s="63" t="str">
        <f t="array" ref="B19">HYPERLINK(_xlfn.XLOOKUP('Up Names'!D16,'Up Wiki'!A:A,'Up Wiki'!B:B,),'Up Names'!D16)</f>
        <v>Heavy Hitting</v>
      </c>
      <c r="C19" s="70" t="str">
        <f t="array" ref="C19">_xlfn.XLOOKUP(B19,'Up Desc'!A:A,'Up Desc'!B:B,)</f>
        <v>DMR mode deals increased damage but fires slower.</v>
      </c>
      <c r="D19" s="52" t="str">
        <f t="array" ref="D19">_xlfn.XLOOKUP(B19,'Up Turbo'!A:A,'Up Turbo'!B:B,)</f>
        <v>n/a</v>
      </c>
      <c r="E19" s="53" t="str">
        <f t="array" ref="E19">_xlfn.XLOOKUP(B19,'Up Stats'!A:A,'Up Stats'!B:B,)</f>
        <v>Damage</v>
      </c>
      <c r="F19" s="54" t="str">
        <f>IFERROR(__xludf.DUMMYFUNCTION("if(AND(G19=FALSE,H19=FALSE),,if(G19=H19,JOIN("""",""Static: "",G19),JOIN("""",""Min:  "",G19, CHAR(10),""Max: "",H19)))"),"Min:  80%
Max: 117%")</f>
        <v>Min:  80%
Max: 117%</v>
      </c>
      <c r="G19" s="59">
        <f t="array" ref="G19">_xlfn.XLOOKUP(B19,'Up Min'!A:A,'Up Min'!B:B,)</f>
        <v>0.8</v>
      </c>
      <c r="H19" s="59">
        <f t="array" ref="H19">_xlfn.XLOOKUP(B19,'Up Max'!A:A,'Up Max'!B:B,)</f>
        <v>1.17</v>
      </c>
      <c r="I19" s="53" t="str">
        <f t="array" ref="I19">_xlfn.XLOOKUP(B19,'Up Stats'!A:A,'Up Stats'!C:C,)</f>
        <v>Fire Rate</v>
      </c>
      <c r="J19" s="54" t="str">
        <f>IFERROR(__xludf.DUMMYFUNCTION("if(AND(K19=FALSE,L19=FALSE),,if(K19=L19,JOIN("""",""Static: "",K19),JOIN("""",""Min:  "",K19, CHAR(10),""Max: "",L19)))"),"Min:  -40.48%
Max: -47.64%")</f>
        <v>Min:  -40.48%
Max: -47.64%</v>
      </c>
      <c r="K19" s="71">
        <f t="array" ref="K19">_xlfn.XLOOKUP(B19,'Up Min'!A:A,'Up Min'!C:C,)</f>
        <v>-0.4048</v>
      </c>
      <c r="L19" s="71">
        <f t="array" ref="L19">_xlfn.XLOOKUP(B19,'Up Max'!A:A,'Up Max'!C:C,)</f>
        <v>-0.4764</v>
      </c>
      <c r="M19" s="53" t="str">
        <f t="array" ref="M19">_xlfn.XLOOKUP(B19,'Up Stats'!A:A,'Up Stats'!D:D,)</f>
        <v/>
      </c>
      <c r="N19" s="54" t="str">
        <f>IFERROR(__xludf.DUMMYFUNCTION("if(AND(O19=FALSE,P19=FALSE),,if(O19=P19,JOIN("""",""Static: "",O19),JOIN("""",""Min:  "",O19, CHAR(10),""Max: "",P19)))"),"")</f>
        <v/>
      </c>
      <c r="O19" s="55" t="str">
        <f t="array" ref="O19">_xlfn.XLOOKUP(B19,'Up Min'!A:A,'Up Min'!D:D,)</f>
        <v/>
      </c>
      <c r="P19" s="55" t="str">
        <f t="array" ref="P19">_xlfn.XLOOKUP(B19,'Up Max'!A:A,'Up Max'!D:D,)</f>
        <v/>
      </c>
      <c r="Q19" s="57" t="str">
        <f t="array" ref="Q19">_xlfn.XLOOKUP(B19,'Up Stats'!A:A,'Up Stats'!E:E,)</f>
        <v/>
      </c>
      <c r="R19" s="54" t="str">
        <f>IFERROR(__xludf.DUMMYFUNCTION("if(AND(S19=FALSE,T19=FALSE),,if(S19=T19,JOIN("""",""Static: "",S19),JOIN("""",""Min:  "",S19, CHAR(10),""Max: "",T19)))"),"")</f>
        <v/>
      </c>
      <c r="S19" s="72" t="str">
        <f t="array" ref="S19">_xlfn.XLOOKUP(B19,'Up Min'!A:A,'Up Min'!E:E,)</f>
        <v/>
      </c>
      <c r="T19" s="72" t="str">
        <f t="array" ref="T19">_xlfn.XLOOKUP(B19,'Up Max'!A:A,'Up Max'!E:E,)</f>
        <v/>
      </c>
      <c r="U19" s="57" t="str">
        <f t="array" ref="U19">_xlfn.XLOOKUP(B19,'Up Stats'!A:A,'Up Stats'!F:F,)</f>
        <v/>
      </c>
      <c r="V19" s="54" t="str">
        <f>IFERROR(__xludf.DUMMYFUNCTION("if(AND(W19=FALSE,X19=FALSE),,if(W19=X19,JOIN("""",""Static: "",W19),JOIN("""",""Min:  "",W19, CHAR(10),""Max: "",X19)))"),"")</f>
        <v/>
      </c>
      <c r="W19" s="72" t="str">
        <f t="array" ref="W19">_xlfn.XLOOKUP(B19,'Up Min'!A:A,'Up Min'!F:F,)</f>
        <v/>
      </c>
      <c r="X19" s="72" t="str">
        <f t="array" ref="X19">_xlfn.XLOOKUP(B19,'Up Max'!A:A,'Up Max'!F:F,)</f>
        <v/>
      </c>
      <c r="Y19" s="57" t="str">
        <f t="array" ref="Y19">_xlfn.XLOOKUP(B19,'Up Stats'!A:A,'Up Stats'!G:G,)</f>
        <v/>
      </c>
      <c r="Z19" s="54" t="str">
        <f>IFERROR(__xludf.DUMMYFUNCTION("if(AND(AA19=FALSE,AB19=FALSE),,if(AA19=AB19,JOIN("""",""Static: "",AA19),JOIN("""",""Min:  "",AA19, CHAR(10),""Max: "",AB19)))"),"")</f>
        <v/>
      </c>
      <c r="AA19" s="55" t="str">
        <f t="array" ref="AA19">_xlfn.XLOOKUP(B19,'Up Min'!A:A,'Up Min'!G:G,)</f>
        <v/>
      </c>
      <c r="AB19" s="72" t="str">
        <f t="array" ref="AB19">_xlfn.XLOOKUP(B19,'Up Max'!A:A,'Up Max'!G:G,)</f>
        <v/>
      </c>
      <c r="AC19" s="80" t="str">
        <f t="array" ref="AC19">_xlfn.XLOOKUP(B19,'Up Stats'!A:A,'Up Stats'!H:H,)</f>
        <v/>
      </c>
      <c r="AD19" s="54" t="str">
        <f>IFERROR(__xludf.DUMMYFUNCTION("if(AND(AE19=FALSE,AF19=FALSE),,if(AE19=AF19,JOIN("""",""Static: "",AE19),JOIN("""",""Min:  "",AE19, CHAR(10),""Max: "",AF19)))"),"")</f>
        <v/>
      </c>
      <c r="AE19" s="55" t="str">
        <f t="array" ref="AE19">_xlfn.XLOOKUP(B19,'Up Min'!A:A,'Up Min'!H:H,)</f>
        <v/>
      </c>
      <c r="AF19" s="55" t="str">
        <f t="array" ref="AF19">_xlfn.XLOOKUP(B19,'Up Max'!A:A,'Up Max'!H:H,)</f>
        <v/>
      </c>
      <c r="AG19" s="80" t="str">
        <f t="array" ref="AG19">_xlfn.XLOOKUP(B19,'Up Stats'!A:A,'Up Stats'!I:I,)</f>
        <v/>
      </c>
      <c r="AH19" s="54" t="str">
        <f>IFERROR(__xludf.DUMMYFUNCTION("if(AND(AI19=FALSE,AJ19=FALSE),,if(AI19=AJ19,JOIN("""",""Static: "",AI19),JOIN("""",""Min:  "",AI19, CHAR(10),""Max: "",AJ19)))"),"")</f>
        <v/>
      </c>
      <c r="AI19" s="55" t="str">
        <f t="array" ref="AI19">_xlfn.XLOOKUP(B19,'Up Min'!A:A,'Up Min'!I:I,)</f>
        <v/>
      </c>
      <c r="AJ19" s="55" t="str">
        <f t="array" ref="AJ19">_xlfn.XLOOKUP(B19,'Up Max'!A:A,'Up Max'!I:I,)</f>
        <v/>
      </c>
      <c r="AK19" s="57" t="str">
        <f t="array" ref="AK19">_xlfn.XLOOKUP(B19,'Up Stats'!A:A,'Up Stats'!J:J,)</f>
        <v/>
      </c>
      <c r="AL19" s="54" t="str">
        <f>IFERROR(__xludf.DUMMYFUNCTION("if(AND(AM19=FALSE,AN19=FALSE),,if(AM19=AN19,JOIN("""",""Static: "",AM19),JOIN("""",""Min:  "",AM19, CHAR(10),""Max: "",AN19)))"),"")</f>
        <v/>
      </c>
      <c r="AM19" s="55" t="str">
        <f t="array" ref="AM19">_xlfn.XLOOKUP(B19,'Up Min'!A:A,'Up Min'!J:J,)</f>
        <v/>
      </c>
      <c r="AN19" s="55" t="str">
        <f t="array" ref="AN19">_xlfn.XLOOKUP(B19,'Up Max'!A:A,'Up Max'!J:J,)</f>
        <v/>
      </c>
      <c r="AO19" s="51" t="str">
        <f t="array" ref="AO19">CONCATENATE(_xlfn.XLOOKUP(B19,'Up Cells'!A:A,'Up Cells'!B:B,))</f>
        <v>3</v>
      </c>
      <c r="AP19" s="76" t="str">
        <f t="array" ref="AP19">CONCATENATE(_xlfn.XLOOKUP(B19,'Up Rarity'!A:A,'Up Rarity'!B:B,),CHAR(10),"-")</f>
        <v>Rare
-</v>
      </c>
    </row>
    <row r="20">
      <c r="A20" s="83" t="str">
        <f t="array" ref="A20">_xlfn.XLOOKUP(B20,'Up Icon'!A:A,'Up Icon'!B:B,)</f>
        <v/>
      </c>
      <c r="B20" s="66" t="str">
        <f t="array" ref="B20">HYPERLINK(_xlfn.XLOOKUP('Up Names'!D17,'Up Wiki'!A:A,'Up Wiki'!B:B,),'Up Names'!D17)</f>
        <v>Incendiary Laser</v>
      </c>
      <c r="C20" s="37" t="str">
        <f t="array" ref="C20">_xlfn.XLOOKUP(B20,'Up Desc'!A:A,'Up Desc'!B:B,)</f>
        <v>Laser deals fire damage.</v>
      </c>
      <c r="D20" s="37" t="str">
        <f t="array" ref="D20">_xlfn.XLOOKUP(B20,'Up Turbo'!A:A,'Up Turbo'!B:B,)</f>
        <v>n/a</v>
      </c>
      <c r="E20" s="39" t="str">
        <f t="array" ref="E20">_xlfn.XLOOKUP(B20,'Up Stats'!A:A,'Up Stats'!B:B,)</f>
        <v>Laser Element</v>
      </c>
      <c r="F20" s="40" t="str">
        <f>IFERROR(__xludf.DUMMYFUNCTION("if(AND(G20=FALSE,H20=FALSE),,if(G20=H20,JOIN("""",""Static: "",G20),JOIN("""",""Min:  "",G20, CHAR(10),""Max: "",H20)))"),"Min:  7
Max: 11")</f>
        <v>Min:  7
Max: 11</v>
      </c>
      <c r="G20" s="69">
        <f t="array" ref="G20">_xlfn.XLOOKUP(B20,'Up Min'!A:A,'Up Min'!B:B,)</f>
        <v>7</v>
      </c>
      <c r="H20" s="68">
        <f t="array" ref="H20">_xlfn.XLOOKUP(B20,'Up Max'!A:A,'Up Max'!B:B,)</f>
        <v>11</v>
      </c>
      <c r="I20" s="39" t="str">
        <f t="array" ref="I20">_xlfn.XLOOKUP(B20,'Up Stats'!A:A,'Up Stats'!C:C,)</f>
        <v/>
      </c>
      <c r="J20" s="40" t="str">
        <f>IFERROR(__xludf.DUMMYFUNCTION("if(AND(K20=FALSE,L20=FALSE),,if(K20=L20,JOIN("""",""Static: "",K20),JOIN("""",""Min:  "",K20, CHAR(10),""Max: "",L20)))"),"")</f>
        <v/>
      </c>
      <c r="K20" s="42" t="str">
        <f t="array" ref="K20">_xlfn.XLOOKUP(B20,'Up Min'!A:A,'Up Min'!C:C,)</f>
        <v/>
      </c>
      <c r="L20" s="42" t="str">
        <f t="array" ref="L20">_xlfn.XLOOKUP(B20,'Up Max'!A:A,'Up Max'!C:C,)</f>
        <v/>
      </c>
      <c r="M20" s="48" t="str">
        <f t="array" ref="M20">_xlfn.XLOOKUP(B20,'Up Stats'!A:A,'Up Stats'!D:D,)</f>
        <v/>
      </c>
      <c r="N20" s="40" t="str">
        <f>IFERROR(__xludf.DUMMYFUNCTION("if(AND(O20=FALSE,P20=FALSE),,if(O20=P20,JOIN("""",""Static: "",O20),JOIN("""",""Min:  "",O20, CHAR(10),""Max: "",P20)))"),"")</f>
        <v/>
      </c>
      <c r="O20" s="42" t="str">
        <f t="array" ref="O20">_xlfn.XLOOKUP(B20,'Up Min'!A:A,'Up Min'!D:D,)</f>
        <v/>
      </c>
      <c r="P20" s="42" t="str">
        <f t="array" ref="P20">_xlfn.XLOOKUP(B20,'Up Max'!A:A,'Up Max'!D:D,)</f>
        <v/>
      </c>
      <c r="Q20" s="48" t="str">
        <f t="array" ref="Q20">_xlfn.XLOOKUP(B20,'Up Stats'!A:A,'Up Stats'!E:E,)</f>
        <v/>
      </c>
      <c r="R20" s="40" t="str">
        <f>IFERROR(__xludf.DUMMYFUNCTION("if(AND(S20=FALSE,T20=FALSE),,if(S20=T20,JOIN("""",""Static: "",S20),JOIN("""",""Min:  "",S20, CHAR(10),""Max: "",T20)))"),"")</f>
        <v/>
      </c>
      <c r="S20" s="42" t="str">
        <f t="array" ref="S20">_xlfn.XLOOKUP(B20,'Up Min'!A:A,'Up Min'!E:E,)</f>
        <v/>
      </c>
      <c r="T20" s="42" t="str">
        <f t="array" ref="T20">_xlfn.XLOOKUP(B20,'Up Max'!A:A,'Up Max'!E:E,)</f>
        <v/>
      </c>
      <c r="U20" s="48" t="str">
        <f t="array" ref="U20">_xlfn.XLOOKUP(B20,'Up Stats'!A:A,'Up Stats'!F:F,)</f>
        <v/>
      </c>
      <c r="V20" s="40" t="str">
        <f>IFERROR(__xludf.DUMMYFUNCTION("if(AND(W20=FALSE,X20=FALSE),,if(W20=X20,JOIN("""",""Static: "",W20),JOIN("""",""Min:  "",W20, CHAR(10),""Max: "",X20)))"),"")</f>
        <v/>
      </c>
      <c r="W20" s="42" t="str">
        <f t="array" ref="W20">_xlfn.XLOOKUP(B20,'Up Min'!A:A,'Up Min'!F:F,)</f>
        <v/>
      </c>
      <c r="X20" s="42" t="str">
        <f t="array" ref="X20">_xlfn.XLOOKUP(B20,'Up Max'!A:A,'Up Max'!F:F,)</f>
        <v/>
      </c>
      <c r="Y20" s="48" t="str">
        <f t="array" ref="Y20">_xlfn.XLOOKUP(B20,'Up Stats'!A:A,'Up Stats'!G:G,)</f>
        <v/>
      </c>
      <c r="Z20" s="40" t="str">
        <f>IFERROR(__xludf.DUMMYFUNCTION("if(AND(AA20=FALSE,AB20=FALSE),,if(AA20=AB20,JOIN("""",""Static: "",AA20),JOIN("""",""Min:  "",AA20, CHAR(10),""Max: "",AB20)))"),"")</f>
        <v/>
      </c>
      <c r="AA20" s="42" t="str">
        <f t="array" ref="AA20">_xlfn.XLOOKUP(B20,'Up Min'!A:A,'Up Min'!G:G,)</f>
        <v/>
      </c>
      <c r="AB20" s="42" t="str">
        <f t="array" ref="AB20">_xlfn.XLOOKUP(B20,'Up Max'!A:A,'Up Max'!G:G,)</f>
        <v/>
      </c>
      <c r="AC20" s="48" t="str">
        <f t="array" ref="AC20">_xlfn.XLOOKUP(B20,'Up Stats'!A:A,'Up Stats'!H:H,)</f>
        <v/>
      </c>
      <c r="AD20" s="40" t="str">
        <f>IFERROR(__xludf.DUMMYFUNCTION("if(AND(AE20=FALSE,AF20=FALSE),,if(AE20=AF20,JOIN("""",""Static: "",AE20),JOIN("""",""Min:  "",AE20, CHAR(10),""Max: "",AF20)))"),"")</f>
        <v/>
      </c>
      <c r="AE20" s="42" t="str">
        <f t="array" ref="AE20">_xlfn.XLOOKUP(B20,'Up Min'!A:A,'Up Min'!H:H,)</f>
        <v/>
      </c>
      <c r="AF20" s="42" t="str">
        <f t="array" ref="AF20">_xlfn.XLOOKUP(B20,'Up Max'!A:A,'Up Max'!H:H,)</f>
        <v/>
      </c>
      <c r="AG20" s="48" t="str">
        <f t="array" ref="AG20">_xlfn.XLOOKUP(B20,'Up Stats'!A:A,'Up Stats'!I:I,)</f>
        <v/>
      </c>
      <c r="AH20" s="40" t="str">
        <f>IFERROR(__xludf.DUMMYFUNCTION("if(AND(AI20=FALSE,AJ20=FALSE),,if(AI20=AJ20,JOIN("""",""Static: "",AI20),JOIN("""",""Min:  "",AI20, CHAR(10),""Max: "",AJ20)))"),"")</f>
        <v/>
      </c>
      <c r="AI20" s="42" t="str">
        <f t="array" ref="AI20">_xlfn.XLOOKUP(B20,'Up Min'!A:A,'Up Min'!I:I,)</f>
        <v/>
      </c>
      <c r="AJ20" s="42" t="str">
        <f t="array" ref="AJ20">_xlfn.XLOOKUP(B20,'Up Max'!A:A,'Up Max'!I:I,)</f>
        <v/>
      </c>
      <c r="AK20" s="48" t="str">
        <f t="array" ref="AK20">_xlfn.XLOOKUP(B20,'Up Stats'!A:A,'Up Stats'!J:J,)</f>
        <v/>
      </c>
      <c r="AL20" s="40" t="str">
        <f>IFERROR(__xludf.DUMMYFUNCTION("if(AND(AM20=FALSE,AN20=FALSE),,if(AM20=AN20,JOIN("""",""Static: "",AM20),JOIN("""",""Min:  "",AM20, CHAR(10),""Max: "",AN20)))"),"")</f>
        <v/>
      </c>
      <c r="AM20" s="42" t="str">
        <f t="array" ref="AM20">_xlfn.XLOOKUP(B20,'Up Min'!A:A,'Up Min'!J:J,)</f>
        <v/>
      </c>
      <c r="AN20" s="42" t="str">
        <f t="array" ref="AN20">_xlfn.XLOOKUP(B20,'Up Max'!A:A,'Up Max'!J:J,)</f>
        <v/>
      </c>
      <c r="AO20" s="34" t="str">
        <f t="array" ref="AO20">CONCATENATE(_xlfn.XLOOKUP(B20,'Up Cells'!A:A,'Up Cells'!B:B,))</f>
        <v>4</v>
      </c>
      <c r="AP20" s="77" t="str">
        <f t="array" ref="AP20">CONCATENATE(_xlfn.XLOOKUP(B20,'Up Rarity'!A:A,'Up Rarity'!B:B,),CHAR(10),"-")</f>
        <v>Rare
-</v>
      </c>
    </row>
    <row r="21">
      <c r="A21" s="83" t="str">
        <f t="array" ref="A21">_xlfn.XLOOKUP(B21,'Up Icon'!A:A,'Up Icon'!B:B,)</f>
        <v/>
      </c>
      <c r="B21" s="51" t="str">
        <f t="array" ref="B21">HYPERLINK(_xlfn.XLOOKUP('Up Names'!D32,'Up Wiki'!A:A,'Up Wiki'!B:B,),'Up Names'!D32)</f>
        <v>Kinetic Amplifier</v>
      </c>
      <c r="C21" s="52" t="str">
        <f t="array" ref="C21">_xlfn.XLOOKUP(B21,'Up Desc'!A:A,'Up Desc'!B:B,)</f>
        <v>Damage is increased.</v>
      </c>
      <c r="D21" s="52" t="str">
        <f t="array" ref="D21">_xlfn.XLOOKUP(B21,'Up Turbo'!A:A,'Up Turbo'!B:B,)</f>
        <v>n/a</v>
      </c>
      <c r="E21" s="53" t="str">
        <f t="array" ref="E21">_xlfn.XLOOKUP(B21,'Up Stats'!A:A,'Up Stats'!B:B,)</f>
        <v>Damage</v>
      </c>
      <c r="F21" s="54" t="str">
        <f>IFERROR(__xludf.DUMMYFUNCTION("if(AND(G21=FALSE,H21=FALSE),,if(G21=H21,JOIN("""",""Static: "",G21),JOIN("""",""Min:  "",G21, CHAR(10),""Max: "",H21)))"),"Min:  17%
Max: 24%")</f>
        <v>Min:  17%
Max: 24%</v>
      </c>
      <c r="G21" s="72">
        <f t="array" ref="G21">_xlfn.XLOOKUP(B21,'Up Min'!A:A,'Up Min'!B:B,)</f>
        <v>0.17</v>
      </c>
      <c r="H21" s="72">
        <f t="array" ref="H21">_xlfn.XLOOKUP(B21,'Up Max'!A:A,'Up Max'!B:B,)</f>
        <v>0.24</v>
      </c>
      <c r="I21" s="53" t="str">
        <f t="array" ref="I21">_xlfn.XLOOKUP(B21,'Up Stats'!A:A,'Up Stats'!C:C,)</f>
        <v/>
      </c>
      <c r="J21" s="54" t="str">
        <f>IFERROR(__xludf.DUMMYFUNCTION("if(AND(K21=FALSE,L21=FALSE),,if(K21=L21,JOIN("""",""Static: "",K21),JOIN("""",""Min:  "",K21, CHAR(10),""Max: "",L21)))"),"")</f>
        <v/>
      </c>
      <c r="K21" s="55" t="str">
        <f t="array" ref="K21">_xlfn.XLOOKUP(B21,'Up Min'!A:A,'Up Min'!C:C,)</f>
        <v/>
      </c>
      <c r="L21" s="55" t="str">
        <f t="array" ref="L21">_xlfn.XLOOKUP(B21,'Up Max'!A:A,'Up Max'!C:C,)</f>
        <v/>
      </c>
      <c r="M21" s="53" t="str">
        <f t="array" ref="M21">_xlfn.XLOOKUP(B21,'Up Stats'!A:A,'Up Stats'!D:D,)</f>
        <v/>
      </c>
      <c r="N21" s="54" t="str">
        <f>IFERROR(__xludf.DUMMYFUNCTION("if(AND(O21=FALSE,P21=FALSE),,if(O21=P21,JOIN("""",""Static: "",O21),JOIN("""",""Min:  "",O21, CHAR(10),""Max: "",P21)))"),"")</f>
        <v/>
      </c>
      <c r="O21" s="55" t="str">
        <f t="array" ref="O21">_xlfn.XLOOKUP(B21,'Up Min'!A:A,'Up Min'!D:D,)</f>
        <v/>
      </c>
      <c r="P21" s="55" t="str">
        <f t="array" ref="P21">_xlfn.XLOOKUP(B21,'Up Max'!A:A,'Up Max'!D:D,)</f>
        <v/>
      </c>
      <c r="Q21" s="57" t="str">
        <f t="array" ref="Q21">_xlfn.XLOOKUP(B21,'Up Stats'!A:A,'Up Stats'!E:E,)</f>
        <v/>
      </c>
      <c r="R21" s="54" t="str">
        <f>IFERROR(__xludf.DUMMYFUNCTION("if(AND(S21=FALSE,T21=FALSE),,if(S21=T21,JOIN("""",""Static: "",S21),JOIN("""",""Min:  "",S21, CHAR(10),""Max: "",T21)))"),"")</f>
        <v/>
      </c>
      <c r="S21" s="55" t="str">
        <f t="array" ref="S21">_xlfn.XLOOKUP(B21,'Up Min'!A:A,'Up Min'!E:E,)</f>
        <v/>
      </c>
      <c r="T21" s="55" t="str">
        <f t="array" ref="T21">_xlfn.XLOOKUP(B21,'Up Max'!A:A,'Up Max'!E:E,)</f>
        <v/>
      </c>
      <c r="U21" s="57" t="str">
        <f t="array" ref="U21">_xlfn.XLOOKUP(B21,'Up Stats'!A:A,'Up Stats'!F:F,)</f>
        <v/>
      </c>
      <c r="V21" s="54" t="str">
        <f>IFERROR(__xludf.DUMMYFUNCTION("if(AND(W21=FALSE,X21=FALSE),,if(W21=X21,JOIN("""",""Static: "",W21),JOIN("""",""Min:  "",W21, CHAR(10),""Max: "",X21)))"),"")</f>
        <v/>
      </c>
      <c r="W21" s="55" t="str">
        <f t="array" ref="W21">_xlfn.XLOOKUP(B21,'Up Min'!A:A,'Up Min'!F:F,)</f>
        <v/>
      </c>
      <c r="X21" s="55" t="str">
        <f t="array" ref="X21">_xlfn.XLOOKUP(B21,'Up Max'!A:A,'Up Max'!F:F,)</f>
        <v/>
      </c>
      <c r="Y21" s="57" t="str">
        <f t="array" ref="Y21">_xlfn.XLOOKUP(B21,'Up Stats'!A:A,'Up Stats'!G:G,)</f>
        <v/>
      </c>
      <c r="Z21" s="54" t="str">
        <f>IFERROR(__xludf.DUMMYFUNCTION("if(AND(AA21=FALSE,AB21=FALSE),,if(AA21=AB21,JOIN("""",""Static: "",AA21),JOIN("""",""Min:  "",AA21, CHAR(10),""Max: "",AB21)))"),"")</f>
        <v/>
      </c>
      <c r="AA21" s="55" t="str">
        <f t="array" ref="AA21">_xlfn.XLOOKUP(B21,'Up Min'!A:A,'Up Min'!G:G,)</f>
        <v/>
      </c>
      <c r="AB21" s="55" t="str">
        <f t="array" ref="AB21">_xlfn.XLOOKUP(B21,'Up Max'!A:A,'Up Max'!G:G,)</f>
        <v/>
      </c>
      <c r="AC21" s="57" t="str">
        <f t="array" ref="AC21">_xlfn.XLOOKUP(B21,'Up Stats'!A:A,'Up Stats'!H:H,)</f>
        <v/>
      </c>
      <c r="AD21" s="54" t="str">
        <f>IFERROR(__xludf.DUMMYFUNCTION("if(AND(AE21=FALSE,AF21=FALSE),,if(AE21=AF21,JOIN("""",""Static: "",AE21),JOIN("""",""Min:  "",AE21, CHAR(10),""Max: "",AF21)))"),"")</f>
        <v/>
      </c>
      <c r="AE21" s="55" t="str">
        <f t="array" ref="AE21">_xlfn.XLOOKUP(B21,'Up Min'!A:A,'Up Min'!H:H,)</f>
        <v/>
      </c>
      <c r="AF21" s="55" t="str">
        <f t="array" ref="AF21">_xlfn.XLOOKUP(B21,'Up Max'!A:A,'Up Max'!H:H,)</f>
        <v/>
      </c>
      <c r="AG21" s="57" t="str">
        <f t="array" ref="AG21">_xlfn.XLOOKUP(B21,'Up Stats'!A:A,'Up Stats'!I:I,)</f>
        <v/>
      </c>
      <c r="AH21" s="54" t="str">
        <f>IFERROR(__xludf.DUMMYFUNCTION("if(AND(AI21=FALSE,AJ21=FALSE),,if(AI21=AJ21,JOIN("""",""Static: "",AI21),JOIN("""",""Min:  "",AI21, CHAR(10),""Max: "",AJ21)))"),"")</f>
        <v/>
      </c>
      <c r="AI21" s="55" t="str">
        <f t="array" ref="AI21">_xlfn.XLOOKUP(B21,'Up Min'!A:A,'Up Min'!I:I,)</f>
        <v/>
      </c>
      <c r="AJ21" s="55" t="str">
        <f t="array" ref="AJ21">_xlfn.XLOOKUP(B21,'Up Max'!A:A,'Up Max'!I:I,)</f>
        <v/>
      </c>
      <c r="AK21" s="57" t="str">
        <f t="array" ref="AK21">_xlfn.XLOOKUP(B21,'Up Stats'!A:A,'Up Stats'!J:J,)</f>
        <v/>
      </c>
      <c r="AL21" s="54" t="str">
        <f>IFERROR(__xludf.DUMMYFUNCTION("if(AND(AM21=FALSE,AN21=FALSE),,if(AM21=AN21,JOIN("""",""Static: "",AM21),JOIN("""",""Min:  "",AM21, CHAR(10),""Max: "",AN21)))"),"")</f>
        <v/>
      </c>
      <c r="AM21" s="55" t="str">
        <f t="array" ref="AM21">_xlfn.XLOOKUP(B21,'Up Min'!A:A,'Up Min'!J:J,)</f>
        <v/>
      </c>
      <c r="AN21" s="55" t="str">
        <f t="array" ref="AN21">_xlfn.XLOOKUP(B21,'Up Max'!A:A,'Up Max'!J:J,)</f>
        <v/>
      </c>
      <c r="AO21" s="51" t="str">
        <f t="array" ref="AO21">CONCATENATE(_xlfn.XLOOKUP(B21,'Up Cells'!A:A,'Up Cells'!B:B,))</f>
        <v>4</v>
      </c>
      <c r="AP21" s="76" t="str">
        <f t="array" ref="AP21">CONCATENATE(_xlfn.XLOOKUP(B21,'Up Rarity'!A:A,'Up Rarity'!B:B,),CHAR(10),"-")</f>
        <v>Rare
-</v>
      </c>
    </row>
    <row r="22">
      <c r="A22" s="83" t="str">
        <f t="array" ref="A22">_xlfn.XLOOKUP(B22,'Up Icon'!A:A,'Up Icon'!B:B,)</f>
        <v/>
      </c>
      <c r="B22" s="66" t="str">
        <f t="array" ref="B22">HYPERLINK(_xlfn.XLOOKUP('Up Names'!D18,'Up Wiki'!A:A,'Up Wiki'!B:B,),'Up Names'!D18)</f>
        <v>Kinetic Impossibility</v>
      </c>
      <c r="C22" s="37" t="str">
        <f t="array" ref="C22">_xlfn.XLOOKUP(B22,'Up Desc'!A:A,'Up Desc'!B:B,)</f>
        <v>You hover while firing the laser.</v>
      </c>
      <c r="D22" s="37" t="str">
        <f t="array" ref="D22">_xlfn.XLOOKUP(B22,'Up Turbo'!A:A,'Up Turbo'!B:B,)</f>
        <v>n/a</v>
      </c>
      <c r="E22" s="48" t="str">
        <f t="array" ref="E22">_xlfn.XLOOKUP(B22,'Up Stats'!A:A,'Up Stats'!B:B,)</f>
        <v/>
      </c>
      <c r="F22" s="40" t="str">
        <f>IFERROR(__xludf.DUMMYFUNCTION("if(AND(G22=FALSE,H22=FALSE),,if(G22=H22,JOIN("""",""Static: "",G22),JOIN("""",""Min:  "",G22, CHAR(10),""Max: "",H22)))"),"")</f>
        <v/>
      </c>
      <c r="G22" s="74" t="str">
        <f t="array" ref="G22">_xlfn.XLOOKUP(B22,'Up Min'!A:A,'Up Min'!B:B,)</f>
        <v/>
      </c>
      <c r="H22" s="74" t="str">
        <f t="array" ref="H22">_xlfn.XLOOKUP(B22,'Up Max'!A:A,'Up Max'!B:B,)</f>
        <v/>
      </c>
      <c r="I22" s="48" t="str">
        <f t="array" ref="I22">_xlfn.XLOOKUP(B22,'Up Stats'!A:A,'Up Stats'!C:C,)</f>
        <v/>
      </c>
      <c r="J22" s="40" t="str">
        <f>IFERROR(__xludf.DUMMYFUNCTION("if(AND(K22=FALSE,L22=FALSE),,if(K22=L22,JOIN("""",""Static: "",K22),JOIN("""",""Min:  "",K22, CHAR(10),""Max: "",L22)))"),"")</f>
        <v/>
      </c>
      <c r="K22" s="74" t="str">
        <f t="array" ref="K22">_xlfn.XLOOKUP(B22,'Up Min'!A:A,'Up Min'!C:C,)</f>
        <v/>
      </c>
      <c r="L22" s="74" t="str">
        <f t="array" ref="L22">_xlfn.XLOOKUP(B22,'Up Max'!A:A,'Up Max'!C:C,)</f>
        <v/>
      </c>
      <c r="M22" s="48" t="str">
        <f t="array" ref="M22">_xlfn.XLOOKUP(B22,'Up Stats'!A:A,'Up Stats'!D:D,)</f>
        <v/>
      </c>
      <c r="N22" s="40" t="str">
        <f>IFERROR(__xludf.DUMMYFUNCTION("if(AND(O22=FALSE,P22=FALSE),,if(O22=P22,JOIN("""",""Static: "",O22),JOIN("""",""Min:  "",O22, CHAR(10),""Max: "",P22)))"),"")</f>
        <v/>
      </c>
      <c r="O22" s="42" t="str">
        <f t="array" ref="O22">_xlfn.XLOOKUP(B22,'Up Min'!A:A,'Up Min'!D:D,)</f>
        <v/>
      </c>
      <c r="P22" s="42" t="str">
        <f t="array" ref="P22">_xlfn.XLOOKUP(B22,'Up Max'!A:A,'Up Max'!D:D,)</f>
        <v/>
      </c>
      <c r="Q22" s="48" t="str">
        <f t="array" ref="Q22">_xlfn.XLOOKUP(B22,'Up Stats'!A:A,'Up Stats'!E:E,)</f>
        <v/>
      </c>
      <c r="R22" s="40" t="str">
        <f>IFERROR(__xludf.DUMMYFUNCTION("if(AND(S22=FALSE,T22=FALSE),,if(S22=T22,JOIN("""",""Static: "",S22),JOIN("""",""Min:  "",S22, CHAR(10),""Max: "",T22)))"),"")</f>
        <v/>
      </c>
      <c r="S22" s="42" t="str">
        <f t="array" ref="S22">_xlfn.XLOOKUP(B22,'Up Min'!A:A,'Up Min'!E:E,)</f>
        <v/>
      </c>
      <c r="T22" s="42" t="str">
        <f t="array" ref="T22">_xlfn.XLOOKUP(B22,'Up Max'!A:A,'Up Max'!E:E,)</f>
        <v/>
      </c>
      <c r="U22" s="48" t="str">
        <f t="array" ref="U22">_xlfn.XLOOKUP(B22,'Up Stats'!A:A,'Up Stats'!F:F,)</f>
        <v/>
      </c>
      <c r="V22" s="40" t="str">
        <f>IFERROR(__xludf.DUMMYFUNCTION("if(AND(W22=FALSE,X22=FALSE),,if(W22=X22,JOIN("""",""Static: "",W22),JOIN("""",""Min:  "",W22, CHAR(10),""Max: "",X22)))"),"")</f>
        <v/>
      </c>
      <c r="W22" s="42" t="str">
        <f t="array" ref="W22">_xlfn.XLOOKUP(B22,'Up Min'!A:A,'Up Min'!F:F,)</f>
        <v/>
      </c>
      <c r="X22" s="42" t="str">
        <f t="array" ref="X22">_xlfn.XLOOKUP(B22,'Up Max'!A:A,'Up Max'!F:F,)</f>
        <v/>
      </c>
      <c r="Y22" s="48" t="str">
        <f t="array" ref="Y22">_xlfn.XLOOKUP(B22,'Up Stats'!A:A,'Up Stats'!G:G,)</f>
        <v/>
      </c>
      <c r="Z22" s="40" t="str">
        <f>IFERROR(__xludf.DUMMYFUNCTION("if(AND(AA22=FALSE,AB22=FALSE),,if(AA22=AB22,JOIN("""",""Static: "",AA22),JOIN("""",""Min:  "",AA22, CHAR(10),""Max: "",AB22)))"),"")</f>
        <v/>
      </c>
      <c r="AA22" s="42" t="str">
        <f t="array" ref="AA22">_xlfn.XLOOKUP(B22,'Up Min'!A:A,'Up Min'!G:G,)</f>
        <v/>
      </c>
      <c r="AB22" s="42" t="str">
        <f t="array" ref="AB22">_xlfn.XLOOKUP(B22,'Up Max'!A:A,'Up Max'!G:G,)</f>
        <v/>
      </c>
      <c r="AC22" s="48" t="str">
        <f t="array" ref="AC22">_xlfn.XLOOKUP(B22,'Up Stats'!A:A,'Up Stats'!H:H,)</f>
        <v/>
      </c>
      <c r="AD22" s="40" t="str">
        <f>IFERROR(__xludf.DUMMYFUNCTION("if(AND(AE22=FALSE,AF22=FALSE),,if(AE22=AF22,JOIN("""",""Static: "",AE22),JOIN("""",""Min:  "",AE22, CHAR(10),""Max: "",AF22)))"),"")</f>
        <v/>
      </c>
      <c r="AE22" s="42" t="str">
        <f t="array" ref="AE22">_xlfn.XLOOKUP(B22,'Up Min'!A:A,'Up Min'!H:H,)</f>
        <v/>
      </c>
      <c r="AF22" s="42" t="str">
        <f t="array" ref="AF22">_xlfn.XLOOKUP(B22,'Up Max'!A:A,'Up Max'!H:H,)</f>
        <v/>
      </c>
      <c r="AG22" s="48" t="str">
        <f t="array" ref="AG22">_xlfn.XLOOKUP(B22,'Up Stats'!A:A,'Up Stats'!I:I,)</f>
        <v/>
      </c>
      <c r="AH22" s="40" t="str">
        <f>IFERROR(__xludf.DUMMYFUNCTION("if(AND(AI22=FALSE,AJ22=FALSE),,if(AI22=AJ22,JOIN("""",""Static: "",AI22),JOIN("""",""Min:  "",AI22, CHAR(10),""Max: "",AJ22)))"),"")</f>
        <v/>
      </c>
      <c r="AI22" s="42" t="str">
        <f t="array" ref="AI22">_xlfn.XLOOKUP(B22,'Up Min'!A:A,'Up Min'!I:I,)</f>
        <v/>
      </c>
      <c r="AJ22" s="42" t="str">
        <f t="array" ref="AJ22">_xlfn.XLOOKUP(B22,'Up Max'!A:A,'Up Max'!I:I,)</f>
        <v/>
      </c>
      <c r="AK22" s="48" t="str">
        <f t="array" ref="AK22">_xlfn.XLOOKUP(B22,'Up Stats'!A:A,'Up Stats'!J:J,)</f>
        <v/>
      </c>
      <c r="AL22" s="40" t="str">
        <f>IFERROR(__xludf.DUMMYFUNCTION("if(AND(AM22=FALSE,AN22=FALSE),,if(AM22=AN22,JOIN("""",""Static: "",AM22),JOIN("""",""Min:  "",AM22, CHAR(10),""Max: "",AN22)))"),"")</f>
        <v/>
      </c>
      <c r="AM22" s="42" t="str">
        <f t="array" ref="AM22">_xlfn.XLOOKUP(B22,'Up Min'!A:A,'Up Min'!J:J,)</f>
        <v/>
      </c>
      <c r="AN22" s="42" t="str">
        <f t="array" ref="AN22">_xlfn.XLOOKUP(B22,'Up Max'!A:A,'Up Max'!J:J,)</f>
        <v/>
      </c>
      <c r="AO22" s="34" t="str">
        <f t="array" ref="AO22">CONCATENATE(_xlfn.XLOOKUP(B22,'Up Cells'!A:A,'Up Cells'!B:B,))</f>
        <v>3</v>
      </c>
      <c r="AP22" s="77" t="str">
        <f t="array" ref="AP22">CONCATENATE(_xlfn.XLOOKUP(B22,'Up Rarity'!A:A,'Up Rarity'!B:B,),CHAR(10),"-")</f>
        <v>Rare
-</v>
      </c>
    </row>
    <row r="23">
      <c r="A23" s="83" t="str">
        <f t="array" ref="A23">_xlfn.XLOOKUP(B23,'Up Icon'!A:A,'Up Icon'!B:B,)</f>
        <v/>
      </c>
      <c r="B23" s="63" t="str">
        <f t="array" ref="B23">HYPERLINK(_xlfn.XLOOKUP('Up Names'!D19,'Up Wiki'!A:A,'Up Wiki'!B:B,),'Up Names'!D19)</f>
        <v>Power Core</v>
      </c>
      <c r="C23" s="52" t="str">
        <f t="array" ref="C23">_xlfn.XLOOKUP(B23,'Up Desc'!A:A,'Up Desc'!B:B,)</f>
        <v>Killing a core with the laser refunds some charge.</v>
      </c>
      <c r="D23" s="52" t="str">
        <f t="array" ref="D23">_xlfn.XLOOKUP(B23,'Up Turbo'!A:A,'Up Turbo'!B:B,)</f>
        <v>n/a</v>
      </c>
      <c r="E23" s="53" t="str">
        <f t="array" ref="E23">_xlfn.XLOOKUP(B23,'Up Stats'!A:A,'Up Stats'!B:B,)</f>
        <v>Charge</v>
      </c>
      <c r="F23" s="54" t="str">
        <f>IFERROR(__xludf.DUMMYFUNCTION("if(AND(G23=FALSE,H23=FALSE),,if(G23=H23,JOIN("""",""Static: "",G23),JOIN("""",""Min:  "",G23, CHAR(10),""Max: "",H23)))"),"Min:  3.5
Max: 6")</f>
        <v>Min:  3.5
Max: 6</v>
      </c>
      <c r="G23" s="64">
        <f t="array" ref="G23">_xlfn.XLOOKUP(B23,'Up Min'!A:A,'Up Min'!B:B,)</f>
        <v>3.5</v>
      </c>
      <c r="H23" s="65">
        <f t="array" ref="H23">_xlfn.XLOOKUP(B23,'Up Max'!A:A,'Up Max'!B:B,)</f>
        <v>6</v>
      </c>
      <c r="I23" s="53" t="str">
        <f t="array" ref="I23">_xlfn.XLOOKUP(B23,'Up Stats'!A:A,'Up Stats'!C:C,)</f>
        <v/>
      </c>
      <c r="J23" s="54" t="str">
        <f>IFERROR(__xludf.DUMMYFUNCTION("if(AND(K23=FALSE,L23=FALSE),,if(K23=L23,JOIN("""",""Static: "",K23),JOIN("""",""Min:  "",K23, CHAR(10),""Max: "",L23)))"),"")</f>
        <v/>
      </c>
      <c r="K23" s="72" t="str">
        <f t="array" ref="K23">_xlfn.XLOOKUP(B23,'Up Min'!A:A,'Up Min'!C:C,)</f>
        <v/>
      </c>
      <c r="L23" s="72" t="str">
        <f t="array" ref="L23">_xlfn.XLOOKUP(B23,'Up Max'!A:A,'Up Max'!C:C,)</f>
        <v/>
      </c>
      <c r="M23" s="53" t="str">
        <f t="array" ref="M23">_xlfn.XLOOKUP(B23,'Up Stats'!A:A,'Up Stats'!D:D,)</f>
        <v/>
      </c>
      <c r="N23" s="54" t="str">
        <f>IFERROR(__xludf.DUMMYFUNCTION("if(AND(O23=FALSE,P23=FALSE),,if(O23=P23,JOIN("""",""Static: "",O23),JOIN("""",""Min:  "",O23, CHAR(10),""Max: "",P23)))"),"")</f>
        <v/>
      </c>
      <c r="O23" s="72" t="str">
        <f t="array" ref="O23">_xlfn.XLOOKUP(B23,'Up Min'!A:A,'Up Min'!D:D,)</f>
        <v/>
      </c>
      <c r="P23" s="72" t="str">
        <f t="array" ref="P23">_xlfn.XLOOKUP(B23,'Up Max'!A:A,'Up Max'!D:D,)</f>
        <v/>
      </c>
      <c r="Q23" s="57" t="str">
        <f t="array" ref="Q23">_xlfn.XLOOKUP(B23,'Up Stats'!A:A,'Up Stats'!E:E,)</f>
        <v/>
      </c>
      <c r="R23" s="54" t="str">
        <f>IFERROR(__xludf.DUMMYFUNCTION("if(AND(S23=FALSE,T23=FALSE),,if(S23=T23,JOIN("""",""Static: "",S23),JOIN("""",""Min:  "",S23, CHAR(10),""Max: "",T23)))"),"")</f>
        <v/>
      </c>
      <c r="S23" s="72" t="str">
        <f t="array" ref="S23">_xlfn.XLOOKUP(B23,'Up Min'!A:A,'Up Min'!E:E,)</f>
        <v/>
      </c>
      <c r="T23" s="72" t="str">
        <f t="array" ref="T23">_xlfn.XLOOKUP(B23,'Up Max'!A:A,'Up Max'!E:E,)</f>
        <v/>
      </c>
      <c r="U23" s="57" t="str">
        <f t="array" ref="U23">_xlfn.XLOOKUP(B23,'Up Stats'!A:A,'Up Stats'!F:F,)</f>
        <v/>
      </c>
      <c r="V23" s="54" t="str">
        <f>IFERROR(__xludf.DUMMYFUNCTION("if(AND(W23=FALSE,X23=FALSE),,if(W23=X23,JOIN("""",""Static: "",W23),JOIN("""",""Min:  "",W23, CHAR(10),""Max: "",X23)))"),"")</f>
        <v/>
      </c>
      <c r="W23" s="55" t="str">
        <f t="array" ref="W23">_xlfn.XLOOKUP(B23,'Up Min'!A:A,'Up Min'!F:F,)</f>
        <v/>
      </c>
      <c r="X23" s="55" t="str">
        <f t="array" ref="X23">_xlfn.XLOOKUP(B23,'Up Max'!A:A,'Up Max'!F:F,)</f>
        <v/>
      </c>
      <c r="Y23" s="57" t="str">
        <f t="array" ref="Y23">_xlfn.XLOOKUP(B23,'Up Stats'!A:A,'Up Stats'!G:G,)</f>
        <v/>
      </c>
      <c r="Z23" s="54" t="str">
        <f>IFERROR(__xludf.DUMMYFUNCTION("if(AND(AA23=FALSE,AB23=FALSE),,if(AA23=AB23,JOIN("""",""Static: "",AA23),JOIN("""",""Min:  "",AA23, CHAR(10),""Max: "",AB23)))"),"")</f>
        <v/>
      </c>
      <c r="AA23" s="73" t="str">
        <f t="array" ref="AA23">_xlfn.XLOOKUP(B23,'Up Min'!A:A,'Up Min'!G:G,)</f>
        <v/>
      </c>
      <c r="AB23" s="73" t="str">
        <f t="array" ref="AB23">_xlfn.XLOOKUP(B23,'Up Max'!A:A,'Up Max'!G:G,)</f>
        <v/>
      </c>
      <c r="AC23" s="57" t="str">
        <f t="array" ref="AC23">_xlfn.XLOOKUP(B23,'Up Stats'!A:A,'Up Stats'!H:H,)</f>
        <v/>
      </c>
      <c r="AD23" s="54" t="str">
        <f>IFERROR(__xludf.DUMMYFUNCTION("if(AND(AE23=FALSE,AF23=FALSE),,if(AE23=AF23,JOIN("""",""Static: "",AE23),JOIN("""",""Min:  "",AE23, CHAR(10),""Max: "",AF23)))"),"")</f>
        <v/>
      </c>
      <c r="AE23" s="55" t="str">
        <f t="array" ref="AE23">_xlfn.XLOOKUP(B23,'Up Min'!A:A,'Up Min'!H:H,)</f>
        <v/>
      </c>
      <c r="AF23" s="55" t="str">
        <f t="array" ref="AF23">_xlfn.XLOOKUP(B23,'Up Max'!A:A,'Up Max'!H:H,)</f>
        <v/>
      </c>
      <c r="AG23" s="57" t="str">
        <f t="array" ref="AG23">_xlfn.XLOOKUP(B23,'Up Stats'!A:A,'Up Stats'!I:I,)</f>
        <v/>
      </c>
      <c r="AH23" s="54" t="str">
        <f>IFERROR(__xludf.DUMMYFUNCTION("if(AND(AI23=FALSE,AJ23=FALSE),,if(AI23=AJ23,JOIN("""",""Static: "",AI23),JOIN("""",""Min:  "",AI23, CHAR(10),""Max: "",AJ23)))"),"")</f>
        <v/>
      </c>
      <c r="AI23" s="55" t="str">
        <f t="array" ref="AI23">_xlfn.XLOOKUP(B23,'Up Min'!A:A,'Up Min'!I:I,)</f>
        <v/>
      </c>
      <c r="AJ23" s="55" t="str">
        <f t="array" ref="AJ23">_xlfn.XLOOKUP(B23,'Up Max'!A:A,'Up Max'!I:I,)</f>
        <v/>
      </c>
      <c r="AK23" s="57" t="str">
        <f t="array" ref="AK23">_xlfn.XLOOKUP(B23,'Up Stats'!A:A,'Up Stats'!J:J,)</f>
        <v/>
      </c>
      <c r="AL23" s="54" t="str">
        <f>IFERROR(__xludf.DUMMYFUNCTION("if(AND(AM23=FALSE,AN23=FALSE),,if(AM23=AN23,JOIN("""",""Static: "",AM23),JOIN("""",""Min:  "",AM23, CHAR(10),""Max: "",AN23)))"),"")</f>
        <v/>
      </c>
      <c r="AM23" s="55" t="str">
        <f t="array" ref="AM23">_xlfn.XLOOKUP(B23,'Up Min'!A:A,'Up Min'!J:J,)</f>
        <v/>
      </c>
      <c r="AN23" s="55" t="str">
        <f t="array" ref="AN23">_xlfn.XLOOKUP(B23,'Up Max'!A:A,'Up Max'!J:J,)</f>
        <v/>
      </c>
      <c r="AO23" s="51" t="str">
        <f t="array" ref="AO23">CONCATENATE(_xlfn.XLOOKUP(B23,'Up Cells'!A:A,'Up Cells'!B:B,))</f>
        <v>4</v>
      </c>
      <c r="AP23" s="76" t="str">
        <f t="array" ref="AP23">CONCATENATE(_xlfn.XLOOKUP(B23,'Up Rarity'!A:A,'Up Rarity'!B:B,),CHAR(10),"-")</f>
        <v>Rare
-</v>
      </c>
    </row>
    <row r="24">
      <c r="A24" s="83" t="str">
        <f t="array" ref="A24">_xlfn.XLOOKUP(B24,'Up Icon'!A:A,'Up Icon'!B:B,)</f>
        <v/>
      </c>
      <c r="B24" s="66" t="str">
        <f t="array" ref="B24">HYPERLINK(_xlfn.XLOOKUP('Up Names'!D34,'Up Wiki'!A:A,'Up Wiki'!B:B,),'Up Names'!D34)</f>
        <v>Pulverizer</v>
      </c>
      <c r="C24" s="37" t="str">
        <f t="array" ref="C24">_xlfn.XLOOKUP(B24,'Up Desc'!A:A,'Up Desc'!B:B,)</f>
        <v>Deal more damage to shells but less damage to limbs.</v>
      </c>
      <c r="D24" s="37" t="str">
        <f t="array" ref="D24">_xlfn.XLOOKUP(B24,'Up Turbo'!A:A,'Up Turbo'!B:B,)</f>
        <v>n/a</v>
      </c>
      <c r="E24" s="39" t="str">
        <f t="array" ref="E24">_xlfn.XLOOKUP(B24,'Up Stats'!A:A,'Up Stats'!B:B,)</f>
        <v>Limb Damage</v>
      </c>
      <c r="F24" s="40" t="str">
        <f>IFERROR(__xludf.DUMMYFUNCTION("if(AND(G24=FALSE,H24=FALSE),,if(G24=H24,JOIN("""",""Static: "",G24),JOIN("""",""Min:  "",G24, CHAR(10),""Max: "",H24)))"),"Min:  -27%
Max: -18%")</f>
        <v>Min:  -27%
Max: -18%</v>
      </c>
      <c r="G24" s="74">
        <f t="array" ref="G24">_xlfn.XLOOKUP(B24,'Up Min'!A:A,'Up Min'!B:B,)</f>
        <v>-0.27</v>
      </c>
      <c r="H24" s="74">
        <f t="array" ref="H24">_xlfn.XLOOKUP(B24,'Up Max'!A:A,'Up Max'!B:B,)</f>
        <v>-0.18</v>
      </c>
      <c r="I24" s="39" t="str">
        <f t="array" ref="I24">_xlfn.XLOOKUP(B24,'Up Stats'!A:A,'Up Stats'!C:C,)</f>
        <v>Shell Damage</v>
      </c>
      <c r="J24" s="40" t="str">
        <f>IFERROR(__xludf.DUMMYFUNCTION("if(AND(K24=FALSE,L24=FALSE),,if(K24=L24,JOIN("""",""Static: "",K24),JOIN("""",""Min:  "",K24, CHAR(10),""Max: "",L24)))"),"Min:  22%
Max: 31%")</f>
        <v>Min:  22%
Max: 31%</v>
      </c>
      <c r="K24" s="74">
        <f t="array" ref="K24">_xlfn.XLOOKUP(B24,'Up Min'!A:A,'Up Min'!C:C,)</f>
        <v>0.22</v>
      </c>
      <c r="L24" s="74">
        <f t="array" ref="L24">_xlfn.XLOOKUP(B24,'Up Max'!A:A,'Up Max'!C:C,)</f>
        <v>0.31</v>
      </c>
      <c r="M24" s="39" t="str">
        <f t="array" ref="M24">_xlfn.XLOOKUP(B24,'Up Stats'!A:A,'Up Stats'!D:D,)</f>
        <v/>
      </c>
      <c r="N24" s="40" t="str">
        <f>IFERROR(__xludf.DUMMYFUNCTION("if(AND(O24=FALSE,P24=FALSE),,if(O24=P24,JOIN("""",""Static: "",O24),JOIN("""",""Min:  "",O24, CHAR(10),""Max: "",P24)))"),"")</f>
        <v/>
      </c>
      <c r="O24" s="42" t="str">
        <f t="array" ref="O24">_xlfn.XLOOKUP(B24,'Up Min'!A:A,'Up Min'!D:D,)</f>
        <v/>
      </c>
      <c r="P24" s="42" t="str">
        <f t="array" ref="P24">_xlfn.XLOOKUP(B24,'Up Max'!A:A,'Up Max'!D:D,)</f>
        <v/>
      </c>
      <c r="Q24" s="48" t="str">
        <f t="array" ref="Q24">_xlfn.XLOOKUP(B24,'Up Stats'!A:A,'Up Stats'!E:E,)</f>
        <v/>
      </c>
      <c r="R24" s="40" t="str">
        <f>IFERROR(__xludf.DUMMYFUNCTION("if(AND(S24=FALSE,T24=FALSE),,if(S24=T24,JOIN("""",""Static: "",S24),JOIN("""",""Min:  "",S24, CHAR(10),""Max: "",T24)))"),"")</f>
        <v/>
      </c>
      <c r="S24" s="42" t="str">
        <f t="array" ref="S24">_xlfn.XLOOKUP(B24,'Up Min'!A:A,'Up Min'!E:E,)</f>
        <v/>
      </c>
      <c r="T24" s="42" t="str">
        <f t="array" ref="T24">_xlfn.XLOOKUP(B24,'Up Max'!A:A,'Up Max'!E:E,)</f>
        <v/>
      </c>
      <c r="U24" s="48" t="str">
        <f t="array" ref="U24">_xlfn.XLOOKUP(B24,'Up Stats'!A:A,'Up Stats'!F:F,)</f>
        <v/>
      </c>
      <c r="V24" s="40" t="str">
        <f>IFERROR(__xludf.DUMMYFUNCTION("if(AND(W24=FALSE,X24=FALSE),,if(W24=X24,JOIN("""",""Static: "",W24),JOIN("""",""Min:  "",W24, CHAR(10),""Max: "",X24)))"),"")</f>
        <v/>
      </c>
      <c r="W24" s="42" t="str">
        <f t="array" ref="W24">_xlfn.XLOOKUP(B24,'Up Min'!A:A,'Up Min'!F:F,)</f>
        <v/>
      </c>
      <c r="X24" s="42" t="str">
        <f t="array" ref="X24">_xlfn.XLOOKUP(B24,'Up Max'!A:A,'Up Max'!F:F,)</f>
        <v/>
      </c>
      <c r="Y24" s="48" t="str">
        <f t="array" ref="Y24">_xlfn.XLOOKUP(B24,'Up Stats'!A:A,'Up Stats'!G:G,)</f>
        <v/>
      </c>
      <c r="Z24" s="40" t="str">
        <f>IFERROR(__xludf.DUMMYFUNCTION("if(AND(AA24=FALSE,AB24=FALSE),,if(AA24=AB24,JOIN("""",""Static: "",AA24),JOIN("""",""Min:  "",AA24, CHAR(10),""Max: "",AB24)))"),"")</f>
        <v/>
      </c>
      <c r="AA24" s="42" t="str">
        <f t="array" ref="AA24">_xlfn.XLOOKUP(B24,'Up Min'!A:A,'Up Min'!G:G,)</f>
        <v/>
      </c>
      <c r="AB24" s="42" t="str">
        <f t="array" ref="AB24">_xlfn.XLOOKUP(B24,'Up Max'!A:A,'Up Max'!G:G,)</f>
        <v/>
      </c>
      <c r="AC24" s="48" t="str">
        <f t="array" ref="AC24">_xlfn.XLOOKUP(B24,'Up Stats'!A:A,'Up Stats'!H:H,)</f>
        <v/>
      </c>
      <c r="AD24" s="40" t="str">
        <f>IFERROR(__xludf.DUMMYFUNCTION("if(AND(AE24=FALSE,AF24=FALSE),,if(AE24=AF24,JOIN("""",""Static: "",AE24),JOIN("""",""Min:  "",AE24, CHAR(10),""Max: "",AF24)))"),"")</f>
        <v/>
      </c>
      <c r="AE24" s="42" t="str">
        <f t="array" ref="AE24">_xlfn.XLOOKUP(B24,'Up Min'!A:A,'Up Min'!H:H,)</f>
        <v/>
      </c>
      <c r="AF24" s="42" t="str">
        <f t="array" ref="AF24">_xlfn.XLOOKUP(B24,'Up Max'!A:A,'Up Max'!H:H,)</f>
        <v/>
      </c>
      <c r="AG24" s="48" t="str">
        <f t="array" ref="AG24">_xlfn.XLOOKUP(B24,'Up Stats'!A:A,'Up Stats'!I:I,)</f>
        <v/>
      </c>
      <c r="AH24" s="40" t="str">
        <f>IFERROR(__xludf.DUMMYFUNCTION("if(AND(AI24=FALSE,AJ24=FALSE),,if(AI24=AJ24,JOIN("""",""Static: "",AI24),JOIN("""",""Min:  "",AI24, CHAR(10),""Max: "",AJ24)))"),"")</f>
        <v/>
      </c>
      <c r="AI24" s="42" t="str">
        <f t="array" ref="AI24">_xlfn.XLOOKUP(B24,'Up Min'!A:A,'Up Min'!I:I,)</f>
        <v/>
      </c>
      <c r="AJ24" s="42" t="str">
        <f t="array" ref="AJ24">_xlfn.XLOOKUP(B24,'Up Max'!A:A,'Up Max'!I:I,)</f>
        <v/>
      </c>
      <c r="AK24" s="48" t="str">
        <f t="array" ref="AK24">_xlfn.XLOOKUP(B24,'Up Stats'!A:A,'Up Stats'!J:J,)</f>
        <v/>
      </c>
      <c r="AL24" s="40" t="str">
        <f>IFERROR(__xludf.DUMMYFUNCTION("if(AND(AM24=FALSE,AN24=FALSE),,if(AM24=AN24,JOIN("""",""Static: "",AM24),JOIN("""",""Min:  "",AM24, CHAR(10),""Max: "",AN24)))"),"")</f>
        <v/>
      </c>
      <c r="AM24" s="42" t="str">
        <f t="array" ref="AM24">_xlfn.XLOOKUP(B24,'Up Min'!A:A,'Up Min'!J:J,)</f>
        <v/>
      </c>
      <c r="AN24" s="42" t="str">
        <f t="array" ref="AN24">_xlfn.XLOOKUP(B24,'Up Max'!A:A,'Up Max'!J:J,)</f>
        <v/>
      </c>
      <c r="AO24" s="34" t="str">
        <f t="array" ref="AO24">CONCATENATE(_xlfn.XLOOKUP(B24,'Up Cells'!A:A,'Up Cells'!B:B,))</f>
        <v>5</v>
      </c>
      <c r="AP24" s="77" t="str">
        <f t="array" ref="AP24">CONCATENATE(_xlfn.XLOOKUP(B24,'Up Rarity'!A:A,'Up Rarity'!B:B,),CHAR(10),"-")</f>
        <v>Rare
-</v>
      </c>
    </row>
    <row r="25">
      <c r="A25" s="83" t="str">
        <f t="array" ref="A25">_xlfn.XLOOKUP(B25,'Up Icon'!A:A,'Up Icon'!B:B,)</f>
        <v/>
      </c>
      <c r="B25" s="63" t="str">
        <f t="array" ref="B25">HYPERLINK(_xlfn.XLOOKUP('Up Names'!D20,'Up Wiki'!A:A,'Up Wiki'!B:B,),'Up Names'!D20)</f>
        <v>Rapid Charge</v>
      </c>
      <c r="C25" s="52" t="str">
        <f t="array" ref="C25">_xlfn.XLOOKUP(B25,'Up Desc'!A:A,'Up Desc'!B:B,)</f>
        <v>Dealing damage generates more laser charge, but capacity is reduced.</v>
      </c>
      <c r="D25" s="52" t="str">
        <f t="array" ref="D25">_xlfn.XLOOKUP(B25,'Up Turbo'!A:A,'Up Turbo'!B:B,)</f>
        <v>n/a</v>
      </c>
      <c r="E25" s="53" t="str">
        <f t="array" ref="E25">_xlfn.XLOOKUP(B25,'Up Stats'!A:A,'Up Stats'!B:B,)</f>
        <v>Laser Charge Capacity</v>
      </c>
      <c r="F25" s="54" t="str">
        <f>IFERROR(__xludf.DUMMYFUNCTION("if(AND(G25=FALSE,H25=FALSE),,if(G25=H25,JOIN("""",""Static: "",G25),JOIN("""",""Min:  "",G25, CHAR(10),""Max: "",H25)))"),"Min:  -60%
Max: -40%")</f>
        <v>Min:  -60%
Max: -40%</v>
      </c>
      <c r="G25" s="59">
        <f t="array" ref="G25">_xlfn.XLOOKUP(B25,'Up Min'!A:A,'Up Min'!B:B,)</f>
        <v>-0.6</v>
      </c>
      <c r="H25" s="59">
        <f t="array" ref="H25">_xlfn.XLOOKUP(B25,'Up Max'!A:A,'Up Max'!B:B,)</f>
        <v>-0.4</v>
      </c>
      <c r="I25" s="53" t="str">
        <f t="array" ref="I25">_xlfn.XLOOKUP(B25,'Up Stats'!A:A,'Up Stats'!C:C,)</f>
        <v>Laser Charge On Hit</v>
      </c>
      <c r="J25" s="54" t="str">
        <f>IFERROR(__xludf.DUMMYFUNCTION("if(AND(K25=FALSE,L25=FALSE),,if(K25=L25,JOIN("""",""Static: "",K25),JOIN("""",""Min:  "",K25, CHAR(10),""Max: "",L25)))"),"Min:  80%
Max: 132%")</f>
        <v>Min:  80%
Max: 132%</v>
      </c>
      <c r="K25" s="59">
        <f t="array" ref="K25">_xlfn.XLOOKUP(B25,'Up Min'!A:A,'Up Min'!C:C,)</f>
        <v>0.8</v>
      </c>
      <c r="L25" s="59">
        <f t="array" ref="L25">_xlfn.XLOOKUP(B25,'Up Max'!A:A,'Up Max'!C:C,)</f>
        <v>1.32</v>
      </c>
      <c r="M25" s="53" t="str">
        <f t="array" ref="M25">_xlfn.XLOOKUP(B25,'Up Stats'!A:A,'Up Stats'!D:D,)</f>
        <v/>
      </c>
      <c r="N25" s="54" t="str">
        <f>IFERROR(__xludf.DUMMYFUNCTION("if(AND(O25=FALSE,P25=FALSE),,if(O25=P25,JOIN("""",""Static: "",O25),JOIN("""",""Min:  "",O25, CHAR(10),""Max: "",P25)))"),"")</f>
        <v/>
      </c>
      <c r="O25" s="55" t="str">
        <f t="array" ref="O25">_xlfn.XLOOKUP(B25,'Up Min'!A:A,'Up Min'!D:D,)</f>
        <v/>
      </c>
      <c r="P25" s="55" t="str">
        <f t="array" ref="P25">_xlfn.XLOOKUP(B25,'Up Max'!A:A,'Up Max'!D:D,)</f>
        <v/>
      </c>
      <c r="Q25" s="57" t="str">
        <f t="array" ref="Q25">_xlfn.XLOOKUP(B25,'Up Stats'!A:A,'Up Stats'!E:E,)</f>
        <v/>
      </c>
      <c r="R25" s="54" t="str">
        <f>IFERROR(__xludf.DUMMYFUNCTION("if(AND(S25=FALSE,T25=FALSE),,if(S25=T25,JOIN("""",""Static: "",S25),JOIN("""",""Min:  "",S25, CHAR(10),""Max: "",T25)))"),"")</f>
        <v/>
      </c>
      <c r="S25" s="55" t="str">
        <f t="array" ref="S25">_xlfn.XLOOKUP(B25,'Up Min'!A:A,'Up Min'!E:E,)</f>
        <v/>
      </c>
      <c r="T25" s="55" t="str">
        <f t="array" ref="T25">_xlfn.XLOOKUP(B25,'Up Max'!A:A,'Up Max'!E:E,)</f>
        <v/>
      </c>
      <c r="U25" s="57" t="str">
        <f t="array" ref="U25">_xlfn.XLOOKUP(B25,'Up Stats'!A:A,'Up Stats'!F:F,)</f>
        <v/>
      </c>
      <c r="V25" s="54" t="str">
        <f>IFERROR(__xludf.DUMMYFUNCTION("if(AND(W25=FALSE,X25=FALSE),,if(W25=X25,JOIN("""",""Static: "",W25),JOIN("""",""Min:  "",W25, CHAR(10),""Max: "",X25)))"),"")</f>
        <v/>
      </c>
      <c r="W25" s="55" t="str">
        <f t="array" ref="W25">_xlfn.XLOOKUP(B25,'Up Min'!A:A,'Up Min'!F:F,)</f>
        <v/>
      </c>
      <c r="X25" s="55" t="str">
        <f t="array" ref="X25">_xlfn.XLOOKUP(B25,'Up Max'!A:A,'Up Max'!F:F,)</f>
        <v/>
      </c>
      <c r="Y25" s="57" t="str">
        <f t="array" ref="Y25">_xlfn.XLOOKUP(B25,'Up Stats'!A:A,'Up Stats'!G:G,)</f>
        <v/>
      </c>
      <c r="Z25" s="54" t="str">
        <f>IFERROR(__xludf.DUMMYFUNCTION("if(AND(AA25=FALSE,AB25=FALSE),,if(AA25=AB25,JOIN("""",""Static: "",AA25),JOIN("""",""Min:  "",AA25, CHAR(10),""Max: "",AB25)))"),"")</f>
        <v/>
      </c>
      <c r="AA25" s="55" t="str">
        <f t="array" ref="AA25">_xlfn.XLOOKUP(B25,'Up Min'!A:A,'Up Min'!G:G,)</f>
        <v/>
      </c>
      <c r="AB25" s="55" t="str">
        <f t="array" ref="AB25">_xlfn.XLOOKUP(B25,'Up Max'!A:A,'Up Max'!G:G,)</f>
        <v/>
      </c>
      <c r="AC25" s="57" t="str">
        <f t="array" ref="AC25">_xlfn.XLOOKUP(B25,'Up Stats'!A:A,'Up Stats'!H:H,)</f>
        <v/>
      </c>
      <c r="AD25" s="54" t="str">
        <f>IFERROR(__xludf.DUMMYFUNCTION("if(AND(AE25=FALSE,AF25=FALSE),,if(AE25=AF25,JOIN("""",""Static: "",AE25),JOIN("""",""Min:  "",AE25, CHAR(10),""Max: "",AF25)))"),"")</f>
        <v/>
      </c>
      <c r="AE25" s="55" t="str">
        <f t="array" ref="AE25">_xlfn.XLOOKUP(B25,'Up Min'!A:A,'Up Min'!H:H,)</f>
        <v/>
      </c>
      <c r="AF25" s="55" t="str">
        <f t="array" ref="AF25">_xlfn.XLOOKUP(B25,'Up Max'!A:A,'Up Max'!H:H,)</f>
        <v/>
      </c>
      <c r="AG25" s="57" t="str">
        <f t="array" ref="AG25">_xlfn.XLOOKUP(B25,'Up Stats'!A:A,'Up Stats'!I:I,)</f>
        <v/>
      </c>
      <c r="AH25" s="54" t="str">
        <f>IFERROR(__xludf.DUMMYFUNCTION("if(AND(AI25=FALSE,AJ25=FALSE),,if(AI25=AJ25,JOIN("""",""Static: "",AI25),JOIN("""",""Min:  "",AI25, CHAR(10),""Max: "",AJ25)))"),"")</f>
        <v/>
      </c>
      <c r="AI25" s="55" t="str">
        <f t="array" ref="AI25">_xlfn.XLOOKUP(B25,'Up Min'!A:A,'Up Min'!I:I,)</f>
        <v/>
      </c>
      <c r="AJ25" s="55" t="str">
        <f t="array" ref="AJ25">_xlfn.XLOOKUP(B25,'Up Max'!A:A,'Up Max'!I:I,)</f>
        <v/>
      </c>
      <c r="AK25" s="57" t="str">
        <f t="array" ref="AK25">_xlfn.XLOOKUP(B25,'Up Stats'!A:A,'Up Stats'!J:J,)</f>
        <v/>
      </c>
      <c r="AL25" s="54" t="str">
        <f>IFERROR(__xludf.DUMMYFUNCTION("if(AND(AM25=FALSE,AN25=FALSE),,if(AM25=AN25,JOIN("""",""Static: "",AM25),JOIN("""",""Min:  "",AM25, CHAR(10),""Max: "",AN25)))"),"")</f>
        <v/>
      </c>
      <c r="AM25" s="55" t="str">
        <f t="array" ref="AM25">_xlfn.XLOOKUP(B25,'Up Min'!A:A,'Up Min'!J:J,)</f>
        <v/>
      </c>
      <c r="AN25" s="55" t="str">
        <f t="array" ref="AN25">_xlfn.XLOOKUP(B25,'Up Max'!A:A,'Up Max'!J:J,)</f>
        <v/>
      </c>
      <c r="AO25" s="51" t="str">
        <f t="array" ref="AO25">CONCATENATE(_xlfn.XLOOKUP(B25,'Up Cells'!A:A,'Up Cells'!B:B,))</f>
        <v>4</v>
      </c>
      <c r="AP25" s="76" t="str">
        <f t="array" ref="AP25">CONCATENATE(_xlfn.XLOOKUP(B25,'Up Rarity'!A:A,'Up Rarity'!B:B,),CHAR(10),"-")</f>
        <v>Rare
-</v>
      </c>
    </row>
    <row r="26">
      <c r="A26" s="83" t="str">
        <f t="array" ref="A26">_xlfn.XLOOKUP(B26,'Up Icon'!A:A,'Up Icon'!B:B,)</f>
        <v/>
      </c>
      <c r="B26" s="66" t="str">
        <f t="array" ref="B26">HYPERLINK(_xlfn.XLOOKUP('Up Names'!D21,'Up Wiki'!A:A,'Up Wiki'!B:B,),'Up Names'!D21)</f>
        <v>Shocking Laser</v>
      </c>
      <c r="C26" s="37" t="str">
        <f t="array" ref="C26">_xlfn.XLOOKUP(B26,'Up Desc'!A:A,'Up Desc'!B:B,)</f>
        <v>Laser deals shock damage.</v>
      </c>
      <c r="D26" s="37" t="str">
        <f t="array" ref="D26">_xlfn.XLOOKUP(B26,'Up Turbo'!A:A,'Up Turbo'!B:B,)</f>
        <v>n/a</v>
      </c>
      <c r="E26" s="39" t="str">
        <f t="array" ref="E26">_xlfn.XLOOKUP(B26,'Up Stats'!A:A,'Up Stats'!B:B,)</f>
        <v>Laser Element</v>
      </c>
      <c r="F26" s="40" t="str">
        <f>IFERROR(__xludf.DUMMYFUNCTION("if(AND(G26=FALSE,H26=FALSE),,if(G26=H26,JOIN("""",""Static: "",G26),JOIN("""",""Min:  "",G26, CHAR(10),""Max: "",H26)))"),"Min:  7
Max: 11")</f>
        <v>Min:  7
Max: 11</v>
      </c>
      <c r="G26" s="69">
        <f t="array" ref="G26">_xlfn.XLOOKUP(B26,'Up Min'!A:A,'Up Min'!B:B,)</f>
        <v>7</v>
      </c>
      <c r="H26" s="68">
        <f t="array" ref="H26">_xlfn.XLOOKUP(B26,'Up Max'!A:A,'Up Max'!B:B,)</f>
        <v>11</v>
      </c>
      <c r="I26" s="39" t="str">
        <f t="array" ref="I26">_xlfn.XLOOKUP(B26,'Up Stats'!A:A,'Up Stats'!C:C,)</f>
        <v/>
      </c>
      <c r="J26" s="40" t="str">
        <f>IFERROR(__xludf.DUMMYFUNCTION("if(AND(K26=FALSE,L26=FALSE),,if(K26=L26,JOIN("""",""Static: "",K26),JOIN("""",""Min:  "",K26, CHAR(10),""Max: "",L26)))"),"")</f>
        <v/>
      </c>
      <c r="K26" s="85" t="str">
        <f t="array" ref="K26">_xlfn.XLOOKUP(B26,'Up Min'!A:A,'Up Min'!C:C,)</f>
        <v/>
      </c>
      <c r="L26" s="85" t="str">
        <f t="array" ref="L26">_xlfn.XLOOKUP(B26,'Up Max'!A:A,'Up Max'!C:C,)</f>
        <v/>
      </c>
      <c r="M26" s="48" t="str">
        <f t="array" ref="M26">_xlfn.XLOOKUP(B26,'Up Stats'!A:A,'Up Stats'!D:D,)</f>
        <v/>
      </c>
      <c r="N26" s="40" t="str">
        <f>IFERROR(__xludf.DUMMYFUNCTION("if(AND(O26=FALSE,P26=FALSE),,if(O26=P26,JOIN("""",""Static: "",O26),JOIN("""",""Min:  "",O26, CHAR(10),""Max: "",P26)))"),"")</f>
        <v/>
      </c>
      <c r="O26" s="74" t="str">
        <f t="array" ref="O26">_xlfn.XLOOKUP(B26,'Up Min'!A:A,'Up Min'!D:D,)</f>
        <v/>
      </c>
      <c r="P26" s="85" t="str">
        <f t="array" ref="P26">_xlfn.XLOOKUP(B26,'Up Max'!A:A,'Up Max'!D:D,)</f>
        <v/>
      </c>
      <c r="Q26" s="48" t="str">
        <f t="array" ref="Q26">_xlfn.XLOOKUP(B26,'Up Stats'!A:A,'Up Stats'!E:E,)</f>
        <v/>
      </c>
      <c r="R26" s="40" t="str">
        <f>IFERROR(__xludf.DUMMYFUNCTION("if(AND(S26=FALSE,T26=FALSE),,if(S26=T26,JOIN("""",""Static: "",S26),JOIN("""",""Min:  "",S26, CHAR(10),""Max: "",T26)))"),"")</f>
        <v/>
      </c>
      <c r="S26" s="74" t="str">
        <f t="array" ref="S26">_xlfn.XLOOKUP(B26,'Up Min'!A:A,'Up Min'!E:E,)</f>
        <v/>
      </c>
      <c r="T26" s="74" t="str">
        <f t="array" ref="T26">_xlfn.XLOOKUP(B26,'Up Max'!A:A,'Up Max'!E:E,)</f>
        <v/>
      </c>
      <c r="U26" s="48" t="str">
        <f t="array" ref="U26">_xlfn.XLOOKUP(B26,'Up Stats'!A:A,'Up Stats'!F:F,)</f>
        <v/>
      </c>
      <c r="V26" s="40" t="str">
        <f>IFERROR(__xludf.DUMMYFUNCTION("if(AND(W26=FALSE,X26=FALSE),,if(W26=X26,JOIN("""",""Static: "",W26),JOIN("""",""Min:  "",W26, CHAR(10),""Max: "",X26)))"),"")</f>
        <v/>
      </c>
      <c r="W26" s="74" t="str">
        <f t="array" ref="W26">_xlfn.XLOOKUP(B26,'Up Min'!A:A,'Up Min'!F:F,)</f>
        <v/>
      </c>
      <c r="X26" s="74" t="str">
        <f t="array" ref="X26">_xlfn.XLOOKUP(B26,'Up Max'!A:A,'Up Max'!F:F,)</f>
        <v/>
      </c>
      <c r="Y26" s="48" t="str">
        <f t="array" ref="Y26">_xlfn.XLOOKUP(B26,'Up Stats'!A:A,'Up Stats'!G:G,)</f>
        <v/>
      </c>
      <c r="Z26" s="40" t="str">
        <f>IFERROR(__xludf.DUMMYFUNCTION("if(AND(AA26=FALSE,AB26=FALSE),,if(AA26=AB26,JOIN("""",""Static: "",AA26),JOIN("""",""Min:  "",AA26, CHAR(10),""Max: "",AB26)))"),"")</f>
        <v/>
      </c>
      <c r="AA26" s="42" t="str">
        <f t="array" ref="AA26">_xlfn.XLOOKUP(B26,'Up Min'!A:A,'Up Min'!G:G,)</f>
        <v/>
      </c>
      <c r="AB26" s="42" t="str">
        <f t="array" ref="AB26">_xlfn.XLOOKUP(B26,'Up Max'!A:A,'Up Max'!G:G,)</f>
        <v/>
      </c>
      <c r="AC26" s="48" t="str">
        <f t="array" ref="AC26">_xlfn.XLOOKUP(B26,'Up Stats'!A:A,'Up Stats'!H:H,)</f>
        <v/>
      </c>
      <c r="AD26" s="40" t="str">
        <f>IFERROR(__xludf.DUMMYFUNCTION("if(AND(AE26=FALSE,AF26=FALSE),,if(AE26=AF26,JOIN("""",""Static: "",AE26),JOIN("""",""Min:  "",AE26, CHAR(10),""Max: "",AF26)))"),"")</f>
        <v/>
      </c>
      <c r="AE26" s="42" t="str">
        <f t="array" ref="AE26">_xlfn.XLOOKUP(B26,'Up Min'!A:A,'Up Min'!H:H,)</f>
        <v/>
      </c>
      <c r="AF26" s="42" t="str">
        <f t="array" ref="AF26">_xlfn.XLOOKUP(B26,'Up Max'!A:A,'Up Max'!H:H,)</f>
        <v/>
      </c>
      <c r="AG26" s="48" t="str">
        <f t="array" ref="AG26">_xlfn.XLOOKUP(B26,'Up Stats'!A:A,'Up Stats'!I:I,)</f>
        <v/>
      </c>
      <c r="AH26" s="40" t="str">
        <f>IFERROR(__xludf.DUMMYFUNCTION("if(AND(AI26=FALSE,AJ26=FALSE),,if(AI26=AJ26,JOIN("""",""Static: "",AI26),JOIN("""",""Min:  "",AI26, CHAR(10),""Max: "",AJ26)))"),"")</f>
        <v/>
      </c>
      <c r="AI26" s="42" t="str">
        <f t="array" ref="AI26">_xlfn.XLOOKUP(B26,'Up Min'!A:A,'Up Min'!I:I,)</f>
        <v/>
      </c>
      <c r="AJ26" s="42" t="str">
        <f t="array" ref="AJ26">_xlfn.XLOOKUP(B26,'Up Max'!A:A,'Up Max'!I:I,)</f>
        <v/>
      </c>
      <c r="AK26" s="48" t="str">
        <f t="array" ref="AK26">_xlfn.XLOOKUP(B26,'Up Stats'!A:A,'Up Stats'!J:J,)</f>
        <v/>
      </c>
      <c r="AL26" s="40" t="str">
        <f>IFERROR(__xludf.DUMMYFUNCTION("if(AND(AM26=FALSE,AN26=FALSE),,if(AM26=AN26,JOIN("""",""Static: "",AM26),JOIN("""",""Min:  "",AM26, CHAR(10),""Max: "",AN26)))"),"")</f>
        <v/>
      </c>
      <c r="AM26" s="42" t="str">
        <f t="array" ref="AM26">_xlfn.XLOOKUP(B26,'Up Min'!A:A,'Up Min'!J:J,)</f>
        <v/>
      </c>
      <c r="AN26" s="42" t="str">
        <f t="array" ref="AN26">_xlfn.XLOOKUP(B26,'Up Max'!A:A,'Up Max'!J:J,)</f>
        <v/>
      </c>
      <c r="AO26" s="34" t="str">
        <f t="array" ref="AO26">CONCATENATE(_xlfn.XLOOKUP(B26,'Up Cells'!A:A,'Up Cells'!B:B,))</f>
        <v>4</v>
      </c>
      <c r="AP26" s="77" t="str">
        <f t="array" ref="AP26">CONCATENATE(_xlfn.XLOOKUP(B26,'Up Rarity'!A:A,'Up Rarity'!B:B,),CHAR(10),"-")</f>
        <v>Rare
-</v>
      </c>
    </row>
    <row r="27">
      <c r="A27" s="83" t="str">
        <f t="array" ref="A27">_xlfn.XLOOKUP(B27,'Up Icon'!A:A,'Up Icon'!B:B,)</f>
        <v/>
      </c>
      <c r="B27" s="63" t="str">
        <f t="array" ref="B27">HYPERLINK(_xlfn.XLOOKUP('Up Names'!D22,'Up Wiki'!A:A,'Up Wiki'!B:B,),'Up Names'!D22)</f>
        <v>Shredder</v>
      </c>
      <c r="C27" s="52" t="str">
        <f t="array" ref="C27">_xlfn.XLOOKUP(B27,'Up Desc'!A:A,'Up Desc'!B:B,)</f>
        <v>Deal more damage to limbs but less damage to shells.</v>
      </c>
      <c r="D27" s="52" t="str">
        <f t="array" ref="D27">_xlfn.XLOOKUP(B27,'Up Turbo'!A:A,'Up Turbo'!B:B,)</f>
        <v>n/a</v>
      </c>
      <c r="E27" s="53" t="str">
        <f t="array" ref="E27">_xlfn.XLOOKUP(B27,'Up Stats'!A:A,'Up Stats'!B:B,)</f>
        <v>Limb Damage</v>
      </c>
      <c r="F27" s="54" t="str">
        <f>IFERROR(__xludf.DUMMYFUNCTION("if(AND(G27=FALSE,H27=FALSE),,if(G27=H27,JOIN("""",""Static: "",G27),JOIN("""",""Min:  "",G27, CHAR(10),""Max: "",H27)))"),"Min:  35%
Max: 65%")</f>
        <v>Min:  35%
Max: 65%</v>
      </c>
      <c r="G27" s="59">
        <f t="array" ref="G27">_xlfn.XLOOKUP(B27,'Up Min'!A:A,'Up Min'!B:B,)</f>
        <v>0.35</v>
      </c>
      <c r="H27" s="59">
        <f t="array" ref="H27">_xlfn.XLOOKUP(B27,'Up Max'!A:A,'Up Max'!B:B,)</f>
        <v>0.65</v>
      </c>
      <c r="I27" s="53" t="str">
        <f t="array" ref="I27">_xlfn.XLOOKUP(B27,'Up Stats'!A:A,'Up Stats'!C:C,)</f>
        <v>Shell Damage</v>
      </c>
      <c r="J27" s="54" t="str">
        <f>IFERROR(__xludf.DUMMYFUNCTION("if(AND(K27=FALSE,L27=FALSE),,if(K27=L27,JOIN("""",""Static: "",K27),JOIN("""",""Min:  "",K27, CHAR(10),""Max: "",L27)))"),"Min:  -25%
Max: -15%")</f>
        <v>Min:  -25%
Max: -15%</v>
      </c>
      <c r="K27" s="59">
        <f t="array" ref="K27">_xlfn.XLOOKUP(B27,'Up Min'!A:A,'Up Min'!C:C,)</f>
        <v>-0.25</v>
      </c>
      <c r="L27" s="59">
        <f t="array" ref="L27">_xlfn.XLOOKUP(B27,'Up Max'!A:A,'Up Max'!C:C,)</f>
        <v>-0.15</v>
      </c>
      <c r="M27" s="53" t="str">
        <f t="array" ref="M27">_xlfn.XLOOKUP(B27,'Up Stats'!A:A,'Up Stats'!D:D,)</f>
        <v/>
      </c>
      <c r="N27" s="54" t="str">
        <f>IFERROR(__xludf.DUMMYFUNCTION("if(AND(O27=FALSE,P27=FALSE),,if(O27=P27,JOIN("""",""Static: "",O27),JOIN("""",""Min:  "",O27, CHAR(10),""Max: "",P27)))"),"")</f>
        <v/>
      </c>
      <c r="O27" s="55" t="str">
        <f t="array" ref="O27">_xlfn.XLOOKUP(B27,'Up Min'!A:A,'Up Min'!D:D,)</f>
        <v/>
      </c>
      <c r="P27" s="55" t="str">
        <f t="array" ref="P27">_xlfn.XLOOKUP(B27,'Up Max'!A:A,'Up Max'!D:D,)</f>
        <v/>
      </c>
      <c r="Q27" s="57" t="str">
        <f t="array" ref="Q27">_xlfn.XLOOKUP(B27,'Up Stats'!A:A,'Up Stats'!E:E,)</f>
        <v/>
      </c>
      <c r="R27" s="54" t="str">
        <f>IFERROR(__xludf.DUMMYFUNCTION("if(AND(S27=FALSE,T27=FALSE),,if(S27=T27,JOIN("""",""Static: "",S27),JOIN("""",""Min:  "",S27, CHAR(10),""Max: "",T27)))"),"")</f>
        <v/>
      </c>
      <c r="S27" s="55" t="str">
        <f t="array" ref="S27">_xlfn.XLOOKUP(B27,'Up Min'!A:A,'Up Min'!E:E,)</f>
        <v/>
      </c>
      <c r="T27" s="55" t="str">
        <f t="array" ref="T27">_xlfn.XLOOKUP(B27,'Up Max'!A:A,'Up Max'!E:E,)</f>
        <v/>
      </c>
      <c r="U27" s="57" t="str">
        <f t="array" ref="U27">_xlfn.XLOOKUP(B27,'Up Stats'!A:A,'Up Stats'!F:F,)</f>
        <v/>
      </c>
      <c r="V27" s="54" t="str">
        <f>IFERROR(__xludf.DUMMYFUNCTION("if(AND(W27=FALSE,X27=FALSE),,if(W27=X27,JOIN("""",""Static: "",W27),JOIN("""",""Min:  "",W27, CHAR(10),""Max: "",X27)))"),"")</f>
        <v/>
      </c>
      <c r="W27" s="55" t="str">
        <f t="array" ref="W27">_xlfn.XLOOKUP(B27,'Up Min'!A:A,'Up Min'!F:F,)</f>
        <v/>
      </c>
      <c r="X27" s="55" t="str">
        <f t="array" ref="X27">_xlfn.XLOOKUP(B27,'Up Max'!A:A,'Up Max'!F:F,)</f>
        <v/>
      </c>
      <c r="Y27" s="57" t="str">
        <f t="array" ref="Y27">_xlfn.XLOOKUP(B27,'Up Stats'!A:A,'Up Stats'!G:G,)</f>
        <v/>
      </c>
      <c r="Z27" s="54" t="str">
        <f>IFERROR(__xludf.DUMMYFUNCTION("if(AND(AA27=FALSE,AB27=FALSE),,if(AA27=AB27,JOIN("""",""Static: "",AA27),JOIN("""",""Min:  "",AA27, CHAR(10),""Max: "",AB27)))"),"")</f>
        <v/>
      </c>
      <c r="AA27" s="55" t="str">
        <f t="array" ref="AA27">_xlfn.XLOOKUP(B27,'Up Min'!A:A,'Up Min'!G:G,)</f>
        <v/>
      </c>
      <c r="AB27" s="55" t="str">
        <f t="array" ref="AB27">_xlfn.XLOOKUP(B27,'Up Max'!A:A,'Up Max'!G:G,)</f>
        <v/>
      </c>
      <c r="AC27" s="57" t="str">
        <f t="array" ref="AC27">_xlfn.XLOOKUP(B27,'Up Stats'!A:A,'Up Stats'!H:H,)</f>
        <v/>
      </c>
      <c r="AD27" s="54" t="str">
        <f>IFERROR(__xludf.DUMMYFUNCTION("if(AND(AE27=FALSE,AF27=FALSE),,if(AE27=AF27,JOIN("""",""Static: "",AE27),JOIN("""",""Min:  "",AE27, CHAR(10),""Max: "",AF27)))"),"")</f>
        <v/>
      </c>
      <c r="AE27" s="55" t="str">
        <f t="array" ref="AE27">_xlfn.XLOOKUP(B27,'Up Min'!A:A,'Up Min'!H:H,)</f>
        <v/>
      </c>
      <c r="AF27" s="55" t="str">
        <f t="array" ref="AF27">_xlfn.XLOOKUP(B27,'Up Max'!A:A,'Up Max'!H:H,)</f>
        <v/>
      </c>
      <c r="AG27" s="57" t="str">
        <f t="array" ref="AG27">_xlfn.XLOOKUP(B27,'Up Stats'!A:A,'Up Stats'!I:I,)</f>
        <v/>
      </c>
      <c r="AH27" s="54" t="str">
        <f>IFERROR(__xludf.DUMMYFUNCTION("if(AND(AI27=FALSE,AJ27=FALSE),,if(AI27=AJ27,JOIN("""",""Static: "",AI27),JOIN("""",""Min:  "",AI27, CHAR(10),""Max: "",AJ27)))"),"")</f>
        <v/>
      </c>
      <c r="AI27" s="55" t="str">
        <f t="array" ref="AI27">_xlfn.XLOOKUP(B27,'Up Min'!A:A,'Up Min'!I:I,)</f>
        <v/>
      </c>
      <c r="AJ27" s="55" t="str">
        <f t="array" ref="AJ27">_xlfn.XLOOKUP(B27,'Up Max'!A:A,'Up Max'!I:I,)</f>
        <v/>
      </c>
      <c r="AK27" s="57" t="str">
        <f t="array" ref="AK27">_xlfn.XLOOKUP(B27,'Up Stats'!A:A,'Up Stats'!J:J,)</f>
        <v/>
      </c>
      <c r="AL27" s="54" t="str">
        <f>IFERROR(__xludf.DUMMYFUNCTION("if(AND(AM27=FALSE,AN27=FALSE),,if(AM27=AN27,JOIN("""",""Static: "",AM27),JOIN("""",""Min:  "",AM27, CHAR(10),""Max: "",AN27)))"),"")</f>
        <v/>
      </c>
      <c r="AM27" s="55" t="str">
        <f t="array" ref="AM27">_xlfn.XLOOKUP(B27,'Up Min'!A:A,'Up Min'!J:J,)</f>
        <v/>
      </c>
      <c r="AN27" s="55" t="str">
        <f t="array" ref="AN27">_xlfn.XLOOKUP(B27,'Up Max'!A:A,'Up Max'!J:J,)</f>
        <v/>
      </c>
      <c r="AO27" s="51" t="str">
        <f t="array" ref="AO27">CONCATENATE(_xlfn.XLOOKUP(B27,'Up Cells'!A:A,'Up Cells'!B:B,))</f>
        <v>5</v>
      </c>
      <c r="AP27" s="76" t="str">
        <f t="array" ref="AP27">CONCATENATE(_xlfn.XLOOKUP(B27,'Up Rarity'!A:A,'Up Rarity'!B:B,),CHAR(10),"-")</f>
        <v>Rare
-</v>
      </c>
    </row>
    <row r="28">
      <c r="A28" s="83" t="str">
        <f t="array" ref="A28">_xlfn.XLOOKUP(B28,'Up Icon'!A:A,'Up Icon'!B:B,)</f>
        <v/>
      </c>
      <c r="B28" s="66" t="str">
        <f t="array" ref="B28">HYPERLINK(_xlfn.XLOOKUP('Up Names'!D23,'Up Wiki'!A:A,'Up Wiki'!B:B,),'Up Names'!D23)</f>
        <v>Sturdy</v>
      </c>
      <c r="C28" s="37" t="str">
        <f t="array" ref="C28">_xlfn.XLOOKUP(B28,'Up Desc'!A:A,'Up Desc'!B:B,)</f>
        <v>While firing the laser, you can't move and you gain damage resistance. Laser damage is increased.</v>
      </c>
      <c r="D28" s="37" t="str">
        <f t="array" ref="D28">_xlfn.XLOOKUP(B28,'Up Turbo'!A:A,'Up Turbo'!B:B,)</f>
        <v>n/a</v>
      </c>
      <c r="E28" s="39" t="str">
        <f t="array" ref="E28">_xlfn.XLOOKUP(B28,'Up Stats'!A:A,'Up Stats'!B:B,)</f>
        <v>Damage Resistance</v>
      </c>
      <c r="F28" s="40" t="str">
        <f>IFERROR(__xludf.DUMMYFUNCTION("if(AND(G28=FALSE,H28=FALSE),,if(G28=H28,JOIN("""",""Static: "",G28),JOIN("""",""Min:  "",G28, CHAR(10),""Max: "",H28)))"),"Min:  55%
Max: 78%")</f>
        <v>Min:  55%
Max: 78%</v>
      </c>
      <c r="G28" s="41">
        <f t="array" ref="G28">_xlfn.XLOOKUP(B28,'Up Min'!A:A,'Up Min'!B:B,)</f>
        <v>0.55</v>
      </c>
      <c r="H28" s="41">
        <f t="array" ref="H28">_xlfn.XLOOKUP(B28,'Up Max'!A:A,'Up Max'!B:B,)</f>
        <v>0.78</v>
      </c>
      <c r="I28" s="39" t="str">
        <f t="array" ref="I28">_xlfn.XLOOKUP(B28,'Up Stats'!A:A,'Up Stats'!C:C,)</f>
        <v>Laser Damage</v>
      </c>
      <c r="J28" s="40" t="str">
        <f>IFERROR(__xludf.DUMMYFUNCTION("if(AND(K28=FALSE,L28=FALSE),,if(K28=L28,JOIN("""",""Static: "",K28),JOIN("""",""Min:  "",K28, CHAR(10),""Max: "",L28)))"),"Min:  25%
Max: 35%")</f>
        <v>Min:  25%
Max: 35%</v>
      </c>
      <c r="K28" s="41">
        <f t="array" ref="K28">_xlfn.XLOOKUP(B28,'Up Min'!A:A,'Up Min'!C:C,)</f>
        <v>0.25</v>
      </c>
      <c r="L28" s="41">
        <f t="array" ref="L28">_xlfn.XLOOKUP(B28,'Up Max'!A:A,'Up Max'!C:C,)</f>
        <v>0.35</v>
      </c>
      <c r="M28" s="39" t="str">
        <f t="array" ref="M28">_xlfn.XLOOKUP(B28,'Up Stats'!A:A,'Up Stats'!D:D,)</f>
        <v/>
      </c>
      <c r="N28" s="40" t="str">
        <f>IFERROR(__xludf.DUMMYFUNCTION("if(AND(O28=FALSE,P28=FALSE),,if(O28=P28,JOIN("""",""Static: "",O28),JOIN("""",""Min:  "",O28, CHAR(10),""Max: "",P28)))"),"")</f>
        <v/>
      </c>
      <c r="O28" s="42" t="str">
        <f t="array" ref="O28">_xlfn.XLOOKUP(B28,'Up Min'!A:A,'Up Min'!D:D,)</f>
        <v/>
      </c>
      <c r="P28" s="42" t="str">
        <f t="array" ref="P28">_xlfn.XLOOKUP(B28,'Up Max'!A:A,'Up Max'!D:D,)</f>
        <v/>
      </c>
      <c r="Q28" s="48" t="str">
        <f t="array" ref="Q28">_xlfn.XLOOKUP(B28,'Up Stats'!A:A,'Up Stats'!E:E,)</f>
        <v/>
      </c>
      <c r="R28" s="40" t="str">
        <f>IFERROR(__xludf.DUMMYFUNCTION("if(AND(S28=FALSE,T28=FALSE),,if(S28=T28,JOIN("""",""Static: "",S28),JOIN("""",""Min:  "",S28, CHAR(10),""Max: "",T28)))"),"")</f>
        <v/>
      </c>
      <c r="S28" s="42" t="str">
        <f t="array" ref="S28">_xlfn.XLOOKUP(B28,'Up Min'!A:A,'Up Min'!E:E,)</f>
        <v/>
      </c>
      <c r="T28" s="42" t="str">
        <f t="array" ref="T28">_xlfn.XLOOKUP(B28,'Up Max'!A:A,'Up Max'!E:E,)</f>
        <v/>
      </c>
      <c r="U28" s="48" t="str">
        <f t="array" ref="U28">_xlfn.XLOOKUP(B28,'Up Stats'!A:A,'Up Stats'!F:F,)</f>
        <v/>
      </c>
      <c r="V28" s="40" t="str">
        <f>IFERROR(__xludf.DUMMYFUNCTION("if(AND(W28=FALSE,X28=FALSE),,if(W28=X28,JOIN("""",""Static: "",W28),JOIN("""",""Min:  "",W28, CHAR(10),""Max: "",X28)))"),"")</f>
        <v/>
      </c>
      <c r="W28" s="42" t="str">
        <f t="array" ref="W28">_xlfn.XLOOKUP(B28,'Up Min'!A:A,'Up Min'!F:F,)</f>
        <v/>
      </c>
      <c r="X28" s="42" t="str">
        <f t="array" ref="X28">_xlfn.XLOOKUP(B28,'Up Max'!A:A,'Up Max'!F:F,)</f>
        <v/>
      </c>
      <c r="Y28" s="48" t="str">
        <f t="array" ref="Y28">_xlfn.XLOOKUP(B28,'Up Stats'!A:A,'Up Stats'!G:G,)</f>
        <v/>
      </c>
      <c r="Z28" s="40" t="str">
        <f>IFERROR(__xludf.DUMMYFUNCTION("if(AND(AA28=FALSE,AB28=FALSE),,if(AA28=AB28,JOIN("""",""Static: "",AA28),JOIN("""",""Min:  "",AA28, CHAR(10),""Max: "",AB28)))"),"")</f>
        <v/>
      </c>
      <c r="AA28" s="42" t="str">
        <f t="array" ref="AA28">_xlfn.XLOOKUP(B28,'Up Min'!A:A,'Up Min'!G:G,)</f>
        <v/>
      </c>
      <c r="AB28" s="42" t="str">
        <f t="array" ref="AB28">_xlfn.XLOOKUP(B28,'Up Max'!A:A,'Up Max'!G:G,)</f>
        <v/>
      </c>
      <c r="AC28" s="48" t="str">
        <f t="array" ref="AC28">_xlfn.XLOOKUP(B28,'Up Stats'!A:A,'Up Stats'!H:H,)</f>
        <v/>
      </c>
      <c r="AD28" s="40" t="str">
        <f>IFERROR(__xludf.DUMMYFUNCTION("if(AND(AE28=FALSE,AF28=FALSE),,if(AE28=AF28,JOIN("""",""Static: "",AE28),JOIN("""",""Min:  "",AE28, CHAR(10),""Max: "",AF28)))"),"")</f>
        <v/>
      </c>
      <c r="AE28" s="42" t="str">
        <f t="array" ref="AE28">_xlfn.XLOOKUP(B28,'Up Min'!A:A,'Up Min'!H:H,)</f>
        <v/>
      </c>
      <c r="AF28" s="42" t="str">
        <f t="array" ref="AF28">_xlfn.XLOOKUP(B28,'Up Max'!A:A,'Up Max'!H:H,)</f>
        <v/>
      </c>
      <c r="AG28" s="48" t="str">
        <f t="array" ref="AG28">_xlfn.XLOOKUP(B28,'Up Stats'!A:A,'Up Stats'!I:I,)</f>
        <v/>
      </c>
      <c r="AH28" s="40" t="str">
        <f>IFERROR(__xludf.DUMMYFUNCTION("if(AND(AI28=FALSE,AJ28=FALSE),,if(AI28=AJ28,JOIN("""",""Static: "",AI28),JOIN("""",""Min:  "",AI28, CHAR(10),""Max: "",AJ28)))"),"")</f>
        <v/>
      </c>
      <c r="AI28" s="42" t="str">
        <f t="array" ref="AI28">_xlfn.XLOOKUP(B28,'Up Min'!A:A,'Up Min'!I:I,)</f>
        <v/>
      </c>
      <c r="AJ28" s="42" t="str">
        <f t="array" ref="AJ28">_xlfn.XLOOKUP(B28,'Up Max'!A:A,'Up Max'!I:I,)</f>
        <v/>
      </c>
      <c r="AK28" s="48" t="str">
        <f t="array" ref="AK28">_xlfn.XLOOKUP(B28,'Up Stats'!A:A,'Up Stats'!J:J,)</f>
        <v/>
      </c>
      <c r="AL28" s="40" t="str">
        <f>IFERROR(__xludf.DUMMYFUNCTION("if(AND(AM28=FALSE,AN28=FALSE),,if(AM28=AN28,JOIN("""",""Static: "",AM28),JOIN("""",""Min:  "",AM28, CHAR(10),""Max: "",AN28)))"),"")</f>
        <v/>
      </c>
      <c r="AM28" s="42" t="str">
        <f t="array" ref="AM28">_xlfn.XLOOKUP(B28,'Up Min'!A:A,'Up Min'!J:J,)</f>
        <v/>
      </c>
      <c r="AN28" s="42" t="str">
        <f t="array" ref="AN28">_xlfn.XLOOKUP(B28,'Up Max'!A:A,'Up Max'!J:J,)</f>
        <v/>
      </c>
      <c r="AO28" s="34" t="str">
        <f t="array" ref="AO28">CONCATENATE(_xlfn.XLOOKUP(B28,'Up Cells'!A:A,'Up Cells'!B:B,))</f>
        <v>5</v>
      </c>
      <c r="AP28" s="77" t="str">
        <f t="array" ref="AP28">CONCATENATE(_xlfn.XLOOKUP(B28,'Up Rarity'!A:A,'Up Rarity'!B:B,),CHAR(10),"-")</f>
        <v>Rare
-</v>
      </c>
    </row>
    <row r="29">
      <c r="A29" s="83" t="str">
        <f t="array" ref="A29">_xlfn.XLOOKUP(B29,'Up Icon'!A:A,'Up Icon'!B:B,)</f>
        <v/>
      </c>
      <c r="B29" s="63" t="str">
        <f t="array" ref="B29">HYPERLINK(_xlfn.XLOOKUP('Up Names'!D24,'Up Wiki'!A:A,'Up Wiki'!B:B,),'Up Names'!D24)</f>
        <v>Tainted Exhaust</v>
      </c>
      <c r="C29" s="52" t="str">
        <f t="array" ref="C29">_xlfn.XLOOKUP(B29,'Up Desc'!A:A,'Up Desc'!B:B,)</f>
        <v>Depleting the battery releases an elemental burst.</v>
      </c>
      <c r="D29" s="52" t="str">
        <f t="array" ref="D29">_xlfn.XLOOKUP(B29,'Up Turbo'!A:A,'Up Turbo'!B:B,)</f>
        <v>n/a</v>
      </c>
      <c r="E29" s="53" t="str">
        <f t="array" ref="E29">_xlfn.XLOOKUP(B29,'Up Stats'!A:A,'Up Stats'!B:B,)</f>
        <v>Size</v>
      </c>
      <c r="F29" s="54" t="str">
        <f>IFERROR(__xludf.DUMMYFUNCTION("if(AND(G29=FALSE,H29=FALSE),,if(G29=H29,JOIN("""",""Static: "",G29),JOIN("""",""Min:  "",G29, CHAR(10),""Max: "",H29)))"),"Min:  3
Max: 4.6")</f>
        <v>Min:  3
Max: 4.6</v>
      </c>
      <c r="G29" s="64">
        <f t="array" ref="G29">_xlfn.XLOOKUP(B29,'Up Min'!A:A,'Up Min'!B:B,)</f>
        <v>3</v>
      </c>
      <c r="H29" s="65">
        <f t="array" ref="H29">_xlfn.XLOOKUP(B29,'Up Max'!A:A,'Up Max'!B:B,)</f>
        <v>4.6</v>
      </c>
      <c r="I29" s="53" t="str">
        <f t="array" ref="I29">_xlfn.XLOOKUP(B29,'Up Stats'!A:A,'Up Stats'!C:C,)</f>
        <v>Applies</v>
      </c>
      <c r="J29" s="54" t="str">
        <f>IFERROR(__xludf.DUMMYFUNCTION("if(AND(K29=FALSE,L29=FALSE),,if(K29=L29,JOIN("""",""Static: "",K29),JOIN("""",""Min:  "",K29, CHAR(10),""Max: "",L29)))"),"Static: element")</f>
        <v>Static: element</v>
      </c>
      <c r="K29" s="64" t="str">
        <f t="array" ref="K29">_xlfn.XLOOKUP(B29,'Up Min'!A:A,'Up Min'!C:C,)</f>
        <v>element</v>
      </c>
      <c r="L29" s="64" t="str">
        <f t="array" ref="L29">_xlfn.XLOOKUP(B29,'Up Max'!A:A,'Up Max'!C:C,)</f>
        <v>element</v>
      </c>
      <c r="M29" s="53" t="str">
        <f t="array" ref="M29">_xlfn.XLOOKUP(B29,'Up Stats'!A:A,'Up Stats'!D:D,)</f>
        <v/>
      </c>
      <c r="N29" s="54" t="str">
        <f>IFERROR(__xludf.DUMMYFUNCTION("if(AND(O29=FALSE,P29=FALSE),,if(O29=P29,JOIN("""",""Static: "",O29),JOIN("""",""Min:  "",O29, CHAR(10),""Max: "",P29)))"),"")</f>
        <v/>
      </c>
      <c r="O29" s="55" t="str">
        <f t="array" ref="O29">_xlfn.XLOOKUP(B29,'Up Min'!A:A,'Up Min'!D:D,)</f>
        <v/>
      </c>
      <c r="P29" s="55" t="str">
        <f t="array" ref="P29">_xlfn.XLOOKUP(B29,'Up Max'!A:A,'Up Max'!D:D,)</f>
        <v/>
      </c>
      <c r="Q29" s="57" t="str">
        <f t="array" ref="Q29">_xlfn.XLOOKUP(B29,'Up Stats'!A:A,'Up Stats'!E:E,)</f>
        <v/>
      </c>
      <c r="R29" s="54" t="str">
        <f>IFERROR(__xludf.DUMMYFUNCTION("if(AND(S29=FALSE,T29=FALSE),,if(S29=T29,JOIN("""",""Static: "",S29),JOIN("""",""Min:  "",S29, CHAR(10),""Max: "",T29)))"),"")</f>
        <v/>
      </c>
      <c r="S29" s="55" t="str">
        <f t="array" ref="S29">_xlfn.XLOOKUP(B29,'Up Min'!A:A,'Up Min'!E:E,)</f>
        <v/>
      </c>
      <c r="T29" s="55" t="str">
        <f t="array" ref="T29">_xlfn.XLOOKUP(B29,'Up Max'!A:A,'Up Max'!E:E,)</f>
        <v/>
      </c>
      <c r="U29" s="57" t="str">
        <f t="array" ref="U29">_xlfn.XLOOKUP(B29,'Up Stats'!A:A,'Up Stats'!F:F,)</f>
        <v/>
      </c>
      <c r="V29" s="54" t="str">
        <f>IFERROR(__xludf.DUMMYFUNCTION("if(AND(W29=FALSE,X29=FALSE),,if(W29=X29,JOIN("""",""Static: "",W29),JOIN("""",""Min:  "",W29, CHAR(10),""Max: "",X29)))"),"")</f>
        <v/>
      </c>
      <c r="W29" s="55" t="str">
        <f t="array" ref="W29">_xlfn.XLOOKUP(B29,'Up Min'!A:A,'Up Min'!F:F,)</f>
        <v/>
      </c>
      <c r="X29" s="55" t="str">
        <f t="array" ref="X29">_xlfn.XLOOKUP(B29,'Up Max'!A:A,'Up Max'!F:F,)</f>
        <v/>
      </c>
      <c r="Y29" s="57" t="str">
        <f t="array" ref="Y29">_xlfn.XLOOKUP(B29,'Up Stats'!A:A,'Up Stats'!G:G,)</f>
        <v/>
      </c>
      <c r="Z29" s="54" t="str">
        <f>IFERROR(__xludf.DUMMYFUNCTION("if(AND(AA29=FALSE,AB29=FALSE),,if(AA29=AB29,JOIN("""",""Static: "",AA29),JOIN("""",""Min:  "",AA29, CHAR(10),""Max: "",AB29)))"),"")</f>
        <v/>
      </c>
      <c r="AA29" s="55" t="str">
        <f t="array" ref="AA29">_xlfn.XLOOKUP(B29,'Up Min'!A:A,'Up Min'!G:G,)</f>
        <v/>
      </c>
      <c r="AB29" s="55" t="str">
        <f t="array" ref="AB29">_xlfn.XLOOKUP(B29,'Up Max'!A:A,'Up Max'!G:G,)</f>
        <v/>
      </c>
      <c r="AC29" s="57" t="str">
        <f t="array" ref="AC29">_xlfn.XLOOKUP(B29,'Up Stats'!A:A,'Up Stats'!H:H,)</f>
        <v/>
      </c>
      <c r="AD29" s="54" t="str">
        <f>IFERROR(__xludf.DUMMYFUNCTION("if(AND(AE29=FALSE,AF29=FALSE),,if(AE29=AF29,JOIN("""",""Static: "",AE29),JOIN("""",""Min:  "",AE29, CHAR(10),""Max: "",AF29)))"),"")</f>
        <v/>
      </c>
      <c r="AE29" s="55" t="str">
        <f t="array" ref="AE29">_xlfn.XLOOKUP(B29,'Up Min'!A:A,'Up Min'!H:H,)</f>
        <v/>
      </c>
      <c r="AF29" s="55" t="str">
        <f t="array" ref="AF29">_xlfn.XLOOKUP(B29,'Up Max'!A:A,'Up Max'!H:H,)</f>
        <v/>
      </c>
      <c r="AG29" s="57" t="str">
        <f t="array" ref="AG29">_xlfn.XLOOKUP(B29,'Up Stats'!A:A,'Up Stats'!I:I,)</f>
        <v/>
      </c>
      <c r="AH29" s="54" t="str">
        <f>IFERROR(__xludf.DUMMYFUNCTION("if(AND(AI29=FALSE,AJ29=FALSE),,if(AI29=AJ29,JOIN("""",""Static: "",AI29),JOIN("""",""Min:  "",AI29, CHAR(10),""Max: "",AJ29)))"),"")</f>
        <v/>
      </c>
      <c r="AI29" s="55" t="str">
        <f t="array" ref="AI29">_xlfn.XLOOKUP(B29,'Up Min'!A:A,'Up Min'!I:I,)</f>
        <v/>
      </c>
      <c r="AJ29" s="55" t="str">
        <f t="array" ref="AJ29">_xlfn.XLOOKUP(B29,'Up Max'!A:A,'Up Max'!I:I,)</f>
        <v/>
      </c>
      <c r="AK29" s="57" t="str">
        <f t="array" ref="AK29">_xlfn.XLOOKUP(B29,'Up Stats'!A:A,'Up Stats'!J:J,)</f>
        <v/>
      </c>
      <c r="AL29" s="54" t="str">
        <f>IFERROR(__xludf.DUMMYFUNCTION("if(AND(AM29=FALSE,AN29=FALSE),,if(AM29=AN29,JOIN("""",""Static: "",AM29),JOIN("""",""Min:  "",AM29, CHAR(10),""Max: "",AN29)))"),"")</f>
        <v/>
      </c>
      <c r="AM29" s="55" t="str">
        <f t="array" ref="AM29">_xlfn.XLOOKUP(B29,'Up Min'!A:A,'Up Min'!J:J,)</f>
        <v/>
      </c>
      <c r="AN29" s="55" t="str">
        <f t="array" ref="AN29">_xlfn.XLOOKUP(B29,'Up Max'!A:A,'Up Max'!J:J,)</f>
        <v/>
      </c>
      <c r="AO29" s="51" t="str">
        <f t="array" ref="AO29">CONCATENATE(_xlfn.XLOOKUP(B29,'Up Cells'!A:A,'Up Cells'!B:B,))</f>
        <v>4</v>
      </c>
      <c r="AP29" s="76" t="str">
        <f t="array" ref="AP29">CONCATENATE(_xlfn.XLOOKUP(B29,'Up Rarity'!A:A,'Up Rarity'!B:B,),CHAR(10),"-")</f>
        <v>Rare
-</v>
      </c>
    </row>
    <row r="30">
      <c r="A30" s="83" t="str">
        <f t="array" ref="A30">_xlfn.XLOOKUP(B30,'Up Icon'!A:A,'Up Icon'!B:B,)</f>
        <v/>
      </c>
      <c r="B30" s="66" t="str">
        <f t="array" ref="B30">HYPERLINK(_xlfn.XLOOKUP('Up Names'!D25,'Up Wiki'!A:A,'Up Wiki'!B:B,),'Up Names'!D25)</f>
        <v>Trifecta</v>
      </c>
      <c r="C30" s="67" t="str">
        <f t="array" ref="C30">_xlfn.XLOOKUP(B30,'Up Desc'!A:A,'Up Desc'!B:B,)</f>
        <v>Fire a 3-round burst.</v>
      </c>
      <c r="D30" s="37" t="str">
        <f t="array" ref="D30">_xlfn.XLOOKUP(B30,'Up Turbo'!A:A,'Up Turbo'!B:B,)</f>
        <v>n/a</v>
      </c>
      <c r="E30" s="39" t="str">
        <f t="array" ref="E30">_xlfn.XLOOKUP(B30,'Up Stats'!A:A,'Up Stats'!B:B,)</f>
        <v>Burst Size</v>
      </c>
      <c r="F30" s="40" t="str">
        <f>IFERROR(__xludf.DUMMYFUNCTION("if(AND(G30=FALSE,H30=FALSE),,if(G30=H30,JOIN("""",""Static: "",G30),JOIN("""",""Min:  "",G30, CHAR(10),""Max: "",H30)))"),"Static: 3")</f>
        <v>Static: 3</v>
      </c>
      <c r="G30" s="69">
        <f t="array" ref="G30">_xlfn.XLOOKUP(B30,'Up Min'!A:A,'Up Min'!B:B,)</f>
        <v>3</v>
      </c>
      <c r="H30" s="68">
        <f t="array" ref="H30">_xlfn.XLOOKUP(B30,'Up Max'!A:A,'Up Max'!B:B,)</f>
        <v>3</v>
      </c>
      <c r="I30" s="39" t="str">
        <f t="array" ref="I30">_xlfn.XLOOKUP(B30,'Up Stats'!A:A,'Up Stats'!C:C,)</f>
        <v>Burst Interval</v>
      </c>
      <c r="J30" s="40" t="str">
        <f>IFERROR(__xludf.DUMMYFUNCTION("if(AND(K30=FALSE,L30=FALSE),,if(K30=L30,JOIN("""",""Static: "",K30),JOIN("""",""Min:  "",K30, CHAR(10),""Max: "",L30)))"),"Min:  0.17
Max: 0.19")</f>
        <v>Min:  0.17
Max: 0.19</v>
      </c>
      <c r="K30" s="68">
        <f t="array" ref="K30">_xlfn.XLOOKUP(B30,'Up Min'!A:A,'Up Min'!C:C,)</f>
        <v>0.17</v>
      </c>
      <c r="L30" s="69">
        <f t="array" ref="L30">_xlfn.XLOOKUP(B30,'Up Max'!A:A,'Up Max'!C:C,)</f>
        <v>0.19</v>
      </c>
      <c r="M30" s="39" t="str">
        <f t="array" ref="M30">_xlfn.XLOOKUP(B30,'Up Stats'!A:A,'Up Stats'!D:D,)</f>
        <v>Fire Rate</v>
      </c>
      <c r="N30" s="40" t="str">
        <f>IFERROR(__xludf.DUMMYFUNCTION("if(AND(O30=FALSE,P30=FALSE),,if(O30=P30,JOIN("""",""Static: "",O30),JOIN("""",""Min:  "",O30, CHAR(10),""Max: "",P30)))"),"Static: 225%")</f>
        <v>Static: 225%</v>
      </c>
      <c r="O30" s="41">
        <f t="array" ref="O30">_xlfn.XLOOKUP(B30,'Up Min'!A:A,'Up Min'!D:D,)</f>
        <v>2.25</v>
      </c>
      <c r="P30" s="41">
        <f t="array" ref="P30">_xlfn.XLOOKUP(B30,'Up Max'!A:A,'Up Max'!D:D,)</f>
        <v>2.25</v>
      </c>
      <c r="Q30" s="48" t="str">
        <f t="array" ref="Q30">_xlfn.XLOOKUP(B30,'Up Stats'!A:A,'Up Stats'!E:E,)</f>
        <v>Damage</v>
      </c>
      <c r="R30" s="40" t="str">
        <f>IFERROR(__xludf.DUMMYFUNCTION("if(AND(S30=FALSE,T30=FALSE),,if(S30=T30,JOIN("""",""Static: "",S30),JOIN("""",""Min:  "",S30, CHAR(10),""Max: "",T30)))"),"Min:  -55%
Max: -45%")</f>
        <v>Min:  -55%
Max: -45%</v>
      </c>
      <c r="S30" s="41">
        <f t="array" ref="S30">_xlfn.XLOOKUP(B30,'Up Min'!A:A,'Up Min'!E:E,)</f>
        <v>-0.55</v>
      </c>
      <c r="T30" s="41">
        <f t="array" ref="T30">_xlfn.XLOOKUP(B30,'Up Max'!A:A,'Up Max'!E:E,)</f>
        <v>-0.45</v>
      </c>
      <c r="U30" s="39" t="str">
        <f t="array" ref="U30">_xlfn.XLOOKUP(B30,'Up Stats'!A:A,'Up Stats'!F:F,)</f>
        <v>Element</v>
      </c>
      <c r="V30" s="40" t="str">
        <f>IFERROR(__xludf.DUMMYFUNCTION("if(AND(W30=FALSE,X30=FALSE),,if(W30=X30,JOIN("""",""Static: "",W30),JOIN("""",""Min:  "",W30, CHAR(10),""Max: "",X30)))"),"Min:  -65%
Max: -55%")</f>
        <v>Min:  -65%
Max: -55%</v>
      </c>
      <c r="W30" s="41">
        <f t="array" ref="W30">_xlfn.XLOOKUP(B30,'Up Min'!A:A,'Up Min'!F:F,)</f>
        <v>-0.65</v>
      </c>
      <c r="X30" s="41">
        <f t="array" ref="X30">_xlfn.XLOOKUP(B30,'Up Max'!A:A,'Up Max'!F:F,)</f>
        <v>-0.55</v>
      </c>
      <c r="Y30" s="39" t="str">
        <f t="array" ref="Y30">_xlfn.XLOOKUP(B30,'Up Stats'!A:A,'Up Stats'!G:G,)</f>
        <v>Magazine Size</v>
      </c>
      <c r="Z30" s="40" t="str">
        <f>IFERROR(__xludf.DUMMYFUNCTION("if(AND(AA30=FALSE,AB30=FALSE),,if(AA30=AB30,JOIN("""",""Static: "",AA30),JOIN("""",""Min:  "",AA30, CHAR(10),""Max: "",AB30)))"),"Static: 1")</f>
        <v>Static: 1</v>
      </c>
      <c r="AA30" s="69">
        <f t="array" ref="AA30">_xlfn.XLOOKUP(B30,'Up Min'!A:A,'Up Min'!G:G,)</f>
        <v>1</v>
      </c>
      <c r="AB30" s="68">
        <f t="array" ref="AB30">_xlfn.XLOOKUP(B30,'Up Max'!A:A,'Up Max'!G:G,)</f>
        <v>1</v>
      </c>
      <c r="AC30" s="39" t="str">
        <f t="array" ref="AC30">_xlfn.XLOOKUP(B30,'Up Stats'!A:A,'Up Stats'!H:H,)</f>
        <v>Vertical Recoil</v>
      </c>
      <c r="AD30" s="40" t="str">
        <f>IFERROR(__xludf.DUMMYFUNCTION("if(AND(AE30=FALSE,AF30=FALSE),,if(AE30=AF30,JOIN("""",""Static: "",AE30),JOIN("""",""Min:  "",AE30, CHAR(10),""Max: "",AF30)))"),"Static: -25%")</f>
        <v>Static: -25%</v>
      </c>
      <c r="AE30" s="41">
        <f t="array" ref="AE30">_xlfn.XLOOKUP(B30,'Up Min'!A:A,'Up Min'!H:H,)</f>
        <v>-0.25</v>
      </c>
      <c r="AF30" s="41">
        <f t="array" ref="AF30">_xlfn.XLOOKUP(B30,'Up Max'!A:A,'Up Max'!H:H,)</f>
        <v>-0.25</v>
      </c>
      <c r="AG30" s="39" t="str">
        <f t="array" ref="AG30">_xlfn.XLOOKUP(B30,'Up Stats'!A:A,'Up Stats'!I:I,)</f>
        <v/>
      </c>
      <c r="AH30" s="40" t="str">
        <f>IFERROR(__xludf.DUMMYFUNCTION("if(AND(AI30=FALSE,AJ30=FALSE),,if(AI30=AJ30,JOIN("""",""Static: "",AI30),JOIN("""",""Min:  "",AI30, CHAR(10),""Max: "",AJ30)))"),"")</f>
        <v/>
      </c>
      <c r="AI30" s="45" t="str">
        <f t="array" ref="AI30">_xlfn.XLOOKUP(B30,'Up Min'!A:A,'Up Min'!I:I,)</f>
        <v/>
      </c>
      <c r="AJ30" s="45" t="str">
        <f t="array" ref="AJ30">_xlfn.XLOOKUP(B30,'Up Max'!A:A,'Up Max'!I:I,)</f>
        <v/>
      </c>
      <c r="AK30" s="39" t="str">
        <f t="array" ref="AK30">_xlfn.XLOOKUP(B30,'Up Stats'!A:A,'Up Stats'!J:J,)</f>
        <v/>
      </c>
      <c r="AL30" s="40" t="str">
        <f>IFERROR(__xludf.DUMMYFUNCTION("if(AND(AM30=FALSE,AN30=FALSE),,if(AM30=AN30,JOIN("""",""Static: "",AM30),JOIN("""",""Min:  "",AM30, CHAR(10),""Max: "",AN30)))"),"")</f>
        <v/>
      </c>
      <c r="AM30" s="45" t="str">
        <f t="array" ref="AM30">_xlfn.XLOOKUP(B30,'Up Min'!A:A,'Up Min'!J:J,)</f>
        <v/>
      </c>
      <c r="AN30" s="45" t="str">
        <f t="array" ref="AN30">_xlfn.XLOOKUP(B30,'Up Max'!A:A,'Up Max'!J:J,)</f>
        <v/>
      </c>
      <c r="AO30" s="34" t="str">
        <f t="array" ref="AO30">CONCATENATE(_xlfn.XLOOKUP(B30,'Up Cells'!A:A,'Up Cells'!B:B,))</f>
        <v>3</v>
      </c>
      <c r="AP30" s="77" t="str">
        <f t="array" ref="AP30">CONCATENATE(_xlfn.XLOOKUP(B30,'Up Rarity'!A:A,'Up Rarity'!B:B,),CHAR(10),"-")</f>
        <v>Rare
-</v>
      </c>
    </row>
    <row r="31">
      <c r="A31" s="83" t="str">
        <f t="array" ref="A31">_xlfn.XLOOKUP(B31,'Up Icon'!A:A,'Up Icon'!B:B,)</f>
        <v/>
      </c>
      <c r="B31" s="63" t="str">
        <f t="array" ref="B31">HYPERLINK(_xlfn.XLOOKUP('Up Names'!D26,'Up Wiki'!A:A,'Up Wiki'!B:B,),'Up Names'!D26)</f>
        <v>Triple</v>
      </c>
      <c r="C31" s="70" t="str">
        <f t="array" ref="C31">_xlfn.XLOOKUP(B31,'Up Desc'!A:A,'Up Desc'!B:B,)</f>
        <v>Every 3rd bullet applies the given element.</v>
      </c>
      <c r="D31" s="52" t="str">
        <f t="array" ref="D31">_xlfn.XLOOKUP(B31,'Up Turbo'!A:A,'Up Turbo'!B:B,)</f>
        <v>n/a</v>
      </c>
      <c r="E31" s="53" t="str">
        <f t="array" ref="E31">_xlfn.XLOOKUP(B31,'Up Stats'!A:A,'Up Stats'!B:B,)</f>
        <v>Applies</v>
      </c>
      <c r="F31" s="54" t="str">
        <f>IFERROR(__xludf.DUMMYFUNCTION("if(AND(G31=FALSE,H31=FALSE),,if(G31=H31,JOIN("""",""Static: "",G31),JOIN("""",""Min:  "",G31, CHAR(10),""Max: "",H31)))"),"Static: element")</f>
        <v>Static: element</v>
      </c>
      <c r="G31" s="71" t="str">
        <f t="array" ref="G31">_xlfn.XLOOKUP(B31,'Up Min'!A:A,'Up Min'!B:B,)</f>
        <v>element</v>
      </c>
      <c r="H31" s="71" t="str">
        <f t="array" ref="H31">_xlfn.XLOOKUP(B31,'Up Max'!A:A,'Up Max'!B:B,)</f>
        <v>element</v>
      </c>
      <c r="I31" s="53" t="str">
        <f t="array" ref="I31">_xlfn.XLOOKUP(B31,'Up Stats'!A:A,'Up Stats'!C:C,)</f>
        <v>Amount</v>
      </c>
      <c r="J31" s="54" t="str">
        <f>IFERROR(__xludf.DUMMYFUNCTION("if(AND(K31=FALSE,L31=FALSE),,if(K31=L31,JOIN("""",""Static: "",K31),JOIN("""",""Min:  "",K31, CHAR(10),""Max: "",L31)))"),"Min:  5
Max: 11")</f>
        <v>Min:  5
Max: 11</v>
      </c>
      <c r="K31" s="65">
        <f t="array" ref="K31">_xlfn.XLOOKUP(B31,'Up Min'!A:A,'Up Min'!C:C,)</f>
        <v>5</v>
      </c>
      <c r="L31" s="64">
        <f t="array" ref="L31">_xlfn.XLOOKUP(B31,'Up Max'!A:A,'Up Max'!C:C,)</f>
        <v>11</v>
      </c>
      <c r="M31" s="53" t="str">
        <f t="array" ref="M31">_xlfn.XLOOKUP(B31,'Up Stats'!A:A,'Up Stats'!D:D,)</f>
        <v/>
      </c>
      <c r="N31" s="54" t="str">
        <f>IFERROR(__xludf.DUMMYFUNCTION("if(AND(O31=FALSE,P31=FALSE),,if(O31=P31,JOIN("""",""Static: "",O31),JOIN("""",""Min:  "",O31, CHAR(10),""Max: "",P31)))"),"")</f>
        <v/>
      </c>
      <c r="O31" s="55" t="str">
        <f t="array" ref="O31">_xlfn.XLOOKUP(B31,'Up Min'!A:A,'Up Min'!D:D,)</f>
        <v/>
      </c>
      <c r="P31" s="55" t="str">
        <f t="array" ref="P31">_xlfn.XLOOKUP(B31,'Up Max'!A:A,'Up Max'!D:D,)</f>
        <v/>
      </c>
      <c r="Q31" s="57" t="str">
        <f t="array" ref="Q31">_xlfn.XLOOKUP(B31,'Up Stats'!A:A,'Up Stats'!E:E,)</f>
        <v/>
      </c>
      <c r="R31" s="54" t="str">
        <f>IFERROR(__xludf.DUMMYFUNCTION("if(AND(S31=FALSE,T31=FALSE),,if(S31=T31,JOIN("""",""Static: "",S31),JOIN("""",""Min:  "",S31, CHAR(10),""Max: "",T31)))"),"")</f>
        <v/>
      </c>
      <c r="S31" s="55" t="str">
        <f t="array" ref="S31">_xlfn.XLOOKUP(B31,'Up Min'!A:A,'Up Min'!E:E,)</f>
        <v/>
      </c>
      <c r="T31" s="55" t="str">
        <f t="array" ref="T31">_xlfn.XLOOKUP(B31,'Up Max'!A:A,'Up Max'!E:E,)</f>
        <v/>
      </c>
      <c r="U31" s="57" t="str">
        <f t="array" ref="U31">_xlfn.XLOOKUP(B31,'Up Stats'!A:A,'Up Stats'!F:F,)</f>
        <v/>
      </c>
      <c r="V31" s="54" t="str">
        <f>IFERROR(__xludf.DUMMYFUNCTION("if(AND(W31=FALSE,X31=FALSE),,if(W31=X31,JOIN("""",""Static: "",W31),JOIN("""",""Min:  "",W31, CHAR(10),""Max: "",X31)))"),"")</f>
        <v/>
      </c>
      <c r="W31" s="72" t="str">
        <f t="array" ref="W31">_xlfn.XLOOKUP(B31,'Up Min'!A:A,'Up Min'!F:F,)</f>
        <v/>
      </c>
      <c r="X31" s="72" t="str">
        <f t="array" ref="X31">_xlfn.XLOOKUP(B31,'Up Max'!A:A,'Up Max'!F:F,)</f>
        <v/>
      </c>
      <c r="Y31" s="57" t="str">
        <f t="array" ref="Y31">_xlfn.XLOOKUP(B31,'Up Stats'!A:A,'Up Stats'!G:G,)</f>
        <v/>
      </c>
      <c r="Z31" s="54" t="str">
        <f>IFERROR(__xludf.DUMMYFUNCTION("if(AND(AA31=FALSE,AB31=FALSE),,if(AA31=AB31,JOIN("""",""Static: "",AA31),JOIN("""",""Min:  "",AA31, CHAR(10),""Max: "",AB31)))"),"")</f>
        <v/>
      </c>
      <c r="AA31" s="55" t="str">
        <f t="array" ref="AA31">_xlfn.XLOOKUP(B31,'Up Min'!A:A,'Up Min'!G:G,)</f>
        <v/>
      </c>
      <c r="AB31" s="72" t="str">
        <f t="array" ref="AB31">_xlfn.XLOOKUP(B31,'Up Max'!A:A,'Up Max'!G:G,)</f>
        <v/>
      </c>
      <c r="AC31" s="80" t="str">
        <f t="array" ref="AC31">_xlfn.XLOOKUP(B31,'Up Stats'!A:A,'Up Stats'!H:H,)</f>
        <v/>
      </c>
      <c r="AD31" s="54" t="str">
        <f>IFERROR(__xludf.DUMMYFUNCTION("if(AND(AE31=FALSE,AF31=FALSE),,if(AE31=AF31,JOIN("""",""Static: "",AE31),JOIN("""",""Min:  "",AE31, CHAR(10),""Max: "",AF31)))"),"")</f>
        <v/>
      </c>
      <c r="AE31" s="55" t="str">
        <f t="array" ref="AE31">_xlfn.XLOOKUP(B31,'Up Min'!A:A,'Up Min'!H:H,)</f>
        <v/>
      </c>
      <c r="AF31" s="55" t="str">
        <f t="array" ref="AF31">_xlfn.XLOOKUP(B31,'Up Max'!A:A,'Up Max'!H:H,)</f>
        <v/>
      </c>
      <c r="AG31" s="80" t="str">
        <f t="array" ref="AG31">_xlfn.XLOOKUP(B31,'Up Stats'!A:A,'Up Stats'!I:I,)</f>
        <v/>
      </c>
      <c r="AH31" s="54" t="str">
        <f>IFERROR(__xludf.DUMMYFUNCTION("if(AND(AI31=FALSE,AJ31=FALSE),,if(AI31=AJ31,JOIN("""",""Static: "",AI31),JOIN("""",""Min:  "",AI31, CHAR(10),""Max: "",AJ31)))"),"")</f>
        <v/>
      </c>
      <c r="AI31" s="55" t="str">
        <f t="array" ref="AI31">_xlfn.XLOOKUP(B31,'Up Min'!A:A,'Up Min'!I:I,)</f>
        <v/>
      </c>
      <c r="AJ31" s="55" t="str">
        <f t="array" ref="AJ31">_xlfn.XLOOKUP(B31,'Up Max'!A:A,'Up Max'!I:I,)</f>
        <v/>
      </c>
      <c r="AK31" s="57" t="str">
        <f t="array" ref="AK31">_xlfn.XLOOKUP(B31,'Up Stats'!A:A,'Up Stats'!J:J,)</f>
        <v/>
      </c>
      <c r="AL31" s="54" t="str">
        <f>IFERROR(__xludf.DUMMYFUNCTION("if(AND(AM31=FALSE,AN31=FALSE),,if(AM31=AN31,JOIN("""",""Static: "",AM31),JOIN("""",""Min:  "",AM31, CHAR(10),""Max: "",AN31)))"),"")</f>
        <v/>
      </c>
      <c r="AM31" s="55" t="str">
        <f t="array" ref="AM31">_xlfn.XLOOKUP(B31,'Up Min'!A:A,'Up Min'!J:J,)</f>
        <v/>
      </c>
      <c r="AN31" s="55" t="str">
        <f t="array" ref="AN31">_xlfn.XLOOKUP(B31,'Up Max'!A:A,'Up Max'!J:J,)</f>
        <v/>
      </c>
      <c r="AO31" s="51" t="str">
        <f t="array" ref="AO31">CONCATENATE(_xlfn.XLOOKUP(B31,'Up Cells'!A:A,'Up Cells'!B:B,))</f>
        <v>3</v>
      </c>
      <c r="AP31" s="76" t="str">
        <f t="array" ref="AP31">CONCATENATE(_xlfn.XLOOKUP(B31,'Up Rarity'!A:A,'Up Rarity'!B:B,),CHAR(10),"-")</f>
        <v>Rare
-</v>
      </c>
    </row>
    <row r="32">
      <c r="A32" s="84" t="str">
        <f t="array" ref="A32">_xlfn.XLOOKUP(B32,'Up Icon'!A:A,'Up Icon'!B:B,)</f>
        <v/>
      </c>
      <c r="B32" s="66" t="str">
        <f t="array" ref="B32">HYPERLINK(_xlfn.XLOOKUP('Up Names'!D27,'Up Wiki'!A:A,'Up Wiki'!B:B,),'Up Names'!D27)</f>
        <v>Aux Reserves</v>
      </c>
      <c r="C32" s="37" t="str">
        <f t="array" ref="C32">_xlfn.XLOOKUP(B32,'Up Desc'!A:A,'Up Desc'!B:B,)</f>
        <v>Ammo capacity is increased.</v>
      </c>
      <c r="D32" s="37" t="str">
        <f t="array" ref="D32">_xlfn.XLOOKUP(B32,'Up Turbo'!A:A,'Up Turbo'!B:B,)</f>
        <v>n/a</v>
      </c>
      <c r="E32" s="39" t="str">
        <f t="array" ref="E32">_xlfn.XLOOKUP(B32,'Up Stats'!A:A,'Up Stats'!B:B,)</f>
        <v>Ammo Capacity</v>
      </c>
      <c r="F32" s="40" t="str">
        <f>IFERROR(__xludf.DUMMYFUNCTION("if(AND(G32=FALSE,H32=FALSE),,if(G32=H32,JOIN("""",""Static: "",G32),JOIN("""",""Min:  "",G32, CHAR(10),""Max: "",H32)))"),"Min:  75%
Max: 200%")</f>
        <v>Min:  75%
Max: 200%</v>
      </c>
      <c r="G32" s="41">
        <f t="array" ref="G32">_xlfn.XLOOKUP(B32,'Up Min'!A:A,'Up Min'!B:B,)</f>
        <v>0.75</v>
      </c>
      <c r="H32" s="41">
        <f t="array" ref="H32">_xlfn.XLOOKUP(B32,'Up Max'!A:A,'Up Max'!B:B,)</f>
        <v>2</v>
      </c>
      <c r="I32" s="39" t="str">
        <f t="array" ref="I32">_xlfn.XLOOKUP(B32,'Up Stats'!A:A,'Up Stats'!C:C,)</f>
        <v/>
      </c>
      <c r="J32" s="40" t="str">
        <f>IFERROR(__xludf.DUMMYFUNCTION("if(AND(K32=FALSE,L32=FALSE),,if(K32=L32,JOIN("""",""Static: "",K32),JOIN("""",""Min:  "",K32, CHAR(10),""Max: "",L32)))"),"")</f>
        <v/>
      </c>
      <c r="K32" s="42" t="str">
        <f t="array" ref="K32">_xlfn.XLOOKUP(B32,'Up Min'!A:A,'Up Min'!C:C,)</f>
        <v/>
      </c>
      <c r="L32" s="42" t="str">
        <f t="array" ref="L32">_xlfn.XLOOKUP(B32,'Up Max'!A:A,'Up Max'!C:C,)</f>
        <v/>
      </c>
      <c r="M32" s="48" t="str">
        <f t="array" ref="M32">_xlfn.XLOOKUP(B32,'Up Stats'!A:A,'Up Stats'!D:D,)</f>
        <v/>
      </c>
      <c r="N32" s="40" t="str">
        <f>IFERROR(__xludf.DUMMYFUNCTION("if(AND(O32=FALSE,P32=FALSE),,if(O32=P32,JOIN("""",""Static: "",O32),JOIN("""",""Min:  "",O32, CHAR(10),""Max: "",P32)))"),"")</f>
        <v/>
      </c>
      <c r="O32" s="42" t="str">
        <f t="array" ref="O32">_xlfn.XLOOKUP(B32,'Up Min'!A:A,'Up Min'!D:D,)</f>
        <v/>
      </c>
      <c r="P32" s="42" t="str">
        <f t="array" ref="P32">_xlfn.XLOOKUP(B32,'Up Max'!A:A,'Up Max'!D:D,)</f>
        <v/>
      </c>
      <c r="Q32" s="48" t="str">
        <f t="array" ref="Q32">_xlfn.XLOOKUP(B32,'Up Stats'!A:A,'Up Stats'!E:E,)</f>
        <v/>
      </c>
      <c r="R32" s="40" t="str">
        <f>IFERROR(__xludf.DUMMYFUNCTION("if(AND(S32=FALSE,T32=FALSE),,if(S32=T32,JOIN("""",""Static: "",S32),JOIN("""",""Min:  "",S32, CHAR(10),""Max: "",T32)))"),"")</f>
        <v/>
      </c>
      <c r="S32" s="42" t="str">
        <f t="array" ref="S32">_xlfn.XLOOKUP(B32,'Up Min'!A:A,'Up Min'!E:E,)</f>
        <v/>
      </c>
      <c r="T32" s="42" t="str">
        <f t="array" ref="T32">_xlfn.XLOOKUP(B32,'Up Max'!A:A,'Up Max'!E:E,)</f>
        <v/>
      </c>
      <c r="U32" s="48" t="str">
        <f t="array" ref="U32">_xlfn.XLOOKUP(B32,'Up Stats'!A:A,'Up Stats'!F:F,)</f>
        <v/>
      </c>
      <c r="V32" s="40" t="str">
        <f>IFERROR(__xludf.DUMMYFUNCTION("if(AND(W32=FALSE,X32=FALSE),,if(W32=X32,JOIN("""",""Static: "",W32),JOIN("""",""Min:  "",W32, CHAR(10),""Max: "",X32)))"),"")</f>
        <v/>
      </c>
      <c r="W32" s="42" t="str">
        <f t="array" ref="W32">_xlfn.XLOOKUP(B32,'Up Min'!A:A,'Up Min'!F:F,)</f>
        <v/>
      </c>
      <c r="X32" s="42" t="str">
        <f t="array" ref="X32">_xlfn.XLOOKUP(B32,'Up Max'!A:A,'Up Max'!F:F,)</f>
        <v/>
      </c>
      <c r="Y32" s="48" t="str">
        <f t="array" ref="Y32">_xlfn.XLOOKUP(B32,'Up Stats'!A:A,'Up Stats'!G:G,)</f>
        <v/>
      </c>
      <c r="Z32" s="40" t="str">
        <f>IFERROR(__xludf.DUMMYFUNCTION("if(AND(AA32=FALSE,AB32=FALSE),,if(AA32=AB32,JOIN("""",""Static: "",AA32),JOIN("""",""Min:  "",AA32, CHAR(10),""Max: "",AB32)))"),"")</f>
        <v/>
      </c>
      <c r="AA32" s="42" t="str">
        <f t="array" ref="AA32">_xlfn.XLOOKUP(B32,'Up Min'!A:A,'Up Min'!G:G,)</f>
        <v/>
      </c>
      <c r="AB32" s="42" t="str">
        <f t="array" ref="AB32">_xlfn.XLOOKUP(B32,'Up Max'!A:A,'Up Max'!G:G,)</f>
        <v/>
      </c>
      <c r="AC32" s="48" t="str">
        <f t="array" ref="AC32">_xlfn.XLOOKUP(B32,'Up Stats'!A:A,'Up Stats'!H:H,)</f>
        <v/>
      </c>
      <c r="AD32" s="40" t="str">
        <f>IFERROR(__xludf.DUMMYFUNCTION("if(AND(AE32=FALSE,AF32=FALSE),,if(AE32=AF32,JOIN("""",""Static: "",AE32),JOIN("""",""Min:  "",AE32, CHAR(10),""Max: "",AF32)))"),"")</f>
        <v/>
      </c>
      <c r="AE32" s="42" t="str">
        <f t="array" ref="AE32">_xlfn.XLOOKUP(B32,'Up Min'!A:A,'Up Min'!H:H,)</f>
        <v/>
      </c>
      <c r="AF32" s="42" t="str">
        <f t="array" ref="AF32">_xlfn.XLOOKUP(B32,'Up Max'!A:A,'Up Max'!H:H,)</f>
        <v/>
      </c>
      <c r="AG32" s="48" t="str">
        <f t="array" ref="AG32">_xlfn.XLOOKUP(B32,'Up Stats'!A:A,'Up Stats'!I:I,)</f>
        <v/>
      </c>
      <c r="AH32" s="40" t="str">
        <f>IFERROR(__xludf.DUMMYFUNCTION("if(AND(AI32=FALSE,AJ32=FALSE),,if(AI32=AJ32,JOIN("""",""Static: "",AI32),JOIN("""",""Min:  "",AI32, CHAR(10),""Max: "",AJ32)))"),"")</f>
        <v/>
      </c>
      <c r="AI32" s="42" t="str">
        <f t="array" ref="AI32">_xlfn.XLOOKUP(B32,'Up Min'!A:A,'Up Min'!I:I,)</f>
        <v/>
      </c>
      <c r="AJ32" s="42" t="str">
        <f t="array" ref="AJ32">_xlfn.XLOOKUP(B32,'Up Max'!A:A,'Up Max'!I:I,)</f>
        <v/>
      </c>
      <c r="AK32" s="48" t="str">
        <f t="array" ref="AK32">_xlfn.XLOOKUP(B32,'Up Stats'!A:A,'Up Stats'!J:J,)</f>
        <v/>
      </c>
      <c r="AL32" s="40" t="str">
        <f>IFERROR(__xludf.DUMMYFUNCTION("if(AND(AM32=FALSE,AN32=FALSE),,if(AM32=AN32,JOIN("""",""Static: "",AM32),JOIN("""",""Min:  "",AM32, CHAR(10),""Max: "",AN32)))"),"")</f>
        <v/>
      </c>
      <c r="AM32" s="42" t="str">
        <f t="array" ref="AM32">_xlfn.XLOOKUP(B32,'Up Min'!A:A,'Up Min'!J:J,)</f>
        <v/>
      </c>
      <c r="AN32" s="42" t="str">
        <f t="array" ref="AN32">_xlfn.XLOOKUP(B32,'Up Max'!A:A,'Up Max'!J:J,)</f>
        <v/>
      </c>
      <c r="AO32" s="34" t="str">
        <f t="array" ref="AO32">CONCATENATE(_xlfn.XLOOKUP(B32,'Up Cells'!A:A,'Up Cells'!B:B,))</f>
        <v>3</v>
      </c>
      <c r="AP32" s="77" t="str">
        <f t="array" ref="AP32">CONCATENATE(_xlfn.XLOOKUP(B32,'Up Rarity'!A:A,'Up Rarity'!B:B,),CHAR(10),"-")</f>
        <v>Standard
-</v>
      </c>
    </row>
    <row r="33">
      <c r="A33" s="84" t="str">
        <f t="array" ref="A33">_xlfn.XLOOKUP(B33,'Up Icon'!A:A,'Up Icon'!B:B,)</f>
        <v/>
      </c>
      <c r="B33" s="51" t="str">
        <f t="array" ref="B33">HYPERLINK(_xlfn.XLOOKUP('Up Names'!D33,'Up Wiki'!A:A,'Up Wiki'!B:B,),'Up Names'!D33)</f>
        <v>Beam Amplifier</v>
      </c>
      <c r="C33" s="52" t="str">
        <f t="array" ref="C33">_xlfn.XLOOKUP(B33,'Up Desc'!A:A,'Up Desc'!B:B,)</f>
        <v>Laser damage is increased.</v>
      </c>
      <c r="D33" s="52" t="str">
        <f t="array" ref="D33">_xlfn.XLOOKUP(B33,'Up Turbo'!A:A,'Up Turbo'!B:B,)</f>
        <v>n/a</v>
      </c>
      <c r="E33" s="53" t="str">
        <f t="array" ref="E33">_xlfn.XLOOKUP(B33,'Up Stats'!A:A,'Up Stats'!B:B,)</f>
        <v>Laser Damage</v>
      </c>
      <c r="F33" s="54" t="str">
        <f>IFERROR(__xludf.DUMMYFUNCTION("if(AND(G33=FALSE,H33=FALSE),,if(G33=H33,JOIN("""",""Static: "",G33),JOIN("""",""Min:  "",G33, CHAR(10),""Max: "",H33)))"),"Min:  9%
Max: 17%")</f>
        <v>Min:  9%
Max: 17%</v>
      </c>
      <c r="G33" s="72">
        <f t="array" ref="G33">_xlfn.XLOOKUP(B33,'Up Min'!A:A,'Up Min'!B:B,)</f>
        <v>0.09</v>
      </c>
      <c r="H33" s="72">
        <f t="array" ref="H33">_xlfn.XLOOKUP(B33,'Up Max'!A:A,'Up Max'!B:B,)</f>
        <v>0.17</v>
      </c>
      <c r="I33" s="53" t="str">
        <f t="array" ref="I33">_xlfn.XLOOKUP(B33,'Up Stats'!A:A,'Up Stats'!C:C,)</f>
        <v/>
      </c>
      <c r="J33" s="54" t="str">
        <f>IFERROR(__xludf.DUMMYFUNCTION("if(AND(K33=FALSE,L33=FALSE),,if(K33=L33,JOIN("""",""Static: "",K33),JOIN("""",""Min:  "",K33, CHAR(10),""Max: "",L33)))"),"")</f>
        <v/>
      </c>
      <c r="K33" s="72" t="str">
        <f t="array" ref="K33">_xlfn.XLOOKUP(B33,'Up Min'!A:A,'Up Min'!C:C,)</f>
        <v/>
      </c>
      <c r="L33" s="72" t="str">
        <f t="array" ref="L33">_xlfn.XLOOKUP(B33,'Up Max'!A:A,'Up Max'!C:C,)</f>
        <v/>
      </c>
      <c r="M33" s="53" t="str">
        <f t="array" ref="M33">_xlfn.XLOOKUP(B33,'Up Stats'!A:A,'Up Stats'!D:D,)</f>
        <v/>
      </c>
      <c r="N33" s="54" t="str">
        <f>IFERROR(__xludf.DUMMYFUNCTION("if(AND(O33=FALSE,P33=FALSE),,if(O33=P33,JOIN("""",""Static: "",O33),JOIN("""",""Min:  "",O33, CHAR(10),""Max: "",P33)))"),"")</f>
        <v/>
      </c>
      <c r="O33" s="55" t="str">
        <f t="array" ref="O33">_xlfn.XLOOKUP(B33,'Up Min'!A:A,'Up Min'!D:D,)</f>
        <v/>
      </c>
      <c r="P33" s="55" t="str">
        <f t="array" ref="P33">_xlfn.XLOOKUP(B33,'Up Max'!A:A,'Up Max'!D:D,)</f>
        <v/>
      </c>
      <c r="Q33" s="57" t="str">
        <f t="array" ref="Q33">_xlfn.XLOOKUP(B33,'Up Stats'!A:A,'Up Stats'!E:E,)</f>
        <v/>
      </c>
      <c r="R33" s="54" t="str">
        <f>IFERROR(__xludf.DUMMYFUNCTION("if(AND(S33=FALSE,T33=FALSE),,if(S33=T33,JOIN("""",""Static: "",S33),JOIN("""",""Min:  "",S33, CHAR(10),""Max: "",T33)))"),"")</f>
        <v/>
      </c>
      <c r="S33" s="55" t="str">
        <f t="array" ref="S33">_xlfn.XLOOKUP(B33,'Up Min'!A:A,'Up Min'!E:E,)</f>
        <v/>
      </c>
      <c r="T33" s="55" t="str">
        <f t="array" ref="T33">_xlfn.XLOOKUP(B33,'Up Max'!A:A,'Up Max'!E:E,)</f>
        <v/>
      </c>
      <c r="U33" s="57" t="str">
        <f t="array" ref="U33">_xlfn.XLOOKUP(B33,'Up Stats'!A:A,'Up Stats'!F:F,)</f>
        <v/>
      </c>
      <c r="V33" s="54" t="str">
        <f>IFERROR(__xludf.DUMMYFUNCTION("if(AND(W33=FALSE,X33=FALSE),,if(W33=X33,JOIN("""",""Static: "",W33),JOIN("""",""Min:  "",W33, CHAR(10),""Max: "",X33)))"),"")</f>
        <v/>
      </c>
      <c r="W33" s="55" t="str">
        <f t="array" ref="W33">_xlfn.XLOOKUP(B33,'Up Min'!A:A,'Up Min'!F:F,)</f>
        <v/>
      </c>
      <c r="X33" s="55" t="str">
        <f t="array" ref="X33">_xlfn.XLOOKUP(B33,'Up Max'!A:A,'Up Max'!F:F,)</f>
        <v/>
      </c>
      <c r="Y33" s="57" t="str">
        <f t="array" ref="Y33">_xlfn.XLOOKUP(B33,'Up Stats'!A:A,'Up Stats'!G:G,)</f>
        <v/>
      </c>
      <c r="Z33" s="54" t="str">
        <f>IFERROR(__xludf.DUMMYFUNCTION("if(AND(AA33=FALSE,AB33=FALSE),,if(AA33=AB33,JOIN("""",""Static: "",AA33),JOIN("""",""Min:  "",AA33, CHAR(10),""Max: "",AB33)))"),"")</f>
        <v/>
      </c>
      <c r="AA33" s="55" t="str">
        <f t="array" ref="AA33">_xlfn.XLOOKUP(B33,'Up Min'!A:A,'Up Min'!G:G,)</f>
        <v/>
      </c>
      <c r="AB33" s="55" t="str">
        <f t="array" ref="AB33">_xlfn.XLOOKUP(B33,'Up Max'!A:A,'Up Max'!G:G,)</f>
        <v/>
      </c>
      <c r="AC33" s="57" t="str">
        <f t="array" ref="AC33">_xlfn.XLOOKUP(B33,'Up Stats'!A:A,'Up Stats'!H:H,)</f>
        <v/>
      </c>
      <c r="AD33" s="54" t="str">
        <f>IFERROR(__xludf.DUMMYFUNCTION("if(AND(AE33=FALSE,AF33=FALSE),,if(AE33=AF33,JOIN("""",""Static: "",AE33),JOIN("""",""Min:  "",AE33, CHAR(10),""Max: "",AF33)))"),"")</f>
        <v/>
      </c>
      <c r="AE33" s="55" t="str">
        <f t="array" ref="AE33">_xlfn.XLOOKUP(B33,'Up Min'!A:A,'Up Min'!H:H,)</f>
        <v/>
      </c>
      <c r="AF33" s="55" t="str">
        <f t="array" ref="AF33">_xlfn.XLOOKUP(B33,'Up Max'!A:A,'Up Max'!H:H,)</f>
        <v/>
      </c>
      <c r="AG33" s="57" t="str">
        <f t="array" ref="AG33">_xlfn.XLOOKUP(B33,'Up Stats'!A:A,'Up Stats'!I:I,)</f>
        <v/>
      </c>
      <c r="AH33" s="54" t="str">
        <f>IFERROR(__xludf.DUMMYFUNCTION("if(AND(AI33=FALSE,AJ33=FALSE),,if(AI33=AJ33,JOIN("""",""Static: "",AI33),JOIN("""",""Min:  "",AI33, CHAR(10),""Max: "",AJ33)))"),"")</f>
        <v/>
      </c>
      <c r="AI33" s="55" t="str">
        <f t="array" ref="AI33">_xlfn.XLOOKUP(B33,'Up Min'!A:A,'Up Min'!I:I,)</f>
        <v/>
      </c>
      <c r="AJ33" s="55" t="str">
        <f t="array" ref="AJ33">_xlfn.XLOOKUP(B33,'Up Max'!A:A,'Up Max'!I:I,)</f>
        <v/>
      </c>
      <c r="AK33" s="57" t="str">
        <f t="array" ref="AK33">_xlfn.XLOOKUP(B33,'Up Stats'!A:A,'Up Stats'!J:J,)</f>
        <v/>
      </c>
      <c r="AL33" s="54" t="str">
        <f>IFERROR(__xludf.DUMMYFUNCTION("if(AND(AM33=FALSE,AN33=FALSE),,if(AM33=AN33,JOIN("""",""Static: "",AM33),JOIN("""",""Min:  "",AM33, CHAR(10),""Max: "",AN33)))"),"")</f>
        <v/>
      </c>
      <c r="AM33" s="55" t="str">
        <f t="array" ref="AM33">_xlfn.XLOOKUP(B33,'Up Min'!A:A,'Up Min'!J:J,)</f>
        <v/>
      </c>
      <c r="AN33" s="55" t="str">
        <f t="array" ref="AN33">_xlfn.XLOOKUP(B33,'Up Max'!A:A,'Up Max'!J:J,)</f>
        <v/>
      </c>
      <c r="AO33" s="51" t="str">
        <f t="array" ref="AO33">CONCATENATE(_xlfn.XLOOKUP(B33,'Up Cells'!A:A,'Up Cells'!B:B,))</f>
        <v>3</v>
      </c>
      <c r="AP33" s="76" t="str">
        <f t="array" ref="AP33">CONCATENATE(_xlfn.XLOOKUP(B33,'Up Rarity'!A:A,'Up Rarity'!B:B,),CHAR(10),"-")</f>
        <v>Standard
-</v>
      </c>
    </row>
    <row r="34">
      <c r="A34" s="84" t="str">
        <f t="array" ref="A34">_xlfn.XLOOKUP(B34,'Up Icon'!A:A,'Up Icon'!B:B,)</f>
        <v/>
      </c>
      <c r="B34" s="66" t="str">
        <f t="array" ref="B34">HYPERLINK(_xlfn.XLOOKUP('Up Names'!D28,'Up Wiki'!A:A,'Up Wiki'!B:B,),'Up Names'!D28)</f>
        <v>Feedback Amplifier</v>
      </c>
      <c r="C34" s="37" t="str">
        <f t="array" ref="C34">_xlfn.XLOOKUP(B34,'Up Desc'!A:A,'Up Desc'!B:B,)</f>
        <v>Gain more laser charge for dealing damage.</v>
      </c>
      <c r="D34" s="37" t="str">
        <f t="array" ref="D34">_xlfn.XLOOKUP(B34,'Up Turbo'!A:A,'Up Turbo'!B:B,)</f>
        <v>n/a</v>
      </c>
      <c r="E34" s="39" t="str">
        <f t="array" ref="E34">_xlfn.XLOOKUP(B34,'Up Stats'!A:A,'Up Stats'!B:B,)</f>
        <v>Laser Charge On Hit</v>
      </c>
      <c r="F34" s="40" t="str">
        <f>IFERROR(__xludf.DUMMYFUNCTION("if(AND(G34=FALSE,H34=FALSE),,if(G34=H34,JOIN("""",""Static: "",G34),JOIN("""",""Min:  "",G34, CHAR(10),""Max: "",H34)))"),"Min:  8%
Max: 12%")</f>
        <v>Min:  8%
Max: 12%</v>
      </c>
      <c r="G34" s="41">
        <f t="array" ref="G34">_xlfn.XLOOKUP(B34,'Up Min'!A:A,'Up Min'!B:B,)</f>
        <v>0.08</v>
      </c>
      <c r="H34" s="41">
        <f t="array" ref="H34">_xlfn.XLOOKUP(B34,'Up Max'!A:A,'Up Max'!B:B,)</f>
        <v>0.12</v>
      </c>
      <c r="I34" s="39" t="str">
        <f t="array" ref="I34">_xlfn.XLOOKUP(B34,'Up Stats'!A:A,'Up Stats'!C:C,)</f>
        <v/>
      </c>
      <c r="J34" s="40" t="str">
        <f>IFERROR(__xludf.DUMMYFUNCTION("if(AND(K34=FALSE,L34=FALSE),,if(K34=L34,JOIN("""",""Static: "",K34),JOIN("""",""Min:  "",K34, CHAR(10),""Max: "",L34)))"),"")</f>
        <v/>
      </c>
      <c r="K34" s="85" t="str">
        <f t="array" ref="K34">_xlfn.XLOOKUP(B34,'Up Min'!A:A,'Up Min'!C:C,)</f>
        <v/>
      </c>
      <c r="L34" s="85" t="str">
        <f t="array" ref="L34">_xlfn.XLOOKUP(B34,'Up Max'!A:A,'Up Max'!C:C,)</f>
        <v/>
      </c>
      <c r="M34" s="48" t="str">
        <f t="array" ref="M34">_xlfn.XLOOKUP(B34,'Up Stats'!A:A,'Up Stats'!D:D,)</f>
        <v/>
      </c>
      <c r="N34" s="40" t="str">
        <f>IFERROR(__xludf.DUMMYFUNCTION("if(AND(O34=FALSE,P34=FALSE),,if(O34=P34,JOIN("""",""Static: "",O34),JOIN("""",""Min:  "",O34, CHAR(10),""Max: "",P34)))"),"")</f>
        <v/>
      </c>
      <c r="O34" s="85" t="str">
        <f t="array" ref="O34">_xlfn.XLOOKUP(B34,'Up Min'!A:A,'Up Min'!D:D,)</f>
        <v/>
      </c>
      <c r="P34" s="85" t="str">
        <f t="array" ref="P34">_xlfn.XLOOKUP(B34,'Up Max'!A:A,'Up Max'!D:D,)</f>
        <v/>
      </c>
      <c r="Q34" s="48" t="str">
        <f t="array" ref="Q34">_xlfn.XLOOKUP(B34,'Up Stats'!A:A,'Up Stats'!E:E,)</f>
        <v/>
      </c>
      <c r="R34" s="40" t="str">
        <f>IFERROR(__xludf.DUMMYFUNCTION("if(AND(S34=FALSE,T34=FALSE),,if(S34=T34,JOIN("""",""Static: "",S34),JOIN("""",""Min:  "",S34, CHAR(10),""Max: "",T34)))"),"")</f>
        <v/>
      </c>
      <c r="S34" s="74" t="str">
        <f t="array" ref="S34">_xlfn.XLOOKUP(B34,'Up Min'!A:A,'Up Min'!E:E,)</f>
        <v/>
      </c>
      <c r="T34" s="74" t="str">
        <f t="array" ref="T34">_xlfn.XLOOKUP(B34,'Up Max'!A:A,'Up Max'!E:E,)</f>
        <v/>
      </c>
      <c r="U34" s="48" t="str">
        <f t="array" ref="U34">_xlfn.XLOOKUP(B34,'Up Stats'!A:A,'Up Stats'!F:F,)</f>
        <v/>
      </c>
      <c r="V34" s="40" t="str">
        <f>IFERROR(__xludf.DUMMYFUNCTION("if(AND(W34=FALSE,X34=FALSE),,if(W34=X34,JOIN("""",""Static: "",W34),JOIN("""",""Min:  "",W34, CHAR(10),""Max: "",X34)))"),"")</f>
        <v/>
      </c>
      <c r="W34" s="42" t="str">
        <f t="array" ref="W34">_xlfn.XLOOKUP(B34,'Up Min'!A:A,'Up Min'!F:F,)</f>
        <v/>
      </c>
      <c r="X34" s="42" t="str">
        <f t="array" ref="X34">_xlfn.XLOOKUP(B34,'Up Max'!A:A,'Up Max'!F:F,)</f>
        <v/>
      </c>
      <c r="Y34" s="48" t="str">
        <f t="array" ref="Y34">_xlfn.XLOOKUP(B34,'Up Stats'!A:A,'Up Stats'!G:G,)</f>
        <v/>
      </c>
      <c r="Z34" s="40" t="str">
        <f>IFERROR(__xludf.DUMMYFUNCTION("if(AND(AA34=FALSE,AB34=FALSE),,if(AA34=AB34,JOIN("""",""Static: "",AA34),JOIN("""",""Min:  "",AA34, CHAR(10),""Max: "",AB34)))"),"")</f>
        <v/>
      </c>
      <c r="AA34" s="42" t="str">
        <f t="array" ref="AA34">_xlfn.XLOOKUP(B34,'Up Min'!A:A,'Up Min'!G:G,)</f>
        <v/>
      </c>
      <c r="AB34" s="42" t="str">
        <f t="array" ref="AB34">_xlfn.XLOOKUP(B34,'Up Max'!A:A,'Up Max'!G:G,)</f>
        <v/>
      </c>
      <c r="AC34" s="48" t="str">
        <f t="array" ref="AC34">_xlfn.XLOOKUP(B34,'Up Stats'!A:A,'Up Stats'!H:H,)</f>
        <v/>
      </c>
      <c r="AD34" s="40" t="str">
        <f>IFERROR(__xludf.DUMMYFUNCTION("if(AND(AE34=FALSE,AF34=FALSE),,if(AE34=AF34,JOIN("""",""Static: "",AE34),JOIN("""",""Min:  "",AE34, CHAR(10),""Max: "",AF34)))"),"")</f>
        <v/>
      </c>
      <c r="AE34" s="42" t="str">
        <f t="array" ref="AE34">_xlfn.XLOOKUP(B34,'Up Min'!A:A,'Up Min'!H:H,)</f>
        <v/>
      </c>
      <c r="AF34" s="42" t="str">
        <f t="array" ref="AF34">_xlfn.XLOOKUP(B34,'Up Max'!A:A,'Up Max'!H:H,)</f>
        <v/>
      </c>
      <c r="AG34" s="48" t="str">
        <f t="array" ref="AG34">_xlfn.XLOOKUP(B34,'Up Stats'!A:A,'Up Stats'!I:I,)</f>
        <v/>
      </c>
      <c r="AH34" s="40" t="str">
        <f>IFERROR(__xludf.DUMMYFUNCTION("if(AND(AI34=FALSE,AJ34=FALSE),,if(AI34=AJ34,JOIN("""",""Static: "",AI34),JOIN("""",""Min:  "",AI34, CHAR(10),""Max: "",AJ34)))"),"")</f>
        <v/>
      </c>
      <c r="AI34" s="42" t="str">
        <f t="array" ref="AI34">_xlfn.XLOOKUP(B34,'Up Min'!A:A,'Up Min'!I:I,)</f>
        <v/>
      </c>
      <c r="AJ34" s="42" t="str">
        <f t="array" ref="AJ34">_xlfn.XLOOKUP(B34,'Up Max'!A:A,'Up Max'!I:I,)</f>
        <v/>
      </c>
      <c r="AK34" s="48" t="str">
        <f t="array" ref="AK34">_xlfn.XLOOKUP(B34,'Up Stats'!A:A,'Up Stats'!J:J,)</f>
        <v/>
      </c>
      <c r="AL34" s="40" t="str">
        <f>IFERROR(__xludf.DUMMYFUNCTION("if(AND(AM34=FALSE,AN34=FALSE),,if(AM34=AN34,JOIN("""",""Static: "",AM34),JOIN("""",""Min:  "",AM34, CHAR(10),""Max: "",AN34)))"),"")</f>
        <v/>
      </c>
      <c r="AM34" s="42" t="str">
        <f t="array" ref="AM34">_xlfn.XLOOKUP(B34,'Up Min'!A:A,'Up Min'!J:J,)</f>
        <v/>
      </c>
      <c r="AN34" s="42" t="str">
        <f t="array" ref="AN34">_xlfn.XLOOKUP(B34,'Up Max'!A:A,'Up Max'!J:J,)</f>
        <v/>
      </c>
      <c r="AO34" s="34" t="str">
        <f t="array" ref="AO34">CONCATENATE(_xlfn.XLOOKUP(B34,'Up Cells'!A:A,'Up Cells'!B:B,))</f>
        <v>3</v>
      </c>
      <c r="AP34" s="77" t="str">
        <f t="array" ref="AP34">CONCATENATE(_xlfn.XLOOKUP(B34,'Up Rarity'!A:A,'Up Rarity'!B:B,),CHAR(10),"-")</f>
        <v>Standard
-</v>
      </c>
    </row>
    <row r="35">
      <c r="A35" s="84" t="str">
        <f t="array" ref="A35">_xlfn.XLOOKUP(B35,'Up Icon'!A:A,'Up Icon'!B:B,)</f>
        <v/>
      </c>
      <c r="B35" s="63" t="str">
        <f t="array" ref="B35">HYPERLINK(_xlfn.XLOOKUP('Up Names'!D29,'Up Wiki'!A:A,'Up Wiki'!B:B,),'Up Names'!D29)</f>
        <v>Long Scope</v>
      </c>
      <c r="C35" s="52" t="str">
        <f t="array" ref="C35">_xlfn.XLOOKUP(B35,'Up Desc'!A:A,'Up Desc'!B:B,)</f>
        <v>Range and aim zoom are increased.</v>
      </c>
      <c r="D35" s="52" t="str">
        <f t="array" ref="D35">_xlfn.XLOOKUP(B35,'Up Turbo'!A:A,'Up Turbo'!B:B,)</f>
        <v>n/a</v>
      </c>
      <c r="E35" s="53" t="str">
        <f t="array" ref="E35">_xlfn.XLOOKUP(B35,'Up Stats'!A:A,'Up Stats'!B:B,)</f>
        <v>Range</v>
      </c>
      <c r="F35" s="54" t="str">
        <f>IFERROR(__xludf.DUMMYFUNCTION("if(AND(G35=FALSE,H35=FALSE),,if(G35=H35,JOIN("""",""Static: "",G35),JOIN("""",""Min:  "",G35, CHAR(10),""Max: "",H35)))"),"Min:  85
Max: 120")</f>
        <v>Min:  85
Max: 120</v>
      </c>
      <c r="G35" s="64">
        <f t="array" ref="G35">_xlfn.XLOOKUP(B35,'Up Min'!A:A,'Up Min'!B:B,)</f>
        <v>85</v>
      </c>
      <c r="H35" s="65">
        <f t="array" ref="H35">_xlfn.XLOOKUP(B35,'Up Max'!A:A,'Up Max'!B:B,)</f>
        <v>120</v>
      </c>
      <c r="I35" s="53" t="str">
        <f t="array" ref="I35">_xlfn.XLOOKUP(B35,'Up Stats'!A:A,'Up Stats'!C:C,)</f>
        <v>Horizontal Recoil</v>
      </c>
      <c r="J35" s="54" t="str">
        <f>IFERROR(__xludf.DUMMYFUNCTION("if(AND(K35=FALSE,L35=FALSE),,if(K35=L35,JOIN("""",""Static: "",K35),JOIN("""",""Min:  "",K35, CHAR(10),""Max: "",L35)))"),"Min:  -40%
Max: -30%")</f>
        <v>Min:  -40%
Max: -30%</v>
      </c>
      <c r="K35" s="72">
        <f t="array" ref="K35">_xlfn.XLOOKUP(B35,'Up Min'!A:A,'Up Min'!C:C,)</f>
        <v>-0.4</v>
      </c>
      <c r="L35" s="72">
        <f t="array" ref="L35">_xlfn.XLOOKUP(B35,'Up Max'!A:A,'Up Max'!C:C,)</f>
        <v>-0.3</v>
      </c>
      <c r="M35" s="53" t="str">
        <f t="array" ref="M35">_xlfn.XLOOKUP(B35,'Up Stats'!A:A,'Up Stats'!D:D,)</f>
        <v>Vertical Recoil</v>
      </c>
      <c r="N35" s="54" t="str">
        <f>IFERROR(__xludf.DUMMYFUNCTION("if(AND(O35=FALSE,P35=FALSE),,if(O35=P35,JOIN("""",""Static: "",O35),JOIN("""",""Min:  "",O35, CHAR(10),""Max: "",P35)))"),"Min:  -40%
Max: -30%")</f>
        <v>Min:  -40%
Max: -30%</v>
      </c>
      <c r="O35" s="72">
        <f t="array" ref="O35">_xlfn.XLOOKUP(B35,'Up Min'!A:A,'Up Min'!D:D,)</f>
        <v>-0.4</v>
      </c>
      <c r="P35" s="72">
        <f t="array" ref="P35">_xlfn.XLOOKUP(B35,'Up Max'!A:A,'Up Max'!D:D,)</f>
        <v>-0.3</v>
      </c>
      <c r="Q35" s="57" t="str">
        <f t="array" ref="Q35">_xlfn.XLOOKUP(B35,'Up Stats'!A:A,'Up Stats'!E:E,)</f>
        <v/>
      </c>
      <c r="R35" s="54" t="str">
        <f>IFERROR(__xludf.DUMMYFUNCTION("if(AND(S35=FALSE,T35=FALSE),,if(S35=T35,JOIN("""",""Static: "",S35),JOIN("""",""Min:  "",S35, CHAR(10),""Max: "",T35)))"),"")</f>
        <v/>
      </c>
      <c r="S35" s="56" t="str">
        <f t="array" ref="S35">_xlfn.XLOOKUP(B35,'Up Min'!A:A,'Up Min'!E:E,)</f>
        <v/>
      </c>
      <c r="T35" s="55" t="str">
        <f t="array" ref="T35">_xlfn.XLOOKUP(B35,'Up Max'!A:A,'Up Max'!E:E,)</f>
        <v/>
      </c>
      <c r="U35" s="57" t="str">
        <f t="array" ref="U35">_xlfn.XLOOKUP(B35,'Up Stats'!A:A,'Up Stats'!F:F,)</f>
        <v/>
      </c>
      <c r="V35" s="54" t="str">
        <f>IFERROR(__xludf.DUMMYFUNCTION("if(AND(W35=FALSE,X35=FALSE),,if(W35=X35,JOIN("""",""Static: "",W35),JOIN("""",""Min:  "",W35, CHAR(10),""Max: "",X35)))"),"")</f>
        <v/>
      </c>
      <c r="W35" s="55" t="str">
        <f t="array" ref="W35">_xlfn.XLOOKUP(B35,'Up Min'!A:A,'Up Min'!F:F,)</f>
        <v/>
      </c>
      <c r="X35" s="55" t="str">
        <f t="array" ref="X35">_xlfn.XLOOKUP(B35,'Up Max'!A:A,'Up Max'!F:F,)</f>
        <v/>
      </c>
      <c r="Y35" s="57" t="str">
        <f t="array" ref="Y35">_xlfn.XLOOKUP(B35,'Up Stats'!A:A,'Up Stats'!G:G,)</f>
        <v/>
      </c>
      <c r="Z35" s="54" t="str">
        <f>IFERROR(__xludf.DUMMYFUNCTION("if(AND(AA35=FALSE,AB35=FALSE),,if(AA35=AB35,JOIN("""",""Static: "",AA35),JOIN("""",""Min:  "",AA35, CHAR(10),""Max: "",AB35)))"),"")</f>
        <v/>
      </c>
      <c r="AA35" s="55" t="str">
        <f t="array" ref="AA35">_xlfn.XLOOKUP(B35,'Up Min'!A:A,'Up Min'!G:G,)</f>
        <v/>
      </c>
      <c r="AB35" s="55" t="str">
        <f t="array" ref="AB35">_xlfn.XLOOKUP(B35,'Up Max'!A:A,'Up Max'!G:G,)</f>
        <v/>
      </c>
      <c r="AC35" s="57" t="str">
        <f t="array" ref="AC35">_xlfn.XLOOKUP(B35,'Up Stats'!A:A,'Up Stats'!H:H,)</f>
        <v/>
      </c>
      <c r="AD35" s="54" t="str">
        <f>IFERROR(__xludf.DUMMYFUNCTION("if(AND(AE35=FALSE,AF35=FALSE),,if(AE35=AF35,JOIN("""",""Static: "",AE35),JOIN("""",""Min:  "",AE35, CHAR(10),""Max: "",AF35)))"),"")</f>
        <v/>
      </c>
      <c r="AE35" s="55" t="str">
        <f t="array" ref="AE35">_xlfn.XLOOKUP(B35,'Up Min'!A:A,'Up Min'!H:H,)</f>
        <v/>
      </c>
      <c r="AF35" s="55" t="str">
        <f t="array" ref="AF35">_xlfn.XLOOKUP(B35,'Up Max'!A:A,'Up Max'!H:H,)</f>
        <v/>
      </c>
      <c r="AG35" s="57" t="str">
        <f t="array" ref="AG35">_xlfn.XLOOKUP(B35,'Up Stats'!A:A,'Up Stats'!I:I,)</f>
        <v/>
      </c>
      <c r="AH35" s="54" t="str">
        <f>IFERROR(__xludf.DUMMYFUNCTION("if(AND(AI35=FALSE,AJ35=FALSE),,if(AI35=AJ35,JOIN("""",""Static: "",AI35),JOIN("""",""Min:  "",AI35, CHAR(10),""Max: "",AJ35)))"),"")</f>
        <v/>
      </c>
      <c r="AI35" s="55" t="str">
        <f t="array" ref="AI35">_xlfn.XLOOKUP(B35,'Up Min'!A:A,'Up Min'!I:I,)</f>
        <v/>
      </c>
      <c r="AJ35" s="55" t="str">
        <f t="array" ref="AJ35">_xlfn.XLOOKUP(B35,'Up Max'!A:A,'Up Max'!I:I,)</f>
        <v/>
      </c>
      <c r="AK35" s="57" t="str">
        <f t="array" ref="AK35">_xlfn.XLOOKUP(B35,'Up Stats'!A:A,'Up Stats'!J:J,)</f>
        <v/>
      </c>
      <c r="AL35" s="54" t="str">
        <f>IFERROR(__xludf.DUMMYFUNCTION("if(AND(AM35=FALSE,AN35=FALSE),,if(AM35=AN35,JOIN("""",""Static: "",AM35),JOIN("""",""Min:  "",AM35, CHAR(10),""Max: "",AN35)))"),"")</f>
        <v/>
      </c>
      <c r="AM35" s="55" t="str">
        <f t="array" ref="AM35">_xlfn.XLOOKUP(B35,'Up Min'!A:A,'Up Min'!J:J,)</f>
        <v/>
      </c>
      <c r="AN35" s="55" t="str">
        <f t="array" ref="AN35">_xlfn.XLOOKUP(B35,'Up Max'!A:A,'Up Max'!J:J,)</f>
        <v/>
      </c>
      <c r="AO35" s="51" t="str">
        <f t="array" ref="AO35">CONCATENATE(_xlfn.XLOOKUP(B35,'Up Cells'!A:A,'Up Cells'!B:B,))</f>
        <v>4</v>
      </c>
      <c r="AP35" s="76" t="str">
        <f t="array" ref="AP35">CONCATENATE(_xlfn.XLOOKUP(B35,'Up Rarity'!A:A,'Up Rarity'!B:B,),CHAR(10),"-")</f>
        <v>Standard
-</v>
      </c>
    </row>
    <row r="36">
      <c r="A36" s="84" t="str">
        <f t="array" ref="A36">_xlfn.XLOOKUP(B36,'Up Icon'!A:A,'Up Icon'!B:B,)</f>
        <v/>
      </c>
      <c r="B36" s="66" t="str">
        <f t="array" ref="B36">HYPERLINK(_xlfn.XLOOKUP('Up Names'!D30,'Up Wiki'!A:A,'Up Wiki'!B:B,),'Up Names'!D30)</f>
        <v>Quickswap Cartridge</v>
      </c>
      <c r="C36" s="37" t="str">
        <f t="array" ref="C36">_xlfn.XLOOKUP(B36,'Up Desc'!A:A,'Up Desc'!B:B,)</f>
        <v>Reload speed is increased, but magazine size is decreased.</v>
      </c>
      <c r="D36" s="37" t="str">
        <f t="array" ref="D36">_xlfn.XLOOKUP(B36,'Up Turbo'!A:A,'Up Turbo'!B:B,)</f>
        <v>n/a</v>
      </c>
      <c r="E36" s="39" t="str">
        <f t="array" ref="E36">_xlfn.XLOOKUP(B36,'Up Stats'!A:A,'Up Stats'!B:B,)</f>
        <v>Magazine Size</v>
      </c>
      <c r="F36" s="40" t="str">
        <f>IFERROR(__xludf.DUMMYFUNCTION("if(AND(G36=FALSE,H36=FALSE),,if(G36=H36,JOIN("""",""Static: "",G36),JOIN("""",""Min:  "",G36, CHAR(10),""Max: "",H36)))"),"Min:  -20%
Max: -10%")</f>
        <v>Min:  -20%
Max: -10%</v>
      </c>
      <c r="G36" s="41">
        <f t="array" ref="G36">_xlfn.XLOOKUP(B36,'Up Min'!A:A,'Up Min'!B:B,)</f>
        <v>-0.2</v>
      </c>
      <c r="H36" s="41">
        <f t="array" ref="H36">_xlfn.XLOOKUP(B36,'Up Max'!A:A,'Up Max'!B:B,)</f>
        <v>-0.1</v>
      </c>
      <c r="I36" s="39" t="str">
        <f t="array" ref="I36">_xlfn.XLOOKUP(B36,'Up Stats'!A:A,'Up Stats'!C:C,)</f>
        <v>Reload Speed</v>
      </c>
      <c r="J36" s="40" t="str">
        <f>IFERROR(__xludf.DUMMYFUNCTION("if(AND(K36=FALSE,L36=FALSE),,if(K36=L36,JOIN("""",""Static: "",K36),JOIN("""",""Min:  "",K36, CHAR(10),""Max: "",L36)))"),"Min:  25%
Max: 9.89%")</f>
        <v>Min:  25%
Max: 9.89%</v>
      </c>
      <c r="K36" s="41">
        <f t="array" ref="K36">_xlfn.XLOOKUP(B36,'Up Min'!A:A,'Up Min'!C:C,)</f>
        <v>0.25</v>
      </c>
      <c r="L36" s="78">
        <f t="array" ref="L36">_xlfn.XLOOKUP(B36,'Up Max'!A:A,'Up Max'!C:C,)</f>
        <v>0.0989</v>
      </c>
      <c r="M36" s="39" t="str">
        <f t="array" ref="M36">_xlfn.XLOOKUP(B36,'Up Stats'!A:A,'Up Stats'!D:D,)</f>
        <v/>
      </c>
      <c r="N36" s="40" t="str">
        <f>IFERROR(__xludf.DUMMYFUNCTION("if(AND(O36=FALSE,P36=FALSE),,if(O36=P36,JOIN("""",""Static: "",O36),JOIN("""",""Min:  "",O36, CHAR(10),""Max: "",P36)))"),"")</f>
        <v/>
      </c>
      <c r="O36" s="74" t="str">
        <f t="array" ref="O36">_xlfn.XLOOKUP(B36,'Up Min'!A:A,'Up Min'!D:D,)</f>
        <v/>
      </c>
      <c r="P36" s="74" t="str">
        <f t="array" ref="P36">_xlfn.XLOOKUP(B36,'Up Max'!A:A,'Up Max'!D:D,)</f>
        <v/>
      </c>
      <c r="Q36" s="48" t="str">
        <f t="array" ref="Q36">_xlfn.XLOOKUP(B36,'Up Stats'!A:A,'Up Stats'!E:E,)</f>
        <v/>
      </c>
      <c r="R36" s="40" t="str">
        <f>IFERROR(__xludf.DUMMYFUNCTION("if(AND(S36=FALSE,T36=FALSE),,if(S36=T36,JOIN("""",""Static: "",S36),JOIN("""",""Min:  "",S36, CHAR(10),""Max: "",T36)))"),"")</f>
        <v/>
      </c>
      <c r="S36" s="42" t="str">
        <f t="array" ref="S36">_xlfn.XLOOKUP(B36,'Up Min'!A:A,'Up Min'!E:E,)</f>
        <v/>
      </c>
      <c r="T36" s="42" t="str">
        <f t="array" ref="T36">_xlfn.XLOOKUP(B36,'Up Max'!A:A,'Up Max'!E:E,)</f>
        <v/>
      </c>
      <c r="U36" s="48" t="str">
        <f t="array" ref="U36">_xlfn.XLOOKUP(B36,'Up Stats'!A:A,'Up Stats'!F:F,)</f>
        <v/>
      </c>
      <c r="V36" s="40" t="str">
        <f>IFERROR(__xludf.DUMMYFUNCTION("if(AND(W36=FALSE,X36=FALSE),,if(W36=X36,JOIN("""",""Static: "",W36),JOIN("""",""Min:  "",W36, CHAR(10),""Max: "",X36)))"),"")</f>
        <v/>
      </c>
      <c r="W36" s="42" t="str">
        <f t="array" ref="W36">_xlfn.XLOOKUP(B36,'Up Min'!A:A,'Up Min'!F:F,)</f>
        <v/>
      </c>
      <c r="X36" s="42" t="str">
        <f t="array" ref="X36">_xlfn.XLOOKUP(B36,'Up Max'!A:A,'Up Max'!F:F,)</f>
        <v/>
      </c>
      <c r="Y36" s="48" t="str">
        <f t="array" ref="Y36">_xlfn.XLOOKUP(B36,'Up Stats'!A:A,'Up Stats'!G:G,)</f>
        <v/>
      </c>
      <c r="Z36" s="40" t="str">
        <f>IFERROR(__xludf.DUMMYFUNCTION("if(AND(AA36=FALSE,AB36=FALSE),,if(AA36=AB36,JOIN("""",""Static: "",AA36),JOIN("""",""Min:  "",AA36, CHAR(10),""Max: "",AB36)))"),"")</f>
        <v/>
      </c>
      <c r="AA36" s="42" t="str">
        <f t="array" ref="AA36">_xlfn.XLOOKUP(B36,'Up Min'!A:A,'Up Min'!G:G,)</f>
        <v/>
      </c>
      <c r="AB36" s="42" t="str">
        <f t="array" ref="AB36">_xlfn.XLOOKUP(B36,'Up Max'!A:A,'Up Max'!G:G,)</f>
        <v/>
      </c>
      <c r="AC36" s="48" t="str">
        <f t="array" ref="AC36">_xlfn.XLOOKUP(B36,'Up Stats'!A:A,'Up Stats'!H:H,)</f>
        <v/>
      </c>
      <c r="AD36" s="40" t="str">
        <f>IFERROR(__xludf.DUMMYFUNCTION("if(AND(AE36=FALSE,AF36=FALSE),,if(AE36=AF36,JOIN("""",""Static: "",AE36),JOIN("""",""Min:  "",AE36, CHAR(10),""Max: "",AF36)))"),"")</f>
        <v/>
      </c>
      <c r="AE36" s="42" t="str">
        <f t="array" ref="AE36">_xlfn.XLOOKUP(B36,'Up Min'!A:A,'Up Min'!H:H,)</f>
        <v/>
      </c>
      <c r="AF36" s="42" t="str">
        <f t="array" ref="AF36">_xlfn.XLOOKUP(B36,'Up Max'!A:A,'Up Max'!H:H,)</f>
        <v/>
      </c>
      <c r="AG36" s="48" t="str">
        <f t="array" ref="AG36">_xlfn.XLOOKUP(B36,'Up Stats'!A:A,'Up Stats'!I:I,)</f>
        <v/>
      </c>
      <c r="AH36" s="40" t="str">
        <f>IFERROR(__xludf.DUMMYFUNCTION("if(AND(AI36=FALSE,AJ36=FALSE),,if(AI36=AJ36,JOIN("""",""Static: "",AI36),JOIN("""",""Min:  "",AI36, CHAR(10),""Max: "",AJ36)))"),"")</f>
        <v/>
      </c>
      <c r="AI36" s="42" t="str">
        <f t="array" ref="AI36">_xlfn.XLOOKUP(B36,'Up Min'!A:A,'Up Min'!I:I,)</f>
        <v/>
      </c>
      <c r="AJ36" s="42" t="str">
        <f t="array" ref="AJ36">_xlfn.XLOOKUP(B36,'Up Max'!A:A,'Up Max'!I:I,)</f>
        <v/>
      </c>
      <c r="AK36" s="48" t="str">
        <f t="array" ref="AK36">_xlfn.XLOOKUP(B36,'Up Stats'!A:A,'Up Stats'!J:J,)</f>
        <v/>
      </c>
      <c r="AL36" s="40" t="str">
        <f>IFERROR(__xludf.DUMMYFUNCTION("if(AND(AM36=FALSE,AN36=FALSE),,if(AM36=AN36,JOIN("""",""Static: "",AM36),JOIN("""",""Min:  "",AM36, CHAR(10),""Max: "",AN36)))"),"")</f>
        <v/>
      </c>
      <c r="AM36" s="42" t="str">
        <f t="array" ref="AM36">_xlfn.XLOOKUP(B36,'Up Min'!A:A,'Up Min'!J:J,)</f>
        <v/>
      </c>
      <c r="AN36" s="42" t="str">
        <f t="array" ref="AN36">_xlfn.XLOOKUP(B36,'Up Max'!A:A,'Up Max'!J:J,)</f>
        <v/>
      </c>
      <c r="AO36" s="34" t="str">
        <f t="array" ref="AO36">CONCATENATE(_xlfn.XLOOKUP(B36,'Up Cells'!A:A,'Up Cells'!B:B,))</f>
        <v>3</v>
      </c>
      <c r="AP36" s="77" t="str">
        <f t="array" ref="AP36">CONCATENATE(_xlfn.XLOOKUP(B36,'Up Rarity'!A:A,'Up Rarity'!B:B,),CHAR(10),"-")</f>
        <v>Standard
-</v>
      </c>
    </row>
    <row r="37">
      <c r="A37" s="84" t="str">
        <f t="array" ref="A37">_xlfn.XLOOKUP(B37,'Up Icon'!A:A,'Up Icon'!B:B,)</f>
        <v/>
      </c>
      <c r="B37" s="63" t="str">
        <f t="array" ref="B37">HYPERLINK(_xlfn.XLOOKUP('Up Names'!D31,'Up Wiki'!A:A,'Up Wiki'!B:B,),'Up Names'!D31)</f>
        <v>Reorganized Reserves</v>
      </c>
      <c r="C37" s="52" t="str">
        <f t="array" ref="C37">_xlfn.XLOOKUP(B37,'Up Desc'!A:A,'Up Desc'!B:B,)</f>
        <v>Laser charge capacity is increased, but DMR ammo capacity is decreased.</v>
      </c>
      <c r="D37" s="52" t="str">
        <f t="array" ref="D37">_xlfn.XLOOKUP(B37,'Up Turbo'!A:A,'Up Turbo'!B:B,)</f>
        <v>n/a</v>
      </c>
      <c r="E37" s="53" t="str">
        <f t="array" ref="E37">_xlfn.XLOOKUP(B37,'Up Stats'!A:A,'Up Stats'!B:B,)</f>
        <v>Laser Charge Capacity</v>
      </c>
      <c r="F37" s="54" t="str">
        <f>IFERROR(__xludf.DUMMYFUNCTION("if(AND(G37=FALSE,H37=FALSE),,if(G37=H37,JOIN("""",""Static: "",G37),JOIN("""",""Min:  "",G37, CHAR(10),""Max: "",H37)))"),"Min:  10%
Max: 22%")</f>
        <v>Min:  10%
Max: 22%</v>
      </c>
      <c r="G37" s="59">
        <f t="array" ref="G37">_xlfn.XLOOKUP(B37,'Up Min'!A:A,'Up Min'!B:B,)</f>
        <v>0.1</v>
      </c>
      <c r="H37" s="59">
        <f t="array" ref="H37">_xlfn.XLOOKUP(B37,'Up Max'!A:A,'Up Max'!B:B,)</f>
        <v>0.22</v>
      </c>
      <c r="I37" s="53" t="str">
        <f t="array" ref="I37">_xlfn.XLOOKUP(B37,'Up Stats'!A:A,'Up Stats'!C:C,)</f>
        <v>Ammo Capacity</v>
      </c>
      <c r="J37" s="54" t="str">
        <f>IFERROR(__xludf.DUMMYFUNCTION("if(AND(K37=FALSE,L37=FALSE),,if(K37=L37,JOIN("""",""Static: "",K37),JOIN("""",""Min:  "",K37, CHAR(10),""Max: "",L37)))"),"Min:  -33%
Max: -24%")</f>
        <v>Min:  -33%
Max: -24%</v>
      </c>
      <c r="K37" s="59">
        <f t="array" ref="K37">_xlfn.XLOOKUP(B37,'Up Min'!A:A,'Up Min'!C:C,)</f>
        <v>-0.33</v>
      </c>
      <c r="L37" s="59">
        <f t="array" ref="L37">_xlfn.XLOOKUP(B37,'Up Max'!A:A,'Up Max'!C:C,)</f>
        <v>-0.24</v>
      </c>
      <c r="M37" s="53" t="str">
        <f t="array" ref="M37">_xlfn.XLOOKUP(B37,'Up Stats'!A:A,'Up Stats'!D:D,)</f>
        <v/>
      </c>
      <c r="N37" s="54" t="str">
        <f>IFERROR(__xludf.DUMMYFUNCTION("if(AND(O37=FALSE,P37=FALSE),,if(O37=P37,JOIN("""",""Static: "",O37),JOIN("""",""Min:  "",O37, CHAR(10),""Max: "",P37)))"),"")</f>
        <v/>
      </c>
      <c r="O37" s="72" t="str">
        <f t="array" ref="O37">_xlfn.XLOOKUP(B37,'Up Min'!A:A,'Up Min'!D:D,)</f>
        <v/>
      </c>
      <c r="P37" s="72" t="str">
        <f t="array" ref="P37">_xlfn.XLOOKUP(B37,'Up Max'!A:A,'Up Max'!D:D,)</f>
        <v/>
      </c>
      <c r="Q37" s="57" t="str">
        <f t="array" ref="Q37">_xlfn.XLOOKUP(B37,'Up Stats'!A:A,'Up Stats'!E:E,)</f>
        <v/>
      </c>
      <c r="R37" s="54" t="str">
        <f>IFERROR(__xludf.DUMMYFUNCTION("if(AND(S37=FALSE,T37=FALSE),,if(S37=T37,JOIN("""",""Static: "",S37),JOIN("""",""Min:  "",S37, CHAR(10),""Max: "",T37)))"),"")</f>
        <v/>
      </c>
      <c r="S37" s="72" t="str">
        <f t="array" ref="S37">_xlfn.XLOOKUP(B37,'Up Min'!A:A,'Up Min'!E:E,)</f>
        <v/>
      </c>
      <c r="T37" s="72" t="str">
        <f t="array" ref="T37">_xlfn.XLOOKUP(B37,'Up Max'!A:A,'Up Max'!E:E,)</f>
        <v/>
      </c>
      <c r="U37" s="57" t="str">
        <f t="array" ref="U37">_xlfn.XLOOKUP(B37,'Up Stats'!A:A,'Up Stats'!F:F,)</f>
        <v/>
      </c>
      <c r="V37" s="54" t="str">
        <f>IFERROR(__xludf.DUMMYFUNCTION("if(AND(W37=FALSE,X37=FALSE),,if(W37=X37,JOIN("""",""Static: "",W37),JOIN("""",""Min:  "",W37, CHAR(10),""Max: "",X37)))"),"")</f>
        <v/>
      </c>
      <c r="W37" s="72" t="str">
        <f t="array" ref="W37">_xlfn.XLOOKUP(B37,'Up Min'!A:A,'Up Min'!F:F,)</f>
        <v/>
      </c>
      <c r="X37" s="72" t="str">
        <f t="array" ref="X37">_xlfn.XLOOKUP(B37,'Up Max'!A:A,'Up Max'!F:F,)</f>
        <v/>
      </c>
      <c r="Y37" s="57" t="str">
        <f t="array" ref="Y37">_xlfn.XLOOKUP(B37,'Up Stats'!A:A,'Up Stats'!G:G,)</f>
        <v/>
      </c>
      <c r="Z37" s="54" t="str">
        <f>IFERROR(__xludf.DUMMYFUNCTION("if(AND(AA37=FALSE,AB37=FALSE),,if(AA37=AB37,JOIN("""",""Static: "",AA37),JOIN("""",""Min:  "",AA37, CHAR(10),""Max: "",AB37)))"),"")</f>
        <v/>
      </c>
      <c r="AA37" s="55" t="str">
        <f t="array" ref="AA37">_xlfn.XLOOKUP(B37,'Up Min'!A:A,'Up Min'!G:G,)</f>
        <v/>
      </c>
      <c r="AB37" s="55" t="str">
        <f t="array" ref="AB37">_xlfn.XLOOKUP(B37,'Up Max'!A:A,'Up Max'!G:G,)</f>
        <v/>
      </c>
      <c r="AC37" s="57" t="str">
        <f t="array" ref="AC37">_xlfn.XLOOKUP(B37,'Up Stats'!A:A,'Up Stats'!H:H,)</f>
        <v/>
      </c>
      <c r="AD37" s="54" t="str">
        <f>IFERROR(__xludf.DUMMYFUNCTION("if(AND(AE37=FALSE,AF37=FALSE),,if(AE37=AF37,JOIN("""",""Static: "",AE37),JOIN("""",""Min:  "",AE37, CHAR(10),""Max: "",AF37)))"),"")</f>
        <v/>
      </c>
      <c r="AE37" s="55" t="str">
        <f t="array" ref="AE37">_xlfn.XLOOKUP(B37,'Up Min'!A:A,'Up Min'!H:H,)</f>
        <v/>
      </c>
      <c r="AF37" s="55" t="str">
        <f t="array" ref="AF37">_xlfn.XLOOKUP(B37,'Up Max'!A:A,'Up Max'!H:H,)</f>
        <v/>
      </c>
      <c r="AG37" s="57" t="str">
        <f t="array" ref="AG37">_xlfn.XLOOKUP(B37,'Up Stats'!A:A,'Up Stats'!I:I,)</f>
        <v/>
      </c>
      <c r="AH37" s="54" t="str">
        <f>IFERROR(__xludf.DUMMYFUNCTION("if(AND(AI37=FALSE,AJ37=FALSE),,if(AI37=AJ37,JOIN("""",""Static: "",AI37),JOIN("""",""Min:  "",AI37, CHAR(10),""Max: "",AJ37)))"),"")</f>
        <v/>
      </c>
      <c r="AI37" s="55" t="str">
        <f t="array" ref="AI37">_xlfn.XLOOKUP(B37,'Up Min'!A:A,'Up Min'!I:I,)</f>
        <v/>
      </c>
      <c r="AJ37" s="55" t="str">
        <f t="array" ref="AJ37">_xlfn.XLOOKUP(B37,'Up Max'!A:A,'Up Max'!I:I,)</f>
        <v/>
      </c>
      <c r="AK37" s="57" t="str">
        <f t="array" ref="AK37">_xlfn.XLOOKUP(B37,'Up Stats'!A:A,'Up Stats'!J:J,)</f>
        <v/>
      </c>
      <c r="AL37" s="54" t="str">
        <f>IFERROR(__xludf.DUMMYFUNCTION("if(AND(AM37=FALSE,AN37=FALSE),,if(AM37=AN37,JOIN("""",""Static: "",AM37),JOIN("""",""Min:  "",AM37, CHAR(10),""Max: "",AN37)))"),"")</f>
        <v/>
      </c>
      <c r="AM37" s="55" t="str">
        <f t="array" ref="AM37">_xlfn.XLOOKUP(B37,'Up Min'!A:A,'Up Min'!J:J,)</f>
        <v/>
      </c>
      <c r="AN37" s="55" t="str">
        <f t="array" ref="AN37">_xlfn.XLOOKUP(B37,'Up Max'!A:A,'Up Max'!J:J,)</f>
        <v/>
      </c>
      <c r="AO37" s="51" t="str">
        <f t="array" ref="AO37">CONCATENATE(_xlfn.XLOOKUP(B37,'Up Cells'!A:A,'Up Cells'!B:B,))</f>
        <v>3</v>
      </c>
      <c r="AP37" s="76" t="str">
        <f t="array" ref="AP37">CONCATENATE(_xlfn.XLOOKUP(B37,'Up Rarity'!A:A,'Up Rarity'!B:B,),CHAR(10),"-")</f>
        <v>Standard
-</v>
      </c>
    </row>
    <row r="38">
      <c r="A38" s="87" t="str">
        <f t="array" ref="A38">_xlfn.XLOOKUP(B38,'Up Icon'!A:A,'Up Icon'!B:B,)</f>
        <v/>
      </c>
      <c r="B38" s="34" t="str">
        <f t="array" ref="B38">HYPERLINK(_xlfn.XLOOKUP('Up Names'!D38,'Up Wiki'!A:A,'Up Wiki'!B:B,),'Up Names'!D38)</f>
        <v/>
      </c>
      <c r="C38" s="37" t="str">
        <f t="array" ref="C38">_xlfn.XLOOKUP(B38,'Up Desc'!A:A,'Up Desc'!B:B,)</f>
        <v/>
      </c>
      <c r="D38" s="37" t="str">
        <f t="array" ref="D38">_xlfn.XLOOKUP(B38,'Up Turbo'!A:A,'Up Turbo'!B:B,)</f>
        <v/>
      </c>
      <c r="E38" s="39" t="str">
        <f t="array" ref="E38">_xlfn.XLOOKUP(B38,'Up Stats'!A:A,'Up Stats'!B:B,)</f>
        <v/>
      </c>
      <c r="F38" s="40" t="str">
        <f>IFERROR(__xludf.DUMMYFUNCTION("if(AND(G38=FALSE,H38=FALSE),,if(G38=H38,JOIN("""",""Static: "",G38),JOIN("""",""Min:  "",G38, CHAR(10),""Max: "",H38)))"),"")</f>
        <v/>
      </c>
      <c r="G38" s="42" t="str">
        <f t="array" ref="G38">_xlfn.XLOOKUP(B38,'Up Min'!A:A,'Up Min'!B:B,)</f>
        <v/>
      </c>
      <c r="H38" s="45" t="str">
        <f t="array" ref="H38">_xlfn.XLOOKUP(B38,'Up Max'!A:A,'Up Max'!B:B,)</f>
        <v/>
      </c>
      <c r="I38" s="39" t="str">
        <f t="array" ref="I38">_xlfn.XLOOKUP(B38,'Up Stats'!A:A,'Up Stats'!C:C,)</f>
        <v/>
      </c>
      <c r="J38" s="40" t="str">
        <f>IFERROR(__xludf.DUMMYFUNCTION("if(AND(K38=FALSE,L38=FALSE),,if(K38=L38,JOIN("""",""Static: "",K38),JOIN("""",""Min:  "",K38, CHAR(10),""Max: "",L38)))"),"")</f>
        <v/>
      </c>
      <c r="K38" s="42" t="str">
        <f t="array" ref="K38">_xlfn.XLOOKUP(B38,'Up Min'!A:A,'Up Min'!C:C,)</f>
        <v/>
      </c>
      <c r="L38" s="42" t="str">
        <f t="array" ref="L38">_xlfn.XLOOKUP(B38,'Up Max'!A:A,'Up Max'!C:C,)</f>
        <v/>
      </c>
      <c r="M38" s="39" t="str">
        <f t="array" ref="M38">_xlfn.XLOOKUP(B38,'Up Stats'!A:A,'Up Stats'!D:D,)</f>
        <v/>
      </c>
      <c r="N38" s="40" t="str">
        <f>IFERROR(__xludf.DUMMYFUNCTION("if(AND(O38=FALSE,P38=FALSE),,if(O38=P38,JOIN("""",""Static: "",O38),JOIN("""",""Min:  "",O38, CHAR(10),""Max: "",P38)))"),"")</f>
        <v/>
      </c>
      <c r="O38" s="42" t="str">
        <f t="array" ref="O38">_xlfn.XLOOKUP(B38,'Up Min'!A:A,'Up Min'!D:D,)</f>
        <v/>
      </c>
      <c r="P38" s="42" t="str">
        <f t="array" ref="P38">_xlfn.XLOOKUP(B38,'Up Max'!A:A,'Up Max'!D:D,)</f>
        <v/>
      </c>
      <c r="Q38" s="48" t="str">
        <f t="array" ref="Q38">_xlfn.XLOOKUP(B38,'Up Stats'!A:A,'Up Stats'!E:E,)</f>
        <v/>
      </c>
      <c r="R38" s="40" t="str">
        <f>IFERROR(__xludf.DUMMYFUNCTION("if(AND(S38=FALSE,T38=FALSE),,if(S38=T38,JOIN("""",""Static: "",S38),JOIN("""",""Min:  "",S38, CHAR(10),""Max: "",T38)))"),"")</f>
        <v/>
      </c>
      <c r="S38" s="42" t="str">
        <f t="array" ref="S38">_xlfn.XLOOKUP(B38,'Up Min'!A:A,'Up Min'!E:E,)</f>
        <v/>
      </c>
      <c r="T38" s="42" t="str">
        <f t="array" ref="T38">_xlfn.XLOOKUP(B38,'Up Max'!A:A,'Up Max'!E:E,)</f>
        <v/>
      </c>
      <c r="U38" s="48" t="str">
        <f t="array" ref="U38">_xlfn.XLOOKUP(B38,'Up Stats'!A:A,'Up Stats'!F:F,)</f>
        <v/>
      </c>
      <c r="V38" s="40" t="str">
        <f>IFERROR(__xludf.DUMMYFUNCTION("if(AND(W38=FALSE,X38=FALSE),,if(W38=X38,JOIN("""",""Static: "",W38),JOIN("""",""Min:  "",W38, CHAR(10),""Max: "",X38)))"),"")</f>
        <v/>
      </c>
      <c r="W38" s="42" t="str">
        <f t="array" ref="W38">_xlfn.XLOOKUP(B38,'Up Min'!A:A,'Up Min'!F:F,)</f>
        <v/>
      </c>
      <c r="X38" s="42" t="str">
        <f t="array" ref="X38">_xlfn.XLOOKUP(B38,'Up Max'!A:A,'Up Max'!F:F,)</f>
        <v/>
      </c>
      <c r="Y38" s="48" t="str">
        <f t="array" ref="Y38">_xlfn.XLOOKUP(B38,'Up Stats'!A:A,'Up Stats'!G:G,)</f>
        <v/>
      </c>
      <c r="Z38" s="40" t="str">
        <f>IFERROR(__xludf.DUMMYFUNCTION("if(AND(AA38=FALSE,AB38=FALSE),,if(AA38=AB38,JOIN("""",""Static: "",AA38),JOIN("""",""Min:  "",AA38, CHAR(10),""Max: "",AB38)))"),"")</f>
        <v/>
      </c>
      <c r="AA38" s="42" t="str">
        <f t="array" ref="AA38">_xlfn.XLOOKUP(B38,'Up Min'!A:A,'Up Min'!G:G,)</f>
        <v/>
      </c>
      <c r="AB38" s="42" t="str">
        <f t="array" ref="AB38">_xlfn.XLOOKUP(B38,'Up Max'!A:A,'Up Max'!G:G,)</f>
        <v/>
      </c>
      <c r="AC38" s="48" t="str">
        <f t="array" ref="AC38">_xlfn.XLOOKUP(B38,'Up Stats'!A:A,'Up Stats'!H:H,)</f>
        <v/>
      </c>
      <c r="AD38" s="40" t="str">
        <f>IFERROR(__xludf.DUMMYFUNCTION("if(AND(AE38=FALSE,AF38=FALSE),,if(AE38=AF38,JOIN("""",""Static: "",AE38),JOIN("""",""Min:  "",AE38, CHAR(10),""Max: "",AF38)))"),"")</f>
        <v/>
      </c>
      <c r="AE38" s="42" t="str">
        <f t="array" ref="AE38">_xlfn.XLOOKUP(B38,'Up Min'!A:A,'Up Min'!H:H,)</f>
        <v/>
      </c>
      <c r="AF38" s="42" t="str">
        <f t="array" ref="AF38">_xlfn.XLOOKUP(B38,'Up Max'!A:A,'Up Max'!H:H,)</f>
        <v/>
      </c>
      <c r="AG38" s="48" t="str">
        <f t="array" ref="AG38">_xlfn.XLOOKUP(B38,'Up Stats'!A:A,'Up Stats'!I:I,)</f>
        <v/>
      </c>
      <c r="AH38" s="40" t="str">
        <f>IFERROR(__xludf.DUMMYFUNCTION("if(AND(AI38=FALSE,AJ38=FALSE),,if(AI38=AJ38,JOIN("""",""Static: "",AI38),JOIN("""",""Min:  "",AI38, CHAR(10),""Max: "",AJ38)))"),"")</f>
        <v/>
      </c>
      <c r="AI38" s="42" t="str">
        <f t="array" ref="AI38">_xlfn.XLOOKUP(B38,'Up Min'!A:A,'Up Min'!I:I,)</f>
        <v/>
      </c>
      <c r="AJ38" s="42" t="str">
        <f t="array" ref="AJ38">_xlfn.XLOOKUP(B38,'Up Max'!A:A,'Up Max'!I:I,)</f>
        <v/>
      </c>
      <c r="AK38" s="48" t="str">
        <f t="array" ref="AK38">_xlfn.XLOOKUP(B38,'Up Stats'!A:A,'Up Stats'!J:J,)</f>
        <v/>
      </c>
      <c r="AL38" s="40" t="str">
        <f>IFERROR(__xludf.DUMMYFUNCTION("if(AND(AM38=FALSE,AN38=FALSE),,if(AM38=AN38,JOIN("""",""Static: "",AM38),JOIN("""",""Min:  "",AM38, CHAR(10),""Max: "",AN38)))"),"")</f>
        <v/>
      </c>
      <c r="AM38" s="42" t="str">
        <f t="array" ref="AM38">_xlfn.XLOOKUP(B38,'Up Min'!A:A,'Up Min'!J:J,)</f>
        <v/>
      </c>
      <c r="AN38" s="42" t="str">
        <f t="array" ref="AN38">_xlfn.XLOOKUP(B38,'Up Max'!A:A,'Up Max'!J:J,)</f>
        <v/>
      </c>
      <c r="AO38" s="34" t="str">
        <f t="array" ref="AO38">CONCATENATE(_xlfn.XLOOKUP(B38,'Up Cells'!A:A,'Up Cells'!B:B,))</f>
        <v/>
      </c>
      <c r="AP38" s="34" t="str">
        <f t="array" ref="AP38">CONCATENATE(_xlfn.XLOOKUP(B38,'Up Rarity'!A:A,'Up Rarity'!B:B,),CHAR(10),"-")</f>
        <v>
-</v>
      </c>
    </row>
    <row r="39">
      <c r="A39" s="86" t="str">
        <f t="array" ref="A39">_xlfn.XLOOKUP(B39,'Up Icon'!A:A,'Up Icon'!B:B,)</f>
        <v/>
      </c>
      <c r="B39" s="51" t="str">
        <f t="array" ref="B39">HYPERLINK(_xlfn.XLOOKUP('Up Names'!D39,'Up Wiki'!A:A,'Up Wiki'!B:B,),'Up Names'!D39)</f>
        <v/>
      </c>
      <c r="C39" s="52" t="str">
        <f t="array" ref="C39">_xlfn.XLOOKUP(B39,'Up Desc'!A:A,'Up Desc'!B:B,)</f>
        <v/>
      </c>
      <c r="D39" s="52" t="str">
        <f t="array" ref="D39">_xlfn.XLOOKUP(B39,'Up Turbo'!A:A,'Up Turbo'!B:B,)</f>
        <v/>
      </c>
      <c r="E39" s="53" t="str">
        <f t="array" ref="E39">_xlfn.XLOOKUP(B39,'Up Stats'!A:A,'Up Stats'!B:B,)</f>
        <v/>
      </c>
      <c r="F39" s="54" t="str">
        <f>IFERROR(__xludf.DUMMYFUNCTION("if(AND(G39=FALSE,H39=FALSE),,if(G39=H39,JOIN("""",""Static: "",G39),JOIN("""",""Min:  "",G39, CHAR(10),""Max: "",H39)))"),"")</f>
        <v/>
      </c>
      <c r="G39" s="55" t="str">
        <f t="array" ref="G39">_xlfn.XLOOKUP(B39,'Up Min'!A:A,'Up Min'!B:B,)</f>
        <v/>
      </c>
      <c r="H39" s="56" t="str">
        <f t="array" ref="H39">_xlfn.XLOOKUP(B39,'Up Max'!A:A,'Up Max'!B:B,)</f>
        <v/>
      </c>
      <c r="I39" s="53" t="str">
        <f t="array" ref="I39">_xlfn.XLOOKUP(B39,'Up Stats'!A:A,'Up Stats'!C:C,)</f>
        <v/>
      </c>
      <c r="J39" s="54" t="str">
        <f>IFERROR(__xludf.DUMMYFUNCTION("if(AND(K39=FALSE,L39=FALSE),,if(K39=L39,JOIN("""",""Static: "",K39),JOIN("""",""Min:  "",K39, CHAR(10),""Max: "",L39)))"),"")</f>
        <v/>
      </c>
      <c r="K39" s="55" t="str">
        <f t="array" ref="K39">_xlfn.XLOOKUP(B39,'Up Min'!A:A,'Up Min'!C:C,)</f>
        <v/>
      </c>
      <c r="L39" s="55" t="str">
        <f t="array" ref="L39">_xlfn.XLOOKUP(B39,'Up Max'!A:A,'Up Max'!C:C,)</f>
        <v/>
      </c>
      <c r="M39" s="53" t="str">
        <f t="array" ref="M39">_xlfn.XLOOKUP(B39,'Up Stats'!A:A,'Up Stats'!D:D,)</f>
        <v/>
      </c>
      <c r="N39" s="54" t="str">
        <f>IFERROR(__xludf.DUMMYFUNCTION("if(AND(O39=FALSE,P39=FALSE),,if(O39=P39,JOIN("""",""Static: "",O39),JOIN("""",""Min:  "",O39, CHAR(10),""Max: "",P39)))"),"")</f>
        <v/>
      </c>
      <c r="O39" s="55" t="str">
        <f t="array" ref="O39">_xlfn.XLOOKUP(B39,'Up Min'!A:A,'Up Min'!D:D,)</f>
        <v/>
      </c>
      <c r="P39" s="55" t="str">
        <f t="array" ref="P39">_xlfn.XLOOKUP(B39,'Up Max'!A:A,'Up Max'!D:D,)</f>
        <v/>
      </c>
      <c r="Q39" s="57" t="str">
        <f t="array" ref="Q39">_xlfn.XLOOKUP(B39,'Up Stats'!A:A,'Up Stats'!E:E,)</f>
        <v/>
      </c>
      <c r="R39" s="54" t="str">
        <f>IFERROR(__xludf.DUMMYFUNCTION("if(AND(S39=FALSE,T39=FALSE),,if(S39=T39,JOIN("""",""Static: "",S39),JOIN("""",""Min:  "",S39, CHAR(10),""Max: "",T39)))"),"")</f>
        <v/>
      </c>
      <c r="S39" s="55" t="str">
        <f t="array" ref="S39">_xlfn.XLOOKUP(B39,'Up Min'!A:A,'Up Min'!E:E,)</f>
        <v/>
      </c>
      <c r="T39" s="55" t="str">
        <f t="array" ref="T39">_xlfn.XLOOKUP(B39,'Up Max'!A:A,'Up Max'!E:E,)</f>
        <v/>
      </c>
      <c r="U39" s="57" t="str">
        <f t="array" ref="U39">_xlfn.XLOOKUP(B39,'Up Stats'!A:A,'Up Stats'!F:F,)</f>
        <v/>
      </c>
      <c r="V39" s="54" t="str">
        <f>IFERROR(__xludf.DUMMYFUNCTION("if(AND(W39=FALSE,X39=FALSE),,if(W39=X39,JOIN("""",""Static: "",W39),JOIN("""",""Min:  "",W39, CHAR(10),""Max: "",X39)))"),"")</f>
        <v/>
      </c>
      <c r="W39" s="55" t="str">
        <f t="array" ref="W39">_xlfn.XLOOKUP(B39,'Up Min'!A:A,'Up Min'!F:F,)</f>
        <v/>
      </c>
      <c r="X39" s="55" t="str">
        <f t="array" ref="X39">_xlfn.XLOOKUP(B39,'Up Max'!A:A,'Up Max'!F:F,)</f>
        <v/>
      </c>
      <c r="Y39" s="57" t="str">
        <f t="array" ref="Y39">_xlfn.XLOOKUP(B39,'Up Stats'!A:A,'Up Stats'!G:G,)</f>
        <v/>
      </c>
      <c r="Z39" s="54" t="str">
        <f>IFERROR(__xludf.DUMMYFUNCTION("if(AND(AA39=FALSE,AB39=FALSE),,if(AA39=AB39,JOIN("""",""Static: "",AA39),JOIN("""",""Min:  "",AA39, CHAR(10),""Max: "",AB39)))"),"")</f>
        <v/>
      </c>
      <c r="AA39" s="55" t="str">
        <f t="array" ref="AA39">_xlfn.XLOOKUP(B39,'Up Min'!A:A,'Up Min'!G:G,)</f>
        <v/>
      </c>
      <c r="AB39" s="55" t="str">
        <f t="array" ref="AB39">_xlfn.XLOOKUP(B39,'Up Max'!A:A,'Up Max'!G:G,)</f>
        <v/>
      </c>
      <c r="AC39" s="57" t="str">
        <f t="array" ref="AC39">_xlfn.XLOOKUP(B39,'Up Stats'!A:A,'Up Stats'!H:H,)</f>
        <v/>
      </c>
      <c r="AD39" s="54" t="str">
        <f>IFERROR(__xludf.DUMMYFUNCTION("if(AND(AE39=FALSE,AF39=FALSE),,if(AE39=AF39,JOIN("""",""Static: "",AE39),JOIN("""",""Min:  "",AE39, CHAR(10),""Max: "",AF39)))"),"")</f>
        <v/>
      </c>
      <c r="AE39" s="55" t="str">
        <f t="array" ref="AE39">_xlfn.XLOOKUP(B39,'Up Min'!A:A,'Up Min'!H:H,)</f>
        <v/>
      </c>
      <c r="AF39" s="55" t="str">
        <f t="array" ref="AF39">_xlfn.XLOOKUP(B39,'Up Max'!A:A,'Up Max'!H:H,)</f>
        <v/>
      </c>
      <c r="AG39" s="57" t="str">
        <f t="array" ref="AG39">_xlfn.XLOOKUP(B39,'Up Stats'!A:A,'Up Stats'!I:I,)</f>
        <v/>
      </c>
      <c r="AH39" s="54" t="str">
        <f>IFERROR(__xludf.DUMMYFUNCTION("if(AND(AI39=FALSE,AJ39=FALSE),,if(AI39=AJ39,JOIN("""",""Static: "",AI39),JOIN("""",""Min:  "",AI39, CHAR(10),""Max: "",AJ39)))"),"")</f>
        <v/>
      </c>
      <c r="AI39" s="55" t="str">
        <f t="array" ref="AI39">_xlfn.XLOOKUP(B39,'Up Min'!A:A,'Up Min'!I:I,)</f>
        <v/>
      </c>
      <c r="AJ39" s="55" t="str">
        <f t="array" ref="AJ39">_xlfn.XLOOKUP(B39,'Up Max'!A:A,'Up Max'!I:I,)</f>
        <v/>
      </c>
      <c r="AK39" s="57" t="str">
        <f t="array" ref="AK39">_xlfn.XLOOKUP(B39,'Up Stats'!A:A,'Up Stats'!J:J,)</f>
        <v/>
      </c>
      <c r="AL39" s="54" t="str">
        <f>IFERROR(__xludf.DUMMYFUNCTION("if(AND(AM39=FALSE,AN39=FALSE),,if(AM39=AN39,JOIN("""",""Static: "",AM39),JOIN("""",""Min:  "",AM39, CHAR(10),""Max: "",AN39)))"),"")</f>
        <v/>
      </c>
      <c r="AM39" s="55" t="str">
        <f t="array" ref="AM39">_xlfn.XLOOKUP(B39,'Up Min'!A:A,'Up Min'!J:J,)</f>
        <v/>
      </c>
      <c r="AN39" s="55" t="str">
        <f t="array" ref="AN39">_xlfn.XLOOKUP(B39,'Up Max'!A:A,'Up Max'!J:J,)</f>
        <v/>
      </c>
      <c r="AO39" s="51" t="str">
        <f t="array" ref="AO39">CONCATENATE(_xlfn.XLOOKUP(B39,'Up Cells'!A:A,'Up Cells'!B:B,))</f>
        <v/>
      </c>
      <c r="AP39" s="51" t="str">
        <f t="array" ref="AP39">CONCATENATE(_xlfn.XLOOKUP(B39,'Up Rarity'!A:A,'Up Rarity'!B:B,),CHAR(10),"-")</f>
        <v>
-</v>
      </c>
    </row>
    <row r="40">
      <c r="A40" s="87" t="str">
        <f t="array" ref="A40">_xlfn.XLOOKUP(B40,'Up Icon'!A:A,'Up Icon'!B:B,)</f>
        <v/>
      </c>
      <c r="B40" s="34" t="str">
        <f t="array" ref="B40">HYPERLINK(_xlfn.XLOOKUP('Up Names'!D40,'Up Wiki'!A:A,'Up Wiki'!B:B,),'Up Names'!D40)</f>
        <v/>
      </c>
      <c r="C40" s="37" t="str">
        <f t="array" ref="C40">_xlfn.XLOOKUP(B40,'Up Desc'!A:A,'Up Desc'!B:B,)</f>
        <v/>
      </c>
      <c r="D40" s="37" t="str">
        <f t="array" ref="D40">_xlfn.XLOOKUP(B40,'Up Turbo'!A:A,'Up Turbo'!B:B,)</f>
        <v/>
      </c>
      <c r="E40" s="39" t="str">
        <f t="array" ref="E40">_xlfn.XLOOKUP(B40,'Up Stats'!A:A,'Up Stats'!B:B,)</f>
        <v/>
      </c>
      <c r="F40" s="40" t="str">
        <f>IFERROR(__xludf.DUMMYFUNCTION("if(AND(G40=FALSE,H40=FALSE),,if(G40=H40,JOIN("""",""Static: "",G40),JOIN("""",""Min:  "",G40, CHAR(10),""Max: "",H40)))"),"")</f>
        <v/>
      </c>
      <c r="G40" s="42" t="str">
        <f t="array" ref="G40">_xlfn.XLOOKUP(B40,'Up Min'!A:A,'Up Min'!B:B,)</f>
        <v/>
      </c>
      <c r="H40" s="45" t="str">
        <f t="array" ref="H40">_xlfn.XLOOKUP(B40,'Up Max'!A:A,'Up Max'!B:B,)</f>
        <v/>
      </c>
      <c r="I40" s="39" t="str">
        <f t="array" ref="I40">_xlfn.XLOOKUP(B40,'Up Stats'!A:A,'Up Stats'!C:C,)</f>
        <v/>
      </c>
      <c r="J40" s="40" t="str">
        <f>IFERROR(__xludf.DUMMYFUNCTION("if(AND(K40=FALSE,L40=FALSE),,if(K40=L40,JOIN("""",""Static: "",K40),JOIN("""",""Min:  "",K40, CHAR(10),""Max: "",L40)))"),"")</f>
        <v/>
      </c>
      <c r="K40" s="42" t="str">
        <f t="array" ref="K40">_xlfn.XLOOKUP(B40,'Up Min'!A:A,'Up Min'!C:C,)</f>
        <v/>
      </c>
      <c r="L40" s="42" t="str">
        <f t="array" ref="L40">_xlfn.XLOOKUP(B40,'Up Max'!A:A,'Up Max'!C:C,)</f>
        <v/>
      </c>
      <c r="M40" s="39" t="str">
        <f t="array" ref="M40">_xlfn.XLOOKUP(B40,'Up Stats'!A:A,'Up Stats'!D:D,)</f>
        <v/>
      </c>
      <c r="N40" s="40" t="str">
        <f>IFERROR(__xludf.DUMMYFUNCTION("if(AND(O40=FALSE,P40=FALSE),,if(O40=P40,JOIN("""",""Static: "",O40),JOIN("""",""Min:  "",O40, CHAR(10),""Max: "",P40)))"),"")</f>
        <v/>
      </c>
      <c r="O40" s="42" t="str">
        <f t="array" ref="O40">_xlfn.XLOOKUP(B40,'Up Min'!A:A,'Up Min'!D:D,)</f>
        <v/>
      </c>
      <c r="P40" s="42" t="str">
        <f t="array" ref="P40">_xlfn.XLOOKUP(B40,'Up Max'!A:A,'Up Max'!D:D,)</f>
        <v/>
      </c>
      <c r="Q40" s="48" t="str">
        <f t="array" ref="Q40">_xlfn.XLOOKUP(B40,'Up Stats'!A:A,'Up Stats'!E:E,)</f>
        <v/>
      </c>
      <c r="R40" s="40" t="str">
        <f>IFERROR(__xludf.DUMMYFUNCTION("if(AND(S40=FALSE,T40=FALSE),,if(S40=T40,JOIN("""",""Static: "",S40),JOIN("""",""Min:  "",S40, CHAR(10),""Max: "",T40)))"),"")</f>
        <v/>
      </c>
      <c r="S40" s="42" t="str">
        <f t="array" ref="S40">_xlfn.XLOOKUP(B40,'Up Min'!A:A,'Up Min'!E:E,)</f>
        <v/>
      </c>
      <c r="T40" s="42" t="str">
        <f t="array" ref="T40">_xlfn.XLOOKUP(B40,'Up Max'!A:A,'Up Max'!E:E,)</f>
        <v/>
      </c>
      <c r="U40" s="48" t="str">
        <f t="array" ref="U40">_xlfn.XLOOKUP(B40,'Up Stats'!A:A,'Up Stats'!F:F,)</f>
        <v/>
      </c>
      <c r="V40" s="40" t="str">
        <f>IFERROR(__xludf.DUMMYFUNCTION("if(AND(W40=FALSE,X40=FALSE),,if(W40=X40,JOIN("""",""Static: "",W40),JOIN("""",""Min:  "",W40, CHAR(10),""Max: "",X40)))"),"")</f>
        <v/>
      </c>
      <c r="W40" s="42" t="str">
        <f t="array" ref="W40">_xlfn.XLOOKUP(B40,'Up Min'!A:A,'Up Min'!F:F,)</f>
        <v/>
      </c>
      <c r="X40" s="42" t="str">
        <f t="array" ref="X40">_xlfn.XLOOKUP(B40,'Up Max'!A:A,'Up Max'!F:F,)</f>
        <v/>
      </c>
      <c r="Y40" s="48" t="str">
        <f t="array" ref="Y40">_xlfn.XLOOKUP(B40,'Up Stats'!A:A,'Up Stats'!G:G,)</f>
        <v/>
      </c>
      <c r="Z40" s="40" t="str">
        <f>IFERROR(__xludf.DUMMYFUNCTION("if(AND(AA40=FALSE,AB40=FALSE),,if(AA40=AB40,JOIN("""",""Static: "",AA40),JOIN("""",""Min:  "",AA40, CHAR(10),""Max: "",AB40)))"),"")</f>
        <v/>
      </c>
      <c r="AA40" s="42" t="str">
        <f t="array" ref="AA40">_xlfn.XLOOKUP(B40,'Up Min'!A:A,'Up Min'!G:G,)</f>
        <v/>
      </c>
      <c r="AB40" s="42" t="str">
        <f t="array" ref="AB40">_xlfn.XLOOKUP(B40,'Up Max'!A:A,'Up Max'!G:G,)</f>
        <v/>
      </c>
      <c r="AC40" s="48" t="str">
        <f t="array" ref="AC40">_xlfn.XLOOKUP(B40,'Up Stats'!A:A,'Up Stats'!H:H,)</f>
        <v/>
      </c>
      <c r="AD40" s="40" t="str">
        <f>IFERROR(__xludf.DUMMYFUNCTION("if(AND(AE40=FALSE,AF40=FALSE),,if(AE40=AF40,JOIN("""",""Static: "",AE40),JOIN("""",""Min:  "",AE40, CHAR(10),""Max: "",AF40)))"),"")</f>
        <v/>
      </c>
      <c r="AE40" s="42" t="str">
        <f t="array" ref="AE40">_xlfn.XLOOKUP(B40,'Up Min'!A:A,'Up Min'!H:H,)</f>
        <v/>
      </c>
      <c r="AF40" s="42" t="str">
        <f t="array" ref="AF40">_xlfn.XLOOKUP(B40,'Up Max'!A:A,'Up Max'!H:H,)</f>
        <v/>
      </c>
      <c r="AG40" s="48" t="str">
        <f t="array" ref="AG40">_xlfn.XLOOKUP(B40,'Up Stats'!A:A,'Up Stats'!I:I,)</f>
        <v/>
      </c>
      <c r="AH40" s="40" t="str">
        <f>IFERROR(__xludf.DUMMYFUNCTION("if(AND(AI40=FALSE,AJ40=FALSE),,if(AI40=AJ40,JOIN("""",""Static: "",AI40),JOIN("""",""Min:  "",AI40, CHAR(10),""Max: "",AJ40)))"),"")</f>
        <v/>
      </c>
      <c r="AI40" s="42" t="str">
        <f t="array" ref="AI40">_xlfn.XLOOKUP(B40,'Up Min'!A:A,'Up Min'!I:I,)</f>
        <v/>
      </c>
      <c r="AJ40" s="42" t="str">
        <f t="array" ref="AJ40">_xlfn.XLOOKUP(B40,'Up Max'!A:A,'Up Max'!I:I,)</f>
        <v/>
      </c>
      <c r="AK40" s="48" t="str">
        <f t="array" ref="AK40">_xlfn.XLOOKUP(B40,'Up Stats'!A:A,'Up Stats'!J:J,)</f>
        <v/>
      </c>
      <c r="AL40" s="40" t="str">
        <f>IFERROR(__xludf.DUMMYFUNCTION("if(AND(AM40=FALSE,AN40=FALSE),,if(AM40=AN40,JOIN("""",""Static: "",AM40),JOIN("""",""Min:  "",AM40, CHAR(10),""Max: "",AN40)))"),"")</f>
        <v/>
      </c>
      <c r="AM40" s="42" t="str">
        <f t="array" ref="AM40">_xlfn.XLOOKUP(B40,'Up Min'!A:A,'Up Min'!J:J,)</f>
        <v/>
      </c>
      <c r="AN40" s="42" t="str">
        <f t="array" ref="AN40">_xlfn.XLOOKUP(B40,'Up Max'!A:A,'Up Max'!J:J,)</f>
        <v/>
      </c>
      <c r="AO40" s="34" t="str">
        <f t="array" ref="AO40">CONCATENATE(_xlfn.XLOOKUP(B40,'Up Cells'!A:A,'Up Cells'!B:B,))</f>
        <v/>
      </c>
      <c r="AP40" s="34" t="str">
        <f t="array" ref="AP40">CONCATENATE(_xlfn.XLOOKUP(B40,'Up Rarity'!A:A,'Up Rarity'!B:B,),CHAR(10),"-")</f>
        <v>
-</v>
      </c>
    </row>
    <row r="41">
      <c r="A41" s="86" t="str">
        <f t="array" ref="A41">_xlfn.XLOOKUP(B41,'Up Icon'!A:A,'Up Icon'!B:B,)</f>
        <v/>
      </c>
      <c r="B41" s="51" t="str">
        <f t="array" ref="B41">HYPERLINK(_xlfn.XLOOKUP('Up Names'!D41,'Up Wiki'!A:A,'Up Wiki'!B:B,),'Up Names'!D41)</f>
        <v/>
      </c>
      <c r="C41" s="52" t="str">
        <f t="array" ref="C41">_xlfn.XLOOKUP(B41,'Up Desc'!A:A,'Up Desc'!B:B,)</f>
        <v/>
      </c>
      <c r="D41" s="52" t="str">
        <f t="array" ref="D41">_xlfn.XLOOKUP(B41,'Up Turbo'!A:A,'Up Turbo'!B:B,)</f>
        <v/>
      </c>
      <c r="E41" s="53" t="str">
        <f t="array" ref="E41">_xlfn.XLOOKUP(B41,'Up Stats'!A:A,'Up Stats'!B:B,)</f>
        <v/>
      </c>
      <c r="F41" s="54" t="str">
        <f>IFERROR(__xludf.DUMMYFUNCTION("if(AND(G41=FALSE,H41=FALSE),,if(G41=H41,JOIN("""",""Static: "",G41),JOIN("""",""Min:  "",G41, CHAR(10),""Max: "",H41)))"),"")</f>
        <v/>
      </c>
      <c r="G41" s="55" t="str">
        <f t="array" ref="G41">_xlfn.XLOOKUP(B41,'Up Min'!A:A,'Up Min'!B:B,)</f>
        <v/>
      </c>
      <c r="H41" s="56" t="str">
        <f t="array" ref="H41">_xlfn.XLOOKUP(B41,'Up Max'!A:A,'Up Max'!B:B,)</f>
        <v/>
      </c>
      <c r="I41" s="53" t="str">
        <f t="array" ref="I41">_xlfn.XLOOKUP(B41,'Up Stats'!A:A,'Up Stats'!C:C,)</f>
        <v/>
      </c>
      <c r="J41" s="54" t="str">
        <f>IFERROR(__xludf.DUMMYFUNCTION("if(AND(K41=FALSE,L41=FALSE),,if(K41=L41,JOIN("""",""Static: "",K41),JOIN("""",""Min:  "",K41, CHAR(10),""Max: "",L41)))"),"")</f>
        <v/>
      </c>
      <c r="K41" s="55" t="str">
        <f t="array" ref="K41">_xlfn.XLOOKUP(B41,'Up Min'!A:A,'Up Min'!C:C,)</f>
        <v/>
      </c>
      <c r="L41" s="55" t="str">
        <f t="array" ref="L41">_xlfn.XLOOKUP(B41,'Up Max'!A:A,'Up Max'!C:C,)</f>
        <v/>
      </c>
      <c r="M41" s="53" t="str">
        <f t="array" ref="M41">_xlfn.XLOOKUP(B41,'Up Stats'!A:A,'Up Stats'!D:D,)</f>
        <v/>
      </c>
      <c r="N41" s="54" t="str">
        <f>IFERROR(__xludf.DUMMYFUNCTION("if(AND(O41=FALSE,P41=FALSE),,if(O41=P41,JOIN("""",""Static: "",O41),JOIN("""",""Min:  "",O41, CHAR(10),""Max: "",P41)))"),"")</f>
        <v/>
      </c>
      <c r="O41" s="55" t="str">
        <f t="array" ref="O41">_xlfn.XLOOKUP(B41,'Up Min'!A:A,'Up Min'!D:D,)</f>
        <v/>
      </c>
      <c r="P41" s="55" t="str">
        <f t="array" ref="P41">_xlfn.XLOOKUP(B41,'Up Max'!A:A,'Up Max'!D:D,)</f>
        <v/>
      </c>
      <c r="Q41" s="57" t="str">
        <f t="array" ref="Q41">_xlfn.XLOOKUP(B41,'Up Stats'!A:A,'Up Stats'!E:E,)</f>
        <v/>
      </c>
      <c r="R41" s="54" t="str">
        <f>IFERROR(__xludf.DUMMYFUNCTION("if(AND(S41=FALSE,T41=FALSE),,if(S41=T41,JOIN("""",""Static: "",S41),JOIN("""",""Min:  "",S41, CHAR(10),""Max: "",T41)))"),"")</f>
        <v/>
      </c>
      <c r="S41" s="55" t="str">
        <f t="array" ref="S41">_xlfn.XLOOKUP(B41,'Up Min'!A:A,'Up Min'!E:E,)</f>
        <v/>
      </c>
      <c r="T41" s="55" t="str">
        <f t="array" ref="T41">_xlfn.XLOOKUP(B41,'Up Max'!A:A,'Up Max'!E:E,)</f>
        <v/>
      </c>
      <c r="U41" s="57" t="str">
        <f t="array" ref="U41">_xlfn.XLOOKUP(B41,'Up Stats'!A:A,'Up Stats'!F:F,)</f>
        <v/>
      </c>
      <c r="V41" s="54" t="str">
        <f>IFERROR(__xludf.DUMMYFUNCTION("if(AND(W41=FALSE,X41=FALSE),,if(W41=X41,JOIN("""",""Static: "",W41),JOIN("""",""Min:  "",W41, CHAR(10),""Max: "",X41)))"),"")</f>
        <v/>
      </c>
      <c r="W41" s="55" t="str">
        <f t="array" ref="W41">_xlfn.XLOOKUP(B41,'Up Min'!A:A,'Up Min'!F:F,)</f>
        <v/>
      </c>
      <c r="X41" s="55" t="str">
        <f t="array" ref="X41">_xlfn.XLOOKUP(B41,'Up Max'!A:A,'Up Max'!F:F,)</f>
        <v/>
      </c>
      <c r="Y41" s="57" t="str">
        <f t="array" ref="Y41">_xlfn.XLOOKUP(B41,'Up Stats'!A:A,'Up Stats'!G:G,)</f>
        <v/>
      </c>
      <c r="Z41" s="54" t="str">
        <f>IFERROR(__xludf.DUMMYFUNCTION("if(AND(AA41=FALSE,AB41=FALSE),,if(AA41=AB41,JOIN("""",""Static: "",AA41),JOIN("""",""Min:  "",AA41, CHAR(10),""Max: "",AB41)))"),"")</f>
        <v/>
      </c>
      <c r="AA41" s="55" t="str">
        <f t="array" ref="AA41">_xlfn.XLOOKUP(B41,'Up Min'!A:A,'Up Min'!G:G,)</f>
        <v/>
      </c>
      <c r="AB41" s="55" t="str">
        <f t="array" ref="AB41">_xlfn.XLOOKUP(B41,'Up Max'!A:A,'Up Max'!G:G,)</f>
        <v/>
      </c>
      <c r="AC41" s="57" t="str">
        <f t="array" ref="AC41">_xlfn.XLOOKUP(B41,'Up Stats'!A:A,'Up Stats'!H:H,)</f>
        <v/>
      </c>
      <c r="AD41" s="54" t="str">
        <f>IFERROR(__xludf.DUMMYFUNCTION("if(AND(AE41=FALSE,AF41=FALSE),,if(AE41=AF41,JOIN("""",""Static: "",AE41),JOIN("""",""Min:  "",AE41, CHAR(10),""Max: "",AF41)))"),"")</f>
        <v/>
      </c>
      <c r="AE41" s="55" t="str">
        <f t="array" ref="AE41">_xlfn.XLOOKUP(B41,'Up Min'!A:A,'Up Min'!H:H,)</f>
        <v/>
      </c>
      <c r="AF41" s="55" t="str">
        <f t="array" ref="AF41">_xlfn.XLOOKUP(B41,'Up Max'!A:A,'Up Max'!H:H,)</f>
        <v/>
      </c>
      <c r="AG41" s="57" t="str">
        <f t="array" ref="AG41">_xlfn.XLOOKUP(B41,'Up Stats'!A:A,'Up Stats'!I:I,)</f>
        <v/>
      </c>
      <c r="AH41" s="54" t="str">
        <f>IFERROR(__xludf.DUMMYFUNCTION("if(AND(AI41=FALSE,AJ41=FALSE),,if(AI41=AJ41,JOIN("""",""Static: "",AI41),JOIN("""",""Min:  "",AI41, CHAR(10),""Max: "",AJ41)))"),"")</f>
        <v/>
      </c>
      <c r="AI41" s="55" t="str">
        <f t="array" ref="AI41">_xlfn.XLOOKUP(B41,'Up Min'!A:A,'Up Min'!I:I,)</f>
        <v/>
      </c>
      <c r="AJ41" s="55" t="str">
        <f t="array" ref="AJ41">_xlfn.XLOOKUP(B41,'Up Max'!A:A,'Up Max'!I:I,)</f>
        <v/>
      </c>
      <c r="AK41" s="57" t="str">
        <f t="array" ref="AK41">_xlfn.XLOOKUP(B41,'Up Stats'!A:A,'Up Stats'!J:J,)</f>
        <v/>
      </c>
      <c r="AL41" s="54" t="str">
        <f>IFERROR(__xludf.DUMMYFUNCTION("if(AND(AM41=FALSE,AN41=FALSE),,if(AM41=AN41,JOIN("""",""Static: "",AM41),JOIN("""",""Min:  "",AM41, CHAR(10),""Max: "",AN41)))"),"")</f>
        <v/>
      </c>
      <c r="AM41" s="55" t="str">
        <f t="array" ref="AM41">_xlfn.XLOOKUP(B41,'Up Min'!A:A,'Up Min'!J:J,)</f>
        <v/>
      </c>
      <c r="AN41" s="55" t="str">
        <f t="array" ref="AN41">_xlfn.XLOOKUP(B41,'Up Max'!A:A,'Up Max'!J:J,)</f>
        <v/>
      </c>
      <c r="AO41" s="51" t="str">
        <f t="array" ref="AO41">CONCATENATE(_xlfn.XLOOKUP(B41,'Up Cells'!A:A,'Up Cells'!B:B,))</f>
        <v/>
      </c>
      <c r="AP41" s="51" t="str">
        <f t="array" ref="AP41">CONCATENATE(_xlfn.XLOOKUP(B41,'Up Rarity'!A:A,'Up Rarity'!B:B,),CHAR(10),"-")</f>
        <v>
-</v>
      </c>
    </row>
    <row r="42">
      <c r="A42" s="87" t="str">
        <f t="array" ref="A42">_xlfn.XLOOKUP(B42,'Up Icon'!A:A,'Up Icon'!B:B,)</f>
        <v/>
      </c>
      <c r="B42" s="34" t="str">
        <f t="array" ref="B42">HYPERLINK(_xlfn.XLOOKUP('Up Names'!D42,'Up Wiki'!A:A,'Up Wiki'!B:B,),'Up Names'!D42)</f>
        <v/>
      </c>
      <c r="C42" s="37" t="str">
        <f t="array" ref="C42">_xlfn.XLOOKUP(B42,'Up Desc'!A:A,'Up Desc'!B:B,)</f>
        <v/>
      </c>
      <c r="D42" s="37" t="str">
        <f t="array" ref="D42">_xlfn.XLOOKUP(B42,'Up Turbo'!A:A,'Up Turbo'!B:B,)</f>
        <v/>
      </c>
      <c r="E42" s="39" t="str">
        <f t="array" ref="E42">_xlfn.XLOOKUP(B42,'Up Stats'!A:A,'Up Stats'!B:B,)</f>
        <v/>
      </c>
      <c r="F42" s="40" t="str">
        <f>IFERROR(__xludf.DUMMYFUNCTION("if(AND(G42=FALSE,H42=FALSE),,if(G42=H42,JOIN("""",""Static: "",G42),JOIN("""",""Min:  "",G42, CHAR(10),""Max: "",H42)))"),"")</f>
        <v/>
      </c>
      <c r="G42" s="42" t="str">
        <f t="array" ref="G42">_xlfn.XLOOKUP(B42,'Up Min'!A:A,'Up Min'!B:B,)</f>
        <v/>
      </c>
      <c r="H42" s="45" t="str">
        <f t="array" ref="H42">_xlfn.XLOOKUP(B42,'Up Max'!A:A,'Up Max'!B:B,)</f>
        <v/>
      </c>
      <c r="I42" s="39" t="str">
        <f t="array" ref="I42">_xlfn.XLOOKUP(B42,'Up Stats'!A:A,'Up Stats'!C:C,)</f>
        <v/>
      </c>
      <c r="J42" s="40" t="str">
        <f>IFERROR(__xludf.DUMMYFUNCTION("if(AND(K42=FALSE,L42=FALSE),,if(K42=L42,JOIN("""",""Static: "",K42),JOIN("""",""Min:  "",K42, CHAR(10),""Max: "",L42)))"),"")</f>
        <v/>
      </c>
      <c r="K42" s="42" t="str">
        <f t="array" ref="K42">_xlfn.XLOOKUP(B42,'Up Min'!A:A,'Up Min'!C:C,)</f>
        <v/>
      </c>
      <c r="L42" s="42" t="str">
        <f t="array" ref="L42">_xlfn.XLOOKUP(B42,'Up Max'!A:A,'Up Max'!C:C,)</f>
        <v/>
      </c>
      <c r="M42" s="39" t="str">
        <f t="array" ref="M42">_xlfn.XLOOKUP(B42,'Up Stats'!A:A,'Up Stats'!D:D,)</f>
        <v/>
      </c>
      <c r="N42" s="40" t="str">
        <f>IFERROR(__xludf.DUMMYFUNCTION("if(AND(O42=FALSE,P42=FALSE),,if(O42=P42,JOIN("""",""Static: "",O42),JOIN("""",""Min:  "",O42, CHAR(10),""Max: "",P42)))"),"")</f>
        <v/>
      </c>
      <c r="O42" s="42" t="str">
        <f t="array" ref="O42">_xlfn.XLOOKUP(B42,'Up Min'!A:A,'Up Min'!D:D,)</f>
        <v/>
      </c>
      <c r="P42" s="42" t="str">
        <f t="array" ref="P42">_xlfn.XLOOKUP(B42,'Up Max'!A:A,'Up Max'!D:D,)</f>
        <v/>
      </c>
      <c r="Q42" s="48" t="str">
        <f t="array" ref="Q42">_xlfn.XLOOKUP(B42,'Up Stats'!A:A,'Up Stats'!E:E,)</f>
        <v/>
      </c>
      <c r="R42" s="40" t="str">
        <f>IFERROR(__xludf.DUMMYFUNCTION("if(AND(S42=FALSE,T42=FALSE),,if(S42=T42,JOIN("""",""Static: "",S42),JOIN("""",""Min:  "",S42, CHAR(10),""Max: "",T42)))"),"")</f>
        <v/>
      </c>
      <c r="S42" s="42" t="str">
        <f t="array" ref="S42">_xlfn.XLOOKUP(B42,'Up Min'!A:A,'Up Min'!E:E,)</f>
        <v/>
      </c>
      <c r="T42" s="42" t="str">
        <f t="array" ref="T42">_xlfn.XLOOKUP(B42,'Up Max'!A:A,'Up Max'!E:E,)</f>
        <v/>
      </c>
      <c r="U42" s="48" t="str">
        <f t="array" ref="U42">_xlfn.XLOOKUP(B42,'Up Stats'!A:A,'Up Stats'!F:F,)</f>
        <v/>
      </c>
      <c r="V42" s="40" t="str">
        <f>IFERROR(__xludf.DUMMYFUNCTION("if(AND(W42=FALSE,X42=FALSE),,if(W42=X42,JOIN("""",""Static: "",W42),JOIN("""",""Min:  "",W42, CHAR(10),""Max: "",X42)))"),"")</f>
        <v/>
      </c>
      <c r="W42" s="42" t="str">
        <f t="array" ref="W42">_xlfn.XLOOKUP(B42,'Up Min'!A:A,'Up Min'!F:F,)</f>
        <v/>
      </c>
      <c r="X42" s="42" t="str">
        <f t="array" ref="X42">_xlfn.XLOOKUP(B42,'Up Max'!A:A,'Up Max'!F:F,)</f>
        <v/>
      </c>
      <c r="Y42" s="48" t="str">
        <f t="array" ref="Y42">_xlfn.XLOOKUP(B42,'Up Stats'!A:A,'Up Stats'!G:G,)</f>
        <v/>
      </c>
      <c r="Z42" s="40" t="str">
        <f>IFERROR(__xludf.DUMMYFUNCTION("if(AND(AA42=FALSE,AB42=FALSE),,if(AA42=AB42,JOIN("""",""Static: "",AA42),JOIN("""",""Min:  "",AA42, CHAR(10),""Max: "",AB42)))"),"")</f>
        <v/>
      </c>
      <c r="AA42" s="42" t="str">
        <f t="array" ref="AA42">_xlfn.XLOOKUP(B42,'Up Min'!A:A,'Up Min'!G:G,)</f>
        <v/>
      </c>
      <c r="AB42" s="42" t="str">
        <f t="array" ref="AB42">_xlfn.XLOOKUP(B42,'Up Max'!A:A,'Up Max'!G:G,)</f>
        <v/>
      </c>
      <c r="AC42" s="48" t="str">
        <f t="array" ref="AC42">_xlfn.XLOOKUP(B42,'Up Stats'!A:A,'Up Stats'!H:H,)</f>
        <v/>
      </c>
      <c r="AD42" s="40" t="str">
        <f>IFERROR(__xludf.DUMMYFUNCTION("if(AND(AE42=FALSE,AF42=FALSE),,if(AE42=AF42,JOIN("""",""Static: "",AE42),JOIN("""",""Min:  "",AE42, CHAR(10),""Max: "",AF42)))"),"")</f>
        <v/>
      </c>
      <c r="AE42" s="42" t="str">
        <f t="array" ref="AE42">_xlfn.XLOOKUP(B42,'Up Min'!A:A,'Up Min'!H:H,)</f>
        <v/>
      </c>
      <c r="AF42" s="42" t="str">
        <f t="array" ref="AF42">_xlfn.XLOOKUP(B42,'Up Max'!A:A,'Up Max'!H:H,)</f>
        <v/>
      </c>
      <c r="AG42" s="48" t="str">
        <f t="array" ref="AG42">_xlfn.XLOOKUP(B42,'Up Stats'!A:A,'Up Stats'!I:I,)</f>
        <v/>
      </c>
      <c r="AH42" s="40" t="str">
        <f>IFERROR(__xludf.DUMMYFUNCTION("if(AND(AI42=FALSE,AJ42=FALSE),,if(AI42=AJ42,JOIN("""",""Static: "",AI42),JOIN("""",""Min:  "",AI42, CHAR(10),""Max: "",AJ42)))"),"")</f>
        <v/>
      </c>
      <c r="AI42" s="42" t="str">
        <f t="array" ref="AI42">_xlfn.XLOOKUP(B42,'Up Min'!A:A,'Up Min'!I:I,)</f>
        <v/>
      </c>
      <c r="AJ42" s="42" t="str">
        <f t="array" ref="AJ42">_xlfn.XLOOKUP(B42,'Up Max'!A:A,'Up Max'!I:I,)</f>
        <v/>
      </c>
      <c r="AK42" s="48" t="str">
        <f t="array" ref="AK42">_xlfn.XLOOKUP(B42,'Up Stats'!A:A,'Up Stats'!J:J,)</f>
        <v/>
      </c>
      <c r="AL42" s="40" t="str">
        <f>IFERROR(__xludf.DUMMYFUNCTION("if(AND(AM42=FALSE,AN42=FALSE),,if(AM42=AN42,JOIN("""",""Static: "",AM42),JOIN("""",""Min:  "",AM42, CHAR(10),""Max: "",AN42)))"),"")</f>
        <v/>
      </c>
      <c r="AM42" s="42" t="str">
        <f t="array" ref="AM42">_xlfn.XLOOKUP(B42,'Up Min'!A:A,'Up Min'!J:J,)</f>
        <v/>
      </c>
      <c r="AN42" s="42" t="str">
        <f t="array" ref="AN42">_xlfn.XLOOKUP(B42,'Up Max'!A:A,'Up Max'!J:J,)</f>
        <v/>
      </c>
      <c r="AO42" s="34" t="str">
        <f t="array" ref="AO42">CONCATENATE(_xlfn.XLOOKUP(B42,'Up Cells'!A:A,'Up Cells'!B:B,))</f>
        <v/>
      </c>
      <c r="AP42" s="34" t="str">
        <f t="array" ref="AP42">CONCATENATE(_xlfn.XLOOKUP(B42,'Up Rarity'!A:A,'Up Rarity'!B:B,),CHAR(10),"-")</f>
        <v>
-</v>
      </c>
    </row>
    <row r="43">
      <c r="A43" s="86" t="str">
        <f t="array" ref="A43">_xlfn.XLOOKUP(B43,'Up Icon'!A:A,'Up Icon'!B:B,)</f>
        <v/>
      </c>
      <c r="B43" s="51" t="str">
        <f t="array" ref="B43">HYPERLINK(_xlfn.XLOOKUP('Up Names'!D43,'Up Wiki'!A:A,'Up Wiki'!B:B,),'Up Names'!D43)</f>
        <v/>
      </c>
      <c r="C43" s="52" t="str">
        <f t="array" ref="C43">_xlfn.XLOOKUP(B43,'Up Desc'!A:A,'Up Desc'!B:B,)</f>
        <v/>
      </c>
      <c r="D43" s="52" t="str">
        <f t="array" ref="D43">_xlfn.XLOOKUP(B43,'Up Turbo'!A:A,'Up Turbo'!B:B,)</f>
        <v/>
      </c>
      <c r="E43" s="53" t="str">
        <f t="array" ref="E43">_xlfn.XLOOKUP(B43,'Up Stats'!A:A,'Up Stats'!B:B,)</f>
        <v/>
      </c>
      <c r="F43" s="54" t="str">
        <f>IFERROR(__xludf.DUMMYFUNCTION("if(AND(G43=FALSE,H43=FALSE),,if(G43=H43,JOIN("""",""Static: "",G43),JOIN("""",""Min:  "",G43, CHAR(10),""Max: "",H43)))"),"")</f>
        <v/>
      </c>
      <c r="G43" s="55" t="str">
        <f t="array" ref="G43">_xlfn.XLOOKUP(B43,'Up Min'!A:A,'Up Min'!B:B,)</f>
        <v/>
      </c>
      <c r="H43" s="56" t="str">
        <f t="array" ref="H43">_xlfn.XLOOKUP(B43,'Up Max'!A:A,'Up Max'!B:B,)</f>
        <v/>
      </c>
      <c r="I43" s="53" t="str">
        <f t="array" ref="I43">_xlfn.XLOOKUP(B43,'Up Stats'!A:A,'Up Stats'!C:C,)</f>
        <v/>
      </c>
      <c r="J43" s="54" t="str">
        <f>IFERROR(__xludf.DUMMYFUNCTION("if(AND(K43=FALSE,L43=FALSE),,if(K43=L43,JOIN("""",""Static: "",K43),JOIN("""",""Min:  "",K43, CHAR(10),""Max: "",L43)))"),"")</f>
        <v/>
      </c>
      <c r="K43" s="55" t="str">
        <f t="array" ref="K43">_xlfn.XLOOKUP(B43,'Up Min'!A:A,'Up Min'!C:C,)</f>
        <v/>
      </c>
      <c r="L43" s="55" t="str">
        <f t="array" ref="L43">_xlfn.XLOOKUP(B43,'Up Max'!A:A,'Up Max'!C:C,)</f>
        <v/>
      </c>
      <c r="M43" s="53" t="str">
        <f t="array" ref="M43">_xlfn.XLOOKUP(B43,'Up Stats'!A:A,'Up Stats'!D:D,)</f>
        <v/>
      </c>
      <c r="N43" s="54" t="str">
        <f>IFERROR(__xludf.DUMMYFUNCTION("if(AND(O43=FALSE,P43=FALSE),,if(O43=P43,JOIN("""",""Static: "",O43),JOIN("""",""Min:  "",O43, CHAR(10),""Max: "",P43)))"),"")</f>
        <v/>
      </c>
      <c r="O43" s="55" t="str">
        <f t="array" ref="O43">_xlfn.XLOOKUP(B43,'Up Min'!A:A,'Up Min'!D:D,)</f>
        <v/>
      </c>
      <c r="P43" s="55" t="str">
        <f t="array" ref="P43">_xlfn.XLOOKUP(B43,'Up Max'!A:A,'Up Max'!D:D,)</f>
        <v/>
      </c>
      <c r="Q43" s="57" t="str">
        <f t="array" ref="Q43">_xlfn.XLOOKUP(B43,'Up Stats'!A:A,'Up Stats'!E:E,)</f>
        <v/>
      </c>
      <c r="R43" s="54" t="str">
        <f>IFERROR(__xludf.DUMMYFUNCTION("if(AND(S43=FALSE,T43=FALSE),,if(S43=T43,JOIN("""",""Static: "",S43),JOIN("""",""Min:  "",S43, CHAR(10),""Max: "",T43)))"),"")</f>
        <v/>
      </c>
      <c r="S43" s="55" t="str">
        <f t="array" ref="S43">_xlfn.XLOOKUP(B43,'Up Min'!A:A,'Up Min'!E:E,)</f>
        <v/>
      </c>
      <c r="T43" s="55" t="str">
        <f t="array" ref="T43">_xlfn.XLOOKUP(B43,'Up Max'!A:A,'Up Max'!E:E,)</f>
        <v/>
      </c>
      <c r="U43" s="57" t="str">
        <f t="array" ref="U43">_xlfn.XLOOKUP(B43,'Up Stats'!A:A,'Up Stats'!F:F,)</f>
        <v/>
      </c>
      <c r="V43" s="54" t="str">
        <f>IFERROR(__xludf.DUMMYFUNCTION("if(AND(W43=FALSE,X43=FALSE),,if(W43=X43,JOIN("""",""Static: "",W43),JOIN("""",""Min:  "",W43, CHAR(10),""Max: "",X43)))"),"")</f>
        <v/>
      </c>
      <c r="W43" s="55" t="str">
        <f t="array" ref="W43">_xlfn.XLOOKUP(B43,'Up Min'!A:A,'Up Min'!F:F,)</f>
        <v/>
      </c>
      <c r="X43" s="55" t="str">
        <f t="array" ref="X43">_xlfn.XLOOKUP(B43,'Up Max'!A:A,'Up Max'!F:F,)</f>
        <v/>
      </c>
      <c r="Y43" s="57" t="str">
        <f t="array" ref="Y43">_xlfn.XLOOKUP(B43,'Up Stats'!A:A,'Up Stats'!G:G,)</f>
        <v/>
      </c>
      <c r="Z43" s="54" t="str">
        <f>IFERROR(__xludf.DUMMYFUNCTION("if(AND(AA43=FALSE,AB43=FALSE),,if(AA43=AB43,JOIN("""",""Static: "",AA43),JOIN("""",""Min:  "",AA43, CHAR(10),""Max: "",AB43)))"),"")</f>
        <v/>
      </c>
      <c r="AA43" s="55" t="str">
        <f t="array" ref="AA43">_xlfn.XLOOKUP(B43,'Up Min'!A:A,'Up Min'!G:G,)</f>
        <v/>
      </c>
      <c r="AB43" s="55" t="str">
        <f t="array" ref="AB43">_xlfn.XLOOKUP(B43,'Up Max'!A:A,'Up Max'!G:G,)</f>
        <v/>
      </c>
      <c r="AC43" s="57" t="str">
        <f t="array" ref="AC43">_xlfn.XLOOKUP(B43,'Up Stats'!A:A,'Up Stats'!H:H,)</f>
        <v/>
      </c>
      <c r="AD43" s="54" t="str">
        <f>IFERROR(__xludf.DUMMYFUNCTION("if(AND(AE43=FALSE,AF43=FALSE),,if(AE43=AF43,JOIN("""",""Static: "",AE43),JOIN("""",""Min:  "",AE43, CHAR(10),""Max: "",AF43)))"),"")</f>
        <v/>
      </c>
      <c r="AE43" s="55" t="str">
        <f t="array" ref="AE43">_xlfn.XLOOKUP(B43,'Up Min'!A:A,'Up Min'!H:H,)</f>
        <v/>
      </c>
      <c r="AF43" s="55" t="str">
        <f t="array" ref="AF43">_xlfn.XLOOKUP(B43,'Up Max'!A:A,'Up Max'!H:H,)</f>
        <v/>
      </c>
      <c r="AG43" s="57" t="str">
        <f t="array" ref="AG43">_xlfn.XLOOKUP(B43,'Up Stats'!A:A,'Up Stats'!I:I,)</f>
        <v/>
      </c>
      <c r="AH43" s="54" t="str">
        <f>IFERROR(__xludf.DUMMYFUNCTION("if(AND(AI43=FALSE,AJ43=FALSE),,if(AI43=AJ43,JOIN("""",""Static: "",AI43),JOIN("""",""Min:  "",AI43, CHAR(10),""Max: "",AJ43)))"),"")</f>
        <v/>
      </c>
      <c r="AI43" s="55" t="str">
        <f t="array" ref="AI43">_xlfn.XLOOKUP(B43,'Up Min'!A:A,'Up Min'!I:I,)</f>
        <v/>
      </c>
      <c r="AJ43" s="55" t="str">
        <f t="array" ref="AJ43">_xlfn.XLOOKUP(B43,'Up Max'!A:A,'Up Max'!I:I,)</f>
        <v/>
      </c>
      <c r="AK43" s="57" t="str">
        <f t="array" ref="AK43">_xlfn.XLOOKUP(B43,'Up Stats'!A:A,'Up Stats'!J:J,)</f>
        <v/>
      </c>
      <c r="AL43" s="54" t="str">
        <f>IFERROR(__xludf.DUMMYFUNCTION("if(AND(AM43=FALSE,AN43=FALSE),,if(AM43=AN43,JOIN("""",""Static: "",AM43),JOIN("""",""Min:  "",AM43, CHAR(10),""Max: "",AN43)))"),"")</f>
        <v/>
      </c>
      <c r="AM43" s="55" t="str">
        <f t="array" ref="AM43">_xlfn.XLOOKUP(B43,'Up Min'!A:A,'Up Min'!J:J,)</f>
        <v/>
      </c>
      <c r="AN43" s="55" t="str">
        <f t="array" ref="AN43">_xlfn.XLOOKUP(B43,'Up Max'!A:A,'Up Max'!J:J,)</f>
        <v/>
      </c>
      <c r="AO43" s="51" t="str">
        <f t="array" ref="AO43">CONCATENATE(_xlfn.XLOOKUP(B43,'Up Cells'!A:A,'Up Cells'!B:B,))</f>
        <v/>
      </c>
      <c r="AP43" s="51" t="str">
        <f t="array" ref="AP43">CONCATENATE(_xlfn.XLOOKUP(B43,'Up Rarity'!A:A,'Up Rarity'!B:B,),CHAR(10),"-")</f>
        <v>
-</v>
      </c>
    </row>
    <row r="44">
      <c r="A44" s="87" t="str">
        <f t="array" ref="A44">_xlfn.XLOOKUP(B44,'Up Icon'!A:A,'Up Icon'!B:B,)</f>
        <v/>
      </c>
      <c r="B44" s="34" t="str">
        <f t="array" ref="B44">HYPERLINK(_xlfn.XLOOKUP('Up Names'!D44,'Up Wiki'!A:A,'Up Wiki'!B:B,),'Up Names'!D44)</f>
        <v/>
      </c>
      <c r="C44" s="37" t="str">
        <f t="array" ref="C44">_xlfn.XLOOKUP(B44,'Up Desc'!A:A,'Up Desc'!B:B,)</f>
        <v/>
      </c>
      <c r="D44" s="37" t="str">
        <f t="array" ref="D44">_xlfn.XLOOKUP(B44,'Up Turbo'!A:A,'Up Turbo'!B:B,)</f>
        <v/>
      </c>
      <c r="E44" s="39" t="str">
        <f t="array" ref="E44">_xlfn.XLOOKUP(B44,'Up Stats'!A:A,'Up Stats'!B:B,)</f>
        <v/>
      </c>
      <c r="F44" s="40" t="str">
        <f>IFERROR(__xludf.DUMMYFUNCTION("if(AND(G44=FALSE,H44=FALSE),,if(G44=H44,JOIN("""",""Static: "",G44),JOIN("""",""Min:  "",G44, CHAR(10),""Max: "",H44)))"),"")</f>
        <v/>
      </c>
      <c r="G44" s="42" t="str">
        <f t="array" ref="G44">_xlfn.XLOOKUP(B44,'Up Min'!A:A,'Up Min'!B:B,)</f>
        <v/>
      </c>
      <c r="H44" s="45" t="str">
        <f t="array" ref="H44">_xlfn.XLOOKUP(B44,'Up Max'!A:A,'Up Max'!B:B,)</f>
        <v/>
      </c>
      <c r="I44" s="39" t="str">
        <f t="array" ref="I44">_xlfn.XLOOKUP(B44,'Up Stats'!A:A,'Up Stats'!C:C,)</f>
        <v/>
      </c>
      <c r="J44" s="40" t="str">
        <f>IFERROR(__xludf.DUMMYFUNCTION("if(AND(K44=FALSE,L44=FALSE),,if(K44=L44,JOIN("""",""Static: "",K44),JOIN("""",""Min:  "",K44, CHAR(10),""Max: "",L44)))"),"")</f>
        <v/>
      </c>
      <c r="K44" s="42" t="str">
        <f t="array" ref="K44">_xlfn.XLOOKUP(B44,'Up Min'!A:A,'Up Min'!C:C,)</f>
        <v/>
      </c>
      <c r="L44" s="42" t="str">
        <f t="array" ref="L44">_xlfn.XLOOKUP(B44,'Up Max'!A:A,'Up Max'!C:C,)</f>
        <v/>
      </c>
      <c r="M44" s="39" t="str">
        <f t="array" ref="M44">_xlfn.XLOOKUP(B44,'Up Stats'!A:A,'Up Stats'!D:D,)</f>
        <v/>
      </c>
      <c r="N44" s="40" t="str">
        <f>IFERROR(__xludf.DUMMYFUNCTION("if(AND(O44=FALSE,P44=FALSE),,if(O44=P44,JOIN("""",""Static: "",O44),JOIN("""",""Min:  "",O44, CHAR(10),""Max: "",P44)))"),"")</f>
        <v/>
      </c>
      <c r="O44" s="42" t="str">
        <f t="array" ref="O44">_xlfn.XLOOKUP(B44,'Up Min'!A:A,'Up Min'!D:D,)</f>
        <v/>
      </c>
      <c r="P44" s="42" t="str">
        <f t="array" ref="P44">_xlfn.XLOOKUP(B44,'Up Max'!A:A,'Up Max'!D:D,)</f>
        <v/>
      </c>
      <c r="Q44" s="48" t="str">
        <f t="array" ref="Q44">_xlfn.XLOOKUP(B44,'Up Stats'!A:A,'Up Stats'!E:E,)</f>
        <v/>
      </c>
      <c r="R44" s="40" t="str">
        <f>IFERROR(__xludf.DUMMYFUNCTION("if(AND(S44=FALSE,T44=FALSE),,if(S44=T44,JOIN("""",""Static: "",S44),JOIN("""",""Min:  "",S44, CHAR(10),""Max: "",T44)))"),"")</f>
        <v/>
      </c>
      <c r="S44" s="42" t="str">
        <f t="array" ref="S44">_xlfn.XLOOKUP(B44,'Up Min'!A:A,'Up Min'!E:E,)</f>
        <v/>
      </c>
      <c r="T44" s="42" t="str">
        <f t="array" ref="T44">_xlfn.XLOOKUP(B44,'Up Max'!A:A,'Up Max'!E:E,)</f>
        <v/>
      </c>
      <c r="U44" s="48" t="str">
        <f t="array" ref="U44">_xlfn.XLOOKUP(B44,'Up Stats'!A:A,'Up Stats'!F:F,)</f>
        <v/>
      </c>
      <c r="V44" s="40" t="str">
        <f>IFERROR(__xludf.DUMMYFUNCTION("if(AND(W44=FALSE,X44=FALSE),,if(W44=X44,JOIN("""",""Static: "",W44),JOIN("""",""Min:  "",W44, CHAR(10),""Max: "",X44)))"),"")</f>
        <v/>
      </c>
      <c r="W44" s="42" t="str">
        <f t="array" ref="W44">_xlfn.XLOOKUP(B44,'Up Min'!A:A,'Up Min'!F:F,)</f>
        <v/>
      </c>
      <c r="X44" s="42" t="str">
        <f t="array" ref="X44">_xlfn.XLOOKUP(B44,'Up Max'!A:A,'Up Max'!F:F,)</f>
        <v/>
      </c>
      <c r="Y44" s="48" t="str">
        <f t="array" ref="Y44">_xlfn.XLOOKUP(B44,'Up Stats'!A:A,'Up Stats'!G:G,)</f>
        <v/>
      </c>
      <c r="Z44" s="40" t="str">
        <f>IFERROR(__xludf.DUMMYFUNCTION("if(AND(AA44=FALSE,AB44=FALSE),,if(AA44=AB44,JOIN("""",""Static: "",AA44),JOIN("""",""Min:  "",AA44, CHAR(10),""Max: "",AB44)))"),"")</f>
        <v/>
      </c>
      <c r="AA44" s="42" t="str">
        <f t="array" ref="AA44">_xlfn.XLOOKUP(B44,'Up Min'!A:A,'Up Min'!G:G,)</f>
        <v/>
      </c>
      <c r="AB44" s="42" t="str">
        <f t="array" ref="AB44">_xlfn.XLOOKUP(B44,'Up Max'!A:A,'Up Max'!G:G,)</f>
        <v/>
      </c>
      <c r="AC44" s="48" t="str">
        <f t="array" ref="AC44">_xlfn.XLOOKUP(B44,'Up Stats'!A:A,'Up Stats'!H:H,)</f>
        <v/>
      </c>
      <c r="AD44" s="40" t="str">
        <f>IFERROR(__xludf.DUMMYFUNCTION("if(AND(AE44=FALSE,AF44=FALSE),,if(AE44=AF44,JOIN("""",""Static: "",AE44),JOIN("""",""Min:  "",AE44, CHAR(10),""Max: "",AF44)))"),"")</f>
        <v/>
      </c>
      <c r="AE44" s="42" t="str">
        <f t="array" ref="AE44">_xlfn.XLOOKUP(B44,'Up Min'!A:A,'Up Min'!H:H,)</f>
        <v/>
      </c>
      <c r="AF44" s="42" t="str">
        <f t="array" ref="AF44">_xlfn.XLOOKUP(B44,'Up Max'!A:A,'Up Max'!H:H,)</f>
        <v/>
      </c>
      <c r="AG44" s="48" t="str">
        <f t="array" ref="AG44">_xlfn.XLOOKUP(B44,'Up Stats'!A:A,'Up Stats'!I:I,)</f>
        <v/>
      </c>
      <c r="AH44" s="40" t="str">
        <f>IFERROR(__xludf.DUMMYFUNCTION("if(AND(AI44=FALSE,AJ44=FALSE),,if(AI44=AJ44,JOIN("""",""Static: "",AI44),JOIN("""",""Min:  "",AI44, CHAR(10),""Max: "",AJ44)))"),"")</f>
        <v/>
      </c>
      <c r="AI44" s="42" t="str">
        <f t="array" ref="AI44">_xlfn.XLOOKUP(B44,'Up Min'!A:A,'Up Min'!I:I,)</f>
        <v/>
      </c>
      <c r="AJ44" s="42" t="str">
        <f t="array" ref="AJ44">_xlfn.XLOOKUP(B44,'Up Max'!A:A,'Up Max'!I:I,)</f>
        <v/>
      </c>
      <c r="AK44" s="48" t="str">
        <f t="array" ref="AK44">_xlfn.XLOOKUP(B44,'Up Stats'!A:A,'Up Stats'!J:J,)</f>
        <v/>
      </c>
      <c r="AL44" s="40" t="str">
        <f>IFERROR(__xludf.DUMMYFUNCTION("if(AND(AM44=FALSE,AN44=FALSE),,if(AM44=AN44,JOIN("""",""Static: "",AM44),JOIN("""",""Min:  "",AM44, CHAR(10),""Max: "",AN44)))"),"")</f>
        <v/>
      </c>
      <c r="AM44" s="42" t="str">
        <f t="array" ref="AM44">_xlfn.XLOOKUP(B44,'Up Min'!A:A,'Up Min'!J:J,)</f>
        <v/>
      </c>
      <c r="AN44" s="42" t="str">
        <f t="array" ref="AN44">_xlfn.XLOOKUP(B44,'Up Max'!A:A,'Up Max'!J:J,)</f>
        <v/>
      </c>
      <c r="AO44" s="34" t="str">
        <f t="array" ref="AO44">CONCATENATE(_xlfn.XLOOKUP(B44,'Up Cells'!A:A,'Up Cells'!B:B,))</f>
        <v/>
      </c>
      <c r="AP44" s="34" t="str">
        <f t="array" ref="AP44">CONCATENATE(_xlfn.XLOOKUP(B44,'Up Rarity'!A:A,'Up Rarity'!B:B,),CHAR(10),"-")</f>
        <v>
-</v>
      </c>
    </row>
    <row r="45">
      <c r="A45" s="86" t="str">
        <f t="array" ref="A45">_xlfn.XLOOKUP(B45,'Up Icon'!A:A,'Up Icon'!B:B,)</f>
        <v/>
      </c>
      <c r="B45" s="51" t="str">
        <f t="array" ref="B45">HYPERLINK(_xlfn.XLOOKUP('Up Names'!D45,'Up Wiki'!A:A,'Up Wiki'!B:B,),'Up Names'!D45)</f>
        <v/>
      </c>
      <c r="C45" s="52" t="str">
        <f t="array" ref="C45">_xlfn.XLOOKUP(B45,'Up Desc'!A:A,'Up Desc'!B:B,)</f>
        <v/>
      </c>
      <c r="D45" s="52" t="str">
        <f t="array" ref="D45">_xlfn.XLOOKUP(B45,'Up Turbo'!A:A,'Up Turbo'!B:B,)</f>
        <v/>
      </c>
      <c r="E45" s="53" t="str">
        <f t="array" ref="E45">_xlfn.XLOOKUP(B45,'Up Stats'!A:A,'Up Stats'!B:B,)</f>
        <v/>
      </c>
      <c r="F45" s="54" t="str">
        <f>IFERROR(__xludf.DUMMYFUNCTION("if(AND(G45=FALSE,H45=FALSE),,if(G45=H45,JOIN("""",""Static: "",G45),JOIN("""",""Min:  "",G45, CHAR(10),""Max: "",H45)))"),"")</f>
        <v/>
      </c>
      <c r="G45" s="55" t="str">
        <f t="array" ref="G45">_xlfn.XLOOKUP(B45,'Up Min'!A:A,'Up Min'!B:B,)</f>
        <v/>
      </c>
      <c r="H45" s="56" t="str">
        <f t="array" ref="H45">_xlfn.XLOOKUP(B45,'Up Max'!A:A,'Up Max'!B:B,)</f>
        <v/>
      </c>
      <c r="I45" s="53" t="str">
        <f t="array" ref="I45">_xlfn.XLOOKUP(B45,'Up Stats'!A:A,'Up Stats'!C:C,)</f>
        <v/>
      </c>
      <c r="J45" s="54" t="str">
        <f>IFERROR(__xludf.DUMMYFUNCTION("if(AND(K45=FALSE,L45=FALSE),,if(K45=L45,JOIN("""",""Static: "",K45),JOIN("""",""Min:  "",K45, CHAR(10),""Max: "",L45)))"),"")</f>
        <v/>
      </c>
      <c r="K45" s="55" t="str">
        <f t="array" ref="K45">_xlfn.XLOOKUP(B45,'Up Min'!A:A,'Up Min'!C:C,)</f>
        <v/>
      </c>
      <c r="L45" s="55" t="str">
        <f t="array" ref="L45">_xlfn.XLOOKUP(B45,'Up Max'!A:A,'Up Max'!C:C,)</f>
        <v/>
      </c>
      <c r="M45" s="53" t="str">
        <f t="array" ref="M45">_xlfn.XLOOKUP(B45,'Up Stats'!A:A,'Up Stats'!D:D,)</f>
        <v/>
      </c>
      <c r="N45" s="54" t="str">
        <f>IFERROR(__xludf.DUMMYFUNCTION("if(AND(O45=FALSE,P45=FALSE),,if(O45=P45,JOIN("""",""Static: "",O45),JOIN("""",""Min:  "",O45, CHAR(10),""Max: "",P45)))"),"")</f>
        <v/>
      </c>
      <c r="O45" s="55" t="str">
        <f t="array" ref="O45">_xlfn.XLOOKUP(B45,'Up Min'!A:A,'Up Min'!D:D,)</f>
        <v/>
      </c>
      <c r="P45" s="55" t="str">
        <f t="array" ref="P45">_xlfn.XLOOKUP(B45,'Up Max'!A:A,'Up Max'!D:D,)</f>
        <v/>
      </c>
      <c r="Q45" s="57" t="str">
        <f t="array" ref="Q45">_xlfn.XLOOKUP(B45,'Up Stats'!A:A,'Up Stats'!E:E,)</f>
        <v/>
      </c>
      <c r="R45" s="54" t="str">
        <f>IFERROR(__xludf.DUMMYFUNCTION("if(AND(S45=FALSE,T45=FALSE),,if(S45=T45,JOIN("""",""Static: "",S45),JOIN("""",""Min:  "",S45, CHAR(10),""Max: "",T45)))"),"")</f>
        <v/>
      </c>
      <c r="S45" s="55" t="str">
        <f t="array" ref="S45">_xlfn.XLOOKUP(B45,'Up Min'!A:A,'Up Min'!E:E,)</f>
        <v/>
      </c>
      <c r="T45" s="55" t="str">
        <f t="array" ref="T45">_xlfn.XLOOKUP(B45,'Up Max'!A:A,'Up Max'!E:E,)</f>
        <v/>
      </c>
      <c r="U45" s="57" t="str">
        <f t="array" ref="U45">_xlfn.XLOOKUP(B45,'Up Stats'!A:A,'Up Stats'!F:F,)</f>
        <v/>
      </c>
      <c r="V45" s="54" t="str">
        <f>IFERROR(__xludf.DUMMYFUNCTION("if(AND(W45=FALSE,X45=FALSE),,if(W45=X45,JOIN("""",""Static: "",W45),JOIN("""",""Min:  "",W45, CHAR(10),""Max: "",X45)))"),"")</f>
        <v/>
      </c>
      <c r="W45" s="55" t="str">
        <f t="array" ref="W45">_xlfn.XLOOKUP(B45,'Up Min'!A:A,'Up Min'!F:F,)</f>
        <v/>
      </c>
      <c r="X45" s="55" t="str">
        <f t="array" ref="X45">_xlfn.XLOOKUP(B45,'Up Max'!A:A,'Up Max'!F:F,)</f>
        <v/>
      </c>
      <c r="Y45" s="57" t="str">
        <f t="array" ref="Y45">_xlfn.XLOOKUP(B45,'Up Stats'!A:A,'Up Stats'!G:G,)</f>
        <v/>
      </c>
      <c r="Z45" s="54" t="str">
        <f>IFERROR(__xludf.DUMMYFUNCTION("if(AND(AA45=FALSE,AB45=FALSE),,if(AA45=AB45,JOIN("""",""Static: "",AA45),JOIN("""",""Min:  "",AA45, CHAR(10),""Max: "",AB45)))"),"")</f>
        <v/>
      </c>
      <c r="AA45" s="55" t="str">
        <f t="array" ref="AA45">_xlfn.XLOOKUP(B45,'Up Min'!A:A,'Up Min'!G:G,)</f>
        <v/>
      </c>
      <c r="AB45" s="55" t="str">
        <f t="array" ref="AB45">_xlfn.XLOOKUP(B45,'Up Max'!A:A,'Up Max'!G:G,)</f>
        <v/>
      </c>
      <c r="AC45" s="57" t="str">
        <f t="array" ref="AC45">_xlfn.XLOOKUP(B45,'Up Stats'!A:A,'Up Stats'!H:H,)</f>
        <v/>
      </c>
      <c r="AD45" s="54" t="str">
        <f>IFERROR(__xludf.DUMMYFUNCTION("if(AND(AE45=FALSE,AF45=FALSE),,if(AE45=AF45,JOIN("""",""Static: "",AE45),JOIN("""",""Min:  "",AE45, CHAR(10),""Max: "",AF45)))"),"")</f>
        <v/>
      </c>
      <c r="AE45" s="55" t="str">
        <f t="array" ref="AE45">_xlfn.XLOOKUP(B45,'Up Min'!A:A,'Up Min'!H:H,)</f>
        <v/>
      </c>
      <c r="AF45" s="55" t="str">
        <f t="array" ref="AF45">_xlfn.XLOOKUP(B45,'Up Max'!A:A,'Up Max'!H:H,)</f>
        <v/>
      </c>
      <c r="AG45" s="57" t="str">
        <f t="array" ref="AG45">_xlfn.XLOOKUP(B45,'Up Stats'!A:A,'Up Stats'!I:I,)</f>
        <v/>
      </c>
      <c r="AH45" s="54" t="str">
        <f>IFERROR(__xludf.DUMMYFUNCTION("if(AND(AI45=FALSE,AJ45=FALSE),,if(AI45=AJ45,JOIN("""",""Static: "",AI45),JOIN("""",""Min:  "",AI45, CHAR(10),""Max: "",AJ45)))"),"")</f>
        <v/>
      </c>
      <c r="AI45" s="55" t="str">
        <f t="array" ref="AI45">_xlfn.XLOOKUP(B45,'Up Min'!A:A,'Up Min'!I:I,)</f>
        <v/>
      </c>
      <c r="AJ45" s="55" t="str">
        <f t="array" ref="AJ45">_xlfn.XLOOKUP(B45,'Up Max'!A:A,'Up Max'!I:I,)</f>
        <v/>
      </c>
      <c r="AK45" s="57" t="str">
        <f t="array" ref="AK45">_xlfn.XLOOKUP(B45,'Up Stats'!A:A,'Up Stats'!J:J,)</f>
        <v/>
      </c>
      <c r="AL45" s="54" t="str">
        <f>IFERROR(__xludf.DUMMYFUNCTION("if(AND(AM45=FALSE,AN45=FALSE),,if(AM45=AN45,JOIN("""",""Static: "",AM45),JOIN("""",""Min:  "",AM45, CHAR(10),""Max: "",AN45)))"),"")</f>
        <v/>
      </c>
      <c r="AM45" s="55" t="str">
        <f t="array" ref="AM45">_xlfn.XLOOKUP(B45,'Up Min'!A:A,'Up Min'!J:J,)</f>
        <v/>
      </c>
      <c r="AN45" s="55" t="str">
        <f t="array" ref="AN45">_xlfn.XLOOKUP(B45,'Up Max'!A:A,'Up Max'!J:J,)</f>
        <v/>
      </c>
      <c r="AO45" s="51" t="str">
        <f t="array" ref="AO45">CONCATENATE(_xlfn.XLOOKUP(B45,'Up Cells'!A:A,'Up Cells'!B:B,))</f>
        <v/>
      </c>
      <c r="AP45" s="51" t="str">
        <f t="array" ref="AP45">CONCATENATE(_xlfn.XLOOKUP(B45,'Up Rarity'!A:A,'Up Rarity'!B:B,),CHAR(10),"-")</f>
        <v>
-</v>
      </c>
    </row>
    <row r="46">
      <c r="A46" s="87" t="str">
        <f t="array" ref="A46">_xlfn.XLOOKUP(B46,'Up Icon'!A:A,'Up Icon'!B:B,)</f>
        <v/>
      </c>
      <c r="B46" s="34" t="str">
        <f t="array" ref="B46">HYPERLINK(_xlfn.XLOOKUP('Up Names'!D46,'Up Wiki'!A:A,'Up Wiki'!B:B,),'Up Names'!D46)</f>
        <v/>
      </c>
      <c r="C46" s="37" t="str">
        <f t="array" ref="C46">_xlfn.XLOOKUP(B46,'Up Desc'!A:A,'Up Desc'!B:B,)</f>
        <v/>
      </c>
      <c r="D46" s="37" t="str">
        <f t="array" ref="D46">_xlfn.XLOOKUP(B46,'Up Turbo'!A:A,'Up Turbo'!B:B,)</f>
        <v/>
      </c>
      <c r="E46" s="39" t="str">
        <f t="array" ref="E46">_xlfn.XLOOKUP(B46,'Up Stats'!A:A,'Up Stats'!B:B,)</f>
        <v/>
      </c>
      <c r="F46" s="40" t="str">
        <f>IFERROR(__xludf.DUMMYFUNCTION("if(AND(G46=FALSE,H46=FALSE),,if(G46=H46,JOIN("""",""Static: "",G46),JOIN("""",""Min:  "",G46, CHAR(10),""Max: "",H46)))"),"")</f>
        <v/>
      </c>
      <c r="G46" s="42" t="str">
        <f t="array" ref="G46">_xlfn.XLOOKUP(B46,'Up Min'!A:A,'Up Min'!B:B,)</f>
        <v/>
      </c>
      <c r="H46" s="45" t="str">
        <f t="array" ref="H46">_xlfn.XLOOKUP(B46,'Up Max'!A:A,'Up Max'!B:B,)</f>
        <v/>
      </c>
      <c r="I46" s="39" t="str">
        <f t="array" ref="I46">_xlfn.XLOOKUP(B46,'Up Stats'!A:A,'Up Stats'!C:C,)</f>
        <v/>
      </c>
      <c r="J46" s="40" t="str">
        <f>IFERROR(__xludf.DUMMYFUNCTION("if(AND(K46=FALSE,L46=FALSE),,if(K46=L46,JOIN("""",""Static: "",K46),JOIN("""",""Min:  "",K46, CHAR(10),""Max: "",L46)))"),"")</f>
        <v/>
      </c>
      <c r="K46" s="42" t="str">
        <f t="array" ref="K46">_xlfn.XLOOKUP(B46,'Up Min'!A:A,'Up Min'!C:C,)</f>
        <v/>
      </c>
      <c r="L46" s="42" t="str">
        <f t="array" ref="L46">_xlfn.XLOOKUP(B46,'Up Max'!A:A,'Up Max'!C:C,)</f>
        <v/>
      </c>
      <c r="M46" s="39" t="str">
        <f t="array" ref="M46">_xlfn.XLOOKUP(B46,'Up Stats'!A:A,'Up Stats'!D:D,)</f>
        <v/>
      </c>
      <c r="N46" s="40" t="str">
        <f>IFERROR(__xludf.DUMMYFUNCTION("if(AND(O46=FALSE,P46=FALSE),,if(O46=P46,JOIN("""",""Static: "",O46),JOIN("""",""Min:  "",O46, CHAR(10),""Max: "",P46)))"),"")</f>
        <v/>
      </c>
      <c r="O46" s="42" t="str">
        <f t="array" ref="O46">_xlfn.XLOOKUP(B46,'Up Min'!A:A,'Up Min'!D:D,)</f>
        <v/>
      </c>
      <c r="P46" s="42" t="str">
        <f t="array" ref="P46">_xlfn.XLOOKUP(B46,'Up Max'!A:A,'Up Max'!D:D,)</f>
        <v/>
      </c>
      <c r="Q46" s="48" t="str">
        <f t="array" ref="Q46">_xlfn.XLOOKUP(B46,'Up Stats'!A:A,'Up Stats'!E:E,)</f>
        <v/>
      </c>
      <c r="R46" s="40" t="str">
        <f>IFERROR(__xludf.DUMMYFUNCTION("if(AND(S46=FALSE,T46=FALSE),,if(S46=T46,JOIN("""",""Static: "",S46),JOIN("""",""Min:  "",S46, CHAR(10),""Max: "",T46)))"),"")</f>
        <v/>
      </c>
      <c r="S46" s="42" t="str">
        <f t="array" ref="S46">_xlfn.XLOOKUP(B46,'Up Min'!A:A,'Up Min'!E:E,)</f>
        <v/>
      </c>
      <c r="T46" s="42" t="str">
        <f t="array" ref="T46">_xlfn.XLOOKUP(B46,'Up Max'!A:A,'Up Max'!E:E,)</f>
        <v/>
      </c>
      <c r="U46" s="48" t="str">
        <f t="array" ref="U46">_xlfn.XLOOKUP(B46,'Up Stats'!A:A,'Up Stats'!F:F,)</f>
        <v/>
      </c>
      <c r="V46" s="40" t="str">
        <f>IFERROR(__xludf.DUMMYFUNCTION("if(AND(W46=FALSE,X46=FALSE),,if(W46=X46,JOIN("""",""Static: "",W46),JOIN("""",""Min:  "",W46, CHAR(10),""Max: "",X46)))"),"")</f>
        <v/>
      </c>
      <c r="W46" s="42" t="str">
        <f t="array" ref="W46">_xlfn.XLOOKUP(B46,'Up Min'!A:A,'Up Min'!F:F,)</f>
        <v/>
      </c>
      <c r="X46" s="42" t="str">
        <f t="array" ref="X46">_xlfn.XLOOKUP(B46,'Up Max'!A:A,'Up Max'!F:F,)</f>
        <v/>
      </c>
      <c r="Y46" s="48" t="str">
        <f t="array" ref="Y46">_xlfn.XLOOKUP(B46,'Up Stats'!A:A,'Up Stats'!G:G,)</f>
        <v/>
      </c>
      <c r="Z46" s="40" t="str">
        <f>IFERROR(__xludf.DUMMYFUNCTION("if(AND(AA46=FALSE,AB46=FALSE),,if(AA46=AB46,JOIN("""",""Static: "",AA46),JOIN("""",""Min:  "",AA46, CHAR(10),""Max: "",AB46)))"),"")</f>
        <v/>
      </c>
      <c r="AA46" s="42" t="str">
        <f t="array" ref="AA46">_xlfn.XLOOKUP(B46,'Up Min'!A:A,'Up Min'!G:G,)</f>
        <v/>
      </c>
      <c r="AB46" s="42" t="str">
        <f t="array" ref="AB46">_xlfn.XLOOKUP(B46,'Up Max'!A:A,'Up Max'!G:G,)</f>
        <v/>
      </c>
      <c r="AC46" s="48" t="str">
        <f t="array" ref="AC46">_xlfn.XLOOKUP(B46,'Up Stats'!A:A,'Up Stats'!H:H,)</f>
        <v/>
      </c>
      <c r="AD46" s="40" t="str">
        <f>IFERROR(__xludf.DUMMYFUNCTION("if(AND(AE46=FALSE,AF46=FALSE),,if(AE46=AF46,JOIN("""",""Static: "",AE46),JOIN("""",""Min:  "",AE46, CHAR(10),""Max: "",AF46)))"),"")</f>
        <v/>
      </c>
      <c r="AE46" s="42" t="str">
        <f t="array" ref="AE46">_xlfn.XLOOKUP(B46,'Up Min'!A:A,'Up Min'!H:H,)</f>
        <v/>
      </c>
      <c r="AF46" s="42" t="str">
        <f t="array" ref="AF46">_xlfn.XLOOKUP(B46,'Up Max'!A:A,'Up Max'!H:H,)</f>
        <v/>
      </c>
      <c r="AG46" s="48" t="str">
        <f t="array" ref="AG46">_xlfn.XLOOKUP(B46,'Up Stats'!A:A,'Up Stats'!I:I,)</f>
        <v/>
      </c>
      <c r="AH46" s="40" t="str">
        <f>IFERROR(__xludf.DUMMYFUNCTION("if(AND(AI46=FALSE,AJ46=FALSE),,if(AI46=AJ46,JOIN("""",""Static: "",AI46),JOIN("""",""Min:  "",AI46, CHAR(10),""Max: "",AJ46)))"),"")</f>
        <v/>
      </c>
      <c r="AI46" s="42" t="str">
        <f t="array" ref="AI46">_xlfn.XLOOKUP(B46,'Up Min'!A:A,'Up Min'!I:I,)</f>
        <v/>
      </c>
      <c r="AJ46" s="42" t="str">
        <f t="array" ref="AJ46">_xlfn.XLOOKUP(B46,'Up Max'!A:A,'Up Max'!I:I,)</f>
        <v/>
      </c>
      <c r="AK46" s="48" t="str">
        <f t="array" ref="AK46">_xlfn.XLOOKUP(B46,'Up Stats'!A:A,'Up Stats'!J:J,)</f>
        <v/>
      </c>
      <c r="AL46" s="40" t="str">
        <f>IFERROR(__xludf.DUMMYFUNCTION("if(AND(AM46=FALSE,AN46=FALSE),,if(AM46=AN46,JOIN("""",""Static: "",AM46),JOIN("""",""Min:  "",AM46, CHAR(10),""Max: "",AN46)))"),"")</f>
        <v/>
      </c>
      <c r="AM46" s="42" t="str">
        <f t="array" ref="AM46">_xlfn.XLOOKUP(B46,'Up Min'!A:A,'Up Min'!J:J,)</f>
        <v/>
      </c>
      <c r="AN46" s="42" t="str">
        <f t="array" ref="AN46">_xlfn.XLOOKUP(B46,'Up Max'!A:A,'Up Max'!J:J,)</f>
        <v/>
      </c>
      <c r="AO46" s="34" t="str">
        <f t="array" ref="AO46">CONCATENATE(_xlfn.XLOOKUP(B46,'Up Cells'!A:A,'Up Cells'!B:B,))</f>
        <v/>
      </c>
      <c r="AP46" s="34" t="str">
        <f t="array" ref="AP46">CONCATENATE(_xlfn.XLOOKUP(B46,'Up Rarity'!A:A,'Up Rarity'!B:B,),CHAR(10),"-")</f>
        <v>
-</v>
      </c>
    </row>
    <row r="47">
      <c r="A47" s="86" t="str">
        <f t="array" ref="A47">_xlfn.XLOOKUP(B47,'Up Icon'!A:A,'Up Icon'!B:B,)</f>
        <v/>
      </c>
      <c r="B47" s="51" t="str">
        <f t="array" ref="B47">HYPERLINK(_xlfn.XLOOKUP('Up Names'!D47,'Up Wiki'!A:A,'Up Wiki'!B:B,),'Up Names'!D47)</f>
        <v/>
      </c>
      <c r="C47" s="52" t="str">
        <f t="array" ref="C47">_xlfn.XLOOKUP(B47,'Up Desc'!A:A,'Up Desc'!B:B,)</f>
        <v/>
      </c>
      <c r="D47" s="52" t="str">
        <f t="array" ref="D47">_xlfn.XLOOKUP(B47,'Up Turbo'!A:A,'Up Turbo'!B:B,)</f>
        <v/>
      </c>
      <c r="E47" s="53" t="str">
        <f t="array" ref="E47">_xlfn.XLOOKUP(B47,'Up Stats'!A:A,'Up Stats'!B:B,)</f>
        <v/>
      </c>
      <c r="F47" s="54" t="str">
        <f>IFERROR(__xludf.DUMMYFUNCTION("if(AND(G47=FALSE,H47=FALSE),,if(G47=H47,JOIN("""",""Static: "",G47),JOIN("""",""Min:  "",G47, CHAR(10),""Max: "",H47)))"),"")</f>
        <v/>
      </c>
      <c r="G47" s="55" t="str">
        <f t="array" ref="G47">_xlfn.XLOOKUP(B47,'Up Min'!A:A,'Up Min'!B:B,)</f>
        <v/>
      </c>
      <c r="H47" s="56" t="str">
        <f t="array" ref="H47">_xlfn.XLOOKUP(B47,'Up Max'!A:A,'Up Max'!B:B,)</f>
        <v/>
      </c>
      <c r="I47" s="53" t="str">
        <f t="array" ref="I47">_xlfn.XLOOKUP(B47,'Up Stats'!A:A,'Up Stats'!C:C,)</f>
        <v/>
      </c>
      <c r="J47" s="54" t="str">
        <f>IFERROR(__xludf.DUMMYFUNCTION("if(AND(K47=FALSE,L47=FALSE),,if(K47=L47,JOIN("""",""Static: "",K47),JOIN("""",""Min:  "",K47, CHAR(10),""Max: "",L47)))"),"")</f>
        <v/>
      </c>
      <c r="K47" s="55" t="str">
        <f t="array" ref="K47">_xlfn.XLOOKUP(B47,'Up Min'!A:A,'Up Min'!C:C,)</f>
        <v/>
      </c>
      <c r="L47" s="55" t="str">
        <f t="array" ref="L47">_xlfn.XLOOKUP(B47,'Up Max'!A:A,'Up Max'!C:C,)</f>
        <v/>
      </c>
      <c r="M47" s="53" t="str">
        <f t="array" ref="M47">_xlfn.XLOOKUP(B47,'Up Stats'!A:A,'Up Stats'!D:D,)</f>
        <v/>
      </c>
      <c r="N47" s="54" t="str">
        <f>IFERROR(__xludf.DUMMYFUNCTION("if(AND(O47=FALSE,P47=FALSE),,if(O47=P47,JOIN("""",""Static: "",O47),JOIN("""",""Min:  "",O47, CHAR(10),""Max: "",P47)))"),"")</f>
        <v/>
      </c>
      <c r="O47" s="55" t="str">
        <f t="array" ref="O47">_xlfn.XLOOKUP(B47,'Up Min'!A:A,'Up Min'!D:D,)</f>
        <v/>
      </c>
      <c r="P47" s="55" t="str">
        <f t="array" ref="P47">_xlfn.XLOOKUP(B47,'Up Max'!A:A,'Up Max'!D:D,)</f>
        <v/>
      </c>
      <c r="Q47" s="57" t="str">
        <f t="array" ref="Q47">_xlfn.XLOOKUP(B47,'Up Stats'!A:A,'Up Stats'!E:E,)</f>
        <v/>
      </c>
      <c r="R47" s="54" t="str">
        <f>IFERROR(__xludf.DUMMYFUNCTION("if(AND(S47=FALSE,T47=FALSE),,if(S47=T47,JOIN("""",""Static: "",S47),JOIN("""",""Min:  "",S47, CHAR(10),""Max: "",T47)))"),"")</f>
        <v/>
      </c>
      <c r="S47" s="55" t="str">
        <f t="array" ref="S47">_xlfn.XLOOKUP(B47,'Up Min'!A:A,'Up Min'!E:E,)</f>
        <v/>
      </c>
      <c r="T47" s="55" t="str">
        <f t="array" ref="T47">_xlfn.XLOOKUP(B47,'Up Max'!A:A,'Up Max'!E:E,)</f>
        <v/>
      </c>
      <c r="U47" s="57" t="str">
        <f t="array" ref="U47">_xlfn.XLOOKUP(B47,'Up Stats'!A:A,'Up Stats'!F:F,)</f>
        <v/>
      </c>
      <c r="V47" s="54" t="str">
        <f>IFERROR(__xludf.DUMMYFUNCTION("if(AND(W47=FALSE,X47=FALSE),,if(W47=X47,JOIN("""",""Static: "",W47),JOIN("""",""Min:  "",W47, CHAR(10),""Max: "",X47)))"),"")</f>
        <v/>
      </c>
      <c r="W47" s="55" t="str">
        <f t="array" ref="W47">_xlfn.XLOOKUP(B47,'Up Min'!A:A,'Up Min'!F:F,)</f>
        <v/>
      </c>
      <c r="X47" s="55" t="str">
        <f t="array" ref="X47">_xlfn.XLOOKUP(B47,'Up Max'!A:A,'Up Max'!F:F,)</f>
        <v/>
      </c>
      <c r="Y47" s="57" t="str">
        <f t="array" ref="Y47">_xlfn.XLOOKUP(B47,'Up Stats'!A:A,'Up Stats'!G:G,)</f>
        <v/>
      </c>
      <c r="Z47" s="54" t="str">
        <f>IFERROR(__xludf.DUMMYFUNCTION("if(AND(AA47=FALSE,AB47=FALSE),,if(AA47=AB47,JOIN("""",""Static: "",AA47),JOIN("""",""Min:  "",AA47, CHAR(10),""Max: "",AB47)))"),"")</f>
        <v/>
      </c>
      <c r="AA47" s="55" t="str">
        <f t="array" ref="AA47">_xlfn.XLOOKUP(B47,'Up Min'!A:A,'Up Min'!G:G,)</f>
        <v/>
      </c>
      <c r="AB47" s="55" t="str">
        <f t="array" ref="AB47">_xlfn.XLOOKUP(B47,'Up Max'!A:A,'Up Max'!G:G,)</f>
        <v/>
      </c>
      <c r="AC47" s="57" t="str">
        <f t="array" ref="AC47">_xlfn.XLOOKUP(B47,'Up Stats'!A:A,'Up Stats'!H:H,)</f>
        <v/>
      </c>
      <c r="AD47" s="54" t="str">
        <f>IFERROR(__xludf.DUMMYFUNCTION("if(AND(AE47=FALSE,AF47=FALSE),,if(AE47=AF47,JOIN("""",""Static: "",AE47),JOIN("""",""Min:  "",AE47, CHAR(10),""Max: "",AF47)))"),"")</f>
        <v/>
      </c>
      <c r="AE47" s="55" t="str">
        <f t="array" ref="AE47">_xlfn.XLOOKUP(B47,'Up Min'!A:A,'Up Min'!H:H,)</f>
        <v/>
      </c>
      <c r="AF47" s="55" t="str">
        <f t="array" ref="AF47">_xlfn.XLOOKUP(B47,'Up Max'!A:A,'Up Max'!H:H,)</f>
        <v/>
      </c>
      <c r="AG47" s="57" t="str">
        <f t="array" ref="AG47">_xlfn.XLOOKUP(B47,'Up Stats'!A:A,'Up Stats'!I:I,)</f>
        <v/>
      </c>
      <c r="AH47" s="54" t="str">
        <f>IFERROR(__xludf.DUMMYFUNCTION("if(AND(AI47=FALSE,AJ47=FALSE),,if(AI47=AJ47,JOIN("""",""Static: "",AI47),JOIN("""",""Min:  "",AI47, CHAR(10),""Max: "",AJ47)))"),"")</f>
        <v/>
      </c>
      <c r="AI47" s="55" t="str">
        <f t="array" ref="AI47">_xlfn.XLOOKUP(B47,'Up Min'!A:A,'Up Min'!I:I,)</f>
        <v/>
      </c>
      <c r="AJ47" s="55" t="str">
        <f t="array" ref="AJ47">_xlfn.XLOOKUP(B47,'Up Max'!A:A,'Up Max'!I:I,)</f>
        <v/>
      </c>
      <c r="AK47" s="57" t="str">
        <f t="array" ref="AK47">_xlfn.XLOOKUP(B47,'Up Stats'!A:A,'Up Stats'!J:J,)</f>
        <v/>
      </c>
      <c r="AL47" s="54" t="str">
        <f>IFERROR(__xludf.DUMMYFUNCTION("if(AND(AM47=FALSE,AN47=FALSE),,if(AM47=AN47,JOIN("""",""Static: "",AM47),JOIN("""",""Min:  "",AM47, CHAR(10),""Max: "",AN47)))"),"")</f>
        <v/>
      </c>
      <c r="AM47" s="55" t="str">
        <f t="array" ref="AM47">_xlfn.XLOOKUP(B47,'Up Min'!A:A,'Up Min'!J:J,)</f>
        <v/>
      </c>
      <c r="AN47" s="55" t="str">
        <f t="array" ref="AN47">_xlfn.XLOOKUP(B47,'Up Max'!A:A,'Up Max'!J:J,)</f>
        <v/>
      </c>
      <c r="AO47" s="51" t="str">
        <f t="array" ref="AO47">CONCATENATE(_xlfn.XLOOKUP(B47,'Up Cells'!A:A,'Up Cells'!B:B,))</f>
        <v/>
      </c>
      <c r="AP47" s="51" t="str">
        <f t="array" ref="AP47">CONCATENATE(_xlfn.XLOOKUP(B47,'Up Rarity'!A:A,'Up Rarity'!B:B,),CHAR(10),"-")</f>
        <v>
-</v>
      </c>
    </row>
  </sheetData>
  <autoFilter ref="$A$1:$AP$47">
    <sortState ref="A1:AP47">
      <sortCondition descending="1" sortBy="cellColor" ref="AP1:AP47" dxfId="2"/>
    </sortState>
  </autoFilter>
  <conditionalFormatting sqref="AO1:AP47">
    <cfRule type="containsText" dxfId="3" priority="1" operator="containsText" text="Oddity">
      <formula>NOT(ISERROR(SEARCH(("Oddity"),(AO1))))</formula>
    </cfRule>
  </conditionalFormatting>
  <conditionalFormatting sqref="AO1:AP47">
    <cfRule type="containsText" dxfId="4" priority="2" operator="containsText" text="Exotic">
      <formula>NOT(ISERROR(SEARCH(("Exotic"),(AO1))))</formula>
    </cfRule>
  </conditionalFormatting>
  <conditionalFormatting sqref="AO1:AP47">
    <cfRule type="containsText" dxfId="5" priority="3" operator="containsText" text="Epic">
      <formula>NOT(ISERROR(SEARCH(("Epic"),(AO1))))</formula>
    </cfRule>
  </conditionalFormatting>
  <conditionalFormatting sqref="AO1:AP47">
    <cfRule type="containsText" dxfId="6" priority="4" operator="containsText" text="Rare">
      <formula>NOT(ISERROR(SEARCH(("Rare"),(AO1))))</formula>
    </cfRule>
  </conditionalFormatting>
  <conditionalFormatting sqref="AO1:AP47">
    <cfRule type="containsText" dxfId="7" priority="5" operator="containsText" text="Standard">
      <formula>NOT(ISERROR(SEARCH(("Standard"),(AO1))))</formula>
    </cfRule>
  </conditionalFormatting>
  <conditionalFormatting sqref="AO1:AP47">
    <cfRule type="containsText" dxfId="8" priority="6" operator="containsText" text="Contraband">
      <formula>NOT(ISERROR(SEARCH(("Contraband"),(AO1))))</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12.63"/>
    <col customWidth="1" min="3" max="4" width="31.38"/>
    <col customWidth="1" min="5" max="6" width="12.63"/>
    <col customWidth="1" hidden="1" min="7" max="8" width="12.63"/>
    <col customWidth="1" min="9" max="10" width="12.63"/>
    <col customWidth="1" hidden="1" min="11" max="12" width="12.63"/>
    <col customWidth="1" min="13" max="14" width="12.63"/>
    <col customWidth="1" hidden="1" min="15" max="16" width="12.63"/>
    <col customWidth="1" min="17" max="18" width="12.63"/>
    <col customWidth="1" hidden="1" min="19" max="20" width="12.63"/>
    <col customWidth="1" min="21" max="22" width="12.63"/>
    <col customWidth="1" hidden="1" min="23" max="24" width="12.63"/>
    <col customWidth="1" min="25" max="26" width="12.63"/>
    <col customWidth="1" hidden="1" min="27" max="28" width="12.63"/>
    <col customWidth="1" min="29" max="30" width="12.63"/>
    <col customWidth="1" hidden="1" min="31" max="32" width="12.63"/>
    <col customWidth="1" min="33" max="34" width="12.63"/>
    <col customWidth="1" hidden="1" min="35" max="36" width="12.63"/>
    <col customWidth="1" min="37" max="38" width="12.63"/>
    <col customWidth="1" hidden="1" min="39" max="40" width="12.63"/>
    <col customWidth="1" min="41" max="42" width="8.25"/>
  </cols>
  <sheetData>
    <row r="1">
      <c r="A1" s="28" t="s">
        <v>1</v>
      </c>
      <c r="B1" s="9" t="s">
        <v>2</v>
      </c>
      <c r="C1" s="9" t="s">
        <v>3</v>
      </c>
      <c r="D1" s="11" t="s">
        <v>4</v>
      </c>
      <c r="E1" s="16" t="s">
        <v>6</v>
      </c>
      <c r="F1" s="19" t="s">
        <v>7</v>
      </c>
      <c r="G1" s="21" t="s">
        <v>8</v>
      </c>
      <c r="H1" s="25" t="s">
        <v>9</v>
      </c>
      <c r="I1" s="29" t="s">
        <v>6</v>
      </c>
      <c r="J1" s="19" t="s">
        <v>7</v>
      </c>
      <c r="K1" s="21" t="s">
        <v>8</v>
      </c>
      <c r="L1" s="21" t="s">
        <v>9</v>
      </c>
      <c r="M1" s="29" t="s">
        <v>6</v>
      </c>
      <c r="N1" s="19" t="s">
        <v>7</v>
      </c>
      <c r="O1" s="21" t="s">
        <v>8</v>
      </c>
      <c r="P1" s="21" t="s">
        <v>9</v>
      </c>
      <c r="Q1" s="16" t="s">
        <v>6</v>
      </c>
      <c r="R1" s="19" t="s">
        <v>7</v>
      </c>
      <c r="S1" s="25" t="s">
        <v>8</v>
      </c>
      <c r="T1" s="21" t="s">
        <v>9</v>
      </c>
      <c r="U1" s="16" t="s">
        <v>6</v>
      </c>
      <c r="V1" s="19" t="s">
        <v>7</v>
      </c>
      <c r="W1" s="25" t="s">
        <v>8</v>
      </c>
      <c r="X1" s="25" t="s">
        <v>9</v>
      </c>
      <c r="Y1" s="16" t="s">
        <v>6</v>
      </c>
      <c r="Z1" s="19" t="s">
        <v>7</v>
      </c>
      <c r="AA1" s="21" t="s">
        <v>8</v>
      </c>
      <c r="AB1" s="25" t="s">
        <v>9</v>
      </c>
      <c r="AC1" s="29" t="s">
        <v>6</v>
      </c>
      <c r="AD1" s="19" t="s">
        <v>7</v>
      </c>
      <c r="AE1" s="21" t="s">
        <v>8</v>
      </c>
      <c r="AF1" s="21" t="s">
        <v>9</v>
      </c>
      <c r="AG1" s="29" t="s">
        <v>6</v>
      </c>
      <c r="AH1" s="19" t="s">
        <v>7</v>
      </c>
      <c r="AI1" s="21" t="s">
        <v>8</v>
      </c>
      <c r="AJ1" s="21" t="s">
        <v>9</v>
      </c>
      <c r="AK1" s="16" t="s">
        <v>6</v>
      </c>
      <c r="AL1" s="19" t="s">
        <v>7</v>
      </c>
      <c r="AM1" s="21" t="s">
        <v>8</v>
      </c>
      <c r="AN1" s="21" t="s">
        <v>9</v>
      </c>
      <c r="AO1" s="11" t="s">
        <v>12</v>
      </c>
      <c r="AP1" s="22" t="s">
        <v>13</v>
      </c>
    </row>
    <row r="2">
      <c r="A2" s="31" t="str">
        <f t="array" ref="A2">_xlfn.XLOOKUP(B2,'Up Icon'!A:A,'Up Icon'!B:B,)</f>
        <v/>
      </c>
      <c r="B2" s="58" t="str">
        <f t="array" ref="B2">HYPERLINK(_xlfn.XLOOKUP('Up Names'!E33,'Up Wiki'!A:A,'Up Wiki'!B:B,),'Up Names'!E33)</f>
        <v>Edge Fault</v>
      </c>
      <c r="C2" s="37" t="str">
        <f t="array" ref="C2">_xlfn.XLOOKUP(B2,'Up Desc'!A:A,'Up Desc'!B:B,)</f>
        <v>Increases the size of your upgrade grid.</v>
      </c>
      <c r="D2" s="37" t="str">
        <f t="array" ref="D2">_xlfn.XLOOKUP(B2,'Up Turbo'!A:A,'Up Turbo'!B:B,)</f>
        <v>n/a</v>
      </c>
      <c r="E2" s="39" t="str">
        <f t="array" ref="E2">_xlfn.XLOOKUP(B2,'Up Stats'!A:A,'Up Stats'!B:B,)</f>
        <v/>
      </c>
      <c r="F2" s="40" t="str">
        <f>IFERROR(__xludf.DUMMYFUNCTION("if(AND(G2=FALSE,H2=FALSE),,if(G2=H2,JOIN("""",""Static: "",G2),JOIN("""",""Min:  "",G2, CHAR(10),""Max: "",H2)))"),"")</f>
        <v/>
      </c>
      <c r="G2" s="42" t="str">
        <f t="array" ref="G2">_xlfn.XLOOKUP(B2,'Up Min'!A:A,'Up Min'!B:B,)</f>
        <v/>
      </c>
      <c r="H2" s="45" t="str">
        <f t="array" ref="H2">_xlfn.XLOOKUP(B2,'Up Max'!A:A,'Up Max'!B:B,)</f>
        <v/>
      </c>
      <c r="I2" s="39" t="str">
        <f t="array" ref="I2">_xlfn.XLOOKUP(B2,'Up Stats'!A:A,'Up Stats'!C:C,)</f>
        <v/>
      </c>
      <c r="J2" s="40" t="str">
        <f>IFERROR(__xludf.DUMMYFUNCTION("if(AND(K2=FALSE,L2=FALSE),,if(K2=L2,JOIN("""",""Static: "",K2),JOIN("""",""Min:  "",K2, CHAR(10),""Max: "",L2)))"),"")</f>
        <v/>
      </c>
      <c r="K2" s="42" t="str">
        <f t="array" ref="K2">_xlfn.XLOOKUP(B2,'Up Min'!A:A,'Up Min'!C:C,)</f>
        <v/>
      </c>
      <c r="L2" s="42" t="str">
        <f t="array" ref="L2">_xlfn.XLOOKUP(B2,'Up Max'!A:A,'Up Max'!C:C,)</f>
        <v/>
      </c>
      <c r="M2" s="48" t="str">
        <f t="array" ref="M2">_xlfn.XLOOKUP(B2,'Up Stats'!A:A,'Up Stats'!D:D,)</f>
        <v/>
      </c>
      <c r="N2" s="40" t="str">
        <f>IFERROR(__xludf.DUMMYFUNCTION("if(AND(O2=FALSE,P2=FALSE),,if(O2=P2,JOIN("""",""Static: "",O2),JOIN("""",""Min:  "",O2, CHAR(10),""Max: "",P2)))"),"")</f>
        <v/>
      </c>
      <c r="O2" s="42" t="str">
        <f t="array" ref="O2">_xlfn.XLOOKUP(B2,'Up Min'!A:A,'Up Min'!D:D,)</f>
        <v/>
      </c>
      <c r="P2" s="42" t="str">
        <f t="array" ref="P2">_xlfn.XLOOKUP(B2,'Up Max'!A:A,'Up Max'!D:D,)</f>
        <v/>
      </c>
      <c r="Q2" s="48" t="str">
        <f t="array" ref="Q2">_xlfn.XLOOKUP(B2,'Up Stats'!A:A,'Up Stats'!E:E,)</f>
        <v/>
      </c>
      <c r="R2" s="40" t="str">
        <f>IFERROR(__xludf.DUMMYFUNCTION("if(AND(S2=FALSE,T2=FALSE),,if(S2=T2,JOIN("""",""Static: "",S2),JOIN("""",""Min:  "",S2, CHAR(10),""Max: "",T2)))"),"")</f>
        <v/>
      </c>
      <c r="S2" s="42" t="str">
        <f t="array" ref="S2">_xlfn.XLOOKUP(B2,'Up Min'!A:A,'Up Min'!E:E,)</f>
        <v/>
      </c>
      <c r="T2" s="42" t="str">
        <f t="array" ref="T2">_xlfn.XLOOKUP(B2,'Up Max'!A:A,'Up Max'!E:E,)</f>
        <v/>
      </c>
      <c r="U2" s="48" t="str">
        <f t="array" ref="U2">_xlfn.XLOOKUP(B2,'Up Stats'!A:A,'Up Stats'!F:F,)</f>
        <v/>
      </c>
      <c r="V2" s="40" t="str">
        <f>IFERROR(__xludf.DUMMYFUNCTION("if(AND(W2=FALSE,X2=FALSE),,if(W2=X2,JOIN("""",""Static: "",W2),JOIN("""",""Min:  "",W2, CHAR(10),""Max: "",X2)))"),"")</f>
        <v/>
      </c>
      <c r="W2" s="42" t="str">
        <f t="array" ref="W2">_xlfn.XLOOKUP(B2,'Up Min'!A:A,'Up Min'!F:F,)</f>
        <v/>
      </c>
      <c r="X2" s="42" t="str">
        <f t="array" ref="X2">_xlfn.XLOOKUP(B2,'Up Max'!A:A,'Up Max'!F:F,)</f>
        <v/>
      </c>
      <c r="Y2" s="48" t="str">
        <f t="array" ref="Y2">_xlfn.XLOOKUP(B2,'Up Stats'!A:A,'Up Stats'!G:G,)</f>
        <v/>
      </c>
      <c r="Z2" s="40" t="str">
        <f>IFERROR(__xludf.DUMMYFUNCTION("if(AND(AA2=FALSE,AB2=FALSE),,if(AA2=AB2,JOIN("""",""Static: "",AA2),JOIN("""",""Min:  "",AA2, CHAR(10),""Max: "",AB2)))"),"")</f>
        <v/>
      </c>
      <c r="AA2" s="42" t="str">
        <f t="array" ref="AA2">_xlfn.XLOOKUP(B2,'Up Min'!A:A,'Up Min'!G:G,)</f>
        <v/>
      </c>
      <c r="AB2" s="42" t="str">
        <f t="array" ref="AB2">_xlfn.XLOOKUP(B2,'Up Max'!A:A,'Up Max'!G:G,)</f>
        <v/>
      </c>
      <c r="AC2" s="48" t="str">
        <f t="array" ref="AC2">_xlfn.XLOOKUP(B2,'Up Stats'!A:A,'Up Stats'!H:H,)</f>
        <v/>
      </c>
      <c r="AD2" s="40" t="str">
        <f>IFERROR(__xludf.DUMMYFUNCTION("if(AND(AE2=FALSE,AF2=FALSE),,if(AE2=AF2,JOIN("""",""Static: "",AE2),JOIN("""",""Min:  "",AE2, CHAR(10),""Max: "",AF2)))"),"")</f>
        <v/>
      </c>
      <c r="AE2" s="42" t="str">
        <f t="array" ref="AE2">_xlfn.XLOOKUP(B2,'Up Min'!A:A,'Up Min'!H:H,)</f>
        <v/>
      </c>
      <c r="AF2" s="42" t="str">
        <f t="array" ref="AF2">_xlfn.XLOOKUP(B2,'Up Max'!A:A,'Up Max'!H:H,)</f>
        <v/>
      </c>
      <c r="AG2" s="48" t="str">
        <f t="array" ref="AG2">_xlfn.XLOOKUP(B2,'Up Stats'!A:A,'Up Stats'!I:I,)</f>
        <v/>
      </c>
      <c r="AH2" s="40" t="str">
        <f>IFERROR(__xludf.DUMMYFUNCTION("if(AND(AI2=FALSE,AJ2=FALSE),,if(AI2=AJ2,JOIN("""",""Static: "",AI2),JOIN("""",""Min:  "",AI2, CHAR(10),""Max: "",AJ2)))"),"")</f>
        <v/>
      </c>
      <c r="AI2" s="42" t="str">
        <f t="array" ref="AI2">_xlfn.XLOOKUP(B2,'Up Min'!A:A,'Up Min'!I:I,)</f>
        <v/>
      </c>
      <c r="AJ2" s="42" t="str">
        <f t="array" ref="AJ2">_xlfn.XLOOKUP(B2,'Up Max'!A:A,'Up Max'!I:I,)</f>
        <v/>
      </c>
      <c r="AK2" s="48" t="str">
        <f t="array" ref="AK2">_xlfn.XLOOKUP(B2,'Up Stats'!A:A,'Up Stats'!J:J,)</f>
        <v/>
      </c>
      <c r="AL2" s="40" t="str">
        <f>IFERROR(__xludf.DUMMYFUNCTION("if(AND(AM2=FALSE,AN2=FALSE),,if(AM2=AN2,JOIN("""",""Static: "",AM2),JOIN("""",""Min:  "",AM2, CHAR(10),""Max: "",AN2)))"),"")</f>
        <v/>
      </c>
      <c r="AM2" s="42" t="str">
        <f t="array" ref="AM2">_xlfn.XLOOKUP(B2,'Up Min'!A:A,'Up Min'!J:J,)</f>
        <v/>
      </c>
      <c r="AN2" s="42" t="str">
        <f t="array" ref="AN2">_xlfn.XLOOKUP(B2,'Up Max'!A:A,'Up Max'!J:J,)</f>
        <v/>
      </c>
      <c r="AO2" s="34" t="str">
        <f t="array" ref="AO2">CONCATENATE(_xlfn.XLOOKUP(B2,'Up Cells'!A:A,'Up Cells'!B:B,))</f>
        <v>1</v>
      </c>
      <c r="AP2" s="34" t="str">
        <f t="array" ref="AP2">CONCATENATE(_xlfn.XLOOKUP(B2,'Up Rarity'!A:A,'Up Rarity'!B:B,),CHAR(10),"-")</f>
        <v>Contraband
-</v>
      </c>
    </row>
    <row r="3">
      <c r="A3" s="31" t="str">
        <f t="array" ref="A3">_xlfn.XLOOKUP(B3,'Up Icon'!A:A,'Up Icon'!B:B,)</f>
        <v/>
      </c>
      <c r="B3" s="61" t="str">
        <f t="array" ref="B3">HYPERLINK(_xlfn.XLOOKUP('Up Names'!E34,'Up Wiki'!A:A,'Up Wiki'!B:B,),'Up Names'!E34)</f>
        <v>Multiversal Thievery</v>
      </c>
      <c r="C3" s="52" t="str">
        <f t="array" ref="C3">_xlfn.XLOOKUP(B3,'Up Desc'!A:A,'Up Desc'!B:B,)</f>
        <v>Commandeers 1 column from each of your other upgrade grids.</v>
      </c>
      <c r="D3" s="52" t="str">
        <f t="array" ref="D3">_xlfn.XLOOKUP(B3,'Up Turbo'!A:A,'Up Turbo'!B:B,)</f>
        <v>n/a</v>
      </c>
      <c r="E3" s="53" t="str">
        <f t="array" ref="E3">_xlfn.XLOOKUP(B3,'Up Stats'!A:A,'Up Stats'!B:B,)</f>
        <v/>
      </c>
      <c r="F3" s="54" t="str">
        <f>IFERROR(__xludf.DUMMYFUNCTION("if(AND(G3=FALSE,H3=FALSE),,if(G3=H3,JOIN("""",""Static: "",G3),JOIN("""",""Min:  "",G3, CHAR(10),""Max: "",H3)))"),"")</f>
        <v/>
      </c>
      <c r="G3" s="55" t="str">
        <f t="array" ref="G3">_xlfn.XLOOKUP(B3,'Up Min'!A:A,'Up Min'!B:B,)</f>
        <v/>
      </c>
      <c r="H3" s="56" t="str">
        <f t="array" ref="H3">_xlfn.XLOOKUP(B3,'Up Max'!A:A,'Up Max'!B:B,)</f>
        <v/>
      </c>
      <c r="I3" s="53" t="str">
        <f t="array" ref="I3">_xlfn.XLOOKUP(B3,'Up Stats'!A:A,'Up Stats'!C:C,)</f>
        <v/>
      </c>
      <c r="J3" s="54" t="str">
        <f>IFERROR(__xludf.DUMMYFUNCTION("if(AND(K3=FALSE,L3=FALSE),,if(K3=L3,JOIN("""",""Static: "",K3),JOIN("""",""Min:  "",K3, CHAR(10),""Max: "",L3)))"),"")</f>
        <v/>
      </c>
      <c r="K3" s="55" t="str">
        <f t="array" ref="K3">_xlfn.XLOOKUP(B3,'Up Min'!A:A,'Up Min'!C:C,)</f>
        <v/>
      </c>
      <c r="L3" s="55" t="str">
        <f t="array" ref="L3">_xlfn.XLOOKUP(B3,'Up Max'!A:A,'Up Max'!C:C,)</f>
        <v/>
      </c>
      <c r="M3" s="57" t="str">
        <f t="array" ref="M3">_xlfn.XLOOKUP(B3,'Up Stats'!A:A,'Up Stats'!D:D,)</f>
        <v/>
      </c>
      <c r="N3" s="54" t="str">
        <f>IFERROR(__xludf.DUMMYFUNCTION("if(AND(O3=FALSE,P3=FALSE),,if(O3=P3,JOIN("""",""Static: "",O3),JOIN("""",""Min:  "",O3, CHAR(10),""Max: "",P3)))"),"")</f>
        <v/>
      </c>
      <c r="O3" s="55" t="str">
        <f t="array" ref="O3">_xlfn.XLOOKUP(B3,'Up Min'!A:A,'Up Min'!D:D,)</f>
        <v/>
      </c>
      <c r="P3" s="55" t="str">
        <f t="array" ref="P3">_xlfn.XLOOKUP(B3,'Up Max'!A:A,'Up Max'!D:D,)</f>
        <v/>
      </c>
      <c r="Q3" s="57" t="str">
        <f t="array" ref="Q3">_xlfn.XLOOKUP(B3,'Up Stats'!A:A,'Up Stats'!E:E,)</f>
        <v/>
      </c>
      <c r="R3" s="54" t="str">
        <f>IFERROR(__xludf.DUMMYFUNCTION("if(AND(S3=FALSE,T3=FALSE),,if(S3=T3,JOIN("""",""Static: "",S3),JOIN("""",""Min:  "",S3, CHAR(10),""Max: "",T3)))"),"")</f>
        <v/>
      </c>
      <c r="S3" s="55" t="str">
        <f t="array" ref="S3">_xlfn.XLOOKUP(B3,'Up Min'!A:A,'Up Min'!E:E,)</f>
        <v/>
      </c>
      <c r="T3" s="55" t="str">
        <f t="array" ref="T3">_xlfn.XLOOKUP(B3,'Up Max'!A:A,'Up Max'!E:E,)</f>
        <v/>
      </c>
      <c r="U3" s="57" t="str">
        <f t="array" ref="U3">_xlfn.XLOOKUP(B3,'Up Stats'!A:A,'Up Stats'!F:F,)</f>
        <v/>
      </c>
      <c r="V3" s="54" t="str">
        <f>IFERROR(__xludf.DUMMYFUNCTION("if(AND(W3=FALSE,X3=FALSE),,if(W3=X3,JOIN("""",""Static: "",W3),JOIN("""",""Min:  "",W3, CHAR(10),""Max: "",X3)))"),"")</f>
        <v/>
      </c>
      <c r="W3" s="55" t="str">
        <f t="array" ref="W3">_xlfn.XLOOKUP(B3,'Up Min'!A:A,'Up Min'!F:F,)</f>
        <v/>
      </c>
      <c r="X3" s="55" t="str">
        <f t="array" ref="X3">_xlfn.XLOOKUP(B3,'Up Max'!A:A,'Up Max'!F:F,)</f>
        <v/>
      </c>
      <c r="Y3" s="57" t="str">
        <f t="array" ref="Y3">_xlfn.XLOOKUP(B3,'Up Stats'!A:A,'Up Stats'!G:G,)</f>
        <v/>
      </c>
      <c r="Z3" s="54" t="str">
        <f>IFERROR(__xludf.DUMMYFUNCTION("if(AND(AA3=FALSE,AB3=FALSE),,if(AA3=AB3,JOIN("""",""Static: "",AA3),JOIN("""",""Min:  "",AA3, CHAR(10),""Max: "",AB3)))"),"")</f>
        <v/>
      </c>
      <c r="AA3" s="55" t="str">
        <f t="array" ref="AA3">_xlfn.XLOOKUP(B3,'Up Min'!A:A,'Up Min'!G:G,)</f>
        <v/>
      </c>
      <c r="AB3" s="55" t="str">
        <f t="array" ref="AB3">_xlfn.XLOOKUP(B3,'Up Max'!A:A,'Up Max'!G:G,)</f>
        <v/>
      </c>
      <c r="AC3" s="57" t="str">
        <f t="array" ref="AC3">_xlfn.XLOOKUP(B3,'Up Stats'!A:A,'Up Stats'!H:H,)</f>
        <v/>
      </c>
      <c r="AD3" s="54" t="str">
        <f>IFERROR(__xludf.DUMMYFUNCTION("if(AND(AE3=FALSE,AF3=FALSE),,if(AE3=AF3,JOIN("""",""Static: "",AE3),JOIN("""",""Min:  "",AE3, CHAR(10),""Max: "",AF3)))"),"")</f>
        <v/>
      </c>
      <c r="AE3" s="55" t="str">
        <f t="array" ref="AE3">_xlfn.XLOOKUP(B3,'Up Min'!A:A,'Up Min'!H:H,)</f>
        <v/>
      </c>
      <c r="AF3" s="55" t="str">
        <f t="array" ref="AF3">_xlfn.XLOOKUP(B3,'Up Max'!A:A,'Up Max'!H:H,)</f>
        <v/>
      </c>
      <c r="AG3" s="57" t="str">
        <f t="array" ref="AG3">_xlfn.XLOOKUP(B3,'Up Stats'!A:A,'Up Stats'!I:I,)</f>
        <v/>
      </c>
      <c r="AH3" s="54" t="str">
        <f>IFERROR(__xludf.DUMMYFUNCTION("if(AND(AI3=FALSE,AJ3=FALSE),,if(AI3=AJ3,JOIN("""",""Static: "",AI3),JOIN("""",""Min:  "",AI3, CHAR(10),""Max: "",AJ3)))"),"")</f>
        <v/>
      </c>
      <c r="AI3" s="55" t="str">
        <f t="array" ref="AI3">_xlfn.XLOOKUP(B3,'Up Min'!A:A,'Up Min'!I:I,)</f>
        <v/>
      </c>
      <c r="AJ3" s="55" t="str">
        <f t="array" ref="AJ3">_xlfn.XLOOKUP(B3,'Up Max'!A:A,'Up Max'!I:I,)</f>
        <v/>
      </c>
      <c r="AK3" s="57" t="str">
        <f t="array" ref="AK3">_xlfn.XLOOKUP(B3,'Up Stats'!A:A,'Up Stats'!J:J,)</f>
        <v/>
      </c>
      <c r="AL3" s="54" t="str">
        <f>IFERROR(__xludf.DUMMYFUNCTION("if(AND(AM3=FALSE,AN3=FALSE),,if(AM3=AN3,JOIN("""",""Static: "",AM3),JOIN("""",""Min:  "",AM3, CHAR(10),""Max: "",AN3)))"),"")</f>
        <v/>
      </c>
      <c r="AM3" s="55" t="str">
        <f t="array" ref="AM3">_xlfn.XLOOKUP(B3,'Up Min'!A:A,'Up Min'!J:J,)</f>
        <v/>
      </c>
      <c r="AN3" s="55" t="str">
        <f t="array" ref="AN3">_xlfn.XLOOKUP(B3,'Up Max'!A:A,'Up Max'!J:J,)</f>
        <v/>
      </c>
      <c r="AO3" s="51" t="str">
        <f t="array" ref="AO3">CONCATENATE(_xlfn.XLOOKUP(B3,'Up Cells'!A:A,'Up Cells'!B:B,))</f>
        <v>1</v>
      </c>
      <c r="AP3" s="51" t="str">
        <f t="array" ref="AP3">CONCATENATE(_xlfn.XLOOKUP(B3,'Up Rarity'!A:A,'Up Rarity'!B:B,),CHAR(10),"-")</f>
        <v>Contraband
-</v>
      </c>
    </row>
    <row r="4">
      <c r="A4" s="60" t="str">
        <f t="array" ref="A4">_xlfn.XLOOKUP(B4,'Up Icon'!A:A,'Up Icon'!B:B,)</f>
        <v/>
      </c>
      <c r="B4" s="58" t="str">
        <f t="array" ref="B4">HYPERLINK(_xlfn.XLOOKUP('Up Names'!E35,'Up Wiki'!A:A,'Up Wiki'!B:B,),'Up Names'!E35)</f>
        <v>Boundary Incursion</v>
      </c>
      <c r="C4" s="37" t="str">
        <f t="array" ref="C4">_xlfn.XLOOKUP(B4,'Up Desc'!A:A,'Up Desc'!B:B,)</f>
        <v>Increases the size of your upgrade grid.</v>
      </c>
      <c r="D4" s="37" t="str">
        <f t="array" ref="D4">_xlfn.XLOOKUP(B4,'Up Turbo'!A:A,'Up Turbo'!B:B,)</f>
        <v>n/a</v>
      </c>
      <c r="E4" s="39" t="str">
        <f t="array" ref="E4">_xlfn.XLOOKUP(B4,'Up Stats'!A:A,'Up Stats'!B:B,)</f>
        <v/>
      </c>
      <c r="F4" s="40" t="str">
        <f>IFERROR(__xludf.DUMMYFUNCTION("if(AND(G4=FALSE,H4=FALSE),,if(G4=H4,JOIN("""",""Static: "",G4),JOIN("""",""Min:  "",G4, CHAR(10),""Max: "",H4)))"),"")</f>
        <v/>
      </c>
      <c r="G4" s="42" t="str">
        <f t="array" ref="G4">_xlfn.XLOOKUP(B4,'Up Min'!A:A,'Up Min'!B:B,)</f>
        <v/>
      </c>
      <c r="H4" s="45" t="str">
        <f t="array" ref="H4">_xlfn.XLOOKUP(B4,'Up Max'!A:A,'Up Max'!B:B,)</f>
        <v/>
      </c>
      <c r="I4" s="39" t="str">
        <f t="array" ref="I4">_xlfn.XLOOKUP(B4,'Up Stats'!A:A,'Up Stats'!C:C,)</f>
        <v/>
      </c>
      <c r="J4" s="40" t="str">
        <f>IFERROR(__xludf.DUMMYFUNCTION("if(AND(K4=FALSE,L4=FALSE),,if(K4=L4,JOIN("""",""Static: "",K4),JOIN("""",""Min:  "",K4, CHAR(10),""Max: "",L4)))"),"")</f>
        <v/>
      </c>
      <c r="K4" s="42" t="str">
        <f t="array" ref="K4">_xlfn.XLOOKUP(B4,'Up Min'!A:A,'Up Min'!C:C,)</f>
        <v/>
      </c>
      <c r="L4" s="42" t="str">
        <f t="array" ref="L4">_xlfn.XLOOKUP(B4,'Up Max'!A:A,'Up Max'!C:C,)</f>
        <v/>
      </c>
      <c r="M4" s="48" t="str">
        <f t="array" ref="M4">_xlfn.XLOOKUP(B4,'Up Stats'!A:A,'Up Stats'!D:D,)</f>
        <v/>
      </c>
      <c r="N4" s="40" t="str">
        <f>IFERROR(__xludf.DUMMYFUNCTION("if(AND(O4=FALSE,P4=FALSE),,if(O4=P4,JOIN("""",""Static: "",O4),JOIN("""",""Min:  "",O4, CHAR(10),""Max: "",P4)))"),"")</f>
        <v/>
      </c>
      <c r="O4" s="42" t="str">
        <f t="array" ref="O4">_xlfn.XLOOKUP(B4,'Up Min'!A:A,'Up Min'!D:D,)</f>
        <v/>
      </c>
      <c r="P4" s="42" t="str">
        <f t="array" ref="P4">_xlfn.XLOOKUP(B4,'Up Max'!A:A,'Up Max'!D:D,)</f>
        <v/>
      </c>
      <c r="Q4" s="48" t="str">
        <f t="array" ref="Q4">_xlfn.XLOOKUP(B4,'Up Stats'!A:A,'Up Stats'!E:E,)</f>
        <v/>
      </c>
      <c r="R4" s="40" t="str">
        <f>IFERROR(__xludf.DUMMYFUNCTION("if(AND(S4=FALSE,T4=FALSE),,if(S4=T4,JOIN("""",""Static: "",S4),JOIN("""",""Min:  "",S4, CHAR(10),""Max: "",T4)))"),"")</f>
        <v/>
      </c>
      <c r="S4" s="42" t="str">
        <f t="array" ref="S4">_xlfn.XLOOKUP(B4,'Up Min'!A:A,'Up Min'!E:E,)</f>
        <v/>
      </c>
      <c r="T4" s="42" t="str">
        <f t="array" ref="T4">_xlfn.XLOOKUP(B4,'Up Max'!A:A,'Up Max'!E:E,)</f>
        <v/>
      </c>
      <c r="U4" s="48" t="str">
        <f t="array" ref="U4">_xlfn.XLOOKUP(B4,'Up Stats'!A:A,'Up Stats'!F:F,)</f>
        <v/>
      </c>
      <c r="V4" s="40" t="str">
        <f>IFERROR(__xludf.DUMMYFUNCTION("if(AND(W4=FALSE,X4=FALSE),,if(W4=X4,JOIN("""",""Static: "",W4),JOIN("""",""Min:  "",W4, CHAR(10),""Max: "",X4)))"),"")</f>
        <v/>
      </c>
      <c r="W4" s="42" t="str">
        <f t="array" ref="W4">_xlfn.XLOOKUP(B4,'Up Min'!A:A,'Up Min'!F:F,)</f>
        <v/>
      </c>
      <c r="X4" s="42" t="str">
        <f t="array" ref="X4">_xlfn.XLOOKUP(B4,'Up Max'!A:A,'Up Max'!F:F,)</f>
        <v/>
      </c>
      <c r="Y4" s="48" t="str">
        <f t="array" ref="Y4">_xlfn.XLOOKUP(B4,'Up Stats'!A:A,'Up Stats'!G:G,)</f>
        <v/>
      </c>
      <c r="Z4" s="40" t="str">
        <f>IFERROR(__xludf.DUMMYFUNCTION("if(AND(AA4=FALSE,AB4=FALSE),,if(AA4=AB4,JOIN("""",""Static: "",AA4),JOIN("""",""Min:  "",AA4, CHAR(10),""Max: "",AB4)))"),"")</f>
        <v/>
      </c>
      <c r="AA4" s="42" t="str">
        <f t="array" ref="AA4">_xlfn.XLOOKUP(B4,'Up Min'!A:A,'Up Min'!G:G,)</f>
        <v/>
      </c>
      <c r="AB4" s="42" t="str">
        <f t="array" ref="AB4">_xlfn.XLOOKUP(B4,'Up Max'!A:A,'Up Max'!G:G,)</f>
        <v/>
      </c>
      <c r="AC4" s="48" t="str">
        <f t="array" ref="AC4">_xlfn.XLOOKUP(B4,'Up Stats'!A:A,'Up Stats'!H:H,)</f>
        <v/>
      </c>
      <c r="AD4" s="40" t="str">
        <f>IFERROR(__xludf.DUMMYFUNCTION("if(AND(AE4=FALSE,AF4=FALSE),,if(AE4=AF4,JOIN("""",""Static: "",AE4),JOIN("""",""Min:  "",AE4, CHAR(10),""Max: "",AF4)))"),"")</f>
        <v/>
      </c>
      <c r="AE4" s="42" t="str">
        <f t="array" ref="AE4">_xlfn.XLOOKUP(B4,'Up Min'!A:A,'Up Min'!H:H,)</f>
        <v/>
      </c>
      <c r="AF4" s="42" t="str">
        <f t="array" ref="AF4">_xlfn.XLOOKUP(B4,'Up Max'!A:A,'Up Max'!H:H,)</f>
        <v/>
      </c>
      <c r="AG4" s="48" t="str">
        <f t="array" ref="AG4">_xlfn.XLOOKUP(B4,'Up Stats'!A:A,'Up Stats'!I:I,)</f>
        <v/>
      </c>
      <c r="AH4" s="40" t="str">
        <f>IFERROR(__xludf.DUMMYFUNCTION("if(AND(AI4=FALSE,AJ4=FALSE),,if(AI4=AJ4,JOIN("""",""Static: "",AI4),JOIN("""",""Min:  "",AI4, CHAR(10),""Max: "",AJ4)))"),"")</f>
        <v/>
      </c>
      <c r="AI4" s="42" t="str">
        <f t="array" ref="AI4">_xlfn.XLOOKUP(B4,'Up Min'!A:A,'Up Min'!I:I,)</f>
        <v/>
      </c>
      <c r="AJ4" s="42" t="str">
        <f t="array" ref="AJ4">_xlfn.XLOOKUP(B4,'Up Max'!A:A,'Up Max'!I:I,)</f>
        <v/>
      </c>
      <c r="AK4" s="48" t="str">
        <f t="array" ref="AK4">_xlfn.XLOOKUP(B4,'Up Stats'!A:A,'Up Stats'!J:J,)</f>
        <v/>
      </c>
      <c r="AL4" s="40" t="str">
        <f>IFERROR(__xludf.DUMMYFUNCTION("if(AND(AM4=FALSE,AN4=FALSE),,if(AM4=AN4,JOIN("""",""Static: "",AM4),JOIN("""",""Min:  "",AM4, CHAR(10),""Max: "",AN4)))"),"")</f>
        <v/>
      </c>
      <c r="AM4" s="42" t="str">
        <f t="array" ref="AM4">_xlfn.XLOOKUP(B4,'Up Min'!A:A,'Up Min'!J:J,)</f>
        <v/>
      </c>
      <c r="AN4" s="42" t="str">
        <f t="array" ref="AN4">_xlfn.XLOOKUP(B4,'Up Max'!A:A,'Up Max'!J:J,)</f>
        <v/>
      </c>
      <c r="AO4" s="34" t="str">
        <f t="array" ref="AO4">CONCATENATE(_xlfn.XLOOKUP(B4,'Up Cells'!A:A,'Up Cells'!B:B,))</f>
        <v>1</v>
      </c>
      <c r="AP4" s="34" t="str">
        <f t="array" ref="AP4">CONCATENATE(_xlfn.XLOOKUP(B4,'Up Rarity'!A:A,'Up Rarity'!B:B,),CHAR(10),"-")</f>
        <v>Oddity
-</v>
      </c>
    </row>
    <row r="5">
      <c r="A5" s="62" t="str">
        <f t="array" ref="A5">_xlfn.XLOOKUP(B5,'Up Icon'!A:A,'Up Icon'!B:B,)</f>
        <v/>
      </c>
      <c r="B5" s="88" t="str">
        <f t="array" ref="B5">HYPERLINK(_xlfn.XLOOKUP('Up Names'!E2,'Up Wiki'!A:A,'Up Wiki'!B:B,),'Up Names'!E2)</f>
        <v>Big Fat Doobie</v>
      </c>
      <c r="C5" s="70" t="str">
        <f t="array" ref="C5">_xlfn.XLOOKUP(B5,'Up Desc'!A:A,'Up Desc'!B:B,)</f>
        <v>Only one bullet is loaded into the chamber. It is much larger and deals more damage.</v>
      </c>
      <c r="D5" s="52" t="str">
        <f t="array" ref="D5">_xlfn.XLOOKUP(B5,'Up Turbo'!A:A,'Up Turbo'!B:B,)</f>
        <v>Reload Speed: [+26.58% - +20.48%]</v>
      </c>
      <c r="E5" s="53" t="str">
        <f t="array" ref="E5">_xlfn.XLOOKUP(B5,'Up Stats'!A:A,'Up Stats'!B:B,)</f>
        <v>Magazine Size</v>
      </c>
      <c r="F5" s="54" t="str">
        <f>IFERROR(__xludf.DUMMYFUNCTION("if(AND(G5=FALSE,H5=FALSE),,if(G5=H5,JOIN("""",""Static: "",G5),JOIN("""",""Min:  "",G5, CHAR(10),""Max: "",H5)))"),"Static: 1")</f>
        <v>Static: 1</v>
      </c>
      <c r="G5" s="64">
        <f t="array" ref="G5">_xlfn.XLOOKUP(B5,'Up Min'!A:A,'Up Min'!B:B,)</f>
        <v>1</v>
      </c>
      <c r="H5" s="65">
        <f t="array" ref="H5">_xlfn.XLOOKUP(B5,'Up Max'!A:A,'Up Max'!B:B,)</f>
        <v>1</v>
      </c>
      <c r="I5" s="53" t="str">
        <f t="array" ref="I5">_xlfn.XLOOKUP(B5,'Up Stats'!A:A,'Up Stats'!C:C,)</f>
        <v>Damage</v>
      </c>
      <c r="J5" s="54" t="str">
        <f>IFERROR(__xludf.DUMMYFUNCTION("if(AND(K5=FALSE,L5=FALSE),,if(K5=L5,JOIN("""",""Static: "",K5),JOIN("""",""Min:  "",K5, CHAR(10),""Max: "",L5)))"),"Min:  123
Max: 141")</f>
        <v>Min:  123
Max: 141</v>
      </c>
      <c r="K5" s="65">
        <f t="array" ref="K5">_xlfn.XLOOKUP(B5,'Up Min'!A:A,'Up Min'!C:C,)</f>
        <v>123</v>
      </c>
      <c r="L5" s="64">
        <f t="array" ref="L5">_xlfn.XLOOKUP(B5,'Up Max'!A:A,'Up Max'!C:C,)</f>
        <v>141</v>
      </c>
      <c r="M5" s="53" t="str">
        <f t="array" ref="M5">_xlfn.XLOOKUP(B5,'Up Stats'!A:A,'Up Stats'!D:D,)</f>
        <v>Bullet Size</v>
      </c>
      <c r="N5" s="54" t="str">
        <f>IFERROR(__xludf.DUMMYFUNCTION("if(AND(O5=FALSE,P5=FALSE),,if(O5=P5,JOIN("""",""Static: "",O5),JOIN("""",""Min:  "",O5, CHAR(10),""Max: "",P5)))"),"Static: 0.4")</f>
        <v>Static: 0.4</v>
      </c>
      <c r="O5" s="65">
        <f t="array" ref="O5">_xlfn.XLOOKUP(B5,'Up Min'!A:A,'Up Min'!D:D,)</f>
        <v>0.4</v>
      </c>
      <c r="P5" s="65">
        <f t="array" ref="P5">_xlfn.XLOOKUP(B5,'Up Max'!A:A,'Up Max'!D:D,)</f>
        <v>0.4</v>
      </c>
      <c r="Q5" s="57" t="str">
        <f t="array" ref="Q5">_xlfn.XLOOKUP(B5,'Up Stats'!A:A,'Up Stats'!E:E,)</f>
        <v>Horizontal Recoil</v>
      </c>
      <c r="R5" s="54" t="str">
        <f>IFERROR(__xludf.DUMMYFUNCTION("if(AND(S5=FALSE,T5=FALSE),,if(S5=T5,JOIN("""",""Static: "",S5),JOIN("""",""Min:  "",S5, CHAR(10),""Max: "",T5)))"),"Min:  75%
Max: 110%")</f>
        <v>Min:  75%
Max: 110%</v>
      </c>
      <c r="S5" s="59">
        <f t="array" ref="S5">_xlfn.XLOOKUP(B5,'Up Min'!A:A,'Up Min'!E:E,)</f>
        <v>0.75</v>
      </c>
      <c r="T5" s="59">
        <f t="array" ref="T5">_xlfn.XLOOKUP(B5,'Up Max'!A:A,'Up Max'!E:E,)</f>
        <v>1.1</v>
      </c>
      <c r="U5" s="53" t="str">
        <f t="array" ref="U5">_xlfn.XLOOKUP(B5,'Up Stats'!A:A,'Up Stats'!F:F,)</f>
        <v>Vertical Recoil</v>
      </c>
      <c r="V5" s="54" t="str">
        <f>IFERROR(__xludf.DUMMYFUNCTION("if(AND(W5=FALSE,X5=FALSE),,if(W5=X5,JOIN("""",""Static: "",W5),JOIN("""",""Min:  "",W5, CHAR(10),""Max: "",X5)))"),"Min:  75%
Max: 110%")</f>
        <v>Min:  75%
Max: 110%</v>
      </c>
      <c r="W5" s="59">
        <f t="array" ref="W5">_xlfn.XLOOKUP(B5,'Up Min'!A:A,'Up Min'!F:F,)</f>
        <v>0.75</v>
      </c>
      <c r="X5" s="59">
        <f t="array" ref="X5">_xlfn.XLOOKUP(B5,'Up Max'!A:A,'Up Max'!F:F,)</f>
        <v>1.1</v>
      </c>
      <c r="Y5" s="53" t="str">
        <f t="array" ref="Y5">_xlfn.XLOOKUP(B5,'Up Stats'!A:A,'Up Stats'!G:G,)</f>
        <v>Fire Rate</v>
      </c>
      <c r="Z5" s="54" t="str">
        <f>IFERROR(__xludf.DUMMYFUNCTION("if(AND(AA5=FALSE,AB5=FALSE),,if(AA5=AB5,JOIN("""",""Static: "",AA5),JOIN("""",""Min:  "",AA5, CHAR(10),""Max: "",AB5)))"),"Static: -58.33%")</f>
        <v>Static: -58.33%</v>
      </c>
      <c r="AA5" s="71">
        <f t="array" ref="AA5">_xlfn.XLOOKUP(B5,'Up Min'!A:A,'Up Min'!G:G,)</f>
        <v>-0.5833</v>
      </c>
      <c r="AB5" s="71">
        <f t="array" ref="AB5">_xlfn.XLOOKUP(B5,'Up Max'!A:A,'Up Max'!G:G,)</f>
        <v>-0.5833</v>
      </c>
      <c r="AC5" s="53" t="str">
        <f t="array" ref="AC5">_xlfn.XLOOKUP(B5,'Up Stats'!A:A,'Up Stats'!H:H,)</f>
        <v>Range</v>
      </c>
      <c r="AD5" s="54" t="str">
        <f>IFERROR(__xludf.DUMMYFUNCTION("if(AND(AE5=FALSE,AF5=FALSE),,if(AE5=AF5,JOIN("""",""Static: "",AE5),JOIN("""",""Min:  "",AE5, CHAR(10),""Max: "",AF5)))"),"Min:  -21%
Max: -17%")</f>
        <v>Min:  -21%
Max: -17%</v>
      </c>
      <c r="AE5" s="59">
        <f t="array" ref="AE5">_xlfn.XLOOKUP(B5,'Up Min'!A:A,'Up Min'!H:H,)</f>
        <v>-0.21</v>
      </c>
      <c r="AF5" s="59">
        <f t="array" ref="AF5">_xlfn.XLOOKUP(B5,'Up Max'!A:A,'Up Max'!H:H,)</f>
        <v>-0.17</v>
      </c>
      <c r="AG5" s="53" t="str">
        <f t="array" ref="AG5">_xlfn.XLOOKUP(B5,'Up Stats'!A:A,'Up Stats'!I:I,)</f>
        <v>Ammo Capacity</v>
      </c>
      <c r="AH5" s="54" t="str">
        <f>IFERROR(__xludf.DUMMYFUNCTION("if(AND(AI5=FALSE,AJ5=FALSE),,if(AI5=AJ5,JOIN("""",""Static: "",AI5),JOIN("""",""Min:  "",AI5, CHAR(10),""Max: "",AJ5)))"),"Min:  -77%
Max: -74%")</f>
        <v>Min:  -77%
Max: -74%</v>
      </c>
      <c r="AI5" s="72">
        <f t="array" ref="AI5">_xlfn.XLOOKUP(B5,'Up Min'!A:A,'Up Min'!I:I,)</f>
        <v>-0.77</v>
      </c>
      <c r="AJ5" s="72">
        <f t="array" ref="AJ5">_xlfn.XLOOKUP(B5,'Up Max'!A:A,'Up Max'!I:I,)</f>
        <v>-0.74</v>
      </c>
      <c r="AK5" s="57" t="str">
        <f t="array" ref="AK5">_xlfn.XLOOKUP(B5,'Up Stats'!A:A,'Up Stats'!J:J,)</f>
        <v/>
      </c>
      <c r="AL5" s="54" t="str">
        <f>IFERROR(__xludf.DUMMYFUNCTION("if(AND(AM5=FALSE,AN5=FALSE),,if(AM5=AN5,JOIN("""",""Static: "",AM5),JOIN("""",""Min:  "",AM5, CHAR(10),""Max: "",AN5)))"),"")</f>
        <v/>
      </c>
      <c r="AM5" s="55" t="str">
        <f t="array" ref="AM5">_xlfn.XLOOKUP(B5,'Up Min'!A:A,'Up Min'!J:J,)</f>
        <v/>
      </c>
      <c r="AN5" s="55" t="str">
        <f t="array" ref="AN5">_xlfn.XLOOKUP(B5,'Up Max'!A:A,'Up Max'!J:J,)</f>
        <v/>
      </c>
      <c r="AO5" s="51" t="str">
        <f t="array" ref="AO5">CONCATENATE(_xlfn.XLOOKUP(B5,'Up Cells'!A:A,'Up Cells'!B:B,))</f>
        <v>4</v>
      </c>
      <c r="AP5" s="51" t="str">
        <f t="array" ref="AP5">CONCATENATE(_xlfn.XLOOKUP(B5,'Up Rarity'!A:A,'Up Rarity'!B:B,),CHAR(10),"-")</f>
        <v>Exotic
-</v>
      </c>
    </row>
    <row r="6">
      <c r="A6" s="62" t="str">
        <f t="array" ref="A6">_xlfn.XLOOKUP(B6,'Up Icon'!A:A,'Up Icon'!B:B,)</f>
        <v/>
      </c>
      <c r="B6" s="89" t="str">
        <f t="array" ref="B6">HYPERLINK(_xlfn.XLOOKUP('Up Names'!E3,'Up Wiki'!A:A,'Up Wiki'!B:B,),'Up Names'!E3)</f>
        <v>Blood-Rush</v>
      </c>
      <c r="C6" s="37" t="str">
        <f t="array" ref="C6">_xlfn.XLOOKUP(B6,'Up Desc'!A:A,'Up Desc'!B:B,)</f>
        <v>Killing a core loads a bunch of bullets into the magazine. Press AIM to fire all bullets in a large burst.</v>
      </c>
      <c r="D6" s="37" t="str">
        <f t="array" ref="D6">_xlfn.XLOOKUP(B6,'Up Turbo'!A:A,'Up Turbo'!B:B,)</f>
        <v>Blood Rush bullets deal increased damage.
Bonus Damage: [+13 - +15]</v>
      </c>
      <c r="E6" s="39" t="str">
        <f t="array" ref="E6">_xlfn.XLOOKUP(B6,'Up Stats'!A:A,'Up Stats'!B:B,)</f>
        <v>Burst Size</v>
      </c>
      <c r="F6" s="40" t="str">
        <f>IFERROR(__xludf.DUMMYFUNCTION("if(AND(G6=FALSE,H6=FALSE),,if(G6=H6,JOIN("""",""Static: "",G6),JOIN("""",""Min:  "",G6, CHAR(10),""Max: "",H6)))"),"Min:  20
Max: 28")</f>
        <v>Min:  20
Max: 28</v>
      </c>
      <c r="G6" s="69">
        <f t="array" ref="G6">_xlfn.XLOOKUP(B6,'Up Min'!A:A,'Up Min'!B:B,)</f>
        <v>20</v>
      </c>
      <c r="H6" s="68">
        <f t="array" ref="H6">_xlfn.XLOOKUP(B6,'Up Max'!A:A,'Up Max'!B:B,)</f>
        <v>28</v>
      </c>
      <c r="I6" s="39" t="str">
        <f t="array" ref="I6">_xlfn.XLOOKUP(B6,'Up Stats'!A:A,'Up Stats'!C:C,)</f>
        <v/>
      </c>
      <c r="J6" s="40" t="str">
        <f>IFERROR(__xludf.DUMMYFUNCTION("if(AND(K6=FALSE,L6=FALSE),,if(K6=L6,JOIN("""",""Static: "",K6),JOIN("""",""Min:  "",K6, CHAR(10),""Max: "",L6)))"),"")</f>
        <v/>
      </c>
      <c r="K6" s="42" t="str">
        <f t="array" ref="K6">_xlfn.XLOOKUP(B6,'Up Min'!A:A,'Up Min'!C:C,)</f>
        <v/>
      </c>
      <c r="L6" s="42" t="str">
        <f t="array" ref="L6">_xlfn.XLOOKUP(B6,'Up Max'!A:A,'Up Max'!C:C,)</f>
        <v/>
      </c>
      <c r="M6" s="48" t="str">
        <f t="array" ref="M6">_xlfn.XLOOKUP(B6,'Up Stats'!A:A,'Up Stats'!D:D,)</f>
        <v/>
      </c>
      <c r="N6" s="40" t="str">
        <f>IFERROR(__xludf.DUMMYFUNCTION("if(AND(O6=FALSE,P6=FALSE),,if(O6=P6,JOIN("""",""Static: "",O6),JOIN("""",""Min:  "",O6, CHAR(10),""Max: "",P6)))"),"")</f>
        <v/>
      </c>
      <c r="O6" s="42" t="str">
        <f t="array" ref="O6">_xlfn.XLOOKUP(B6,'Up Min'!A:A,'Up Min'!D:D,)</f>
        <v/>
      </c>
      <c r="P6" s="42" t="str">
        <f t="array" ref="P6">_xlfn.XLOOKUP(B6,'Up Max'!A:A,'Up Max'!D:D,)</f>
        <v/>
      </c>
      <c r="Q6" s="39" t="str">
        <f t="array" ref="Q6">_xlfn.XLOOKUP(B6,'Up Stats'!A:A,'Up Stats'!E:E,)</f>
        <v/>
      </c>
      <c r="R6" s="40" t="str">
        <f>IFERROR(__xludf.DUMMYFUNCTION("if(AND(S6=FALSE,T6=FALSE),,if(S6=T6,JOIN("""",""Static: "",S6),JOIN("""",""Min:  "",S6, CHAR(10),""Max: "",T6)))"),"")</f>
        <v/>
      </c>
      <c r="S6" s="42" t="str">
        <f t="array" ref="S6">_xlfn.XLOOKUP(B6,'Up Min'!A:A,'Up Min'!E:E,)</f>
        <v/>
      </c>
      <c r="T6" s="42" t="str">
        <f t="array" ref="T6">_xlfn.XLOOKUP(B6,'Up Max'!A:A,'Up Max'!E:E,)</f>
        <v/>
      </c>
      <c r="U6" s="48" t="str">
        <f t="array" ref="U6">_xlfn.XLOOKUP(B6,'Up Stats'!A:A,'Up Stats'!F:F,)</f>
        <v/>
      </c>
      <c r="V6" s="40" t="str">
        <f>IFERROR(__xludf.DUMMYFUNCTION("if(AND(W6=FALSE,X6=FALSE),,if(W6=X6,JOIN("""",""Static: "",W6),JOIN("""",""Min:  "",W6, CHAR(10),""Max: "",X6)))"),"")</f>
        <v/>
      </c>
      <c r="W6" s="42" t="str">
        <f t="array" ref="W6">_xlfn.XLOOKUP(B6,'Up Min'!A:A,'Up Min'!F:F,)</f>
        <v/>
      </c>
      <c r="X6" s="42" t="str">
        <f t="array" ref="X6">_xlfn.XLOOKUP(B6,'Up Max'!A:A,'Up Max'!F:F,)</f>
        <v/>
      </c>
      <c r="Y6" s="48" t="str">
        <f t="array" ref="Y6">_xlfn.XLOOKUP(B6,'Up Stats'!A:A,'Up Stats'!G:G,)</f>
        <v/>
      </c>
      <c r="Z6" s="40" t="str">
        <f>IFERROR(__xludf.DUMMYFUNCTION("if(AND(AA6=FALSE,AB6=FALSE),,if(AA6=AB6,JOIN("""",""Static: "",AA6),JOIN("""",""Min:  "",AA6, CHAR(10),""Max: "",AB6)))"),"")</f>
        <v/>
      </c>
      <c r="AA6" s="42" t="str">
        <f t="array" ref="AA6">_xlfn.XLOOKUP(B6,'Up Min'!A:A,'Up Min'!G:G,)</f>
        <v/>
      </c>
      <c r="AB6" s="42" t="str">
        <f t="array" ref="AB6">_xlfn.XLOOKUP(B6,'Up Max'!A:A,'Up Max'!G:G,)</f>
        <v/>
      </c>
      <c r="AC6" s="48" t="str">
        <f t="array" ref="AC6">_xlfn.XLOOKUP(B6,'Up Stats'!A:A,'Up Stats'!H:H,)</f>
        <v/>
      </c>
      <c r="AD6" s="40" t="str">
        <f>IFERROR(__xludf.DUMMYFUNCTION("if(AND(AE6=FALSE,AF6=FALSE),,if(AE6=AF6,JOIN("""",""Static: "",AE6),JOIN("""",""Min:  "",AE6, CHAR(10),""Max: "",AF6)))"),"")</f>
        <v/>
      </c>
      <c r="AE6" s="42" t="str">
        <f t="array" ref="AE6">_xlfn.XLOOKUP(B6,'Up Min'!A:A,'Up Min'!H:H,)</f>
        <v/>
      </c>
      <c r="AF6" s="42" t="str">
        <f t="array" ref="AF6">_xlfn.XLOOKUP(B6,'Up Max'!A:A,'Up Max'!H:H,)</f>
        <v/>
      </c>
      <c r="AG6" s="48" t="str">
        <f t="array" ref="AG6">_xlfn.XLOOKUP(B6,'Up Stats'!A:A,'Up Stats'!I:I,)</f>
        <v/>
      </c>
      <c r="AH6" s="40" t="str">
        <f>IFERROR(__xludf.DUMMYFUNCTION("if(AND(AI6=FALSE,AJ6=FALSE),,if(AI6=AJ6,JOIN("""",""Static: "",AI6),JOIN("""",""Min:  "",AI6, CHAR(10),""Max: "",AJ6)))"),"")</f>
        <v/>
      </c>
      <c r="AI6" s="42" t="str">
        <f t="array" ref="AI6">_xlfn.XLOOKUP(B6,'Up Min'!A:A,'Up Min'!I:I,)</f>
        <v/>
      </c>
      <c r="AJ6" s="42" t="str">
        <f t="array" ref="AJ6">_xlfn.XLOOKUP(B6,'Up Max'!A:A,'Up Max'!I:I,)</f>
        <v/>
      </c>
      <c r="AK6" s="48" t="str">
        <f t="array" ref="AK6">_xlfn.XLOOKUP(B6,'Up Stats'!A:A,'Up Stats'!J:J,)</f>
        <v/>
      </c>
      <c r="AL6" s="40" t="str">
        <f>IFERROR(__xludf.DUMMYFUNCTION("if(AND(AM6=FALSE,AN6=FALSE),,if(AM6=AN6,JOIN("""",""Static: "",AM6),JOIN("""",""Min:  "",AM6, CHAR(10),""Max: "",AN6)))"),"")</f>
        <v/>
      </c>
      <c r="AM6" s="42" t="str">
        <f t="array" ref="AM6">_xlfn.XLOOKUP(B6,'Up Min'!A:A,'Up Min'!J:J,)</f>
        <v/>
      </c>
      <c r="AN6" s="42" t="str">
        <f t="array" ref="AN6">_xlfn.XLOOKUP(B6,'Up Max'!A:A,'Up Max'!J:J,)</f>
        <v/>
      </c>
      <c r="AO6" s="34" t="str">
        <f t="array" ref="AO6">CONCATENATE(_xlfn.XLOOKUP(B6,'Up Cells'!A:A,'Up Cells'!B:B,))</f>
        <v>5</v>
      </c>
      <c r="AP6" s="34" t="str">
        <f t="array" ref="AP6">CONCATENATE(_xlfn.XLOOKUP(B6,'Up Rarity'!A:A,'Up Rarity'!B:B,),CHAR(10),"-")</f>
        <v>Exotic
-</v>
      </c>
    </row>
    <row r="7">
      <c r="A7" s="62" t="str">
        <f t="array" ref="A7">_xlfn.XLOOKUP(B7,'Up Icon'!A:A,'Up Icon'!B:B,)</f>
        <v/>
      </c>
      <c r="B7" s="88" t="str">
        <f t="array" ref="B7">HYPERLINK(_xlfn.XLOOKUP('Up Names'!E4,'Up Wiki'!A:A,'Up Wiki'!B:B,),'Up Names'!E4)</f>
        <v>Lucky Bastard</v>
      </c>
      <c r="C7" s="52" t="str">
        <f t="array" ref="C7">_xlfn.XLOOKUP(B7,'Up Desc'!A:A,'Up Desc'!B:B,)</f>
        <v>Firing your last shot has a chance to refund ammo.</v>
      </c>
      <c r="D7" s="52" t="str">
        <f t="array" ref="D7">_xlfn.XLOOKUP(B7,'Up Turbo'!A:A,'Up Turbo'!B:B,)</f>
        <v>Chance: [+3.5% - +5%]</v>
      </c>
      <c r="E7" s="53" t="str">
        <f t="array" ref="E7">_xlfn.XLOOKUP(B7,'Up Stats'!A:A,'Up Stats'!B:B,)</f>
        <v>Chance</v>
      </c>
      <c r="F7" s="54" t="str">
        <f>IFERROR(__xludf.DUMMYFUNCTION("if(AND(G7=FALSE,H7=FALSE),,if(G7=H7,JOIN("""",""Static: "",G7),JOIN("""",""Min:  "",G7, CHAR(10),""Max: "",H7)))"),"Min:  81%
Max: 89%")</f>
        <v>Min:  81%
Max: 89%</v>
      </c>
      <c r="G7" s="59">
        <f t="array" ref="G7">_xlfn.XLOOKUP(B7,'Up Min'!A:A,'Up Min'!B:B,)</f>
        <v>0.81</v>
      </c>
      <c r="H7" s="59">
        <f t="array" ref="H7">_xlfn.XLOOKUP(B7,'Up Max'!A:A,'Up Max'!B:B,)</f>
        <v>0.89</v>
      </c>
      <c r="I7" s="53" t="str">
        <f t="array" ref="I7">_xlfn.XLOOKUP(B7,'Up Stats'!A:A,'Up Stats'!C:C,)</f>
        <v>Ammo Refunded</v>
      </c>
      <c r="J7" s="54" t="str">
        <f>IFERROR(__xludf.DUMMYFUNCTION("if(AND(K7=FALSE,L7=FALSE),,if(K7=L7,JOIN("""",""Static: "",K7),JOIN("""",""Min:  "",K7, CHAR(10),""Max: "",L7)))"),"Static: 1")</f>
        <v>Static: 1</v>
      </c>
      <c r="K7" s="65">
        <f t="array" ref="K7">_xlfn.XLOOKUP(B7,'Up Min'!A:A,'Up Min'!C:C,)</f>
        <v>1</v>
      </c>
      <c r="L7" s="64">
        <f t="array" ref="L7">_xlfn.XLOOKUP(B7,'Up Max'!A:A,'Up Max'!C:C,)</f>
        <v>1</v>
      </c>
      <c r="M7" s="53" t="str">
        <f t="array" ref="M7">_xlfn.XLOOKUP(B7,'Up Stats'!A:A,'Up Stats'!D:D,)</f>
        <v/>
      </c>
      <c r="N7" s="54" t="str">
        <f>IFERROR(__xludf.DUMMYFUNCTION("if(AND(O7=FALSE,P7=FALSE),,if(O7=P7,JOIN("""",""Static: "",O7),JOIN("""",""Min:  "",O7, CHAR(10),""Max: "",P7)))"),"")</f>
        <v/>
      </c>
      <c r="O7" s="72" t="str">
        <f t="array" ref="O7">_xlfn.XLOOKUP(B7,'Up Min'!A:A,'Up Min'!D:D,)</f>
        <v/>
      </c>
      <c r="P7" s="72" t="str">
        <f t="array" ref="P7">_xlfn.XLOOKUP(B7,'Up Max'!A:A,'Up Max'!D:D,)</f>
        <v/>
      </c>
      <c r="Q7" s="57" t="str">
        <f t="array" ref="Q7">_xlfn.XLOOKUP(B7,'Up Stats'!A:A,'Up Stats'!E:E,)</f>
        <v/>
      </c>
      <c r="R7" s="54" t="str">
        <f>IFERROR(__xludf.DUMMYFUNCTION("if(AND(S7=FALSE,T7=FALSE),,if(S7=T7,JOIN("""",""Static: "",S7),JOIN("""",""Min:  "",S7, CHAR(10),""Max: "",T7)))"),"")</f>
        <v/>
      </c>
      <c r="S7" s="72" t="str">
        <f t="array" ref="S7">_xlfn.XLOOKUP(B7,'Up Min'!A:A,'Up Min'!E:E,)</f>
        <v/>
      </c>
      <c r="T7" s="72" t="str">
        <f t="array" ref="T7">_xlfn.XLOOKUP(B7,'Up Max'!A:A,'Up Max'!E:E,)</f>
        <v/>
      </c>
      <c r="U7" s="57" t="str">
        <f t="array" ref="U7">_xlfn.XLOOKUP(B7,'Up Stats'!A:A,'Up Stats'!F:F,)</f>
        <v/>
      </c>
      <c r="V7" s="54" t="str">
        <f>IFERROR(__xludf.DUMMYFUNCTION("if(AND(W7=FALSE,X7=FALSE),,if(W7=X7,JOIN("""",""Static: "",W7),JOIN("""",""Min:  "",W7, CHAR(10),""Max: "",X7)))"),"")</f>
        <v/>
      </c>
      <c r="W7" s="73" t="str">
        <f t="array" ref="W7">_xlfn.XLOOKUP(B7,'Up Min'!A:A,'Up Min'!F:F,)</f>
        <v/>
      </c>
      <c r="X7" s="73" t="str">
        <f t="array" ref="X7">_xlfn.XLOOKUP(B7,'Up Max'!A:A,'Up Max'!F:F,)</f>
        <v/>
      </c>
      <c r="Y7" s="57" t="str">
        <f t="array" ref="Y7">_xlfn.XLOOKUP(B7,'Up Stats'!A:A,'Up Stats'!G:G,)</f>
        <v/>
      </c>
      <c r="Z7" s="54" t="str">
        <f>IFERROR(__xludf.DUMMYFUNCTION("if(AND(AA7=FALSE,AB7=FALSE),,if(AA7=AB7,JOIN("""",""Static: "",AA7),JOIN("""",""Min:  "",AA7, CHAR(10),""Max: "",AB7)))"),"")</f>
        <v/>
      </c>
      <c r="AA7" s="55" t="str">
        <f t="array" ref="AA7">_xlfn.XLOOKUP(B7,'Up Min'!A:A,'Up Min'!G:G,)</f>
        <v/>
      </c>
      <c r="AB7" s="55" t="str">
        <f t="array" ref="AB7">_xlfn.XLOOKUP(B7,'Up Max'!A:A,'Up Max'!G:G,)</f>
        <v/>
      </c>
      <c r="AC7" s="57" t="str">
        <f t="array" ref="AC7">_xlfn.XLOOKUP(B7,'Up Stats'!A:A,'Up Stats'!H:H,)</f>
        <v/>
      </c>
      <c r="AD7" s="54" t="str">
        <f>IFERROR(__xludf.DUMMYFUNCTION("if(AND(AE7=FALSE,AF7=FALSE),,if(AE7=AF7,JOIN("""",""Static: "",AE7),JOIN("""",""Min:  "",AE7, CHAR(10),""Max: "",AF7)))"),"")</f>
        <v/>
      </c>
      <c r="AE7" s="55" t="str">
        <f t="array" ref="AE7">_xlfn.XLOOKUP(B7,'Up Min'!A:A,'Up Min'!H:H,)</f>
        <v/>
      </c>
      <c r="AF7" s="55" t="str">
        <f t="array" ref="AF7">_xlfn.XLOOKUP(B7,'Up Max'!A:A,'Up Max'!H:H,)</f>
        <v/>
      </c>
      <c r="AG7" s="57" t="str">
        <f t="array" ref="AG7">_xlfn.XLOOKUP(B7,'Up Stats'!A:A,'Up Stats'!I:I,)</f>
        <v/>
      </c>
      <c r="AH7" s="54" t="str">
        <f>IFERROR(__xludf.DUMMYFUNCTION("if(AND(AI7=FALSE,AJ7=FALSE),,if(AI7=AJ7,JOIN("""",""Static: "",AI7),JOIN("""",""Min:  "",AI7, CHAR(10),""Max: "",AJ7)))"),"")</f>
        <v/>
      </c>
      <c r="AI7" s="55" t="str">
        <f t="array" ref="AI7">_xlfn.XLOOKUP(B7,'Up Min'!A:A,'Up Min'!I:I,)</f>
        <v/>
      </c>
      <c r="AJ7" s="55" t="str">
        <f t="array" ref="AJ7">_xlfn.XLOOKUP(B7,'Up Max'!A:A,'Up Max'!I:I,)</f>
        <v/>
      </c>
      <c r="AK7" s="57" t="str">
        <f t="array" ref="AK7">_xlfn.XLOOKUP(B7,'Up Stats'!A:A,'Up Stats'!J:J,)</f>
        <v/>
      </c>
      <c r="AL7" s="54" t="str">
        <f>IFERROR(__xludf.DUMMYFUNCTION("if(AND(AM7=FALSE,AN7=FALSE),,if(AM7=AN7,JOIN("""",""Static: "",AM7),JOIN("""",""Min:  "",AM7, CHAR(10),""Max: "",AN7)))"),"")</f>
        <v/>
      </c>
      <c r="AM7" s="55" t="str">
        <f t="array" ref="AM7">_xlfn.XLOOKUP(B7,'Up Min'!A:A,'Up Min'!J:J,)</f>
        <v/>
      </c>
      <c r="AN7" s="55" t="str">
        <f t="array" ref="AN7">_xlfn.XLOOKUP(B7,'Up Max'!A:A,'Up Max'!J:J,)</f>
        <v/>
      </c>
      <c r="AO7" s="51" t="str">
        <f t="array" ref="AO7">CONCATENATE(_xlfn.XLOOKUP(B7,'Up Cells'!A:A,'Up Cells'!B:B,))</f>
        <v>6</v>
      </c>
      <c r="AP7" s="51" t="str">
        <f t="array" ref="AP7">CONCATENATE(_xlfn.XLOOKUP(B7,'Up Rarity'!A:A,'Up Rarity'!B:B,),CHAR(10),"-")</f>
        <v>Exotic
-</v>
      </c>
    </row>
    <row r="8">
      <c r="A8" s="62" t="str">
        <f t="array" ref="A8">_xlfn.XLOOKUP(B8,'Up Icon'!A:A,'Up Icon'!B:B,)</f>
        <v/>
      </c>
      <c r="B8" s="89" t="str">
        <f t="array" ref="B8">HYPERLINK(_xlfn.XLOOKUP('Up Names'!E5,'Up Wiki'!A:A,'Up Wiki'!B:B,),'Up Names'!E5)</f>
        <v>Volatile Munitions</v>
      </c>
      <c r="C8" s="37" t="str">
        <f t="array" ref="C8">_xlfn.XLOOKUP(B8,'Up Desc'!A:A,'Up Desc'!B:B,)</f>
        <v>Killing a core causes an elemental explosion.</v>
      </c>
      <c r="D8" s="37" t="str">
        <f t="array" ref="D8">_xlfn.XLOOKUP(B8,'Up Turbo'!A:A,'Up Turbo'!B:B,)</f>
        <v>Explosions have a chance to trigger when killing any target.
Chance: [7% - 9%]</v>
      </c>
      <c r="E8" s="39" t="str">
        <f t="array" ref="E8">_xlfn.XLOOKUP(B8,'Up Stats'!A:A,'Up Stats'!B:B,)</f>
        <v>Size</v>
      </c>
      <c r="F8" s="40" t="str">
        <f>IFERROR(__xludf.DUMMYFUNCTION("if(AND(G8=FALSE,H8=FALSE),,if(G8=H8,JOIN("""",""Static: "",G8),JOIN("""",""Min:  "",G8, CHAR(10),""Max: "",H8)))"),"Min:  3
Max: 3.4")</f>
        <v>Min:  3
Max: 3.4</v>
      </c>
      <c r="G8" s="69">
        <f t="array" ref="G8">_xlfn.XLOOKUP(B8,'Up Min'!A:A,'Up Min'!B:B,)</f>
        <v>3</v>
      </c>
      <c r="H8" s="68">
        <f t="array" ref="H8">_xlfn.XLOOKUP(B8,'Up Max'!A:A,'Up Max'!B:B,)</f>
        <v>3.4</v>
      </c>
      <c r="I8" s="39" t="str">
        <f t="array" ref="I8">_xlfn.XLOOKUP(B8,'Up Stats'!A:A,'Up Stats'!C:C,)</f>
        <v>Applies</v>
      </c>
      <c r="J8" s="40" t="str">
        <f>IFERROR(__xludf.DUMMYFUNCTION("if(AND(K8=FALSE,L8=FALSE),,if(K8=L8,JOIN("""",""Static: "",K8),JOIN("""",""Min:  "",K8, CHAR(10),""Max: "",L8)))"),"Static: element")</f>
        <v>Static: element</v>
      </c>
      <c r="K8" s="68" t="str">
        <f t="array" ref="K8">_xlfn.XLOOKUP(B8,'Up Min'!A:A,'Up Min'!C:C,)</f>
        <v>element</v>
      </c>
      <c r="L8" s="69" t="str">
        <f t="array" ref="L8">_xlfn.XLOOKUP(B8,'Up Max'!A:A,'Up Max'!C:C,)</f>
        <v>element</v>
      </c>
      <c r="M8" s="39" t="str">
        <f t="array" ref="M8">_xlfn.XLOOKUP(B8,'Up Stats'!A:A,'Up Stats'!D:D,)</f>
        <v/>
      </c>
      <c r="N8" s="40" t="str">
        <f>IFERROR(__xludf.DUMMYFUNCTION("if(AND(O8=FALSE,P8=FALSE),,if(O8=P8,JOIN("""",""Static: "",O8),JOIN("""",""Min:  "",O8, CHAR(10),""Max: "",P8)))"),"")</f>
        <v/>
      </c>
      <c r="O8" s="42" t="str">
        <f t="array" ref="O8">_xlfn.XLOOKUP(B8,'Up Min'!A:A,'Up Min'!D:D,)</f>
        <v/>
      </c>
      <c r="P8" s="42" t="str">
        <f t="array" ref="P8">_xlfn.XLOOKUP(B8,'Up Max'!A:A,'Up Max'!D:D,)</f>
        <v/>
      </c>
      <c r="Q8" s="48" t="str">
        <f t="array" ref="Q8">_xlfn.XLOOKUP(B8,'Up Stats'!A:A,'Up Stats'!E:E,)</f>
        <v/>
      </c>
      <c r="R8" s="40" t="str">
        <f>IFERROR(__xludf.DUMMYFUNCTION("if(AND(S8=FALSE,T8=FALSE),,if(S8=T8,JOIN("""",""Static: "",S8),JOIN("""",""Min:  "",S8, CHAR(10),""Max: "",T8)))"),"")</f>
        <v/>
      </c>
      <c r="S8" s="42" t="str">
        <f t="array" ref="S8">_xlfn.XLOOKUP(B8,'Up Min'!A:A,'Up Min'!E:E,)</f>
        <v/>
      </c>
      <c r="T8" s="42" t="str">
        <f t="array" ref="T8">_xlfn.XLOOKUP(B8,'Up Max'!A:A,'Up Max'!E:E,)</f>
        <v/>
      </c>
      <c r="U8" s="48" t="str">
        <f t="array" ref="U8">_xlfn.XLOOKUP(B8,'Up Stats'!A:A,'Up Stats'!F:F,)</f>
        <v/>
      </c>
      <c r="V8" s="40" t="str">
        <f>IFERROR(__xludf.DUMMYFUNCTION("if(AND(W8=FALSE,X8=FALSE),,if(W8=X8,JOIN("""",""Static: "",W8),JOIN("""",""Min:  "",W8, CHAR(10),""Max: "",X8)))"),"")</f>
        <v/>
      </c>
      <c r="W8" s="42" t="str">
        <f t="array" ref="W8">_xlfn.XLOOKUP(B8,'Up Min'!A:A,'Up Min'!F:F,)</f>
        <v/>
      </c>
      <c r="X8" s="42" t="str">
        <f t="array" ref="X8">_xlfn.XLOOKUP(B8,'Up Max'!A:A,'Up Max'!F:F,)</f>
        <v/>
      </c>
      <c r="Y8" s="48" t="str">
        <f t="array" ref="Y8">_xlfn.XLOOKUP(B8,'Up Stats'!A:A,'Up Stats'!G:G,)</f>
        <v/>
      </c>
      <c r="Z8" s="40" t="str">
        <f>IFERROR(__xludf.DUMMYFUNCTION("if(AND(AA8=FALSE,AB8=FALSE),,if(AA8=AB8,JOIN("""",""Static: "",AA8),JOIN("""",""Min:  "",AA8, CHAR(10),""Max: "",AB8)))"),"")</f>
        <v/>
      </c>
      <c r="AA8" s="42" t="str">
        <f t="array" ref="AA8">_xlfn.XLOOKUP(B8,'Up Min'!A:A,'Up Min'!G:G,)</f>
        <v/>
      </c>
      <c r="AB8" s="42" t="str">
        <f t="array" ref="AB8">_xlfn.XLOOKUP(B8,'Up Max'!A:A,'Up Max'!G:G,)</f>
        <v/>
      </c>
      <c r="AC8" s="48" t="str">
        <f t="array" ref="AC8">_xlfn.XLOOKUP(B8,'Up Stats'!A:A,'Up Stats'!H:H,)</f>
        <v/>
      </c>
      <c r="AD8" s="40" t="str">
        <f>IFERROR(__xludf.DUMMYFUNCTION("if(AND(AE8=FALSE,AF8=FALSE),,if(AE8=AF8,JOIN("""",""Static: "",AE8),JOIN("""",""Min:  "",AE8, CHAR(10),""Max: "",AF8)))"),"")</f>
        <v/>
      </c>
      <c r="AE8" s="42" t="str">
        <f t="array" ref="AE8">_xlfn.XLOOKUP(B8,'Up Min'!A:A,'Up Min'!H:H,)</f>
        <v/>
      </c>
      <c r="AF8" s="42" t="str">
        <f t="array" ref="AF8">_xlfn.XLOOKUP(B8,'Up Max'!A:A,'Up Max'!H:H,)</f>
        <v/>
      </c>
      <c r="AG8" s="48" t="str">
        <f t="array" ref="AG8">_xlfn.XLOOKUP(B8,'Up Stats'!A:A,'Up Stats'!I:I,)</f>
        <v/>
      </c>
      <c r="AH8" s="40" t="str">
        <f>IFERROR(__xludf.DUMMYFUNCTION("if(AND(AI8=FALSE,AJ8=FALSE),,if(AI8=AJ8,JOIN("""",""Static: "",AI8),JOIN("""",""Min:  "",AI8, CHAR(10),""Max: "",AJ8)))"),"")</f>
        <v/>
      </c>
      <c r="AI8" s="42" t="str">
        <f t="array" ref="AI8">_xlfn.XLOOKUP(B8,'Up Min'!A:A,'Up Min'!I:I,)</f>
        <v/>
      </c>
      <c r="AJ8" s="42" t="str">
        <f t="array" ref="AJ8">_xlfn.XLOOKUP(B8,'Up Max'!A:A,'Up Max'!I:I,)</f>
        <v/>
      </c>
      <c r="AK8" s="48" t="str">
        <f t="array" ref="AK8">_xlfn.XLOOKUP(B8,'Up Stats'!A:A,'Up Stats'!J:J,)</f>
        <v/>
      </c>
      <c r="AL8" s="40" t="str">
        <f>IFERROR(__xludf.DUMMYFUNCTION("if(AND(AM8=FALSE,AN8=FALSE),,if(AM8=AN8,JOIN("""",""Static: "",AM8),JOIN("""",""Min:  "",AM8, CHAR(10),""Max: "",AN8)))"),"")</f>
        <v/>
      </c>
      <c r="AM8" s="42" t="str">
        <f t="array" ref="AM8">_xlfn.XLOOKUP(B8,'Up Min'!A:A,'Up Min'!J:J,)</f>
        <v/>
      </c>
      <c r="AN8" s="42" t="str">
        <f t="array" ref="AN8">_xlfn.XLOOKUP(B8,'Up Max'!A:A,'Up Max'!J:J,)</f>
        <v/>
      </c>
      <c r="AO8" s="34" t="str">
        <f t="array" ref="AO8">CONCATENATE(_xlfn.XLOOKUP(B8,'Up Cells'!A:A,'Up Cells'!B:B,))</f>
        <v>7</v>
      </c>
      <c r="AP8" s="34" t="str">
        <f t="array" ref="AP8">CONCATENATE(_xlfn.XLOOKUP(B8,'Up Rarity'!A:A,'Up Rarity'!B:B,),CHAR(10),"-")</f>
        <v>Exotic
-</v>
      </c>
    </row>
    <row r="9">
      <c r="A9" s="75" t="str">
        <f t="array" ref="A9">_xlfn.XLOOKUP(B9,'Up Icon'!A:A,'Up Icon'!B:B,)</f>
        <v/>
      </c>
      <c r="B9" s="88" t="str">
        <f t="array" ref="B9">HYPERLINK(_xlfn.XLOOKUP('Up Names'!E6,'Up Wiki'!A:A,'Up Wiki'!B:B,),'Up Names'!E6)</f>
        <v>Double Action</v>
      </c>
      <c r="C9" s="52" t="str">
        <f t="array" ref="C9">_xlfn.XLOOKUP(B9,'Up Desc'!A:A,'Up Desc'!B:B,)</f>
        <v>Needs a longer trigger pull to fire. Damage is greatly increased.</v>
      </c>
      <c r="D9" s="52" t="str">
        <f t="array" ref="D9">_xlfn.XLOOKUP(B9,'Up Turbo'!A:A,'Up Turbo'!B:B,)</f>
        <v>n/a</v>
      </c>
      <c r="E9" s="53" t="str">
        <f t="array" ref="E9">_xlfn.XLOOKUP(B9,'Up Stats'!A:A,'Up Stats'!B:B,)</f>
        <v>Charge Time</v>
      </c>
      <c r="F9" s="54" t="str">
        <f>IFERROR(__xludf.DUMMYFUNCTION("if(AND(G9=FALSE,H9=FALSE),,if(G9=H9,JOIN("""",""Static: "",G9),JOIN("""",""Min:  "",G9, CHAR(10),""Max: "",H9)))"),"Min:  0.27
Max: 0.33")</f>
        <v>Min:  0.27
Max: 0.33</v>
      </c>
      <c r="G9" s="64">
        <f t="array" ref="G9">_xlfn.XLOOKUP(B9,'Up Min'!A:A,'Up Min'!B:B,)</f>
        <v>0.27</v>
      </c>
      <c r="H9" s="65">
        <f t="array" ref="H9">_xlfn.XLOOKUP(B9,'Up Max'!A:A,'Up Max'!B:B,)</f>
        <v>0.33</v>
      </c>
      <c r="I9" s="53" t="str">
        <f t="array" ref="I9">_xlfn.XLOOKUP(B9,'Up Stats'!A:A,'Up Stats'!C:C,)</f>
        <v>Damage</v>
      </c>
      <c r="J9" s="54" t="str">
        <f>IFERROR(__xludf.DUMMYFUNCTION("if(AND(K9=FALSE,L9=FALSE),,if(K9=L9,JOIN("""",""Static: "",K9),JOIN("""",""Min:  "",K9, CHAR(10),""Max: "",L9)))"),"Min:  114
Max: 145")</f>
        <v>Min:  114
Max: 145</v>
      </c>
      <c r="K9" s="65">
        <f t="array" ref="K9">_xlfn.XLOOKUP(B9,'Up Min'!A:A,'Up Min'!C:C,)</f>
        <v>114</v>
      </c>
      <c r="L9" s="64">
        <f t="array" ref="L9">_xlfn.XLOOKUP(B9,'Up Max'!A:A,'Up Max'!C:C,)</f>
        <v>145</v>
      </c>
      <c r="M9" s="53" t="str">
        <f t="array" ref="M9">_xlfn.XLOOKUP(B9,'Up Stats'!A:A,'Up Stats'!D:D,)</f>
        <v>Range</v>
      </c>
      <c r="N9" s="54" t="str">
        <f>IFERROR(__xludf.DUMMYFUNCTION("if(AND(O9=FALSE,P9=FALSE),,if(O9=P9,JOIN("""",""Static: "",O9),JOIN("""",""Min:  "",O9, CHAR(10),""Max: "",P9)))"),"Min:  150%
Max: 250%")</f>
        <v>Min:  150%
Max: 250%</v>
      </c>
      <c r="O9" s="59">
        <f t="array" ref="O9">_xlfn.XLOOKUP(B9,'Up Min'!A:A,'Up Min'!D:D,)</f>
        <v>1.5</v>
      </c>
      <c r="P9" s="59">
        <f t="array" ref="P9">_xlfn.XLOOKUP(B9,'Up Max'!A:A,'Up Max'!D:D,)</f>
        <v>2.5</v>
      </c>
      <c r="Q9" s="57" t="str">
        <f t="array" ref="Q9">_xlfn.XLOOKUP(B9,'Up Stats'!A:A,'Up Stats'!E:E,)</f>
        <v/>
      </c>
      <c r="R9" s="54" t="str">
        <f>IFERROR(__xludf.DUMMYFUNCTION("if(AND(S9=FALSE,T9=FALSE),,if(S9=T9,JOIN("""",""Static: "",S9),JOIN("""",""Min:  "",S9, CHAR(10),""Max: "",T9)))"),"")</f>
        <v/>
      </c>
      <c r="S9" s="56" t="str">
        <f t="array" ref="S9">_xlfn.XLOOKUP(B9,'Up Min'!A:A,'Up Min'!E:E,)</f>
        <v/>
      </c>
      <c r="T9" s="56" t="str">
        <f t="array" ref="T9">_xlfn.XLOOKUP(B9,'Up Max'!A:A,'Up Max'!E:E,)</f>
        <v/>
      </c>
      <c r="U9" s="53" t="str">
        <f t="array" ref="U9">_xlfn.XLOOKUP(B9,'Up Stats'!A:A,'Up Stats'!F:F,)</f>
        <v/>
      </c>
      <c r="V9" s="54" t="str">
        <f>IFERROR(__xludf.DUMMYFUNCTION("if(AND(W9=FALSE,X9=FALSE),,if(W9=X9,JOIN("""",""Static: "",W9),JOIN("""",""Min:  "",W9, CHAR(10),""Max: "",X9)))"),"")</f>
        <v/>
      </c>
      <c r="W9" s="56" t="str">
        <f t="array" ref="W9">_xlfn.XLOOKUP(B9,'Up Min'!A:A,'Up Min'!F:F,)</f>
        <v/>
      </c>
      <c r="X9" s="56" t="str">
        <f t="array" ref="X9">_xlfn.XLOOKUP(B9,'Up Max'!A:A,'Up Max'!F:F,)</f>
        <v/>
      </c>
      <c r="Y9" s="53" t="str">
        <f t="array" ref="Y9">_xlfn.XLOOKUP(B9,'Up Stats'!A:A,'Up Stats'!G:G,)</f>
        <v/>
      </c>
      <c r="Z9" s="54" t="str">
        <f>IFERROR(__xludf.DUMMYFUNCTION("if(AND(AA9=FALSE,AB9=FALSE),,if(AA9=AB9,JOIN("""",""Static: "",AA9),JOIN("""",""Min:  "",AA9, CHAR(10),""Max: "",AB9)))"),"")</f>
        <v/>
      </c>
      <c r="AA9" s="56" t="str">
        <f t="array" ref="AA9">_xlfn.XLOOKUP(B9,'Up Min'!A:A,'Up Min'!G:G,)</f>
        <v/>
      </c>
      <c r="AB9" s="56" t="str">
        <f t="array" ref="AB9">_xlfn.XLOOKUP(B9,'Up Max'!A:A,'Up Max'!G:G,)</f>
        <v/>
      </c>
      <c r="AC9" s="53" t="str">
        <f t="array" ref="AC9">_xlfn.XLOOKUP(B9,'Up Stats'!A:A,'Up Stats'!H:H,)</f>
        <v/>
      </c>
      <c r="AD9" s="54" t="str">
        <f>IFERROR(__xludf.DUMMYFUNCTION("if(AND(AE9=FALSE,AF9=FALSE),,if(AE9=AF9,JOIN("""",""Static: "",AE9),JOIN("""",""Min:  "",AE9, CHAR(10),""Max: "",AF9)))"),"")</f>
        <v/>
      </c>
      <c r="AE9" s="56" t="str">
        <f t="array" ref="AE9">_xlfn.XLOOKUP(B9,'Up Min'!A:A,'Up Min'!H:H,)</f>
        <v/>
      </c>
      <c r="AF9" s="56" t="str">
        <f t="array" ref="AF9">_xlfn.XLOOKUP(B9,'Up Max'!A:A,'Up Max'!H:H,)</f>
        <v/>
      </c>
      <c r="AG9" s="53" t="str">
        <f t="array" ref="AG9">_xlfn.XLOOKUP(B9,'Up Stats'!A:A,'Up Stats'!I:I,)</f>
        <v/>
      </c>
      <c r="AH9" s="54" t="str">
        <f>IFERROR(__xludf.DUMMYFUNCTION("if(AND(AI9=FALSE,AJ9=FALSE),,if(AI9=AJ9,JOIN("""",""Static: "",AI9),JOIN("""",""Min:  "",AI9, CHAR(10),""Max: "",AJ9)))"),"")</f>
        <v/>
      </c>
      <c r="AI9" s="56" t="str">
        <f t="array" ref="AI9">_xlfn.XLOOKUP(B9,'Up Min'!A:A,'Up Min'!I:I,)</f>
        <v/>
      </c>
      <c r="AJ9" s="56" t="str">
        <f t="array" ref="AJ9">_xlfn.XLOOKUP(B9,'Up Max'!A:A,'Up Max'!I:I,)</f>
        <v/>
      </c>
      <c r="AK9" s="53" t="str">
        <f t="array" ref="AK9">_xlfn.XLOOKUP(B9,'Up Stats'!A:A,'Up Stats'!J:J,)</f>
        <v/>
      </c>
      <c r="AL9" s="54" t="str">
        <f>IFERROR(__xludf.DUMMYFUNCTION("if(AND(AM9=FALSE,AN9=FALSE),,if(AM9=AN9,JOIN("""",""Static: "",AM9),JOIN("""",""Min:  "",AM9, CHAR(10),""Max: "",AN9)))"),"")</f>
        <v/>
      </c>
      <c r="AM9" s="56" t="str">
        <f t="array" ref="AM9">_xlfn.XLOOKUP(B9,'Up Min'!A:A,'Up Min'!J:J,)</f>
        <v/>
      </c>
      <c r="AN9" s="56" t="str">
        <f t="array" ref="AN9">_xlfn.XLOOKUP(B9,'Up Max'!A:A,'Up Max'!J:J,)</f>
        <v/>
      </c>
      <c r="AO9" s="51" t="str">
        <f t="array" ref="AO9">CONCATENATE(_xlfn.XLOOKUP(B9,'Up Cells'!A:A,'Up Cells'!B:B,))</f>
        <v>4</v>
      </c>
      <c r="AP9" s="51" t="str">
        <f t="array" ref="AP9">CONCATENATE(_xlfn.XLOOKUP(B9,'Up Rarity'!A:A,'Up Rarity'!B:B,),CHAR(10),"-")</f>
        <v>Epic
-</v>
      </c>
    </row>
    <row r="10">
      <c r="A10" s="75" t="str">
        <f t="array" ref="A10">_xlfn.XLOOKUP(B10,'Up Icon'!A:A,'Up Icon'!B:B,)</f>
        <v/>
      </c>
      <c r="B10" s="89" t="str">
        <f t="array" ref="B10">HYPERLINK(_xlfn.XLOOKUP('Up Names'!E7,'Up Wiki'!A:A,'Up Wiki'!B:B,),'Up Names'!E7)</f>
        <v>Feeling Lucky</v>
      </c>
      <c r="C10" s="37" t="str">
        <f t="array" ref="C10">_xlfn.XLOOKUP(B10,'Up Desc'!A:A,'Up Desc'!B:B,)</f>
        <v>Increased magazine size. Bullets randomly deal between 1% and 200% damage.</v>
      </c>
      <c r="D10" s="37" t="str">
        <f t="array" ref="D10">_xlfn.XLOOKUP(B10,'Up Turbo'!A:A,'Up Turbo'!B:B,)</f>
        <v>n/a</v>
      </c>
      <c r="E10" s="39" t="str">
        <f t="array" ref="E10">_xlfn.XLOOKUP(B10,'Up Stats'!A:A,'Up Stats'!B:B,)</f>
        <v>Min Damage</v>
      </c>
      <c r="F10" s="40" t="str">
        <f>IFERROR(__xludf.DUMMYFUNCTION("if(AND(G10=FALSE,H10=FALSE),,if(G10=H10,JOIN("""",""Static: "",G10),JOIN("""",""Min:  "",G10, CHAR(10),""Max: "",H10)))"),"Static: -99%")</f>
        <v>Static: -99%</v>
      </c>
      <c r="G10" s="41">
        <f t="array" ref="G10">_xlfn.XLOOKUP(B10,'Up Min'!A:A,'Up Min'!B:B,)</f>
        <v>-0.99</v>
      </c>
      <c r="H10" s="41">
        <f t="array" ref="H10">_xlfn.XLOOKUP(B10,'Up Max'!A:A,'Up Max'!B:B,)</f>
        <v>-0.99</v>
      </c>
      <c r="I10" s="39" t="str">
        <f t="array" ref="I10">_xlfn.XLOOKUP(B10,'Up Stats'!A:A,'Up Stats'!C:C,)</f>
        <v>Max Damage</v>
      </c>
      <c r="J10" s="40" t="str">
        <f>IFERROR(__xludf.DUMMYFUNCTION("if(AND(K10=FALSE,L10=FALSE),,if(K10=L10,JOIN("""",""Static: "",K10),JOIN("""",""Min:  "",K10, CHAR(10),""Max: "",L10)))"),"Static: 100%")</f>
        <v>Static: 100%</v>
      </c>
      <c r="K10" s="41">
        <f t="array" ref="K10">_xlfn.XLOOKUP(B10,'Up Min'!A:A,'Up Min'!C:C,)</f>
        <v>1</v>
      </c>
      <c r="L10" s="41">
        <f t="array" ref="L10">_xlfn.XLOOKUP(B10,'Up Max'!A:A,'Up Max'!C:C,)</f>
        <v>1</v>
      </c>
      <c r="M10" s="39" t="str">
        <f t="array" ref="M10">_xlfn.XLOOKUP(B10,'Up Stats'!A:A,'Up Stats'!D:D,)</f>
        <v>Magazine Size</v>
      </c>
      <c r="N10" s="40" t="str">
        <f>IFERROR(__xludf.DUMMYFUNCTION("if(AND(O10=FALSE,P10=FALSE),,if(O10=P10,JOIN("""",""Static: "",O10),JOIN("""",""Min:  "",O10, CHAR(10),""Max: "",P10)))"),"Min:  2
Max: 4")</f>
        <v>Min:  2
Max: 4</v>
      </c>
      <c r="O10" s="68">
        <f t="array" ref="O10">_xlfn.XLOOKUP(B10,'Up Min'!A:A,'Up Min'!D:D,)</f>
        <v>2</v>
      </c>
      <c r="P10" s="69">
        <f t="array" ref="P10">_xlfn.XLOOKUP(B10,'Up Max'!A:A,'Up Max'!D:D,)</f>
        <v>4</v>
      </c>
      <c r="Q10" s="48" t="str">
        <f t="array" ref="Q10">_xlfn.XLOOKUP(B10,'Up Stats'!A:A,'Up Stats'!E:E,)</f>
        <v/>
      </c>
      <c r="R10" s="40" t="str">
        <f>IFERROR(__xludf.DUMMYFUNCTION("if(AND(S10=FALSE,T10=FALSE),,if(S10=T10,JOIN("""",""Static: "",S10),JOIN("""",""Min:  "",S10, CHAR(10),""Max: "",T10)))"),"")</f>
        <v/>
      </c>
      <c r="S10" s="45" t="str">
        <f t="array" ref="S10">_xlfn.XLOOKUP(B10,'Up Min'!A:A,'Up Min'!E:E,)</f>
        <v/>
      </c>
      <c r="T10" s="42" t="str">
        <f t="array" ref="T10">_xlfn.XLOOKUP(B10,'Up Max'!A:A,'Up Max'!E:E,)</f>
        <v/>
      </c>
      <c r="U10" s="48" t="str">
        <f t="array" ref="U10">_xlfn.XLOOKUP(B10,'Up Stats'!A:A,'Up Stats'!F:F,)</f>
        <v/>
      </c>
      <c r="V10" s="40" t="str">
        <f>IFERROR(__xludf.DUMMYFUNCTION("if(AND(W10=FALSE,X10=FALSE),,if(W10=X10,JOIN("""",""Static: "",W10),JOIN("""",""Min:  "",W10, CHAR(10),""Max: "",X10)))"),"")</f>
        <v/>
      </c>
      <c r="W10" s="85" t="str">
        <f t="array" ref="W10">_xlfn.XLOOKUP(B10,'Up Min'!A:A,'Up Min'!F:F,)</f>
        <v/>
      </c>
      <c r="X10" s="85" t="str">
        <f t="array" ref="X10">_xlfn.XLOOKUP(B10,'Up Max'!A:A,'Up Max'!F:F,)</f>
        <v/>
      </c>
      <c r="Y10" s="48" t="str">
        <f t="array" ref="Y10">_xlfn.XLOOKUP(B10,'Up Stats'!A:A,'Up Stats'!G:G,)</f>
        <v/>
      </c>
      <c r="Z10" s="40" t="str">
        <f>IFERROR(__xludf.DUMMYFUNCTION("if(AND(AA10=FALSE,AB10=FALSE),,if(AA10=AB10,JOIN("""",""Static: "",AA10),JOIN("""",""Min:  "",AA10, CHAR(10),""Max: "",AB10)))"),"")</f>
        <v/>
      </c>
      <c r="AA10" s="74" t="str">
        <f t="array" ref="AA10">_xlfn.XLOOKUP(B10,'Up Min'!A:A,'Up Min'!G:G,)</f>
        <v/>
      </c>
      <c r="AB10" s="74" t="str">
        <f t="array" ref="AB10">_xlfn.XLOOKUP(B10,'Up Max'!A:A,'Up Max'!G:G,)</f>
        <v/>
      </c>
      <c r="AC10" s="48" t="str">
        <f t="array" ref="AC10">_xlfn.XLOOKUP(B10,'Up Stats'!A:A,'Up Stats'!H:H,)</f>
        <v/>
      </c>
      <c r="AD10" s="40" t="str">
        <f>IFERROR(__xludf.DUMMYFUNCTION("if(AND(AE10=FALSE,AF10=FALSE),,if(AE10=AF10,JOIN("""",""Static: "",AE10),JOIN("""",""Min:  "",AE10, CHAR(10),""Max: "",AF10)))"),"")</f>
        <v/>
      </c>
      <c r="AE10" s="42" t="str">
        <f t="array" ref="AE10">_xlfn.XLOOKUP(B10,'Up Min'!A:A,'Up Min'!H:H,)</f>
        <v/>
      </c>
      <c r="AF10" s="42" t="str">
        <f t="array" ref="AF10">_xlfn.XLOOKUP(B10,'Up Max'!A:A,'Up Max'!H:H,)</f>
        <v/>
      </c>
      <c r="AG10" s="48" t="str">
        <f t="array" ref="AG10">_xlfn.XLOOKUP(B10,'Up Stats'!A:A,'Up Stats'!I:I,)</f>
        <v/>
      </c>
      <c r="AH10" s="40" t="str">
        <f>IFERROR(__xludf.DUMMYFUNCTION("if(AND(AI10=FALSE,AJ10=FALSE),,if(AI10=AJ10,JOIN("""",""Static: "",AI10),JOIN("""",""Min:  "",AI10, CHAR(10),""Max: "",AJ10)))"),"")</f>
        <v/>
      </c>
      <c r="AI10" s="42" t="str">
        <f t="array" ref="AI10">_xlfn.XLOOKUP(B10,'Up Min'!A:A,'Up Min'!I:I,)</f>
        <v/>
      </c>
      <c r="AJ10" s="42" t="str">
        <f t="array" ref="AJ10">_xlfn.XLOOKUP(B10,'Up Max'!A:A,'Up Max'!I:I,)</f>
        <v/>
      </c>
      <c r="AK10" s="48" t="str">
        <f t="array" ref="AK10">_xlfn.XLOOKUP(B10,'Up Stats'!A:A,'Up Stats'!J:J,)</f>
        <v/>
      </c>
      <c r="AL10" s="40" t="str">
        <f>IFERROR(__xludf.DUMMYFUNCTION("if(AND(AM10=FALSE,AN10=FALSE),,if(AM10=AN10,JOIN("""",""Static: "",AM10),JOIN("""",""Min:  "",AM10, CHAR(10),""Max: "",AN10)))"),"")</f>
        <v/>
      </c>
      <c r="AM10" s="42" t="str">
        <f t="array" ref="AM10">_xlfn.XLOOKUP(B10,'Up Min'!A:A,'Up Min'!J:J,)</f>
        <v/>
      </c>
      <c r="AN10" s="42" t="str">
        <f t="array" ref="AN10">_xlfn.XLOOKUP(B10,'Up Max'!A:A,'Up Max'!J:J,)</f>
        <v/>
      </c>
      <c r="AO10" s="34" t="str">
        <f t="array" ref="AO10">CONCATENATE(_xlfn.XLOOKUP(B10,'Up Cells'!A:A,'Up Cells'!B:B,))</f>
        <v>5</v>
      </c>
      <c r="AP10" s="34" t="str">
        <f t="array" ref="AP10">CONCATENATE(_xlfn.XLOOKUP(B10,'Up Rarity'!A:A,'Up Rarity'!B:B,),CHAR(10),"-")</f>
        <v>Epic
-</v>
      </c>
    </row>
    <row r="11">
      <c r="A11" s="75" t="str">
        <f t="array" ref="A11">_xlfn.XLOOKUP(B11,'Up Icon'!A:A,'Up Icon'!B:B,)</f>
        <v/>
      </c>
      <c r="B11" s="88" t="str">
        <f t="array" ref="B11">HYPERLINK(_xlfn.XLOOKUP('Up Names'!E8,'Up Wiki'!A:A,'Up Wiki'!B:B,),'Up Names'!E8)</f>
        <v>Juiced Up</v>
      </c>
      <c r="C11" s="52" t="str">
        <f t="array" ref="C11">_xlfn.XLOOKUP(B11,'Up Desc'!A:A,'Up Desc'!B:B,)</f>
        <v>Unloading your entire mag within the given time frame supercharges your next mag, increasing the damage of its bullets.</v>
      </c>
      <c r="D11" s="52" t="str">
        <f t="array" ref="D11">_xlfn.XLOOKUP(B11,'Up Turbo'!A:A,'Up Turbo'!B:B,)</f>
        <v>n/a</v>
      </c>
      <c r="E11" s="53" t="str">
        <f t="array" ref="E11">_xlfn.XLOOKUP(B11,'Up Stats'!A:A,'Up Stats'!B:B,)</f>
        <v>Max Reload Interval</v>
      </c>
      <c r="F11" s="54" t="str">
        <f>IFERROR(__xludf.DUMMYFUNCTION("if(AND(G11=FALSE,H11=FALSE),,if(G11=H11,JOIN("""",""Static: "",G11),JOIN("""",""Min:  "",G11, CHAR(10),""Max: "",H11)))"),"Min:  1.6
Max: 2")</f>
        <v>Min:  1.6
Max: 2</v>
      </c>
      <c r="G11" s="64">
        <f t="array" ref="G11">_xlfn.XLOOKUP(B11,'Up Min'!A:A,'Up Min'!B:B,)</f>
        <v>1.6</v>
      </c>
      <c r="H11" s="65">
        <f t="array" ref="H11">_xlfn.XLOOKUP(B11,'Up Max'!A:A,'Up Max'!B:B,)</f>
        <v>2</v>
      </c>
      <c r="I11" s="53" t="str">
        <f t="array" ref="I11">_xlfn.XLOOKUP(B11,'Up Stats'!A:A,'Up Stats'!C:C,)</f>
        <v>Damage</v>
      </c>
      <c r="J11" s="54" t="str">
        <f>IFERROR(__xludf.DUMMYFUNCTION("if(AND(K11=FALSE,L11=FALSE),,if(K11=L11,JOIN("""",""Static: "",K11),JOIN("""",""Min:  "",K11, CHAR(10),""Max: "",L11)))"),"Min:  11
Max: 25")</f>
        <v>Min:  11
Max: 25</v>
      </c>
      <c r="K11" s="64">
        <f t="array" ref="K11">_xlfn.XLOOKUP(B11,'Up Min'!A:A,'Up Min'!C:C,)</f>
        <v>11</v>
      </c>
      <c r="L11" s="64">
        <f t="array" ref="L11">_xlfn.XLOOKUP(B11,'Up Max'!A:A,'Up Max'!C:C,)</f>
        <v>25</v>
      </c>
      <c r="M11" s="53" t="str">
        <f t="array" ref="M11">_xlfn.XLOOKUP(B11,'Up Stats'!A:A,'Up Stats'!D:D,)</f>
        <v/>
      </c>
      <c r="N11" s="54" t="str">
        <f>IFERROR(__xludf.DUMMYFUNCTION("if(AND(O11=FALSE,P11=FALSE),,if(O11=P11,JOIN("""",""Static: "",O11),JOIN("""",""Min:  "",O11, CHAR(10),""Max: "",P11)))"),"")</f>
        <v/>
      </c>
      <c r="O11" s="55" t="str">
        <f t="array" ref="O11">_xlfn.XLOOKUP(B11,'Up Min'!A:A,'Up Min'!D:D,)</f>
        <v/>
      </c>
      <c r="P11" s="55" t="str">
        <f t="array" ref="P11">_xlfn.XLOOKUP(B11,'Up Max'!A:A,'Up Max'!D:D,)</f>
        <v/>
      </c>
      <c r="Q11" s="57" t="str">
        <f t="array" ref="Q11">_xlfn.XLOOKUP(B11,'Up Stats'!A:A,'Up Stats'!E:E,)</f>
        <v/>
      </c>
      <c r="R11" s="54" t="str">
        <f>IFERROR(__xludf.DUMMYFUNCTION("if(AND(S11=FALSE,T11=FALSE),,if(S11=T11,JOIN("""",""Static: "",S11),JOIN("""",""Min:  "",S11, CHAR(10),""Max: "",T11)))"),"")</f>
        <v/>
      </c>
      <c r="S11" s="55" t="str">
        <f t="array" ref="S11">_xlfn.XLOOKUP(B11,'Up Min'!A:A,'Up Min'!E:E,)</f>
        <v/>
      </c>
      <c r="T11" s="55" t="str">
        <f t="array" ref="T11">_xlfn.XLOOKUP(B11,'Up Max'!A:A,'Up Max'!E:E,)</f>
        <v/>
      </c>
      <c r="U11" s="57" t="str">
        <f t="array" ref="U11">_xlfn.XLOOKUP(B11,'Up Stats'!A:A,'Up Stats'!F:F,)</f>
        <v/>
      </c>
      <c r="V11" s="54" t="str">
        <f>IFERROR(__xludf.DUMMYFUNCTION("if(AND(W11=FALSE,X11=FALSE),,if(W11=X11,JOIN("""",""Static: "",W11),JOIN("""",""Min:  "",W11, CHAR(10),""Max: "",X11)))"),"")</f>
        <v/>
      </c>
      <c r="W11" s="55" t="str">
        <f t="array" ref="W11">_xlfn.XLOOKUP(B11,'Up Min'!A:A,'Up Min'!F:F,)</f>
        <v/>
      </c>
      <c r="X11" s="55" t="str">
        <f t="array" ref="X11">_xlfn.XLOOKUP(B11,'Up Max'!A:A,'Up Max'!F:F,)</f>
        <v/>
      </c>
      <c r="Y11" s="57" t="str">
        <f t="array" ref="Y11">_xlfn.XLOOKUP(B11,'Up Stats'!A:A,'Up Stats'!G:G,)</f>
        <v/>
      </c>
      <c r="Z11" s="54" t="str">
        <f>IFERROR(__xludf.DUMMYFUNCTION("if(AND(AA11=FALSE,AB11=FALSE),,if(AA11=AB11,JOIN("""",""Static: "",AA11),JOIN("""",""Min:  "",AA11, CHAR(10),""Max: "",AB11)))"),"")</f>
        <v/>
      </c>
      <c r="AA11" s="55" t="str">
        <f t="array" ref="AA11">_xlfn.XLOOKUP(B11,'Up Min'!A:A,'Up Min'!G:G,)</f>
        <v/>
      </c>
      <c r="AB11" s="55" t="str">
        <f t="array" ref="AB11">_xlfn.XLOOKUP(B11,'Up Max'!A:A,'Up Max'!G:G,)</f>
        <v/>
      </c>
      <c r="AC11" s="57" t="str">
        <f t="array" ref="AC11">_xlfn.XLOOKUP(B11,'Up Stats'!A:A,'Up Stats'!H:H,)</f>
        <v/>
      </c>
      <c r="AD11" s="54" t="str">
        <f>IFERROR(__xludf.DUMMYFUNCTION("if(AND(AE11=FALSE,AF11=FALSE),,if(AE11=AF11,JOIN("""",""Static: "",AE11),JOIN("""",""Min:  "",AE11, CHAR(10),""Max: "",AF11)))"),"")</f>
        <v/>
      </c>
      <c r="AE11" s="55" t="str">
        <f t="array" ref="AE11">_xlfn.XLOOKUP(B11,'Up Min'!A:A,'Up Min'!H:H,)</f>
        <v/>
      </c>
      <c r="AF11" s="55" t="str">
        <f t="array" ref="AF11">_xlfn.XLOOKUP(B11,'Up Max'!A:A,'Up Max'!H:H,)</f>
        <v/>
      </c>
      <c r="AG11" s="57" t="str">
        <f t="array" ref="AG11">_xlfn.XLOOKUP(B11,'Up Stats'!A:A,'Up Stats'!I:I,)</f>
        <v/>
      </c>
      <c r="AH11" s="54" t="str">
        <f>IFERROR(__xludf.DUMMYFUNCTION("if(AND(AI11=FALSE,AJ11=FALSE),,if(AI11=AJ11,JOIN("""",""Static: "",AI11),JOIN("""",""Min:  "",AI11, CHAR(10),""Max: "",AJ11)))"),"")</f>
        <v/>
      </c>
      <c r="AI11" s="55" t="str">
        <f t="array" ref="AI11">_xlfn.XLOOKUP(B11,'Up Min'!A:A,'Up Min'!I:I,)</f>
        <v/>
      </c>
      <c r="AJ11" s="55" t="str">
        <f t="array" ref="AJ11">_xlfn.XLOOKUP(B11,'Up Max'!A:A,'Up Max'!I:I,)</f>
        <v/>
      </c>
      <c r="AK11" s="57" t="str">
        <f t="array" ref="AK11">_xlfn.XLOOKUP(B11,'Up Stats'!A:A,'Up Stats'!J:J,)</f>
        <v/>
      </c>
      <c r="AL11" s="54" t="str">
        <f>IFERROR(__xludf.DUMMYFUNCTION("if(AND(AM11=FALSE,AN11=FALSE),,if(AM11=AN11,JOIN("""",""Static: "",AM11),JOIN("""",""Min:  "",AM11, CHAR(10),""Max: "",AN11)))"),"")</f>
        <v/>
      </c>
      <c r="AM11" s="55" t="str">
        <f t="array" ref="AM11">_xlfn.XLOOKUP(B11,'Up Min'!A:A,'Up Min'!J:J,)</f>
        <v/>
      </c>
      <c r="AN11" s="55" t="str">
        <f t="array" ref="AN11">_xlfn.XLOOKUP(B11,'Up Max'!A:A,'Up Max'!J:J,)</f>
        <v/>
      </c>
      <c r="AO11" s="51" t="str">
        <f t="array" ref="AO11">CONCATENATE(_xlfn.XLOOKUP(B11,'Up Cells'!A:A,'Up Cells'!B:B,))</f>
        <v>5</v>
      </c>
      <c r="AP11" s="51" t="str">
        <f t="array" ref="AP11">CONCATENATE(_xlfn.XLOOKUP(B11,'Up Rarity'!A:A,'Up Rarity'!B:B,),CHAR(10),"-")</f>
        <v>Epic
-</v>
      </c>
    </row>
    <row r="12">
      <c r="A12" s="75" t="str">
        <f t="array" ref="A12">_xlfn.XLOOKUP(B12,'Up Icon'!A:A,'Up Icon'!B:B,)</f>
        <v/>
      </c>
      <c r="B12" s="89" t="str">
        <f t="array" ref="B12">HYPERLINK(_xlfn.XLOOKUP('Up Names'!E9,'Up Wiki'!A:A,'Up Wiki'!B:B,),'Up Names'!E9)</f>
        <v>Modded Auto</v>
      </c>
      <c r="C12" s="37" t="str">
        <f t="array" ref="C12">_xlfn.XLOOKUP(B12,'Up Desc'!A:A,'Up Desc'!B:B,)</f>
        <v>Fire full-auto at a reduced fire rate.</v>
      </c>
      <c r="D12" s="37" t="str">
        <f t="array" ref="D12">_xlfn.XLOOKUP(B12,'Up Turbo'!A:A,'Up Turbo'!B:B,)</f>
        <v>n/a</v>
      </c>
      <c r="E12" s="39" t="str">
        <f t="array" ref="E12">_xlfn.XLOOKUP(B12,'Up Stats'!A:A,'Up Stats'!B:B,)</f>
        <v>Fire Rate</v>
      </c>
      <c r="F12" s="40" t="str">
        <f>IFERROR(__xludf.DUMMYFUNCTION("if(AND(G12=FALSE,H12=FALSE),,if(G12=H12,JOIN("""",""Static: "",G12),JOIN("""",""Min:  "",G12, CHAR(10),""Max: "",H12)))"),"Min:  -54.34%
Max: -61.69%")</f>
        <v>Min:  -54.34%
Max: -61.69%</v>
      </c>
      <c r="G12" s="78">
        <f t="array" ref="G12">_xlfn.XLOOKUP(B12,'Up Min'!A:A,'Up Min'!B:B,)</f>
        <v>-0.5434</v>
      </c>
      <c r="H12" s="78">
        <f t="array" ref="H12">_xlfn.XLOOKUP(B12,'Up Max'!A:A,'Up Max'!B:B,)</f>
        <v>-0.6169</v>
      </c>
      <c r="I12" s="39" t="str">
        <f t="array" ref="I12">_xlfn.XLOOKUP(B12,'Up Stats'!A:A,'Up Stats'!C:C,)</f>
        <v/>
      </c>
      <c r="J12" s="40" t="str">
        <f>IFERROR(__xludf.DUMMYFUNCTION("if(AND(K12=FALSE,L12=FALSE),,if(K12=L12,JOIN("""",""Static: "",K12),JOIN("""",""Min:  "",K12, CHAR(10),""Max: "",L12)))"),"")</f>
        <v/>
      </c>
      <c r="K12" s="42" t="str">
        <f t="array" ref="K12">_xlfn.XLOOKUP(B12,'Up Min'!A:A,'Up Min'!C:C,)</f>
        <v/>
      </c>
      <c r="L12" s="42" t="str">
        <f t="array" ref="L12">_xlfn.XLOOKUP(B12,'Up Max'!A:A,'Up Max'!C:C,)</f>
        <v/>
      </c>
      <c r="M12" s="48" t="str">
        <f t="array" ref="M12">_xlfn.XLOOKUP(B12,'Up Stats'!A:A,'Up Stats'!D:D,)</f>
        <v/>
      </c>
      <c r="N12" s="40" t="str">
        <f>IFERROR(__xludf.DUMMYFUNCTION("if(AND(O12=FALSE,P12=FALSE),,if(O12=P12,JOIN("""",""Static: "",O12),JOIN("""",""Min:  "",O12, CHAR(10),""Max: "",P12)))"),"")</f>
        <v/>
      </c>
      <c r="O12" s="42" t="str">
        <f t="array" ref="O12">_xlfn.XLOOKUP(B12,'Up Min'!A:A,'Up Min'!D:D,)</f>
        <v/>
      </c>
      <c r="P12" s="42" t="str">
        <f t="array" ref="P12">_xlfn.XLOOKUP(B12,'Up Max'!A:A,'Up Max'!D:D,)</f>
        <v/>
      </c>
      <c r="Q12" s="48" t="str">
        <f t="array" ref="Q12">_xlfn.XLOOKUP(B12,'Up Stats'!A:A,'Up Stats'!E:E,)</f>
        <v/>
      </c>
      <c r="R12" s="40" t="str">
        <f>IFERROR(__xludf.DUMMYFUNCTION("if(AND(S12=FALSE,T12=FALSE),,if(S12=T12,JOIN("""",""Static: "",S12),JOIN("""",""Min:  "",S12, CHAR(10),""Max: "",T12)))"),"")</f>
        <v/>
      </c>
      <c r="S12" s="42" t="str">
        <f t="array" ref="S12">_xlfn.XLOOKUP(B12,'Up Min'!A:A,'Up Min'!E:E,)</f>
        <v/>
      </c>
      <c r="T12" s="42" t="str">
        <f t="array" ref="T12">_xlfn.XLOOKUP(B12,'Up Max'!A:A,'Up Max'!E:E,)</f>
        <v/>
      </c>
      <c r="U12" s="48" t="str">
        <f t="array" ref="U12">_xlfn.XLOOKUP(B12,'Up Stats'!A:A,'Up Stats'!F:F,)</f>
        <v/>
      </c>
      <c r="V12" s="40" t="str">
        <f>IFERROR(__xludf.DUMMYFUNCTION("if(AND(W12=FALSE,X12=FALSE),,if(W12=X12,JOIN("""",""Static: "",W12),JOIN("""",""Min:  "",W12, CHAR(10),""Max: "",X12)))"),"")</f>
        <v/>
      </c>
      <c r="W12" s="42" t="str">
        <f t="array" ref="W12">_xlfn.XLOOKUP(B12,'Up Min'!A:A,'Up Min'!F:F,)</f>
        <v/>
      </c>
      <c r="X12" s="42" t="str">
        <f t="array" ref="X12">_xlfn.XLOOKUP(B12,'Up Max'!A:A,'Up Max'!F:F,)</f>
        <v/>
      </c>
      <c r="Y12" s="48" t="str">
        <f t="array" ref="Y12">_xlfn.XLOOKUP(B12,'Up Stats'!A:A,'Up Stats'!G:G,)</f>
        <v/>
      </c>
      <c r="Z12" s="40" t="str">
        <f>IFERROR(__xludf.DUMMYFUNCTION("if(AND(AA12=FALSE,AB12=FALSE),,if(AA12=AB12,JOIN("""",""Static: "",AA12),JOIN("""",""Min:  "",AA12, CHAR(10),""Max: "",AB12)))"),"")</f>
        <v/>
      </c>
      <c r="AA12" s="42" t="str">
        <f t="array" ref="AA12">_xlfn.XLOOKUP(B12,'Up Min'!A:A,'Up Min'!G:G,)</f>
        <v/>
      </c>
      <c r="AB12" s="42" t="str">
        <f t="array" ref="AB12">_xlfn.XLOOKUP(B12,'Up Max'!A:A,'Up Max'!G:G,)</f>
        <v/>
      </c>
      <c r="AC12" s="48" t="str">
        <f t="array" ref="AC12">_xlfn.XLOOKUP(B12,'Up Stats'!A:A,'Up Stats'!H:H,)</f>
        <v/>
      </c>
      <c r="AD12" s="40" t="str">
        <f>IFERROR(__xludf.DUMMYFUNCTION("if(AND(AE12=FALSE,AF12=FALSE),,if(AE12=AF12,JOIN("""",""Static: "",AE12),JOIN("""",""Min:  "",AE12, CHAR(10),""Max: "",AF12)))"),"")</f>
        <v/>
      </c>
      <c r="AE12" s="42" t="str">
        <f t="array" ref="AE12">_xlfn.XLOOKUP(B12,'Up Min'!A:A,'Up Min'!H:H,)</f>
        <v/>
      </c>
      <c r="AF12" s="42" t="str">
        <f t="array" ref="AF12">_xlfn.XLOOKUP(B12,'Up Max'!A:A,'Up Max'!H:H,)</f>
        <v/>
      </c>
      <c r="AG12" s="48" t="str">
        <f t="array" ref="AG12">_xlfn.XLOOKUP(B12,'Up Stats'!A:A,'Up Stats'!I:I,)</f>
        <v/>
      </c>
      <c r="AH12" s="40" t="str">
        <f>IFERROR(__xludf.DUMMYFUNCTION("if(AND(AI12=FALSE,AJ12=FALSE),,if(AI12=AJ12,JOIN("""",""Static: "",AI12),JOIN("""",""Min:  "",AI12, CHAR(10),""Max: "",AJ12)))"),"")</f>
        <v/>
      </c>
      <c r="AI12" s="42" t="str">
        <f t="array" ref="AI12">_xlfn.XLOOKUP(B12,'Up Min'!A:A,'Up Min'!I:I,)</f>
        <v/>
      </c>
      <c r="AJ12" s="42" t="str">
        <f t="array" ref="AJ12">_xlfn.XLOOKUP(B12,'Up Max'!A:A,'Up Max'!I:I,)</f>
        <v/>
      </c>
      <c r="AK12" s="48" t="str">
        <f t="array" ref="AK12">_xlfn.XLOOKUP(B12,'Up Stats'!A:A,'Up Stats'!J:J,)</f>
        <v/>
      </c>
      <c r="AL12" s="40" t="str">
        <f>IFERROR(__xludf.DUMMYFUNCTION("if(AND(AM12=FALSE,AN12=FALSE),,if(AM12=AN12,JOIN("""",""Static: "",AM12),JOIN("""",""Min:  "",AM12, CHAR(10),""Max: "",AN12)))"),"")</f>
        <v/>
      </c>
      <c r="AM12" s="42" t="str">
        <f t="array" ref="AM12">_xlfn.XLOOKUP(B12,'Up Min'!A:A,'Up Min'!J:J,)</f>
        <v/>
      </c>
      <c r="AN12" s="42" t="str">
        <f t="array" ref="AN12">_xlfn.XLOOKUP(B12,'Up Max'!A:A,'Up Max'!J:J,)</f>
        <v/>
      </c>
      <c r="AO12" s="34" t="str">
        <f t="array" ref="AO12">CONCATENATE(_xlfn.XLOOKUP(B12,'Up Cells'!A:A,'Up Cells'!B:B,))</f>
        <v>4</v>
      </c>
      <c r="AP12" s="34" t="str">
        <f t="array" ref="AP12">CONCATENATE(_xlfn.XLOOKUP(B12,'Up Rarity'!A:A,'Up Rarity'!B:B,),CHAR(10),"-")</f>
        <v>Epic
-</v>
      </c>
    </row>
    <row r="13">
      <c r="A13" s="75" t="str">
        <f t="array" ref="A13">_xlfn.XLOOKUP(B13,'Up Icon'!A:A,'Up Icon'!B:B,)</f>
        <v/>
      </c>
      <c r="B13" s="88" t="str">
        <f t="array" ref="B13">HYPERLINK(_xlfn.XLOOKUP('Up Names'!E10,'Up Wiki'!A:A,'Up Wiki'!B:B,),'Up Names'!E10)</f>
        <v>Outlaw</v>
      </c>
      <c r="C13" s="52" t="str">
        <f t="array" ref="C13">_xlfn.XLOOKUP(B13,'Up Desc'!A:A,'Up Desc'!B:B,)</f>
        <v>Killing a core refunds ammo to your magazine.</v>
      </c>
      <c r="D13" s="52" t="str">
        <f t="array" ref="D13">_xlfn.XLOOKUP(B13,'Up Turbo'!A:A,'Up Turbo'!B:B,)</f>
        <v>n/a</v>
      </c>
      <c r="E13" s="53" t="str">
        <f t="array" ref="E13">_xlfn.XLOOKUP(B13,'Up Stats'!A:A,'Up Stats'!B:B,)</f>
        <v>Ammo Refunded</v>
      </c>
      <c r="F13" s="54" t="str">
        <f>IFERROR(__xludf.DUMMYFUNCTION("if(AND(G13=FALSE,H13=FALSE),,if(G13=H13,JOIN("""",""Static: "",G13),JOIN("""",""Min:  "",G13, CHAR(10),""Max: "",H13)))"),"Min:  1
Max: 2")</f>
        <v>Min:  1
Max: 2</v>
      </c>
      <c r="G13" s="64">
        <f t="array" ref="G13">_xlfn.XLOOKUP(B13,'Up Min'!A:A,'Up Min'!B:B,)</f>
        <v>1</v>
      </c>
      <c r="H13" s="65">
        <f t="array" ref="H13">_xlfn.XLOOKUP(B13,'Up Max'!A:A,'Up Max'!B:B,)</f>
        <v>2</v>
      </c>
      <c r="I13" s="53" t="str">
        <f t="array" ref="I13">_xlfn.XLOOKUP(B13,'Up Stats'!A:A,'Up Stats'!C:C,)</f>
        <v/>
      </c>
      <c r="J13" s="54" t="str">
        <f>IFERROR(__xludf.DUMMYFUNCTION("if(AND(K13=FALSE,L13=FALSE),,if(K13=L13,JOIN("""",""Static: "",K13),JOIN("""",""Min:  "",K13, CHAR(10),""Max: "",L13)))"),"")</f>
        <v/>
      </c>
      <c r="K13" s="55" t="str">
        <f t="array" ref="K13">_xlfn.XLOOKUP(B13,'Up Min'!A:A,'Up Min'!C:C,)</f>
        <v/>
      </c>
      <c r="L13" s="55" t="str">
        <f t="array" ref="L13">_xlfn.XLOOKUP(B13,'Up Max'!A:A,'Up Max'!C:C,)</f>
        <v/>
      </c>
      <c r="M13" s="57" t="str">
        <f t="array" ref="M13">_xlfn.XLOOKUP(B13,'Up Stats'!A:A,'Up Stats'!D:D,)</f>
        <v/>
      </c>
      <c r="N13" s="54" t="str">
        <f>IFERROR(__xludf.DUMMYFUNCTION("if(AND(O13=FALSE,P13=FALSE),,if(O13=P13,JOIN("""",""Static: "",O13),JOIN("""",""Min:  "",O13, CHAR(10),""Max: "",P13)))"),"")</f>
        <v/>
      </c>
      <c r="O13" s="55" t="str">
        <f t="array" ref="O13">_xlfn.XLOOKUP(B13,'Up Min'!A:A,'Up Min'!D:D,)</f>
        <v/>
      </c>
      <c r="P13" s="55" t="str">
        <f t="array" ref="P13">_xlfn.XLOOKUP(B13,'Up Max'!A:A,'Up Max'!D:D,)</f>
        <v/>
      </c>
      <c r="Q13" s="57" t="str">
        <f t="array" ref="Q13">_xlfn.XLOOKUP(B13,'Up Stats'!A:A,'Up Stats'!E:E,)</f>
        <v/>
      </c>
      <c r="R13" s="54" t="str">
        <f>IFERROR(__xludf.DUMMYFUNCTION("if(AND(S13=FALSE,T13=FALSE),,if(S13=T13,JOIN("""",""Static: "",S13),JOIN("""",""Min:  "",S13, CHAR(10),""Max: "",T13)))"),"")</f>
        <v/>
      </c>
      <c r="S13" s="55" t="str">
        <f t="array" ref="S13">_xlfn.XLOOKUP(B13,'Up Min'!A:A,'Up Min'!E:E,)</f>
        <v/>
      </c>
      <c r="T13" s="55" t="str">
        <f t="array" ref="T13">_xlfn.XLOOKUP(B13,'Up Max'!A:A,'Up Max'!E:E,)</f>
        <v/>
      </c>
      <c r="U13" s="57" t="str">
        <f t="array" ref="U13">_xlfn.XLOOKUP(B13,'Up Stats'!A:A,'Up Stats'!F:F,)</f>
        <v/>
      </c>
      <c r="V13" s="54" t="str">
        <f>IFERROR(__xludf.DUMMYFUNCTION("if(AND(W13=FALSE,X13=FALSE),,if(W13=X13,JOIN("""",""Static: "",W13),JOIN("""",""Min:  "",W13, CHAR(10),""Max: "",X13)))"),"")</f>
        <v/>
      </c>
      <c r="W13" s="55" t="str">
        <f t="array" ref="W13">_xlfn.XLOOKUP(B13,'Up Min'!A:A,'Up Min'!F:F,)</f>
        <v/>
      </c>
      <c r="X13" s="55" t="str">
        <f t="array" ref="X13">_xlfn.XLOOKUP(B13,'Up Max'!A:A,'Up Max'!F:F,)</f>
        <v/>
      </c>
      <c r="Y13" s="57" t="str">
        <f t="array" ref="Y13">_xlfn.XLOOKUP(B13,'Up Stats'!A:A,'Up Stats'!G:G,)</f>
        <v/>
      </c>
      <c r="Z13" s="54" t="str">
        <f>IFERROR(__xludf.DUMMYFUNCTION("if(AND(AA13=FALSE,AB13=FALSE),,if(AA13=AB13,JOIN("""",""Static: "",AA13),JOIN("""",""Min:  "",AA13, CHAR(10),""Max: "",AB13)))"),"")</f>
        <v/>
      </c>
      <c r="AA13" s="55" t="str">
        <f t="array" ref="AA13">_xlfn.XLOOKUP(B13,'Up Min'!A:A,'Up Min'!G:G,)</f>
        <v/>
      </c>
      <c r="AB13" s="55" t="str">
        <f t="array" ref="AB13">_xlfn.XLOOKUP(B13,'Up Max'!A:A,'Up Max'!G:G,)</f>
        <v/>
      </c>
      <c r="AC13" s="57" t="str">
        <f t="array" ref="AC13">_xlfn.XLOOKUP(B13,'Up Stats'!A:A,'Up Stats'!H:H,)</f>
        <v/>
      </c>
      <c r="AD13" s="54" t="str">
        <f>IFERROR(__xludf.DUMMYFUNCTION("if(AND(AE13=FALSE,AF13=FALSE),,if(AE13=AF13,JOIN("""",""Static: "",AE13),JOIN("""",""Min:  "",AE13, CHAR(10),""Max: "",AF13)))"),"")</f>
        <v/>
      </c>
      <c r="AE13" s="55" t="str">
        <f t="array" ref="AE13">_xlfn.XLOOKUP(B13,'Up Min'!A:A,'Up Min'!H:H,)</f>
        <v/>
      </c>
      <c r="AF13" s="55" t="str">
        <f t="array" ref="AF13">_xlfn.XLOOKUP(B13,'Up Max'!A:A,'Up Max'!H:H,)</f>
        <v/>
      </c>
      <c r="AG13" s="57" t="str">
        <f t="array" ref="AG13">_xlfn.XLOOKUP(B13,'Up Stats'!A:A,'Up Stats'!I:I,)</f>
        <v/>
      </c>
      <c r="AH13" s="54" t="str">
        <f>IFERROR(__xludf.DUMMYFUNCTION("if(AND(AI13=FALSE,AJ13=FALSE),,if(AI13=AJ13,JOIN("""",""Static: "",AI13),JOIN("""",""Min:  "",AI13, CHAR(10),""Max: "",AJ13)))"),"")</f>
        <v/>
      </c>
      <c r="AI13" s="55" t="str">
        <f t="array" ref="AI13">_xlfn.XLOOKUP(B13,'Up Min'!A:A,'Up Min'!I:I,)</f>
        <v/>
      </c>
      <c r="AJ13" s="55" t="str">
        <f t="array" ref="AJ13">_xlfn.XLOOKUP(B13,'Up Max'!A:A,'Up Max'!I:I,)</f>
        <v/>
      </c>
      <c r="AK13" s="57" t="str">
        <f t="array" ref="AK13">_xlfn.XLOOKUP(B13,'Up Stats'!A:A,'Up Stats'!J:J,)</f>
        <v/>
      </c>
      <c r="AL13" s="54" t="str">
        <f>IFERROR(__xludf.DUMMYFUNCTION("if(AND(AM13=FALSE,AN13=FALSE),,if(AM13=AN13,JOIN("""",""Static: "",AM13),JOIN("""",""Min:  "",AM13, CHAR(10),""Max: "",AN13)))"),"")</f>
        <v/>
      </c>
      <c r="AM13" s="55" t="str">
        <f t="array" ref="AM13">_xlfn.XLOOKUP(B13,'Up Min'!A:A,'Up Min'!J:J,)</f>
        <v/>
      </c>
      <c r="AN13" s="55" t="str">
        <f t="array" ref="AN13">_xlfn.XLOOKUP(B13,'Up Max'!A:A,'Up Max'!J:J,)</f>
        <v/>
      </c>
      <c r="AO13" s="51" t="str">
        <f t="array" ref="AO13">CONCATENATE(_xlfn.XLOOKUP(B13,'Up Cells'!A:A,'Up Cells'!B:B,))</f>
        <v>6</v>
      </c>
      <c r="AP13" s="51" t="str">
        <f t="array" ref="AP13">CONCATENATE(_xlfn.XLOOKUP(B13,'Up Rarity'!A:A,'Up Rarity'!B:B,),CHAR(10),"-")</f>
        <v>Epic
-</v>
      </c>
    </row>
    <row r="14">
      <c r="A14" s="75" t="str">
        <f t="array" ref="A14">_xlfn.XLOOKUP(B14,'Up Icon'!A:A,'Up Icon'!B:B,)</f>
        <v/>
      </c>
      <c r="B14" s="89" t="str">
        <f t="array" ref="B14">HYPERLINK(_xlfn.XLOOKUP('Up Names'!E11,'Up Wiki'!A:A,'Up Wiki'!B:B,),'Up Names'!E11)</f>
        <v>Ralph's Conundrum</v>
      </c>
      <c r="C14" s="37" t="str">
        <f t="array" ref="C14">_xlfn.XLOOKUP(B14,'Up Desc'!A:A,'Up Desc'!B:B,)</f>
        <v>Reloading toggles the element between fire and acid.</v>
      </c>
      <c r="D14" s="37" t="str">
        <f t="array" ref="D14">_xlfn.XLOOKUP(B14,'Up Turbo'!A:A,'Up Turbo'!B:B,)</f>
        <v>n/a</v>
      </c>
      <c r="E14" s="39" t="str">
        <f t="array" ref="E14">_xlfn.XLOOKUP(B14,'Up Stats'!A:A,'Up Stats'!B:B,)</f>
        <v>Element</v>
      </c>
      <c r="F14" s="40" t="str">
        <f>IFERROR(__xludf.DUMMYFUNCTION("if(AND(G14=FALSE,H14=FALSE),,if(G14=H14,JOIN("""",""Static: "",G14),JOIN("""",""Min:  "",G14, CHAR(10),""Max: "",H14)))"),"Min:  3.4
Max: 4.2")</f>
        <v>Min:  3.4
Max: 4.2</v>
      </c>
      <c r="G14" s="69">
        <f t="array" ref="G14">_xlfn.XLOOKUP(B14,'Up Min'!A:A,'Up Min'!B:B,)</f>
        <v>3.4</v>
      </c>
      <c r="H14" s="68">
        <f t="array" ref="H14">_xlfn.XLOOKUP(B14,'Up Max'!A:A,'Up Max'!B:B,)</f>
        <v>4.2</v>
      </c>
      <c r="I14" s="39" t="str">
        <f t="array" ref="I14">_xlfn.XLOOKUP(B14,'Up Stats'!A:A,'Up Stats'!C:C,)</f>
        <v/>
      </c>
      <c r="J14" s="40" t="str">
        <f>IFERROR(__xludf.DUMMYFUNCTION("if(AND(K14=FALSE,L14=FALSE),,if(K14=L14,JOIN("""",""Static: "",K14),JOIN("""",""Min:  "",K14, CHAR(10),""Max: "",L14)))"),"")</f>
        <v/>
      </c>
      <c r="K14" s="74" t="str">
        <f t="array" ref="K14">_xlfn.XLOOKUP(B14,'Up Min'!A:A,'Up Min'!C:C,)</f>
        <v/>
      </c>
      <c r="L14" s="74" t="str">
        <f t="array" ref="L14">_xlfn.XLOOKUP(B14,'Up Max'!A:A,'Up Max'!C:C,)</f>
        <v/>
      </c>
      <c r="M14" s="48" t="str">
        <f t="array" ref="M14">_xlfn.XLOOKUP(B14,'Up Stats'!A:A,'Up Stats'!D:D,)</f>
        <v/>
      </c>
      <c r="N14" s="40" t="str">
        <f>IFERROR(__xludf.DUMMYFUNCTION("if(AND(O14=FALSE,P14=FALSE),,if(O14=P14,JOIN("""",""Static: "",O14),JOIN("""",""Min:  "",O14, CHAR(10),""Max: "",P14)))"),"")</f>
        <v/>
      </c>
      <c r="O14" s="74" t="str">
        <f t="array" ref="O14">_xlfn.XLOOKUP(B14,'Up Min'!A:A,'Up Min'!D:D,)</f>
        <v/>
      </c>
      <c r="P14" s="74" t="str">
        <f t="array" ref="P14">_xlfn.XLOOKUP(B14,'Up Max'!A:A,'Up Max'!D:D,)</f>
        <v/>
      </c>
      <c r="Q14" s="48" t="str">
        <f t="array" ref="Q14">_xlfn.XLOOKUP(B14,'Up Stats'!A:A,'Up Stats'!E:E,)</f>
        <v/>
      </c>
      <c r="R14" s="40" t="str">
        <f>IFERROR(__xludf.DUMMYFUNCTION("if(AND(S14=FALSE,T14=FALSE),,if(S14=T14,JOIN("""",""Static: "",S14),JOIN("""",""Min:  "",S14, CHAR(10),""Max: "",T14)))"),"")</f>
        <v/>
      </c>
      <c r="S14" s="74" t="str">
        <f t="array" ref="S14">_xlfn.XLOOKUP(B14,'Up Min'!A:A,'Up Min'!E:E,)</f>
        <v/>
      </c>
      <c r="T14" s="74" t="str">
        <f t="array" ref="T14">_xlfn.XLOOKUP(B14,'Up Max'!A:A,'Up Max'!E:E,)</f>
        <v/>
      </c>
      <c r="U14" s="48" t="str">
        <f t="array" ref="U14">_xlfn.XLOOKUP(B14,'Up Stats'!A:A,'Up Stats'!F:F,)</f>
        <v/>
      </c>
      <c r="V14" s="40" t="str">
        <f>IFERROR(__xludf.DUMMYFUNCTION("if(AND(W14=FALSE,X14=FALSE),,if(W14=X14,JOIN("""",""Static: "",W14),JOIN("""",""Min:  "",W14, CHAR(10),""Max: "",X14)))"),"")</f>
        <v/>
      </c>
      <c r="W14" s="74" t="str">
        <f t="array" ref="W14">_xlfn.XLOOKUP(B14,'Up Min'!A:A,'Up Min'!F:F,)</f>
        <v/>
      </c>
      <c r="X14" s="74" t="str">
        <f t="array" ref="X14">_xlfn.XLOOKUP(B14,'Up Max'!A:A,'Up Max'!F:F,)</f>
        <v/>
      </c>
      <c r="Y14" s="48" t="str">
        <f t="array" ref="Y14">_xlfn.XLOOKUP(B14,'Up Stats'!A:A,'Up Stats'!G:G,)</f>
        <v/>
      </c>
      <c r="Z14" s="40" t="str">
        <f>IFERROR(__xludf.DUMMYFUNCTION("if(AND(AA14=FALSE,AB14=FALSE),,if(AA14=AB14,JOIN("""",""Static: "",AA14),JOIN("""",""Min:  "",AA14, CHAR(10),""Max: "",AB14)))"),"")</f>
        <v/>
      </c>
      <c r="AA14" s="42" t="str">
        <f t="array" ref="AA14">_xlfn.XLOOKUP(B14,'Up Min'!A:A,'Up Min'!G:G,)</f>
        <v/>
      </c>
      <c r="AB14" s="42" t="str">
        <f t="array" ref="AB14">_xlfn.XLOOKUP(B14,'Up Max'!A:A,'Up Max'!G:G,)</f>
        <v/>
      </c>
      <c r="AC14" s="48" t="str">
        <f t="array" ref="AC14">_xlfn.XLOOKUP(B14,'Up Stats'!A:A,'Up Stats'!H:H,)</f>
        <v/>
      </c>
      <c r="AD14" s="40" t="str">
        <f>IFERROR(__xludf.DUMMYFUNCTION("if(AND(AE14=FALSE,AF14=FALSE),,if(AE14=AF14,JOIN("""",""Static: "",AE14),JOIN("""",""Min:  "",AE14, CHAR(10),""Max: "",AF14)))"),"")</f>
        <v/>
      </c>
      <c r="AE14" s="42" t="str">
        <f t="array" ref="AE14">_xlfn.XLOOKUP(B14,'Up Min'!A:A,'Up Min'!H:H,)</f>
        <v/>
      </c>
      <c r="AF14" s="42" t="str">
        <f t="array" ref="AF14">_xlfn.XLOOKUP(B14,'Up Max'!A:A,'Up Max'!H:H,)</f>
        <v/>
      </c>
      <c r="AG14" s="48" t="str">
        <f t="array" ref="AG14">_xlfn.XLOOKUP(B14,'Up Stats'!A:A,'Up Stats'!I:I,)</f>
        <v/>
      </c>
      <c r="AH14" s="40" t="str">
        <f>IFERROR(__xludf.DUMMYFUNCTION("if(AND(AI14=FALSE,AJ14=FALSE),,if(AI14=AJ14,JOIN("""",""Static: "",AI14),JOIN("""",""Min:  "",AI14, CHAR(10),""Max: "",AJ14)))"),"")</f>
        <v/>
      </c>
      <c r="AI14" s="42" t="str">
        <f t="array" ref="AI14">_xlfn.XLOOKUP(B14,'Up Min'!A:A,'Up Min'!I:I,)</f>
        <v/>
      </c>
      <c r="AJ14" s="42" t="str">
        <f t="array" ref="AJ14">_xlfn.XLOOKUP(B14,'Up Max'!A:A,'Up Max'!I:I,)</f>
        <v/>
      </c>
      <c r="AK14" s="48" t="str">
        <f t="array" ref="AK14">_xlfn.XLOOKUP(B14,'Up Stats'!A:A,'Up Stats'!J:J,)</f>
        <v/>
      </c>
      <c r="AL14" s="40" t="str">
        <f>IFERROR(__xludf.DUMMYFUNCTION("if(AND(AM14=FALSE,AN14=FALSE),,if(AM14=AN14,JOIN("""",""Static: "",AM14),JOIN("""",""Min:  "",AM14, CHAR(10),""Max: "",AN14)))"),"")</f>
        <v/>
      </c>
      <c r="AM14" s="42" t="str">
        <f t="array" ref="AM14">_xlfn.XLOOKUP(B14,'Up Min'!A:A,'Up Min'!J:J,)</f>
        <v/>
      </c>
      <c r="AN14" s="42" t="str">
        <f t="array" ref="AN14">_xlfn.XLOOKUP(B14,'Up Max'!A:A,'Up Max'!J:J,)</f>
        <v/>
      </c>
      <c r="AO14" s="34" t="str">
        <f t="array" ref="AO14">CONCATENATE(_xlfn.XLOOKUP(B14,'Up Cells'!A:A,'Up Cells'!B:B,))</f>
        <v>4</v>
      </c>
      <c r="AP14" s="34" t="str">
        <f t="array" ref="AP14">CONCATENATE(_xlfn.XLOOKUP(B14,'Up Rarity'!A:A,'Up Rarity'!B:B,),CHAR(10),"-")</f>
        <v>Epic
-</v>
      </c>
    </row>
    <row r="15">
      <c r="A15" s="75" t="str">
        <f t="array" ref="A15">_xlfn.XLOOKUP(B15,'Up Icon'!A:A,'Up Icon'!B:B,)</f>
        <v/>
      </c>
      <c r="B15" s="88" t="str">
        <f t="array" ref="B15">HYPERLINK(_xlfn.XLOOKUP('Up Names'!E12,'Up Wiki'!A:A,'Up Wiki'!B:B,),'Up Names'!E12)</f>
        <v>Residue</v>
      </c>
      <c r="C15" s="52" t="str">
        <f t="array" ref="C15">_xlfn.XLOOKUP(B15,'Up Desc'!A:A,'Up Desc'!B:B,)</f>
        <v>Killing a target grants a stack of Junk. Hold RELOAD to consume all your Junk and fire a large explosive bullet with combustion size proportional to the amount of Junk consumed.</v>
      </c>
      <c r="D15" s="52" t="str">
        <f t="array" ref="D15">_xlfn.XLOOKUP(B15,'Up Turbo'!A:A,'Up Turbo'!B:B,)</f>
        <v>n/a</v>
      </c>
      <c r="E15" s="53" t="str">
        <f t="array" ref="E15">_xlfn.XLOOKUP(B15,'Up Stats'!A:A,'Up Stats'!B:B,)</f>
        <v>Stacks on Kill</v>
      </c>
      <c r="F15" s="54" t="str">
        <f>IFERROR(__xludf.DUMMYFUNCTION("if(AND(G15=FALSE,H15=FALSE),,if(G15=H15,JOIN("""",""Static: "",G15),JOIN("""",""Min:  "",G15, CHAR(10),""Max: "",H15)))"),"Min:  3
Max: 4")</f>
        <v>Min:  3
Max: 4</v>
      </c>
      <c r="G15" s="64">
        <f t="array" ref="G15">_xlfn.XLOOKUP(B15,'Up Min'!A:A,'Up Min'!B:B,)</f>
        <v>3</v>
      </c>
      <c r="H15" s="65">
        <f t="array" ref="H15">_xlfn.XLOOKUP(B15,'Up Max'!A:A,'Up Max'!B:B,)</f>
        <v>4</v>
      </c>
      <c r="I15" s="53" t="str">
        <f t="array" ref="I15">_xlfn.XLOOKUP(B15,'Up Stats'!A:A,'Up Stats'!C:C,)</f>
        <v>Damage</v>
      </c>
      <c r="J15" s="54" t="str">
        <f>IFERROR(__xludf.DUMMYFUNCTION("if(AND(K15=FALSE,L15=FALSE),,if(K15=L15,JOIN("""",""Static: "",K15),JOIN("""",""Min:  "",K15, CHAR(10),""Max: "",L15)))"),"Min:  72.8
Max: 91")</f>
        <v>Min:  72.8
Max: 91</v>
      </c>
      <c r="K15" s="64">
        <f t="array" ref="K15">_xlfn.XLOOKUP(B15,'Up Min'!A:A,'Up Min'!C:C,)</f>
        <v>72.8</v>
      </c>
      <c r="L15" s="64">
        <f t="array" ref="L15">_xlfn.XLOOKUP(B15,'Up Max'!A:A,'Up Max'!C:C,)</f>
        <v>91</v>
      </c>
      <c r="M15" s="53" t="str">
        <f t="array" ref="M15">_xlfn.XLOOKUP(B15,'Up Stats'!A:A,'Up Stats'!D:D,)</f>
        <v>Explosion Size</v>
      </c>
      <c r="N15" s="54" t="str">
        <f>IFERROR(__xludf.DUMMYFUNCTION("if(AND(O15=FALSE,P15=FALSE),,if(O15=P15,JOIN("""",""Static: "",O15),JOIN("""",""Min:  "",O15, CHAR(10),""Max: "",P15)))"),"Min:  4.44
Max: 6.36")</f>
        <v>Min:  4.44
Max: 6.36</v>
      </c>
      <c r="O15" s="65">
        <f t="array" ref="O15">_xlfn.XLOOKUP(B15,'Up Min'!A:A,'Up Min'!D:D,)</f>
        <v>4.44</v>
      </c>
      <c r="P15" s="64">
        <f t="array" ref="P15">_xlfn.XLOOKUP(B15,'Up Max'!A:A,'Up Max'!D:D,)</f>
        <v>6.36</v>
      </c>
      <c r="Q15" s="57" t="str">
        <f t="array" ref="Q15">_xlfn.XLOOKUP(B15,'Up Stats'!A:A,'Up Stats'!E:E,)</f>
        <v/>
      </c>
      <c r="R15" s="54" t="str">
        <f>IFERROR(__xludf.DUMMYFUNCTION("if(AND(S15=FALSE,T15=FALSE),,if(S15=T15,JOIN("""",""Static: "",S15),JOIN("""",""Min:  "",S15, CHAR(10),""Max: "",T15)))"),"")</f>
        <v/>
      </c>
      <c r="S15" s="56" t="str">
        <f t="array" ref="S15">_xlfn.XLOOKUP(B15,'Up Min'!A:A,'Up Min'!E:E,)</f>
        <v/>
      </c>
      <c r="T15" s="55" t="str">
        <f t="array" ref="T15">_xlfn.XLOOKUP(B15,'Up Max'!A:A,'Up Max'!E:E,)</f>
        <v/>
      </c>
      <c r="U15" s="57" t="str">
        <f t="array" ref="U15">_xlfn.XLOOKUP(B15,'Up Stats'!A:A,'Up Stats'!F:F,)</f>
        <v/>
      </c>
      <c r="V15" s="54" t="str">
        <f>IFERROR(__xludf.DUMMYFUNCTION("if(AND(W15=FALSE,X15=FALSE),,if(W15=X15,JOIN("""",""Static: "",W15),JOIN("""",""Min:  "",W15, CHAR(10),""Max: "",X15)))"),"")</f>
        <v/>
      </c>
      <c r="W15" s="55" t="str">
        <f t="array" ref="W15">_xlfn.XLOOKUP(B15,'Up Min'!A:A,'Up Min'!F:F,)</f>
        <v/>
      </c>
      <c r="X15" s="55" t="str">
        <f t="array" ref="X15">_xlfn.XLOOKUP(B15,'Up Max'!A:A,'Up Max'!F:F,)</f>
        <v/>
      </c>
      <c r="Y15" s="57" t="str">
        <f t="array" ref="Y15">_xlfn.XLOOKUP(B15,'Up Stats'!A:A,'Up Stats'!G:G,)</f>
        <v/>
      </c>
      <c r="Z15" s="54" t="str">
        <f>IFERROR(__xludf.DUMMYFUNCTION("if(AND(AA15=FALSE,AB15=FALSE),,if(AA15=AB15,JOIN("""",""Static: "",AA15),JOIN("""",""Min:  "",AA15, CHAR(10),""Max: "",AB15)))"),"")</f>
        <v/>
      </c>
      <c r="AA15" s="55" t="str">
        <f t="array" ref="AA15">_xlfn.XLOOKUP(B15,'Up Min'!A:A,'Up Min'!G:G,)</f>
        <v/>
      </c>
      <c r="AB15" s="55" t="str">
        <f t="array" ref="AB15">_xlfn.XLOOKUP(B15,'Up Max'!A:A,'Up Max'!G:G,)</f>
        <v/>
      </c>
      <c r="AC15" s="57" t="str">
        <f t="array" ref="AC15">_xlfn.XLOOKUP(B15,'Up Stats'!A:A,'Up Stats'!H:H,)</f>
        <v/>
      </c>
      <c r="AD15" s="54" t="str">
        <f>IFERROR(__xludf.DUMMYFUNCTION("if(AND(AE15=FALSE,AF15=FALSE),,if(AE15=AF15,JOIN("""",""Static: "",AE15),JOIN("""",""Min:  "",AE15, CHAR(10),""Max: "",AF15)))"),"")</f>
        <v/>
      </c>
      <c r="AE15" s="55" t="str">
        <f t="array" ref="AE15">_xlfn.XLOOKUP(B15,'Up Min'!A:A,'Up Min'!H:H,)</f>
        <v/>
      </c>
      <c r="AF15" s="55" t="str">
        <f t="array" ref="AF15">_xlfn.XLOOKUP(B15,'Up Max'!A:A,'Up Max'!H:H,)</f>
        <v/>
      </c>
      <c r="AG15" s="57" t="str">
        <f t="array" ref="AG15">_xlfn.XLOOKUP(B15,'Up Stats'!A:A,'Up Stats'!I:I,)</f>
        <v/>
      </c>
      <c r="AH15" s="54" t="str">
        <f>IFERROR(__xludf.DUMMYFUNCTION("if(AND(AI15=FALSE,AJ15=FALSE),,if(AI15=AJ15,JOIN("""",""Static: "",AI15),JOIN("""",""Min:  "",AI15, CHAR(10),""Max: "",AJ15)))"),"")</f>
        <v/>
      </c>
      <c r="AI15" s="55" t="str">
        <f t="array" ref="AI15">_xlfn.XLOOKUP(B15,'Up Min'!A:A,'Up Min'!I:I,)</f>
        <v/>
      </c>
      <c r="AJ15" s="55" t="str">
        <f t="array" ref="AJ15">_xlfn.XLOOKUP(B15,'Up Max'!A:A,'Up Max'!I:I,)</f>
        <v/>
      </c>
      <c r="AK15" s="57" t="str">
        <f t="array" ref="AK15">_xlfn.XLOOKUP(B15,'Up Stats'!A:A,'Up Stats'!J:J,)</f>
        <v/>
      </c>
      <c r="AL15" s="54" t="str">
        <f>IFERROR(__xludf.DUMMYFUNCTION("if(AND(AM15=FALSE,AN15=FALSE),,if(AM15=AN15,JOIN("""",""Static: "",AM15),JOIN("""",""Min:  "",AM15, CHAR(10),""Max: "",AN15)))"),"")</f>
        <v/>
      </c>
      <c r="AM15" s="55" t="str">
        <f t="array" ref="AM15">_xlfn.XLOOKUP(B15,'Up Min'!A:A,'Up Min'!J:J,)</f>
        <v/>
      </c>
      <c r="AN15" s="55" t="str">
        <f t="array" ref="AN15">_xlfn.XLOOKUP(B15,'Up Max'!A:A,'Up Max'!J:J,)</f>
        <v/>
      </c>
      <c r="AO15" s="51" t="str">
        <f t="array" ref="AO15">CONCATENATE(_xlfn.XLOOKUP(B15,'Up Cells'!A:A,'Up Cells'!B:B,))</f>
        <v>5</v>
      </c>
      <c r="AP15" s="51" t="str">
        <f t="array" ref="AP15">CONCATENATE(_xlfn.XLOOKUP(B15,'Up Rarity'!A:A,'Up Rarity'!B:B,),CHAR(10),"-")</f>
        <v>Epic
-</v>
      </c>
    </row>
    <row r="16">
      <c r="A16" s="75" t="str">
        <f t="array" ref="A16">_xlfn.XLOOKUP(B16,'Up Icon'!A:A,'Up Icon'!B:B,)</f>
        <v/>
      </c>
      <c r="B16" s="89" t="str">
        <f t="array" ref="B16">HYPERLINK(_xlfn.XLOOKUP('Up Names'!E13,'Up Wiki'!A:A,'Up Wiki'!B:B,),'Up Names'!E13)</f>
        <v>Ride the High</v>
      </c>
      <c r="C16" s="37" t="str">
        <f t="array" ref="C16">_xlfn.XLOOKUP(B16,'Up Desc'!A:A,'Up Desc'!B:B,)</f>
        <v>Killing a target while airborne causes you to hover for a moment.</v>
      </c>
      <c r="D16" s="37" t="str">
        <f t="array" ref="D16">_xlfn.XLOOKUP(B16,'Up Turbo'!A:A,'Up Turbo'!B:B,)</f>
        <v>n/a</v>
      </c>
      <c r="E16" s="39" t="str">
        <f t="array" ref="E16">_xlfn.XLOOKUP(B16,'Up Stats'!A:A,'Up Stats'!B:B,)</f>
        <v>Duration</v>
      </c>
      <c r="F16" s="40" t="str">
        <f>IFERROR(__xludf.DUMMYFUNCTION("if(AND(G16=FALSE,H16=FALSE),,if(G16=H16,JOIN("""",""Static: "",G16),JOIN("""",""Min:  "",G16, CHAR(10),""Max: "",H16)))"),"Min:  1.65
Max: 3.2")</f>
        <v>Min:  1.65
Max: 3.2</v>
      </c>
      <c r="G16" s="69">
        <f t="array" ref="G16">_xlfn.XLOOKUP(B16,'Up Min'!A:A,'Up Min'!B:B,)</f>
        <v>1.65</v>
      </c>
      <c r="H16" s="68">
        <f t="array" ref="H16">_xlfn.XLOOKUP(B16,'Up Max'!A:A,'Up Max'!B:B,)</f>
        <v>3.2</v>
      </c>
      <c r="I16" s="39" t="str">
        <f t="array" ref="I16">_xlfn.XLOOKUP(B16,'Up Stats'!A:A,'Up Stats'!C:C,)</f>
        <v/>
      </c>
      <c r="J16" s="40" t="str">
        <f>IFERROR(__xludf.DUMMYFUNCTION("if(AND(K16=FALSE,L16=FALSE),,if(K16=L16,JOIN("""",""Static: "",K16),JOIN("""",""Min:  "",K16, CHAR(10),""Max: "",L16)))"),"")</f>
        <v/>
      </c>
      <c r="K16" s="42" t="str">
        <f t="array" ref="K16">_xlfn.XLOOKUP(B16,'Up Min'!A:A,'Up Min'!C:C,)</f>
        <v/>
      </c>
      <c r="L16" s="42" t="str">
        <f t="array" ref="L16">_xlfn.XLOOKUP(B16,'Up Max'!A:A,'Up Max'!C:C,)</f>
        <v/>
      </c>
      <c r="M16" s="48" t="str">
        <f t="array" ref="M16">_xlfn.XLOOKUP(B16,'Up Stats'!A:A,'Up Stats'!D:D,)</f>
        <v/>
      </c>
      <c r="N16" s="40" t="str">
        <f>IFERROR(__xludf.DUMMYFUNCTION("if(AND(O16=FALSE,P16=FALSE),,if(O16=P16,JOIN("""",""Static: "",O16),JOIN("""",""Min:  "",O16, CHAR(10),""Max: "",P16)))"),"")</f>
        <v/>
      </c>
      <c r="O16" s="42" t="str">
        <f t="array" ref="O16">_xlfn.XLOOKUP(B16,'Up Min'!A:A,'Up Min'!D:D,)</f>
        <v/>
      </c>
      <c r="P16" s="42" t="str">
        <f t="array" ref="P16">_xlfn.XLOOKUP(B16,'Up Max'!A:A,'Up Max'!D:D,)</f>
        <v/>
      </c>
      <c r="Q16" s="48" t="str">
        <f t="array" ref="Q16">_xlfn.XLOOKUP(B16,'Up Stats'!A:A,'Up Stats'!E:E,)</f>
        <v/>
      </c>
      <c r="R16" s="40" t="str">
        <f>IFERROR(__xludf.DUMMYFUNCTION("if(AND(S16=FALSE,T16=FALSE),,if(S16=T16,JOIN("""",""Static: "",S16),JOIN("""",""Min:  "",S16, CHAR(10),""Max: "",T16)))"),"")</f>
        <v/>
      </c>
      <c r="S16" s="42" t="str">
        <f t="array" ref="S16">_xlfn.XLOOKUP(B16,'Up Min'!A:A,'Up Min'!E:E,)</f>
        <v/>
      </c>
      <c r="T16" s="42" t="str">
        <f t="array" ref="T16">_xlfn.XLOOKUP(B16,'Up Max'!A:A,'Up Max'!E:E,)</f>
        <v/>
      </c>
      <c r="U16" s="48" t="str">
        <f t="array" ref="U16">_xlfn.XLOOKUP(B16,'Up Stats'!A:A,'Up Stats'!F:F,)</f>
        <v/>
      </c>
      <c r="V16" s="40" t="str">
        <f>IFERROR(__xludf.DUMMYFUNCTION("if(AND(W16=FALSE,X16=FALSE),,if(W16=X16,JOIN("""",""Static: "",W16),JOIN("""",""Min:  "",W16, CHAR(10),""Max: "",X16)))"),"")</f>
        <v/>
      </c>
      <c r="W16" s="42" t="str">
        <f t="array" ref="W16">_xlfn.XLOOKUP(B16,'Up Min'!A:A,'Up Min'!F:F,)</f>
        <v/>
      </c>
      <c r="X16" s="42" t="str">
        <f t="array" ref="X16">_xlfn.XLOOKUP(B16,'Up Max'!A:A,'Up Max'!F:F,)</f>
        <v/>
      </c>
      <c r="Y16" s="48" t="str">
        <f t="array" ref="Y16">_xlfn.XLOOKUP(B16,'Up Stats'!A:A,'Up Stats'!G:G,)</f>
        <v/>
      </c>
      <c r="Z16" s="40" t="str">
        <f>IFERROR(__xludf.DUMMYFUNCTION("if(AND(AA16=FALSE,AB16=FALSE),,if(AA16=AB16,JOIN("""",""Static: "",AA16),JOIN("""",""Min:  "",AA16, CHAR(10),""Max: "",AB16)))"),"")</f>
        <v/>
      </c>
      <c r="AA16" s="42" t="str">
        <f t="array" ref="AA16">_xlfn.XLOOKUP(B16,'Up Min'!A:A,'Up Min'!G:G,)</f>
        <v/>
      </c>
      <c r="AB16" s="42" t="str">
        <f t="array" ref="AB16">_xlfn.XLOOKUP(B16,'Up Max'!A:A,'Up Max'!G:G,)</f>
        <v/>
      </c>
      <c r="AC16" s="48" t="str">
        <f t="array" ref="AC16">_xlfn.XLOOKUP(B16,'Up Stats'!A:A,'Up Stats'!H:H,)</f>
        <v/>
      </c>
      <c r="AD16" s="40" t="str">
        <f>IFERROR(__xludf.DUMMYFUNCTION("if(AND(AE16=FALSE,AF16=FALSE),,if(AE16=AF16,JOIN("""",""Static: "",AE16),JOIN("""",""Min:  "",AE16, CHAR(10),""Max: "",AF16)))"),"")</f>
        <v/>
      </c>
      <c r="AE16" s="42" t="str">
        <f t="array" ref="AE16">_xlfn.XLOOKUP(B16,'Up Min'!A:A,'Up Min'!H:H,)</f>
        <v/>
      </c>
      <c r="AF16" s="42" t="str">
        <f t="array" ref="AF16">_xlfn.XLOOKUP(B16,'Up Max'!A:A,'Up Max'!H:H,)</f>
        <v/>
      </c>
      <c r="AG16" s="48" t="str">
        <f t="array" ref="AG16">_xlfn.XLOOKUP(B16,'Up Stats'!A:A,'Up Stats'!I:I,)</f>
        <v/>
      </c>
      <c r="AH16" s="40" t="str">
        <f>IFERROR(__xludf.DUMMYFUNCTION("if(AND(AI16=FALSE,AJ16=FALSE),,if(AI16=AJ16,JOIN("""",""Static: "",AI16),JOIN("""",""Min:  "",AI16, CHAR(10),""Max: "",AJ16)))"),"")</f>
        <v/>
      </c>
      <c r="AI16" s="42" t="str">
        <f t="array" ref="AI16">_xlfn.XLOOKUP(B16,'Up Min'!A:A,'Up Min'!I:I,)</f>
        <v/>
      </c>
      <c r="AJ16" s="42" t="str">
        <f t="array" ref="AJ16">_xlfn.XLOOKUP(B16,'Up Max'!A:A,'Up Max'!I:I,)</f>
        <v/>
      </c>
      <c r="AK16" s="48" t="str">
        <f t="array" ref="AK16">_xlfn.XLOOKUP(B16,'Up Stats'!A:A,'Up Stats'!J:J,)</f>
        <v/>
      </c>
      <c r="AL16" s="40" t="str">
        <f>IFERROR(__xludf.DUMMYFUNCTION("if(AND(AM16=FALSE,AN16=FALSE),,if(AM16=AN16,JOIN("""",""Static: "",AM16),JOIN("""",""Min:  "",AM16, CHAR(10),""Max: "",AN16)))"),"")</f>
        <v/>
      </c>
      <c r="AM16" s="42" t="str">
        <f t="array" ref="AM16">_xlfn.XLOOKUP(B16,'Up Min'!A:A,'Up Min'!J:J,)</f>
        <v/>
      </c>
      <c r="AN16" s="42" t="str">
        <f t="array" ref="AN16">_xlfn.XLOOKUP(B16,'Up Max'!A:A,'Up Max'!J:J,)</f>
        <v/>
      </c>
      <c r="AO16" s="34" t="str">
        <f t="array" ref="AO16">CONCATENATE(_xlfn.XLOOKUP(B16,'Up Cells'!A:A,'Up Cells'!B:B,))</f>
        <v>4</v>
      </c>
      <c r="AP16" s="34" t="str">
        <f t="array" ref="AP16">CONCATENATE(_xlfn.XLOOKUP(B16,'Up Rarity'!A:A,'Up Rarity'!B:B,),CHAR(10),"-")</f>
        <v>Epic
-</v>
      </c>
    </row>
    <row r="17">
      <c r="A17" s="75" t="str">
        <f t="array" ref="A17">_xlfn.XLOOKUP(B17,'Up Icon'!A:A,'Up Icon'!B:B,)</f>
        <v/>
      </c>
      <c r="B17" s="88" t="str">
        <f t="array" ref="B17">HYPERLINK(_xlfn.XLOOKUP('Up Names'!E14,'Up Wiki'!A:A,'Up Wiki'!B:B,),'Up Names'!E14)</f>
        <v>Self Storage</v>
      </c>
      <c r="C17" s="52" t="str">
        <f t="array" ref="C17">_xlfn.XLOOKUP(B17,'Up Desc'!A:A,'Up Desc'!B:B,)</f>
        <v>Magazine size is increased for each occupied cell that touches this upgrade and decreased for each empty cell that touches this.</v>
      </c>
      <c r="D17" s="52" t="str">
        <f t="array" ref="D17">_xlfn.XLOOKUP(B17,'Up Turbo'!A:A,'Up Turbo'!B:B,)</f>
        <v>n/a</v>
      </c>
      <c r="E17" s="53" t="str">
        <f t="array" ref="E17">_xlfn.XLOOKUP(B17,'Up Stats'!A:A,'Up Stats'!B:B,)</f>
        <v>Ammo per Cell</v>
      </c>
      <c r="F17" s="54" t="str">
        <f>IFERROR(__xludf.DUMMYFUNCTION("if(AND(G17=FALSE,H17=FALSE),,if(G17=H17,JOIN("""",""Static: "",G17),JOIN("""",""Min:  "",G17, CHAR(10),""Max: "",H17)))"),"Min:  0.85
Max: 1.15")</f>
        <v>Min:  0.85
Max: 1.15</v>
      </c>
      <c r="G17" s="64">
        <f t="array" ref="G17">_xlfn.XLOOKUP(B17,'Up Min'!A:A,'Up Min'!B:B,)</f>
        <v>0.85</v>
      </c>
      <c r="H17" s="65">
        <f t="array" ref="H17">_xlfn.XLOOKUP(B17,'Up Max'!A:A,'Up Max'!B:B,)</f>
        <v>1.15</v>
      </c>
      <c r="I17" s="53" t="str">
        <f t="array" ref="I17">_xlfn.XLOOKUP(B17,'Up Stats'!A:A,'Up Stats'!C:C,)</f>
        <v/>
      </c>
      <c r="J17" s="54" t="str">
        <f>IFERROR(__xludf.DUMMYFUNCTION("if(AND(K17=FALSE,L17=FALSE),,if(K17=L17,JOIN("""",""Static: "",K17),JOIN("""",""Min:  "",K17, CHAR(10),""Max: "",L17)))"),"")</f>
        <v/>
      </c>
      <c r="K17" s="72" t="str">
        <f t="array" ref="K17">_xlfn.XLOOKUP(B17,'Up Min'!A:A,'Up Min'!C:C,)</f>
        <v/>
      </c>
      <c r="L17" s="72" t="str">
        <f t="array" ref="L17">_xlfn.XLOOKUP(B17,'Up Max'!A:A,'Up Max'!C:C,)</f>
        <v/>
      </c>
      <c r="M17" s="57" t="str">
        <f t="array" ref="M17">_xlfn.XLOOKUP(B17,'Up Stats'!A:A,'Up Stats'!D:D,)</f>
        <v/>
      </c>
      <c r="N17" s="54" t="str">
        <f>IFERROR(__xludf.DUMMYFUNCTION("if(AND(O17=FALSE,P17=FALSE),,if(O17=P17,JOIN("""",""Static: "",O17),JOIN("""",""Min:  "",O17, CHAR(10),""Max: "",P17)))"),"")</f>
        <v/>
      </c>
      <c r="O17" s="72" t="str">
        <f t="array" ref="O17">_xlfn.XLOOKUP(B17,'Up Min'!A:A,'Up Min'!D:D,)</f>
        <v/>
      </c>
      <c r="P17" s="72" t="str">
        <f t="array" ref="P17">_xlfn.XLOOKUP(B17,'Up Max'!A:A,'Up Max'!D:D,)</f>
        <v/>
      </c>
      <c r="Q17" s="57" t="str">
        <f t="array" ref="Q17">_xlfn.XLOOKUP(B17,'Up Stats'!A:A,'Up Stats'!E:E,)</f>
        <v/>
      </c>
      <c r="R17" s="54" t="str">
        <f>IFERROR(__xludf.DUMMYFUNCTION("if(AND(S17=FALSE,T17=FALSE),,if(S17=T17,JOIN("""",""Static: "",S17),JOIN("""",""Min:  "",S17, CHAR(10),""Max: "",T17)))"),"")</f>
        <v/>
      </c>
      <c r="S17" s="55" t="str">
        <f t="array" ref="S17">_xlfn.XLOOKUP(B17,'Up Min'!A:A,'Up Min'!E:E,)</f>
        <v/>
      </c>
      <c r="T17" s="55" t="str">
        <f t="array" ref="T17">_xlfn.XLOOKUP(B17,'Up Max'!A:A,'Up Max'!E:E,)</f>
        <v/>
      </c>
      <c r="U17" s="57" t="str">
        <f t="array" ref="U17">_xlfn.XLOOKUP(B17,'Up Stats'!A:A,'Up Stats'!F:F,)</f>
        <v/>
      </c>
      <c r="V17" s="54" t="str">
        <f>IFERROR(__xludf.DUMMYFUNCTION("if(AND(W17=FALSE,X17=FALSE),,if(W17=X17,JOIN("""",""Static: "",W17),JOIN("""",""Min:  "",W17, CHAR(10),""Max: "",X17)))"),"")</f>
        <v/>
      </c>
      <c r="W17" s="55" t="str">
        <f t="array" ref="W17">_xlfn.XLOOKUP(B17,'Up Min'!A:A,'Up Min'!F:F,)</f>
        <v/>
      </c>
      <c r="X17" s="55" t="str">
        <f t="array" ref="X17">_xlfn.XLOOKUP(B17,'Up Max'!A:A,'Up Max'!F:F,)</f>
        <v/>
      </c>
      <c r="Y17" s="57" t="str">
        <f t="array" ref="Y17">_xlfn.XLOOKUP(B17,'Up Stats'!A:A,'Up Stats'!G:G,)</f>
        <v/>
      </c>
      <c r="Z17" s="54" t="str">
        <f>IFERROR(__xludf.DUMMYFUNCTION("if(AND(AA17=FALSE,AB17=FALSE),,if(AA17=AB17,JOIN("""",""Static: "",AA17),JOIN("""",""Min:  "",AA17, CHAR(10),""Max: "",AB17)))"),"")</f>
        <v/>
      </c>
      <c r="AA17" s="55" t="str">
        <f t="array" ref="AA17">_xlfn.XLOOKUP(B17,'Up Min'!A:A,'Up Min'!G:G,)</f>
        <v/>
      </c>
      <c r="AB17" s="55" t="str">
        <f t="array" ref="AB17">_xlfn.XLOOKUP(B17,'Up Max'!A:A,'Up Max'!G:G,)</f>
        <v/>
      </c>
      <c r="AC17" s="57" t="str">
        <f t="array" ref="AC17">_xlfn.XLOOKUP(B17,'Up Stats'!A:A,'Up Stats'!H:H,)</f>
        <v/>
      </c>
      <c r="AD17" s="54" t="str">
        <f>IFERROR(__xludf.DUMMYFUNCTION("if(AND(AE17=FALSE,AF17=FALSE),,if(AE17=AF17,JOIN("""",""Static: "",AE17),JOIN("""",""Min:  "",AE17, CHAR(10),""Max: "",AF17)))"),"")</f>
        <v/>
      </c>
      <c r="AE17" s="55" t="str">
        <f t="array" ref="AE17">_xlfn.XLOOKUP(B17,'Up Min'!A:A,'Up Min'!H:H,)</f>
        <v/>
      </c>
      <c r="AF17" s="55" t="str">
        <f t="array" ref="AF17">_xlfn.XLOOKUP(B17,'Up Max'!A:A,'Up Max'!H:H,)</f>
        <v/>
      </c>
      <c r="AG17" s="57" t="str">
        <f t="array" ref="AG17">_xlfn.XLOOKUP(B17,'Up Stats'!A:A,'Up Stats'!I:I,)</f>
        <v/>
      </c>
      <c r="AH17" s="54" t="str">
        <f>IFERROR(__xludf.DUMMYFUNCTION("if(AND(AI17=FALSE,AJ17=FALSE),,if(AI17=AJ17,JOIN("""",""Static: "",AI17),JOIN("""",""Min:  "",AI17, CHAR(10),""Max: "",AJ17)))"),"")</f>
        <v/>
      </c>
      <c r="AI17" s="55" t="str">
        <f t="array" ref="AI17">_xlfn.XLOOKUP(B17,'Up Min'!A:A,'Up Min'!I:I,)</f>
        <v/>
      </c>
      <c r="AJ17" s="55" t="str">
        <f t="array" ref="AJ17">_xlfn.XLOOKUP(B17,'Up Max'!A:A,'Up Max'!I:I,)</f>
        <v/>
      </c>
      <c r="AK17" s="57" t="str">
        <f t="array" ref="AK17">_xlfn.XLOOKUP(B17,'Up Stats'!A:A,'Up Stats'!J:J,)</f>
        <v/>
      </c>
      <c r="AL17" s="54" t="str">
        <f>IFERROR(__xludf.DUMMYFUNCTION("if(AND(AM17=FALSE,AN17=FALSE),,if(AM17=AN17,JOIN("""",""Static: "",AM17),JOIN("""",""Min:  "",AM17, CHAR(10),""Max: "",AN17)))"),"")</f>
        <v/>
      </c>
      <c r="AM17" s="55" t="str">
        <f t="array" ref="AM17">_xlfn.XLOOKUP(B17,'Up Min'!A:A,'Up Min'!J:J,)</f>
        <v/>
      </c>
      <c r="AN17" s="55" t="str">
        <f t="array" ref="AN17">_xlfn.XLOOKUP(B17,'Up Max'!A:A,'Up Max'!J:J,)</f>
        <v/>
      </c>
      <c r="AO17" s="51" t="str">
        <f t="array" ref="AO17">CONCATENATE(_xlfn.XLOOKUP(B17,'Up Cells'!A:A,'Up Cells'!B:B,))</f>
        <v>4</v>
      </c>
      <c r="AP17" s="51" t="str">
        <f t="array" ref="AP17">CONCATENATE(_xlfn.XLOOKUP(B17,'Up Rarity'!A:A,'Up Rarity'!B:B,),CHAR(10),"-")</f>
        <v>Epic
-</v>
      </c>
    </row>
    <row r="18">
      <c r="A18" s="83" t="str">
        <f t="array" ref="A18">_xlfn.XLOOKUP(B18,'Up Icon'!A:A,'Up Icon'!B:B,)</f>
        <v/>
      </c>
      <c r="B18" s="89" t="str">
        <f t="array" ref="B18">HYPERLINK(_xlfn.XLOOKUP('Up Names'!E15,'Up Wiki'!A:A,'Up Wiki'!B:B,),'Up Names'!E15)</f>
        <v>Adrenaline Rush</v>
      </c>
      <c r="C18" s="37" t="str">
        <f t="array" ref="C18">_xlfn.XLOOKUP(B18,'Up Desc'!A:A,'Up Desc'!B:B,)</f>
        <v>Firing briefly increases your move speed.</v>
      </c>
      <c r="D18" s="37" t="str">
        <f t="array" ref="D18">_xlfn.XLOOKUP(B18,'Up Turbo'!A:A,'Up Turbo'!B:B,)</f>
        <v>n/a</v>
      </c>
      <c r="E18" s="39" t="str">
        <f t="array" ref="E18">_xlfn.XLOOKUP(B18,'Up Stats'!A:A,'Up Stats'!B:B,)</f>
        <v>Speed</v>
      </c>
      <c r="F18" s="40" t="str">
        <f>IFERROR(__xludf.DUMMYFUNCTION("if(AND(G18=FALSE,H18=FALSE),,if(G18=H18,JOIN("""",""Static: "",G18),JOIN("""",""Min:  "",G18, CHAR(10),""Max: "",H18)))"),"Min:  5
Max: 6")</f>
        <v>Min:  5
Max: 6</v>
      </c>
      <c r="G18" s="69">
        <f t="array" ref="G18">_xlfn.XLOOKUP(B18,'Up Min'!A:A,'Up Min'!B:B,)</f>
        <v>5</v>
      </c>
      <c r="H18" s="68">
        <f t="array" ref="H18">_xlfn.XLOOKUP(B18,'Up Max'!A:A,'Up Max'!B:B,)</f>
        <v>6</v>
      </c>
      <c r="I18" s="39" t="str">
        <f t="array" ref="I18">_xlfn.XLOOKUP(B18,'Up Stats'!A:A,'Up Stats'!C:C,)</f>
        <v>Duration</v>
      </c>
      <c r="J18" s="40" t="str">
        <f>IFERROR(__xludf.DUMMYFUNCTION("if(AND(K18=FALSE,L18=FALSE),,if(K18=L18,JOIN("""",""Static: "",K18),JOIN("""",""Min:  "",K18, CHAR(10),""Max: "",L18)))"),"Min:  0.4
Max: 0.61")</f>
        <v>Min:  0.4
Max: 0.61</v>
      </c>
      <c r="K18" s="69">
        <f t="array" ref="K18">_xlfn.XLOOKUP(B18,'Up Min'!A:A,'Up Min'!C:C,)</f>
        <v>0.4</v>
      </c>
      <c r="L18" s="69">
        <f t="array" ref="L18">_xlfn.XLOOKUP(B18,'Up Max'!A:A,'Up Max'!C:C,)</f>
        <v>0.61</v>
      </c>
      <c r="M18" s="39" t="str">
        <f t="array" ref="M18">_xlfn.XLOOKUP(B18,'Up Stats'!A:A,'Up Stats'!D:D,)</f>
        <v/>
      </c>
      <c r="N18" s="40" t="str">
        <f>IFERROR(__xludf.DUMMYFUNCTION("if(AND(O18=FALSE,P18=FALSE),,if(O18=P18,JOIN("""",""Static: "",O18),JOIN("""",""Min:  "",O18, CHAR(10),""Max: "",P18)))"),"")</f>
        <v/>
      </c>
      <c r="O18" s="42" t="str">
        <f t="array" ref="O18">_xlfn.XLOOKUP(B18,'Up Min'!A:A,'Up Min'!D:D,)</f>
        <v/>
      </c>
      <c r="P18" s="42" t="str">
        <f t="array" ref="P18">_xlfn.XLOOKUP(B18,'Up Max'!A:A,'Up Max'!D:D,)</f>
        <v/>
      </c>
      <c r="Q18" s="48" t="str">
        <f t="array" ref="Q18">_xlfn.XLOOKUP(B18,'Up Stats'!A:A,'Up Stats'!E:E,)</f>
        <v/>
      </c>
      <c r="R18" s="40" t="str">
        <f>IFERROR(__xludf.DUMMYFUNCTION("if(AND(S18=FALSE,T18=FALSE),,if(S18=T18,JOIN("""",""Static: "",S18),JOIN("""",""Min:  "",S18, CHAR(10),""Max: "",T18)))"),"")</f>
        <v/>
      </c>
      <c r="S18" s="42" t="str">
        <f t="array" ref="S18">_xlfn.XLOOKUP(B18,'Up Min'!A:A,'Up Min'!E:E,)</f>
        <v/>
      </c>
      <c r="T18" s="42" t="str">
        <f t="array" ref="T18">_xlfn.XLOOKUP(B18,'Up Max'!A:A,'Up Max'!E:E,)</f>
        <v/>
      </c>
      <c r="U18" s="48" t="str">
        <f t="array" ref="U18">_xlfn.XLOOKUP(B18,'Up Stats'!A:A,'Up Stats'!F:F,)</f>
        <v/>
      </c>
      <c r="V18" s="40" t="str">
        <f>IFERROR(__xludf.DUMMYFUNCTION("if(AND(W18=FALSE,X18=FALSE),,if(W18=X18,JOIN("""",""Static: "",W18),JOIN("""",""Min:  "",W18, CHAR(10),""Max: "",X18)))"),"")</f>
        <v/>
      </c>
      <c r="W18" s="42" t="str">
        <f t="array" ref="W18">_xlfn.XLOOKUP(B18,'Up Min'!A:A,'Up Min'!F:F,)</f>
        <v/>
      </c>
      <c r="X18" s="42" t="str">
        <f t="array" ref="X18">_xlfn.XLOOKUP(B18,'Up Max'!A:A,'Up Max'!F:F,)</f>
        <v/>
      </c>
      <c r="Y18" s="48" t="str">
        <f t="array" ref="Y18">_xlfn.XLOOKUP(B18,'Up Stats'!A:A,'Up Stats'!G:G,)</f>
        <v/>
      </c>
      <c r="Z18" s="40" t="str">
        <f>IFERROR(__xludf.DUMMYFUNCTION("if(AND(AA18=FALSE,AB18=FALSE),,if(AA18=AB18,JOIN("""",""Static: "",AA18),JOIN("""",""Min:  "",AA18, CHAR(10),""Max: "",AB18)))"),"")</f>
        <v/>
      </c>
      <c r="AA18" s="42" t="str">
        <f t="array" ref="AA18">_xlfn.XLOOKUP(B18,'Up Min'!A:A,'Up Min'!G:G,)</f>
        <v/>
      </c>
      <c r="AB18" s="42" t="str">
        <f t="array" ref="AB18">_xlfn.XLOOKUP(B18,'Up Max'!A:A,'Up Max'!G:G,)</f>
        <v/>
      </c>
      <c r="AC18" s="48" t="str">
        <f t="array" ref="AC18">_xlfn.XLOOKUP(B18,'Up Stats'!A:A,'Up Stats'!H:H,)</f>
        <v/>
      </c>
      <c r="AD18" s="40" t="str">
        <f>IFERROR(__xludf.DUMMYFUNCTION("if(AND(AE18=FALSE,AF18=FALSE),,if(AE18=AF18,JOIN("""",""Static: "",AE18),JOIN("""",""Min:  "",AE18, CHAR(10),""Max: "",AF18)))"),"")</f>
        <v/>
      </c>
      <c r="AE18" s="42" t="str">
        <f t="array" ref="AE18">_xlfn.XLOOKUP(B18,'Up Min'!A:A,'Up Min'!H:H,)</f>
        <v/>
      </c>
      <c r="AF18" s="42" t="str">
        <f t="array" ref="AF18">_xlfn.XLOOKUP(B18,'Up Max'!A:A,'Up Max'!H:H,)</f>
        <v/>
      </c>
      <c r="AG18" s="48" t="str">
        <f t="array" ref="AG18">_xlfn.XLOOKUP(B18,'Up Stats'!A:A,'Up Stats'!I:I,)</f>
        <v/>
      </c>
      <c r="AH18" s="40" t="str">
        <f>IFERROR(__xludf.DUMMYFUNCTION("if(AND(AI18=FALSE,AJ18=FALSE),,if(AI18=AJ18,JOIN("""",""Static: "",AI18),JOIN("""",""Min:  "",AI18, CHAR(10),""Max: "",AJ18)))"),"")</f>
        <v/>
      </c>
      <c r="AI18" s="42" t="str">
        <f t="array" ref="AI18">_xlfn.XLOOKUP(B18,'Up Min'!A:A,'Up Min'!I:I,)</f>
        <v/>
      </c>
      <c r="AJ18" s="42" t="str">
        <f t="array" ref="AJ18">_xlfn.XLOOKUP(B18,'Up Max'!A:A,'Up Max'!I:I,)</f>
        <v/>
      </c>
      <c r="AK18" s="48" t="str">
        <f t="array" ref="AK18">_xlfn.XLOOKUP(B18,'Up Stats'!A:A,'Up Stats'!J:J,)</f>
        <v/>
      </c>
      <c r="AL18" s="40" t="str">
        <f>IFERROR(__xludf.DUMMYFUNCTION("if(AND(AM18=FALSE,AN18=FALSE),,if(AM18=AN18,JOIN("""",""Static: "",AM18),JOIN("""",""Min:  "",AM18, CHAR(10),""Max: "",AN18)))"),"")</f>
        <v/>
      </c>
      <c r="AM18" s="42" t="str">
        <f t="array" ref="AM18">_xlfn.XLOOKUP(B18,'Up Min'!A:A,'Up Min'!J:J,)</f>
        <v/>
      </c>
      <c r="AN18" s="42" t="str">
        <f t="array" ref="AN18">_xlfn.XLOOKUP(B18,'Up Max'!A:A,'Up Max'!J:J,)</f>
        <v/>
      </c>
      <c r="AO18" s="34" t="str">
        <f t="array" ref="AO18">CONCATENATE(_xlfn.XLOOKUP(B18,'Up Cells'!A:A,'Up Cells'!B:B,))</f>
        <v>4</v>
      </c>
      <c r="AP18" s="34" t="str">
        <f t="array" ref="AP18">CONCATENATE(_xlfn.XLOOKUP(B18,'Up Rarity'!A:A,'Up Rarity'!B:B,),CHAR(10),"-")</f>
        <v>Rare
-</v>
      </c>
    </row>
    <row r="19">
      <c r="A19" s="83" t="str">
        <f t="array" ref="A19">_xlfn.XLOOKUP(B19,'Up Icon'!A:A,'Up Icon'!B:B,)</f>
        <v/>
      </c>
      <c r="B19" s="88" t="str">
        <f t="array" ref="B19">HYPERLINK(_xlfn.XLOOKUP('Up Names'!E16,'Up Wiki'!A:A,'Up Wiki'!B:B,),'Up Names'!E16)</f>
        <v>Burning Tips</v>
      </c>
      <c r="C19" s="52" t="str">
        <f t="array" ref="C19">_xlfn.XLOOKUP(B19,'Up Desc'!A:A,'Up Desc'!B:B,)</f>
        <v>Bullets apply fire.</v>
      </c>
      <c r="D19" s="52" t="str">
        <f t="array" ref="D19">_xlfn.XLOOKUP(B19,'Up Turbo'!A:A,'Up Turbo'!B:B,)</f>
        <v>n/a</v>
      </c>
      <c r="E19" s="53" t="str">
        <f t="array" ref="E19">_xlfn.XLOOKUP(B19,'Up Stats'!A:A,'Up Stats'!B:B,)</f>
        <v>Element</v>
      </c>
      <c r="F19" s="54" t="str">
        <f>IFERROR(__xludf.DUMMYFUNCTION("if(AND(G19=FALSE,H19=FALSE),,if(G19=H19,JOIN("""",""Static: "",G19),JOIN("""",""Min:  "",G19, CHAR(10),""Max: "",H19)))"),"Min:  1
Max: 2.18")</f>
        <v>Min:  1
Max: 2.18</v>
      </c>
      <c r="G19" s="64">
        <f t="array" ref="G19">_xlfn.XLOOKUP(B19,'Up Min'!A:A,'Up Min'!B:B,)</f>
        <v>1</v>
      </c>
      <c r="H19" s="65">
        <f t="array" ref="H19">_xlfn.XLOOKUP(B19,'Up Max'!A:A,'Up Max'!B:B,)</f>
        <v>2.18</v>
      </c>
      <c r="I19" s="53" t="str">
        <f t="array" ref="I19">_xlfn.XLOOKUP(B19,'Up Stats'!A:A,'Up Stats'!C:C,)</f>
        <v/>
      </c>
      <c r="J19" s="54" t="str">
        <f>IFERROR(__xludf.DUMMYFUNCTION("if(AND(K19=FALSE,L19=FALSE),,if(K19=L19,JOIN("""",""Static: "",K19),JOIN("""",""Min:  "",K19, CHAR(10),""Max: "",L19)))"),"")</f>
        <v/>
      </c>
      <c r="K19" s="55" t="str">
        <f t="array" ref="K19">_xlfn.XLOOKUP(B19,'Up Min'!A:A,'Up Min'!C:C,)</f>
        <v/>
      </c>
      <c r="L19" s="55" t="str">
        <f t="array" ref="L19">_xlfn.XLOOKUP(B19,'Up Max'!A:A,'Up Max'!C:C,)</f>
        <v/>
      </c>
      <c r="M19" s="57" t="str">
        <f t="array" ref="M19">_xlfn.XLOOKUP(B19,'Up Stats'!A:A,'Up Stats'!D:D,)</f>
        <v/>
      </c>
      <c r="N19" s="54" t="str">
        <f>IFERROR(__xludf.DUMMYFUNCTION("if(AND(O19=FALSE,P19=FALSE),,if(O19=P19,JOIN("""",""Static: "",O19),JOIN("""",""Min:  "",O19, CHAR(10),""Max: "",P19)))"),"")</f>
        <v/>
      </c>
      <c r="O19" s="55" t="str">
        <f t="array" ref="O19">_xlfn.XLOOKUP(B19,'Up Min'!A:A,'Up Min'!D:D,)</f>
        <v/>
      </c>
      <c r="P19" s="55" t="str">
        <f t="array" ref="P19">_xlfn.XLOOKUP(B19,'Up Max'!A:A,'Up Max'!D:D,)</f>
        <v/>
      </c>
      <c r="Q19" s="57" t="str">
        <f t="array" ref="Q19">_xlfn.XLOOKUP(B19,'Up Stats'!A:A,'Up Stats'!E:E,)</f>
        <v/>
      </c>
      <c r="R19" s="54" t="str">
        <f>IFERROR(__xludf.DUMMYFUNCTION("if(AND(S19=FALSE,T19=FALSE),,if(S19=T19,JOIN("""",""Static: "",S19),JOIN("""",""Min:  "",S19, CHAR(10),""Max: "",T19)))"),"")</f>
        <v/>
      </c>
      <c r="S19" s="55" t="str">
        <f t="array" ref="S19">_xlfn.XLOOKUP(B19,'Up Min'!A:A,'Up Min'!E:E,)</f>
        <v/>
      </c>
      <c r="T19" s="55" t="str">
        <f t="array" ref="T19">_xlfn.XLOOKUP(B19,'Up Max'!A:A,'Up Max'!E:E,)</f>
        <v/>
      </c>
      <c r="U19" s="57" t="str">
        <f t="array" ref="U19">_xlfn.XLOOKUP(B19,'Up Stats'!A:A,'Up Stats'!F:F,)</f>
        <v/>
      </c>
      <c r="V19" s="54" t="str">
        <f>IFERROR(__xludf.DUMMYFUNCTION("if(AND(W19=FALSE,X19=FALSE),,if(W19=X19,JOIN("""",""Static: "",W19),JOIN("""",""Min:  "",W19, CHAR(10),""Max: "",X19)))"),"")</f>
        <v/>
      </c>
      <c r="W19" s="55" t="str">
        <f t="array" ref="W19">_xlfn.XLOOKUP(B19,'Up Min'!A:A,'Up Min'!F:F,)</f>
        <v/>
      </c>
      <c r="X19" s="55" t="str">
        <f t="array" ref="X19">_xlfn.XLOOKUP(B19,'Up Max'!A:A,'Up Max'!F:F,)</f>
        <v/>
      </c>
      <c r="Y19" s="57" t="str">
        <f t="array" ref="Y19">_xlfn.XLOOKUP(B19,'Up Stats'!A:A,'Up Stats'!G:G,)</f>
        <v/>
      </c>
      <c r="Z19" s="54" t="str">
        <f>IFERROR(__xludf.DUMMYFUNCTION("if(AND(AA19=FALSE,AB19=FALSE),,if(AA19=AB19,JOIN("""",""Static: "",AA19),JOIN("""",""Min:  "",AA19, CHAR(10),""Max: "",AB19)))"),"")</f>
        <v/>
      </c>
      <c r="AA19" s="55" t="str">
        <f t="array" ref="AA19">_xlfn.XLOOKUP(B19,'Up Min'!A:A,'Up Min'!G:G,)</f>
        <v/>
      </c>
      <c r="AB19" s="55" t="str">
        <f t="array" ref="AB19">_xlfn.XLOOKUP(B19,'Up Max'!A:A,'Up Max'!G:G,)</f>
        <v/>
      </c>
      <c r="AC19" s="57" t="str">
        <f t="array" ref="AC19">_xlfn.XLOOKUP(B19,'Up Stats'!A:A,'Up Stats'!H:H,)</f>
        <v/>
      </c>
      <c r="AD19" s="54" t="str">
        <f>IFERROR(__xludf.DUMMYFUNCTION("if(AND(AE19=FALSE,AF19=FALSE),,if(AE19=AF19,JOIN("""",""Static: "",AE19),JOIN("""",""Min:  "",AE19, CHAR(10),""Max: "",AF19)))"),"")</f>
        <v/>
      </c>
      <c r="AE19" s="55" t="str">
        <f t="array" ref="AE19">_xlfn.XLOOKUP(B19,'Up Min'!A:A,'Up Min'!H:H,)</f>
        <v/>
      </c>
      <c r="AF19" s="55" t="str">
        <f t="array" ref="AF19">_xlfn.XLOOKUP(B19,'Up Max'!A:A,'Up Max'!H:H,)</f>
        <v/>
      </c>
      <c r="AG19" s="57" t="str">
        <f t="array" ref="AG19">_xlfn.XLOOKUP(B19,'Up Stats'!A:A,'Up Stats'!I:I,)</f>
        <v/>
      </c>
      <c r="AH19" s="54" t="str">
        <f>IFERROR(__xludf.DUMMYFUNCTION("if(AND(AI19=FALSE,AJ19=FALSE),,if(AI19=AJ19,JOIN("""",""Static: "",AI19),JOIN("""",""Min:  "",AI19, CHAR(10),""Max: "",AJ19)))"),"")</f>
        <v/>
      </c>
      <c r="AI19" s="55" t="str">
        <f t="array" ref="AI19">_xlfn.XLOOKUP(B19,'Up Min'!A:A,'Up Min'!I:I,)</f>
        <v/>
      </c>
      <c r="AJ19" s="55" t="str">
        <f t="array" ref="AJ19">_xlfn.XLOOKUP(B19,'Up Max'!A:A,'Up Max'!I:I,)</f>
        <v/>
      </c>
      <c r="AK19" s="57" t="str">
        <f t="array" ref="AK19">_xlfn.XLOOKUP(B19,'Up Stats'!A:A,'Up Stats'!J:J,)</f>
        <v/>
      </c>
      <c r="AL19" s="54" t="str">
        <f>IFERROR(__xludf.DUMMYFUNCTION("if(AND(AM19=FALSE,AN19=FALSE),,if(AM19=AN19,JOIN("""",""Static: "",AM19),JOIN("""",""Min:  "",AM19, CHAR(10),""Max: "",AN19)))"),"")</f>
        <v/>
      </c>
      <c r="AM19" s="55" t="str">
        <f t="array" ref="AM19">_xlfn.XLOOKUP(B19,'Up Min'!A:A,'Up Min'!J:J,)</f>
        <v/>
      </c>
      <c r="AN19" s="55" t="str">
        <f t="array" ref="AN19">_xlfn.XLOOKUP(B19,'Up Max'!A:A,'Up Max'!J:J,)</f>
        <v/>
      </c>
      <c r="AO19" s="51" t="str">
        <f t="array" ref="AO19">CONCATENATE(_xlfn.XLOOKUP(B19,'Up Cells'!A:A,'Up Cells'!B:B,))</f>
        <v>3</v>
      </c>
      <c r="AP19" s="51" t="str">
        <f t="array" ref="AP19">CONCATENATE(_xlfn.XLOOKUP(B19,'Up Rarity'!A:A,'Up Rarity'!B:B,),CHAR(10),"-")</f>
        <v>Rare
-</v>
      </c>
    </row>
    <row r="20">
      <c r="A20" s="83" t="str">
        <f t="array" ref="A20">_xlfn.XLOOKUP(B20,'Up Icon'!A:A,'Up Icon'!B:B,)</f>
        <v/>
      </c>
      <c r="B20" s="89" t="str">
        <f t="array" ref="B20">HYPERLINK(_xlfn.XLOOKUP('Up Names'!E17,'Up Wiki'!A:A,'Up Wiki'!B:B,),'Up Names'!E17)</f>
        <v>Chemical Symbiosis</v>
      </c>
      <c r="C20" s="37" t="str">
        <f t="array" ref="C20">_xlfn.XLOOKUP(B20,'Up Desc'!A:A,'Up Desc'!B:B,)</f>
        <v>While fully affected an element, its damage type is channeled to your bullets.</v>
      </c>
      <c r="D20" s="37" t="str">
        <f t="array" ref="D20">_xlfn.XLOOKUP(B20,'Up Turbo'!A:A,'Up Turbo'!B:B,)</f>
        <v>n/a</v>
      </c>
      <c r="E20" s="39" t="str">
        <f t="array" ref="E20">_xlfn.XLOOKUP(B20,'Up Stats'!A:A,'Up Stats'!B:B,)</f>
        <v>Element</v>
      </c>
      <c r="F20" s="40" t="str">
        <f>IFERROR(__xludf.DUMMYFUNCTION("if(AND(G20=FALSE,H20=FALSE),,if(G20=H20,JOIN("""",""Static: "",G20),JOIN("""",""Min:  "",G20, CHAR(10),""Max: "",H20)))"),"Min:  3
Max: 5")</f>
        <v>Min:  3
Max: 5</v>
      </c>
      <c r="G20" s="69">
        <f t="array" ref="G20">_xlfn.XLOOKUP(B20,'Up Min'!A:A,'Up Min'!B:B,)</f>
        <v>3</v>
      </c>
      <c r="H20" s="68">
        <f t="array" ref="H20">_xlfn.XLOOKUP(B20,'Up Max'!A:A,'Up Max'!B:B,)</f>
        <v>5</v>
      </c>
      <c r="I20" s="39" t="str">
        <f t="array" ref="I20">_xlfn.XLOOKUP(B20,'Up Stats'!A:A,'Up Stats'!C:C,)</f>
        <v/>
      </c>
      <c r="J20" s="40" t="str">
        <f>IFERROR(__xludf.DUMMYFUNCTION("if(AND(K20=FALSE,L20=FALSE),,if(K20=L20,JOIN("""",""Static: "",K20),JOIN("""",""Min:  "",K20, CHAR(10),""Max: "",L20)))"),"")</f>
        <v/>
      </c>
      <c r="K20" s="42" t="str">
        <f t="array" ref="K20">_xlfn.XLOOKUP(B20,'Up Min'!A:A,'Up Min'!C:C,)</f>
        <v/>
      </c>
      <c r="L20" s="42" t="str">
        <f t="array" ref="L20">_xlfn.XLOOKUP(B20,'Up Max'!A:A,'Up Max'!C:C,)</f>
        <v/>
      </c>
      <c r="M20" s="48" t="str">
        <f t="array" ref="M20">_xlfn.XLOOKUP(B20,'Up Stats'!A:A,'Up Stats'!D:D,)</f>
        <v/>
      </c>
      <c r="N20" s="40" t="str">
        <f>IFERROR(__xludf.DUMMYFUNCTION("if(AND(O20=FALSE,P20=FALSE),,if(O20=P20,JOIN("""",""Static: "",O20),JOIN("""",""Min:  "",O20, CHAR(10),""Max: "",P20)))"),"")</f>
        <v/>
      </c>
      <c r="O20" s="42" t="str">
        <f t="array" ref="O20">_xlfn.XLOOKUP(B20,'Up Min'!A:A,'Up Min'!D:D,)</f>
        <v/>
      </c>
      <c r="P20" s="42" t="str">
        <f t="array" ref="P20">_xlfn.XLOOKUP(B20,'Up Max'!A:A,'Up Max'!D:D,)</f>
        <v/>
      </c>
      <c r="Q20" s="48" t="str">
        <f t="array" ref="Q20">_xlfn.XLOOKUP(B20,'Up Stats'!A:A,'Up Stats'!E:E,)</f>
        <v/>
      </c>
      <c r="R20" s="40" t="str">
        <f>IFERROR(__xludf.DUMMYFUNCTION("if(AND(S20=FALSE,T20=FALSE),,if(S20=T20,JOIN("""",""Static: "",S20),JOIN("""",""Min:  "",S20, CHAR(10),""Max: "",T20)))"),"")</f>
        <v/>
      </c>
      <c r="S20" s="42" t="str">
        <f t="array" ref="S20">_xlfn.XLOOKUP(B20,'Up Min'!A:A,'Up Min'!E:E,)</f>
        <v/>
      </c>
      <c r="T20" s="42" t="str">
        <f t="array" ref="T20">_xlfn.XLOOKUP(B20,'Up Max'!A:A,'Up Max'!E:E,)</f>
        <v/>
      </c>
      <c r="U20" s="48" t="str">
        <f t="array" ref="U20">_xlfn.XLOOKUP(B20,'Up Stats'!A:A,'Up Stats'!F:F,)</f>
        <v/>
      </c>
      <c r="V20" s="40" t="str">
        <f>IFERROR(__xludf.DUMMYFUNCTION("if(AND(W20=FALSE,X20=FALSE),,if(W20=X20,JOIN("""",""Static: "",W20),JOIN("""",""Min:  "",W20, CHAR(10),""Max: "",X20)))"),"")</f>
        <v/>
      </c>
      <c r="W20" s="42" t="str">
        <f t="array" ref="W20">_xlfn.XLOOKUP(B20,'Up Min'!A:A,'Up Min'!F:F,)</f>
        <v/>
      </c>
      <c r="X20" s="42" t="str">
        <f t="array" ref="X20">_xlfn.XLOOKUP(B20,'Up Max'!A:A,'Up Max'!F:F,)</f>
        <v/>
      </c>
      <c r="Y20" s="48" t="str">
        <f t="array" ref="Y20">_xlfn.XLOOKUP(B20,'Up Stats'!A:A,'Up Stats'!G:G,)</f>
        <v/>
      </c>
      <c r="Z20" s="40" t="str">
        <f>IFERROR(__xludf.DUMMYFUNCTION("if(AND(AA20=FALSE,AB20=FALSE),,if(AA20=AB20,JOIN("""",""Static: "",AA20),JOIN("""",""Min:  "",AA20, CHAR(10),""Max: "",AB20)))"),"")</f>
        <v/>
      </c>
      <c r="AA20" s="42" t="str">
        <f t="array" ref="AA20">_xlfn.XLOOKUP(B20,'Up Min'!A:A,'Up Min'!G:G,)</f>
        <v/>
      </c>
      <c r="AB20" s="42" t="str">
        <f t="array" ref="AB20">_xlfn.XLOOKUP(B20,'Up Max'!A:A,'Up Max'!G:G,)</f>
        <v/>
      </c>
      <c r="AC20" s="48" t="str">
        <f t="array" ref="AC20">_xlfn.XLOOKUP(B20,'Up Stats'!A:A,'Up Stats'!H:H,)</f>
        <v/>
      </c>
      <c r="AD20" s="40" t="str">
        <f>IFERROR(__xludf.DUMMYFUNCTION("if(AND(AE20=FALSE,AF20=FALSE),,if(AE20=AF20,JOIN("""",""Static: "",AE20),JOIN("""",""Min:  "",AE20, CHAR(10),""Max: "",AF20)))"),"")</f>
        <v/>
      </c>
      <c r="AE20" s="42" t="str">
        <f t="array" ref="AE20">_xlfn.XLOOKUP(B20,'Up Min'!A:A,'Up Min'!H:H,)</f>
        <v/>
      </c>
      <c r="AF20" s="42" t="str">
        <f t="array" ref="AF20">_xlfn.XLOOKUP(B20,'Up Max'!A:A,'Up Max'!H:H,)</f>
        <v/>
      </c>
      <c r="AG20" s="48" t="str">
        <f t="array" ref="AG20">_xlfn.XLOOKUP(B20,'Up Stats'!A:A,'Up Stats'!I:I,)</f>
        <v/>
      </c>
      <c r="AH20" s="40" t="str">
        <f>IFERROR(__xludf.DUMMYFUNCTION("if(AND(AI20=FALSE,AJ20=FALSE),,if(AI20=AJ20,JOIN("""",""Static: "",AI20),JOIN("""",""Min:  "",AI20, CHAR(10),""Max: "",AJ20)))"),"")</f>
        <v/>
      </c>
      <c r="AI20" s="42" t="str">
        <f t="array" ref="AI20">_xlfn.XLOOKUP(B20,'Up Min'!A:A,'Up Min'!I:I,)</f>
        <v/>
      </c>
      <c r="AJ20" s="42" t="str">
        <f t="array" ref="AJ20">_xlfn.XLOOKUP(B20,'Up Max'!A:A,'Up Max'!I:I,)</f>
        <v/>
      </c>
      <c r="AK20" s="48" t="str">
        <f t="array" ref="AK20">_xlfn.XLOOKUP(B20,'Up Stats'!A:A,'Up Stats'!J:J,)</f>
        <v/>
      </c>
      <c r="AL20" s="40" t="str">
        <f>IFERROR(__xludf.DUMMYFUNCTION("if(AND(AM20=FALSE,AN20=FALSE),,if(AM20=AN20,JOIN("""",""Static: "",AM20),JOIN("""",""Min:  "",AM20, CHAR(10),""Max: "",AN20)))"),"")</f>
        <v/>
      </c>
      <c r="AM20" s="42" t="str">
        <f t="array" ref="AM20">_xlfn.XLOOKUP(B20,'Up Min'!A:A,'Up Min'!J:J,)</f>
        <v/>
      </c>
      <c r="AN20" s="42" t="str">
        <f t="array" ref="AN20">_xlfn.XLOOKUP(B20,'Up Max'!A:A,'Up Max'!J:J,)</f>
        <v/>
      </c>
      <c r="AO20" s="34" t="str">
        <f t="array" ref="AO20">CONCATENATE(_xlfn.XLOOKUP(B20,'Up Cells'!A:A,'Up Cells'!B:B,))</f>
        <v>2</v>
      </c>
      <c r="AP20" s="34" t="str">
        <f t="array" ref="AP20">CONCATENATE(_xlfn.XLOOKUP(B20,'Up Rarity'!A:A,'Up Rarity'!B:B,),CHAR(10),"-")</f>
        <v>Rare
-</v>
      </c>
    </row>
    <row r="21">
      <c r="A21" s="83" t="str">
        <f t="array" ref="A21">_xlfn.XLOOKUP(B21,'Up Icon'!A:A,'Up Icon'!B:B,)</f>
        <v/>
      </c>
      <c r="B21" s="88" t="str">
        <f t="array" ref="B21">HYPERLINK(_xlfn.XLOOKUP('Up Names'!E18,'Up Wiki'!A:A,'Up Wiki'!B:B,),'Up Names'!E18)</f>
        <v>Controlled Substance</v>
      </c>
      <c r="C21" s="52" t="str">
        <f t="array" ref="C21">_xlfn.XLOOKUP(B21,'Up Desc'!A:A,'Up Desc'!B:B,)</f>
        <v>Recoil and damage are reduced.</v>
      </c>
      <c r="D21" s="52" t="str">
        <f t="array" ref="D21">_xlfn.XLOOKUP(B21,'Up Turbo'!A:A,'Up Turbo'!B:B,)</f>
        <v>n/a</v>
      </c>
      <c r="E21" s="53" t="str">
        <f t="array" ref="E21">_xlfn.XLOOKUP(B21,'Up Stats'!A:A,'Up Stats'!B:B,)</f>
        <v>Horizontal Recoil</v>
      </c>
      <c r="F21" s="54" t="str">
        <f>IFERROR(__xludf.DUMMYFUNCTION("if(AND(G21=FALSE,H21=FALSE),,if(G21=H21,JOIN("""",""Static: "",G21),JOIN("""",""Min:  "",G21, CHAR(10),""Max: "",H21)))"),"Min:  -40%
Max: -20%")</f>
        <v>Min:  -40%
Max: -20%</v>
      </c>
      <c r="G21" s="59">
        <f t="array" ref="G21">_xlfn.XLOOKUP(B21,'Up Min'!A:A,'Up Min'!B:B,)</f>
        <v>-0.4</v>
      </c>
      <c r="H21" s="59">
        <f t="array" ref="H21">_xlfn.XLOOKUP(B21,'Up Max'!A:A,'Up Max'!B:B,)</f>
        <v>-0.2</v>
      </c>
      <c r="I21" s="53" t="str">
        <f t="array" ref="I21">_xlfn.XLOOKUP(B21,'Up Stats'!A:A,'Up Stats'!C:C,)</f>
        <v>Vertical Recoil</v>
      </c>
      <c r="J21" s="54" t="str">
        <f>IFERROR(__xludf.DUMMYFUNCTION("if(AND(K21=FALSE,L21=FALSE),,if(K21=L21,JOIN("""",""Static: "",K21),JOIN("""",""Min:  "",K21, CHAR(10),""Max: "",L21)))"),"Min:  -40%
Max: -20%")</f>
        <v>Min:  -40%
Max: -20%</v>
      </c>
      <c r="K21" s="59">
        <f t="array" ref="K21">_xlfn.XLOOKUP(B21,'Up Min'!A:A,'Up Min'!C:C,)</f>
        <v>-0.4</v>
      </c>
      <c r="L21" s="59">
        <f t="array" ref="L21">_xlfn.XLOOKUP(B21,'Up Max'!A:A,'Up Max'!C:C,)</f>
        <v>-0.2</v>
      </c>
      <c r="M21" s="53" t="str">
        <f t="array" ref="M21">_xlfn.XLOOKUP(B21,'Up Stats'!A:A,'Up Stats'!D:D,)</f>
        <v>Damage</v>
      </c>
      <c r="N21" s="54" t="str">
        <f>IFERROR(__xludf.DUMMYFUNCTION("if(AND(O21=FALSE,P21=FALSE),,if(O21=P21,JOIN("""",""Static: "",O21),JOIN("""",""Min:  "",O21, CHAR(10),""Max: "",P21)))"),"Min:  -16%
Max: -9%")</f>
        <v>Min:  -16%
Max: -9%</v>
      </c>
      <c r="O21" s="59">
        <f t="array" ref="O21">_xlfn.XLOOKUP(B21,'Up Min'!A:A,'Up Min'!D:D,)</f>
        <v>-0.16</v>
      </c>
      <c r="P21" s="59">
        <f t="array" ref="P21">_xlfn.XLOOKUP(B21,'Up Max'!A:A,'Up Max'!D:D,)</f>
        <v>-0.09</v>
      </c>
      <c r="Q21" s="57" t="str">
        <f t="array" ref="Q21">_xlfn.XLOOKUP(B21,'Up Stats'!A:A,'Up Stats'!E:E,)</f>
        <v/>
      </c>
      <c r="R21" s="54" t="str">
        <f>IFERROR(__xludf.DUMMYFUNCTION("if(AND(S21=FALSE,T21=FALSE),,if(S21=T21,JOIN("""",""Static: "",S21),JOIN("""",""Min:  "",S21, CHAR(10),""Max: "",T21)))"),"")</f>
        <v/>
      </c>
      <c r="S21" s="56" t="str">
        <f t="array" ref="S21">_xlfn.XLOOKUP(B21,'Up Min'!A:A,'Up Min'!E:E,)</f>
        <v/>
      </c>
      <c r="T21" s="55" t="str">
        <f t="array" ref="T21">_xlfn.XLOOKUP(B21,'Up Max'!A:A,'Up Max'!E:E,)</f>
        <v/>
      </c>
      <c r="U21" s="57" t="str">
        <f t="array" ref="U21">_xlfn.XLOOKUP(B21,'Up Stats'!A:A,'Up Stats'!F:F,)</f>
        <v/>
      </c>
      <c r="V21" s="54" t="str">
        <f>IFERROR(__xludf.DUMMYFUNCTION("if(AND(W21=FALSE,X21=FALSE),,if(W21=X21,JOIN("""",""Static: "",W21),JOIN("""",""Min:  "",W21, CHAR(10),""Max: "",X21)))"),"")</f>
        <v/>
      </c>
      <c r="W21" s="55" t="str">
        <f t="array" ref="W21">_xlfn.XLOOKUP(B21,'Up Min'!A:A,'Up Min'!F:F,)</f>
        <v/>
      </c>
      <c r="X21" s="55" t="str">
        <f t="array" ref="X21">_xlfn.XLOOKUP(B21,'Up Max'!A:A,'Up Max'!F:F,)</f>
        <v/>
      </c>
      <c r="Y21" s="57" t="str">
        <f t="array" ref="Y21">_xlfn.XLOOKUP(B21,'Up Stats'!A:A,'Up Stats'!G:G,)</f>
        <v/>
      </c>
      <c r="Z21" s="54" t="str">
        <f>IFERROR(__xludf.DUMMYFUNCTION("if(AND(AA21=FALSE,AB21=FALSE),,if(AA21=AB21,JOIN("""",""Static: "",AA21),JOIN("""",""Min:  "",AA21, CHAR(10),""Max: "",AB21)))"),"")</f>
        <v/>
      </c>
      <c r="AA21" s="55" t="str">
        <f t="array" ref="AA21">_xlfn.XLOOKUP(B21,'Up Min'!A:A,'Up Min'!G:G,)</f>
        <v/>
      </c>
      <c r="AB21" s="55" t="str">
        <f t="array" ref="AB21">_xlfn.XLOOKUP(B21,'Up Max'!A:A,'Up Max'!G:G,)</f>
        <v/>
      </c>
      <c r="AC21" s="57" t="str">
        <f t="array" ref="AC21">_xlfn.XLOOKUP(B21,'Up Stats'!A:A,'Up Stats'!H:H,)</f>
        <v/>
      </c>
      <c r="AD21" s="54" t="str">
        <f>IFERROR(__xludf.DUMMYFUNCTION("if(AND(AE21=FALSE,AF21=FALSE),,if(AE21=AF21,JOIN("""",""Static: "",AE21),JOIN("""",""Min:  "",AE21, CHAR(10),""Max: "",AF21)))"),"")</f>
        <v/>
      </c>
      <c r="AE21" s="55" t="str">
        <f t="array" ref="AE21">_xlfn.XLOOKUP(B21,'Up Min'!A:A,'Up Min'!H:H,)</f>
        <v/>
      </c>
      <c r="AF21" s="55" t="str">
        <f t="array" ref="AF21">_xlfn.XLOOKUP(B21,'Up Max'!A:A,'Up Max'!H:H,)</f>
        <v/>
      </c>
      <c r="AG21" s="57" t="str">
        <f t="array" ref="AG21">_xlfn.XLOOKUP(B21,'Up Stats'!A:A,'Up Stats'!I:I,)</f>
        <v/>
      </c>
      <c r="AH21" s="54" t="str">
        <f>IFERROR(__xludf.DUMMYFUNCTION("if(AND(AI21=FALSE,AJ21=FALSE),,if(AI21=AJ21,JOIN("""",""Static: "",AI21),JOIN("""",""Min:  "",AI21, CHAR(10),""Max: "",AJ21)))"),"")</f>
        <v/>
      </c>
      <c r="AI21" s="55" t="str">
        <f t="array" ref="AI21">_xlfn.XLOOKUP(B21,'Up Min'!A:A,'Up Min'!I:I,)</f>
        <v/>
      </c>
      <c r="AJ21" s="55" t="str">
        <f t="array" ref="AJ21">_xlfn.XLOOKUP(B21,'Up Max'!A:A,'Up Max'!I:I,)</f>
        <v/>
      </c>
      <c r="AK21" s="57" t="str">
        <f t="array" ref="AK21">_xlfn.XLOOKUP(B21,'Up Stats'!A:A,'Up Stats'!J:J,)</f>
        <v/>
      </c>
      <c r="AL21" s="54" t="str">
        <f>IFERROR(__xludf.DUMMYFUNCTION("if(AND(AM21=FALSE,AN21=FALSE),,if(AM21=AN21,JOIN("""",""Static: "",AM21),JOIN("""",""Min:  "",AM21, CHAR(10),""Max: "",AN21)))"),"")</f>
        <v/>
      </c>
      <c r="AM21" s="55" t="str">
        <f t="array" ref="AM21">_xlfn.XLOOKUP(B21,'Up Min'!A:A,'Up Min'!J:J,)</f>
        <v/>
      </c>
      <c r="AN21" s="55" t="str">
        <f t="array" ref="AN21">_xlfn.XLOOKUP(B21,'Up Max'!A:A,'Up Max'!J:J,)</f>
        <v/>
      </c>
      <c r="AO21" s="51" t="str">
        <f t="array" ref="AO21">CONCATENATE(_xlfn.XLOOKUP(B21,'Up Cells'!A:A,'Up Cells'!B:B,))</f>
        <v>4</v>
      </c>
      <c r="AP21" s="51" t="str">
        <f t="array" ref="AP21">CONCATENATE(_xlfn.XLOOKUP(B21,'Up Rarity'!A:A,'Up Rarity'!B:B,),CHAR(10),"-")</f>
        <v>Rare
-</v>
      </c>
    </row>
    <row r="22">
      <c r="A22" s="83" t="str">
        <f t="array" ref="A22">_xlfn.XLOOKUP(B22,'Up Icon'!A:A,'Up Icon'!B:B,)</f>
        <v/>
      </c>
      <c r="B22" s="89" t="str">
        <f t="array" ref="B22">HYPERLINK(_xlfn.XLOOKUP('Up Names'!E19,'Up Wiki'!A:A,'Up Wiki'!B:B,),'Up Names'!E19)</f>
        <v>Delirium</v>
      </c>
      <c r="C22" s="37" t="str">
        <f t="array" ref="C22">_xlfn.XLOOKUP(B22,'Up Desc'!A:A,'Up Desc'!B:B,)</f>
        <v>Killing a target briefly increases your damage.</v>
      </c>
      <c r="D22" s="37" t="str">
        <f t="array" ref="D22">_xlfn.XLOOKUP(B22,'Up Turbo'!A:A,'Up Turbo'!B:B,)</f>
        <v>n/a</v>
      </c>
      <c r="E22" s="39" t="str">
        <f t="array" ref="E22">_xlfn.XLOOKUP(B22,'Up Stats'!A:A,'Up Stats'!B:B,)</f>
        <v>Damage</v>
      </c>
      <c r="F22" s="40" t="str">
        <f>IFERROR(__xludf.DUMMYFUNCTION("if(AND(G22=FALSE,H22=FALSE),,if(G22=H22,JOIN("""",""Static: "",G22),JOIN("""",""Min:  "",G22, CHAR(10),""Max: "",H22)))"),"Min:  15
Max: 24")</f>
        <v>Min:  15
Max: 24</v>
      </c>
      <c r="G22" s="69">
        <f t="array" ref="G22">_xlfn.XLOOKUP(B22,'Up Min'!A:A,'Up Min'!B:B,)</f>
        <v>15</v>
      </c>
      <c r="H22" s="68">
        <f t="array" ref="H22">_xlfn.XLOOKUP(B22,'Up Max'!A:A,'Up Max'!B:B,)</f>
        <v>24</v>
      </c>
      <c r="I22" s="39" t="str">
        <f t="array" ref="I22">_xlfn.XLOOKUP(B22,'Up Stats'!A:A,'Up Stats'!C:C,)</f>
        <v>Duration</v>
      </c>
      <c r="J22" s="40" t="str">
        <f>IFERROR(__xludf.DUMMYFUNCTION("if(AND(K22=FALSE,L22=FALSE),,if(K22=L22,JOIN("""",""Static: "",K22),JOIN("""",""Min:  "",K22, CHAR(10),""Max: "",L22)))"),"Min:  1.5
Max: 3")</f>
        <v>Min:  1.5
Max: 3</v>
      </c>
      <c r="K22" s="68">
        <f t="array" ref="K22">_xlfn.XLOOKUP(B22,'Up Min'!A:A,'Up Min'!C:C,)</f>
        <v>1.5</v>
      </c>
      <c r="L22" s="69">
        <f t="array" ref="L22">_xlfn.XLOOKUP(B22,'Up Max'!A:A,'Up Max'!C:C,)</f>
        <v>3</v>
      </c>
      <c r="M22" s="39" t="str">
        <f t="array" ref="M22">_xlfn.XLOOKUP(B22,'Up Stats'!A:A,'Up Stats'!D:D,)</f>
        <v/>
      </c>
      <c r="N22" s="40" t="str">
        <f>IFERROR(__xludf.DUMMYFUNCTION("if(AND(O22=FALSE,P22=FALSE),,if(O22=P22,JOIN("""",""Static: "",O22),JOIN("""",""Min:  "",O22, CHAR(10),""Max: "",P22)))"),"")</f>
        <v/>
      </c>
      <c r="O22" s="85" t="str">
        <f t="array" ref="O22">_xlfn.XLOOKUP(B22,'Up Min'!A:A,'Up Min'!D:D,)</f>
        <v/>
      </c>
      <c r="P22" s="74" t="str">
        <f t="array" ref="P22">_xlfn.XLOOKUP(B22,'Up Max'!A:A,'Up Max'!D:D,)</f>
        <v/>
      </c>
      <c r="Q22" s="48" t="str">
        <f t="array" ref="Q22">_xlfn.XLOOKUP(B22,'Up Stats'!A:A,'Up Stats'!E:E,)</f>
        <v/>
      </c>
      <c r="R22" s="40" t="str">
        <f>IFERROR(__xludf.DUMMYFUNCTION("if(AND(S22=FALSE,T22=FALSE),,if(S22=T22,JOIN("""",""Static: "",S22),JOIN("""",""Min:  "",S22, CHAR(10),""Max: "",T22)))"),"")</f>
        <v/>
      </c>
      <c r="S22" s="42" t="str">
        <f t="array" ref="S22">_xlfn.XLOOKUP(B22,'Up Min'!A:A,'Up Min'!E:E,)</f>
        <v/>
      </c>
      <c r="T22" s="42" t="str">
        <f t="array" ref="T22">_xlfn.XLOOKUP(B22,'Up Max'!A:A,'Up Max'!E:E,)</f>
        <v/>
      </c>
      <c r="U22" s="48" t="str">
        <f t="array" ref="U22">_xlfn.XLOOKUP(B22,'Up Stats'!A:A,'Up Stats'!F:F,)</f>
        <v/>
      </c>
      <c r="V22" s="40" t="str">
        <f>IFERROR(__xludf.DUMMYFUNCTION("if(AND(W22=FALSE,X22=FALSE),,if(W22=X22,JOIN("""",""Static: "",W22),JOIN("""",""Min:  "",W22, CHAR(10),""Max: "",X22)))"),"")</f>
        <v/>
      </c>
      <c r="W22" s="42" t="str">
        <f t="array" ref="W22">_xlfn.XLOOKUP(B22,'Up Min'!A:A,'Up Min'!F:F,)</f>
        <v/>
      </c>
      <c r="X22" s="42" t="str">
        <f t="array" ref="X22">_xlfn.XLOOKUP(B22,'Up Max'!A:A,'Up Max'!F:F,)</f>
        <v/>
      </c>
      <c r="Y22" s="48" t="str">
        <f t="array" ref="Y22">_xlfn.XLOOKUP(B22,'Up Stats'!A:A,'Up Stats'!G:G,)</f>
        <v/>
      </c>
      <c r="Z22" s="40" t="str">
        <f>IFERROR(__xludf.DUMMYFUNCTION("if(AND(AA22=FALSE,AB22=FALSE),,if(AA22=AB22,JOIN("""",""Static: "",AA22),JOIN("""",""Min:  "",AA22, CHAR(10),""Max: "",AB22)))"),"")</f>
        <v/>
      </c>
      <c r="AA22" s="42" t="str">
        <f t="array" ref="AA22">_xlfn.XLOOKUP(B22,'Up Min'!A:A,'Up Min'!G:G,)</f>
        <v/>
      </c>
      <c r="AB22" s="42" t="str">
        <f t="array" ref="AB22">_xlfn.XLOOKUP(B22,'Up Max'!A:A,'Up Max'!G:G,)</f>
        <v/>
      </c>
      <c r="AC22" s="48" t="str">
        <f t="array" ref="AC22">_xlfn.XLOOKUP(B22,'Up Stats'!A:A,'Up Stats'!H:H,)</f>
        <v/>
      </c>
      <c r="AD22" s="40" t="str">
        <f>IFERROR(__xludf.DUMMYFUNCTION("if(AND(AE22=FALSE,AF22=FALSE),,if(AE22=AF22,JOIN("""",""Static: "",AE22),JOIN("""",""Min:  "",AE22, CHAR(10),""Max: "",AF22)))"),"")</f>
        <v/>
      </c>
      <c r="AE22" s="42" t="str">
        <f t="array" ref="AE22">_xlfn.XLOOKUP(B22,'Up Min'!A:A,'Up Min'!H:H,)</f>
        <v/>
      </c>
      <c r="AF22" s="42" t="str">
        <f t="array" ref="AF22">_xlfn.XLOOKUP(B22,'Up Max'!A:A,'Up Max'!H:H,)</f>
        <v/>
      </c>
      <c r="AG22" s="48" t="str">
        <f t="array" ref="AG22">_xlfn.XLOOKUP(B22,'Up Stats'!A:A,'Up Stats'!I:I,)</f>
        <v/>
      </c>
      <c r="AH22" s="40" t="str">
        <f>IFERROR(__xludf.DUMMYFUNCTION("if(AND(AI22=FALSE,AJ22=FALSE),,if(AI22=AJ22,JOIN("""",""Static: "",AI22),JOIN("""",""Min:  "",AI22, CHAR(10),""Max: "",AJ22)))"),"")</f>
        <v/>
      </c>
      <c r="AI22" s="42" t="str">
        <f t="array" ref="AI22">_xlfn.XLOOKUP(B22,'Up Min'!A:A,'Up Min'!I:I,)</f>
        <v/>
      </c>
      <c r="AJ22" s="42" t="str">
        <f t="array" ref="AJ22">_xlfn.XLOOKUP(B22,'Up Max'!A:A,'Up Max'!I:I,)</f>
        <v/>
      </c>
      <c r="AK22" s="48" t="str">
        <f t="array" ref="AK22">_xlfn.XLOOKUP(B22,'Up Stats'!A:A,'Up Stats'!J:J,)</f>
        <v/>
      </c>
      <c r="AL22" s="40" t="str">
        <f>IFERROR(__xludf.DUMMYFUNCTION("if(AND(AM22=FALSE,AN22=FALSE),,if(AM22=AN22,JOIN("""",""Static: "",AM22),JOIN("""",""Min:  "",AM22, CHAR(10),""Max: "",AN22)))"),"")</f>
        <v/>
      </c>
      <c r="AM22" s="42" t="str">
        <f t="array" ref="AM22">_xlfn.XLOOKUP(B22,'Up Min'!A:A,'Up Min'!J:J,)</f>
        <v/>
      </c>
      <c r="AN22" s="42" t="str">
        <f t="array" ref="AN22">_xlfn.XLOOKUP(B22,'Up Max'!A:A,'Up Max'!J:J,)</f>
        <v/>
      </c>
      <c r="AO22" s="34" t="str">
        <f t="array" ref="AO22">CONCATENATE(_xlfn.XLOOKUP(B22,'Up Cells'!A:A,'Up Cells'!B:B,))</f>
        <v>4</v>
      </c>
      <c r="AP22" s="34" t="str">
        <f t="array" ref="AP22">CONCATENATE(_xlfn.XLOOKUP(B22,'Up Rarity'!A:A,'Up Rarity'!B:B,),CHAR(10),"-")</f>
        <v>Rare
-</v>
      </c>
    </row>
    <row r="23">
      <c r="A23" s="83" t="str">
        <f t="array" ref="A23">_xlfn.XLOOKUP(B23,'Up Icon'!A:A,'Up Icon'!B:B,)</f>
        <v/>
      </c>
      <c r="B23" s="88" t="str">
        <f t="array" ref="B23">HYPERLINK(_xlfn.XLOOKUP('Up Names'!E20,'Up Wiki'!A:A,'Up Wiki'!B:B,),'Up Names'!E20)</f>
        <v>Fan Fire</v>
      </c>
      <c r="C23" s="70" t="str">
        <f t="array" ref="C23">_xlfn.XLOOKUP(B23,'Up Desc'!A:A,'Up Desc'!B:B,)</f>
        <v>Damage is increased when hip-firing.</v>
      </c>
      <c r="D23" s="52" t="str">
        <f t="array" ref="D23">_xlfn.XLOOKUP(B23,'Up Turbo'!A:A,'Up Turbo'!B:B,)</f>
        <v>n/a</v>
      </c>
      <c r="E23" s="53" t="str">
        <f t="array" ref="E23">_xlfn.XLOOKUP(B23,'Up Stats'!A:A,'Up Stats'!B:B,)</f>
        <v>Hipfire Damage</v>
      </c>
      <c r="F23" s="54" t="str">
        <f>IFERROR(__xludf.DUMMYFUNCTION("if(AND(G23=FALSE,H23=FALSE),,if(G23=H23,JOIN("""",""Static: "",G23),JOIN("""",""Min:  "",G23, CHAR(10),""Max: "",H23)))"),"Min:  20
Max: 30")</f>
        <v>Min:  20
Max: 30</v>
      </c>
      <c r="G23" s="64">
        <f t="array" ref="G23">_xlfn.XLOOKUP(B23,'Up Min'!A:A,'Up Min'!B:B,)</f>
        <v>20</v>
      </c>
      <c r="H23" s="65">
        <f t="array" ref="H23">_xlfn.XLOOKUP(B23,'Up Max'!A:A,'Up Max'!B:B,)</f>
        <v>30</v>
      </c>
      <c r="I23" s="53" t="str">
        <f t="array" ref="I23">_xlfn.XLOOKUP(B23,'Up Stats'!A:A,'Up Stats'!C:C,)</f>
        <v/>
      </c>
      <c r="J23" s="54" t="str">
        <f>IFERROR(__xludf.DUMMYFUNCTION("if(AND(K23=FALSE,L23=FALSE),,if(K23=L23,JOIN("""",""Static: "",K23),JOIN("""",""Min:  "",K23, CHAR(10),""Max: "",L23)))"),"")</f>
        <v/>
      </c>
      <c r="K23" s="55" t="str">
        <f t="array" ref="K23">_xlfn.XLOOKUP(B23,'Up Min'!A:A,'Up Min'!C:C,)</f>
        <v/>
      </c>
      <c r="L23" s="55" t="str">
        <f t="array" ref="L23">_xlfn.XLOOKUP(B23,'Up Max'!A:A,'Up Max'!C:C,)</f>
        <v/>
      </c>
      <c r="M23" s="57" t="str">
        <f t="array" ref="M23">_xlfn.XLOOKUP(B23,'Up Stats'!A:A,'Up Stats'!D:D,)</f>
        <v/>
      </c>
      <c r="N23" s="54" t="str">
        <f>IFERROR(__xludf.DUMMYFUNCTION("if(AND(O23=FALSE,P23=FALSE),,if(O23=P23,JOIN("""",""Static: "",O23),JOIN("""",""Min:  "",O23, CHAR(10),""Max: "",P23)))"),"")</f>
        <v/>
      </c>
      <c r="O23" s="55" t="str">
        <f t="array" ref="O23">_xlfn.XLOOKUP(B23,'Up Min'!A:A,'Up Min'!D:D,)</f>
        <v/>
      </c>
      <c r="P23" s="55" t="str">
        <f t="array" ref="P23">_xlfn.XLOOKUP(B23,'Up Max'!A:A,'Up Max'!D:D,)</f>
        <v/>
      </c>
      <c r="Q23" s="57" t="str">
        <f t="array" ref="Q23">_xlfn.XLOOKUP(B23,'Up Stats'!A:A,'Up Stats'!E:E,)</f>
        <v/>
      </c>
      <c r="R23" s="54" t="str">
        <f>IFERROR(__xludf.DUMMYFUNCTION("if(AND(S23=FALSE,T23=FALSE),,if(S23=T23,JOIN("""",""Static: "",S23),JOIN("""",""Min:  "",S23, CHAR(10),""Max: "",T23)))"),"")</f>
        <v/>
      </c>
      <c r="S23" s="55" t="str">
        <f t="array" ref="S23">_xlfn.XLOOKUP(B23,'Up Min'!A:A,'Up Min'!E:E,)</f>
        <v/>
      </c>
      <c r="T23" s="55" t="str">
        <f t="array" ref="T23">_xlfn.XLOOKUP(B23,'Up Max'!A:A,'Up Max'!E:E,)</f>
        <v/>
      </c>
      <c r="U23" s="57" t="str">
        <f t="array" ref="U23">_xlfn.XLOOKUP(B23,'Up Stats'!A:A,'Up Stats'!F:F,)</f>
        <v/>
      </c>
      <c r="V23" s="54" t="str">
        <f>IFERROR(__xludf.DUMMYFUNCTION("if(AND(W23=FALSE,X23=FALSE),,if(W23=X23,JOIN("""",""Static: "",W23),JOIN("""",""Min:  "",W23, CHAR(10),""Max: "",X23)))"),"")</f>
        <v/>
      </c>
      <c r="W23" s="55" t="str">
        <f t="array" ref="W23">_xlfn.XLOOKUP(B23,'Up Min'!A:A,'Up Min'!F:F,)</f>
        <v/>
      </c>
      <c r="X23" s="55" t="str">
        <f t="array" ref="X23">_xlfn.XLOOKUP(B23,'Up Max'!A:A,'Up Max'!F:F,)</f>
        <v/>
      </c>
      <c r="Y23" s="57" t="str">
        <f t="array" ref="Y23">_xlfn.XLOOKUP(B23,'Up Stats'!A:A,'Up Stats'!G:G,)</f>
        <v/>
      </c>
      <c r="Z23" s="54" t="str">
        <f>IFERROR(__xludf.DUMMYFUNCTION("if(AND(AA23=FALSE,AB23=FALSE),,if(AA23=AB23,JOIN("""",""Static: "",AA23),JOIN("""",""Min:  "",AA23, CHAR(10),""Max: "",AB23)))"),"")</f>
        <v/>
      </c>
      <c r="AA23" s="55" t="str">
        <f t="array" ref="AA23">_xlfn.XLOOKUP(B23,'Up Min'!A:A,'Up Min'!G:G,)</f>
        <v/>
      </c>
      <c r="AB23" s="55" t="str">
        <f t="array" ref="AB23">_xlfn.XLOOKUP(B23,'Up Max'!A:A,'Up Max'!G:G,)</f>
        <v/>
      </c>
      <c r="AC23" s="57" t="str">
        <f t="array" ref="AC23">_xlfn.XLOOKUP(B23,'Up Stats'!A:A,'Up Stats'!H:H,)</f>
        <v/>
      </c>
      <c r="AD23" s="54" t="str">
        <f>IFERROR(__xludf.DUMMYFUNCTION("if(AND(AE23=FALSE,AF23=FALSE),,if(AE23=AF23,JOIN("""",""Static: "",AE23),JOIN("""",""Min:  "",AE23, CHAR(10),""Max: "",AF23)))"),"")</f>
        <v/>
      </c>
      <c r="AE23" s="55" t="str">
        <f t="array" ref="AE23">_xlfn.XLOOKUP(B23,'Up Min'!A:A,'Up Min'!H:H,)</f>
        <v/>
      </c>
      <c r="AF23" s="55" t="str">
        <f t="array" ref="AF23">_xlfn.XLOOKUP(B23,'Up Max'!A:A,'Up Max'!H:H,)</f>
        <v/>
      </c>
      <c r="AG23" s="57" t="str">
        <f t="array" ref="AG23">_xlfn.XLOOKUP(B23,'Up Stats'!A:A,'Up Stats'!I:I,)</f>
        <v/>
      </c>
      <c r="AH23" s="54" t="str">
        <f>IFERROR(__xludf.DUMMYFUNCTION("if(AND(AI23=FALSE,AJ23=FALSE),,if(AI23=AJ23,JOIN("""",""Static: "",AI23),JOIN("""",""Min:  "",AI23, CHAR(10),""Max: "",AJ23)))"),"")</f>
        <v/>
      </c>
      <c r="AI23" s="55" t="str">
        <f t="array" ref="AI23">_xlfn.XLOOKUP(B23,'Up Min'!A:A,'Up Min'!I:I,)</f>
        <v/>
      </c>
      <c r="AJ23" s="55" t="str">
        <f t="array" ref="AJ23">_xlfn.XLOOKUP(B23,'Up Max'!A:A,'Up Max'!I:I,)</f>
        <v/>
      </c>
      <c r="AK23" s="57" t="str">
        <f t="array" ref="AK23">_xlfn.XLOOKUP(B23,'Up Stats'!A:A,'Up Stats'!J:J,)</f>
        <v/>
      </c>
      <c r="AL23" s="54" t="str">
        <f>IFERROR(__xludf.DUMMYFUNCTION("if(AND(AM23=FALSE,AN23=FALSE),,if(AM23=AN23,JOIN("""",""Static: "",AM23),JOIN("""",""Min:  "",AM23, CHAR(10),""Max: "",AN23)))"),"")</f>
        <v/>
      </c>
      <c r="AM23" s="55" t="str">
        <f t="array" ref="AM23">_xlfn.XLOOKUP(B23,'Up Min'!A:A,'Up Min'!J:J,)</f>
        <v/>
      </c>
      <c r="AN23" s="55" t="str">
        <f t="array" ref="AN23">_xlfn.XLOOKUP(B23,'Up Max'!A:A,'Up Max'!J:J,)</f>
        <v/>
      </c>
      <c r="AO23" s="51" t="str">
        <f t="array" ref="AO23">CONCATENATE(_xlfn.XLOOKUP(B23,'Up Cells'!A:A,'Up Cells'!B:B,))</f>
        <v>6</v>
      </c>
      <c r="AP23" s="51" t="str">
        <f t="array" ref="AP23">CONCATENATE(_xlfn.XLOOKUP(B23,'Up Rarity'!A:A,'Up Rarity'!B:B,),CHAR(10),"-")</f>
        <v>Rare
-</v>
      </c>
    </row>
    <row r="24">
      <c r="A24" s="83" t="str">
        <f t="array" ref="A24">_xlfn.XLOOKUP(B24,'Up Icon'!A:A,'Up Icon'!B:B,)</f>
        <v/>
      </c>
      <c r="B24" s="89" t="str">
        <f t="array" ref="B24">HYPERLINK(_xlfn.XLOOKUP('Up Names'!E21,'Up Wiki'!A:A,'Up Wiki'!B:B,),'Up Names'!E21)</f>
        <v>Fresh Bullet Frenzy</v>
      </c>
      <c r="C24" s="37" t="str">
        <f t="array" ref="C24">_xlfn.XLOOKUP(B24,'Up Desc'!A:A,'Up Desc'!B:B,)</f>
        <v>Reloading briefly increases your damage.</v>
      </c>
      <c r="D24" s="37" t="str">
        <f t="array" ref="D24">_xlfn.XLOOKUP(B24,'Up Turbo'!A:A,'Up Turbo'!B:B,)</f>
        <v>n/a</v>
      </c>
      <c r="E24" s="39" t="str">
        <f t="array" ref="E24">_xlfn.XLOOKUP(B24,'Up Stats'!A:A,'Up Stats'!B:B,)</f>
        <v>Damage</v>
      </c>
      <c r="F24" s="40" t="str">
        <f>IFERROR(__xludf.DUMMYFUNCTION("if(AND(G24=FALSE,H24=FALSE),,if(G24=H24,JOIN("""",""Static: "",G24),JOIN("""",""Min:  "",G24, CHAR(10),""Max: "",H24)))"),"Min:  15
Max: 24")</f>
        <v>Min:  15
Max: 24</v>
      </c>
      <c r="G24" s="69">
        <f t="array" ref="G24">_xlfn.XLOOKUP(B24,'Up Min'!A:A,'Up Min'!B:B,)</f>
        <v>15</v>
      </c>
      <c r="H24" s="68">
        <f t="array" ref="H24">_xlfn.XLOOKUP(B24,'Up Max'!A:A,'Up Max'!B:B,)</f>
        <v>24</v>
      </c>
      <c r="I24" s="39" t="str">
        <f t="array" ref="I24">_xlfn.XLOOKUP(B24,'Up Stats'!A:A,'Up Stats'!C:C,)</f>
        <v>Duration</v>
      </c>
      <c r="J24" s="40" t="str">
        <f>IFERROR(__xludf.DUMMYFUNCTION("if(AND(K24=FALSE,L24=FALSE),,if(K24=L24,JOIN("""",""Static: "",K24),JOIN("""",""Min:  "",K24, CHAR(10),""Max: "",L24)))"),"Min:  1.5
Max: 3")</f>
        <v>Min:  1.5
Max: 3</v>
      </c>
      <c r="K24" s="69">
        <f t="array" ref="K24">_xlfn.XLOOKUP(B24,'Up Min'!A:A,'Up Min'!C:C,)</f>
        <v>1.5</v>
      </c>
      <c r="L24" s="69">
        <f t="array" ref="L24">_xlfn.XLOOKUP(B24,'Up Max'!A:A,'Up Max'!C:C,)</f>
        <v>3</v>
      </c>
      <c r="M24" s="39" t="str">
        <f t="array" ref="M24">_xlfn.XLOOKUP(B24,'Up Stats'!A:A,'Up Stats'!D:D,)</f>
        <v/>
      </c>
      <c r="N24" s="40" t="str">
        <f>IFERROR(__xludf.DUMMYFUNCTION("if(AND(O24=FALSE,P24=FALSE),,if(O24=P24,JOIN("""",""Static: "",O24),JOIN("""",""Min:  "",O24, CHAR(10),""Max: "",P24)))"),"")</f>
        <v/>
      </c>
      <c r="O24" s="42" t="str">
        <f t="array" ref="O24">_xlfn.XLOOKUP(B24,'Up Min'!A:A,'Up Min'!D:D,)</f>
        <v/>
      </c>
      <c r="P24" s="42" t="str">
        <f t="array" ref="P24">_xlfn.XLOOKUP(B24,'Up Max'!A:A,'Up Max'!D:D,)</f>
        <v/>
      </c>
      <c r="Q24" s="48" t="str">
        <f t="array" ref="Q24">_xlfn.XLOOKUP(B24,'Up Stats'!A:A,'Up Stats'!E:E,)</f>
        <v/>
      </c>
      <c r="R24" s="40" t="str">
        <f>IFERROR(__xludf.DUMMYFUNCTION("if(AND(S24=FALSE,T24=FALSE),,if(S24=T24,JOIN("""",""Static: "",S24),JOIN("""",""Min:  "",S24, CHAR(10),""Max: "",T24)))"),"")</f>
        <v/>
      </c>
      <c r="S24" s="42" t="str">
        <f t="array" ref="S24">_xlfn.XLOOKUP(B24,'Up Min'!A:A,'Up Min'!E:E,)</f>
        <v/>
      </c>
      <c r="T24" s="42" t="str">
        <f t="array" ref="T24">_xlfn.XLOOKUP(B24,'Up Max'!A:A,'Up Max'!E:E,)</f>
        <v/>
      </c>
      <c r="U24" s="48" t="str">
        <f t="array" ref="U24">_xlfn.XLOOKUP(B24,'Up Stats'!A:A,'Up Stats'!F:F,)</f>
        <v/>
      </c>
      <c r="V24" s="40" t="str">
        <f>IFERROR(__xludf.DUMMYFUNCTION("if(AND(W24=FALSE,X24=FALSE),,if(W24=X24,JOIN("""",""Static: "",W24),JOIN("""",""Min:  "",W24, CHAR(10),""Max: "",X24)))"),"")</f>
        <v/>
      </c>
      <c r="W24" s="42" t="str">
        <f t="array" ref="W24">_xlfn.XLOOKUP(B24,'Up Min'!A:A,'Up Min'!F:F,)</f>
        <v/>
      </c>
      <c r="X24" s="42" t="str">
        <f t="array" ref="X24">_xlfn.XLOOKUP(B24,'Up Max'!A:A,'Up Max'!F:F,)</f>
        <v/>
      </c>
      <c r="Y24" s="48" t="str">
        <f t="array" ref="Y24">_xlfn.XLOOKUP(B24,'Up Stats'!A:A,'Up Stats'!G:G,)</f>
        <v/>
      </c>
      <c r="Z24" s="40" t="str">
        <f>IFERROR(__xludf.DUMMYFUNCTION("if(AND(AA24=FALSE,AB24=FALSE),,if(AA24=AB24,JOIN("""",""Static: "",AA24),JOIN("""",""Min:  "",AA24, CHAR(10),""Max: "",AB24)))"),"")</f>
        <v/>
      </c>
      <c r="AA24" s="42" t="str">
        <f t="array" ref="AA24">_xlfn.XLOOKUP(B24,'Up Min'!A:A,'Up Min'!G:G,)</f>
        <v/>
      </c>
      <c r="AB24" s="42" t="str">
        <f t="array" ref="AB24">_xlfn.XLOOKUP(B24,'Up Max'!A:A,'Up Max'!G:G,)</f>
        <v/>
      </c>
      <c r="AC24" s="48" t="str">
        <f t="array" ref="AC24">_xlfn.XLOOKUP(B24,'Up Stats'!A:A,'Up Stats'!H:H,)</f>
        <v/>
      </c>
      <c r="AD24" s="40" t="str">
        <f>IFERROR(__xludf.DUMMYFUNCTION("if(AND(AE24=FALSE,AF24=FALSE),,if(AE24=AF24,JOIN("""",""Static: "",AE24),JOIN("""",""Min:  "",AE24, CHAR(10),""Max: "",AF24)))"),"")</f>
        <v/>
      </c>
      <c r="AE24" s="42" t="str">
        <f t="array" ref="AE24">_xlfn.XLOOKUP(B24,'Up Min'!A:A,'Up Min'!H:H,)</f>
        <v/>
      </c>
      <c r="AF24" s="42" t="str">
        <f t="array" ref="AF24">_xlfn.XLOOKUP(B24,'Up Max'!A:A,'Up Max'!H:H,)</f>
        <v/>
      </c>
      <c r="AG24" s="48" t="str">
        <f t="array" ref="AG24">_xlfn.XLOOKUP(B24,'Up Stats'!A:A,'Up Stats'!I:I,)</f>
        <v/>
      </c>
      <c r="AH24" s="40" t="str">
        <f>IFERROR(__xludf.DUMMYFUNCTION("if(AND(AI24=FALSE,AJ24=FALSE),,if(AI24=AJ24,JOIN("""",""Static: "",AI24),JOIN("""",""Min:  "",AI24, CHAR(10),""Max: "",AJ24)))"),"")</f>
        <v/>
      </c>
      <c r="AI24" s="42" t="str">
        <f t="array" ref="AI24">_xlfn.XLOOKUP(B24,'Up Min'!A:A,'Up Min'!I:I,)</f>
        <v/>
      </c>
      <c r="AJ24" s="42" t="str">
        <f t="array" ref="AJ24">_xlfn.XLOOKUP(B24,'Up Max'!A:A,'Up Max'!I:I,)</f>
        <v/>
      </c>
      <c r="AK24" s="48" t="str">
        <f t="array" ref="AK24">_xlfn.XLOOKUP(B24,'Up Stats'!A:A,'Up Stats'!J:J,)</f>
        <v/>
      </c>
      <c r="AL24" s="40" t="str">
        <f>IFERROR(__xludf.DUMMYFUNCTION("if(AND(AM24=FALSE,AN24=FALSE),,if(AM24=AN24,JOIN("""",""Static: "",AM24),JOIN("""",""Min:  "",AM24, CHAR(10),""Max: "",AN24)))"),"")</f>
        <v/>
      </c>
      <c r="AM24" s="42" t="str">
        <f t="array" ref="AM24">_xlfn.XLOOKUP(B24,'Up Min'!A:A,'Up Min'!J:J,)</f>
        <v/>
      </c>
      <c r="AN24" s="42" t="str">
        <f t="array" ref="AN24">_xlfn.XLOOKUP(B24,'Up Max'!A:A,'Up Max'!J:J,)</f>
        <v/>
      </c>
      <c r="AO24" s="34" t="str">
        <f t="array" ref="AO24">CONCATENATE(_xlfn.XLOOKUP(B24,'Up Cells'!A:A,'Up Cells'!B:B,))</f>
        <v>4</v>
      </c>
      <c r="AP24" s="34" t="str">
        <f t="array" ref="AP24">CONCATENATE(_xlfn.XLOOKUP(B24,'Up Rarity'!A:A,'Up Rarity'!B:B,),CHAR(10),"-")</f>
        <v>Rare
-</v>
      </c>
    </row>
    <row r="25">
      <c r="A25" s="83" t="str">
        <f t="array" ref="A25">_xlfn.XLOOKUP(B25,'Up Icon'!A:A,'Up Icon'!B:B,)</f>
        <v/>
      </c>
      <c r="B25" s="88" t="str">
        <f t="array" ref="B25">HYPERLINK(_xlfn.XLOOKUP('Up Names'!E22,'Up Wiki'!A:A,'Up Wiki'!B:B,),'Up Names'!E22)</f>
        <v>High Caliber</v>
      </c>
      <c r="C25" s="52" t="str">
        <f t="array" ref="C25">_xlfn.XLOOKUP(B25,'Up Desc'!A:A,'Up Desc'!B:B,)</f>
        <v>Damage is increased, but max fire rate is decreased.</v>
      </c>
      <c r="D25" s="52" t="str">
        <f t="array" ref="D25">_xlfn.XLOOKUP(B25,'Up Turbo'!A:A,'Up Turbo'!B:B,)</f>
        <v>n/a</v>
      </c>
      <c r="E25" s="53" t="str">
        <f t="array" ref="E25">_xlfn.XLOOKUP(B25,'Up Stats'!A:A,'Up Stats'!B:B,)</f>
        <v>Damage</v>
      </c>
      <c r="F25" s="54" t="str">
        <f>IFERROR(__xludf.DUMMYFUNCTION("if(AND(G25=FALSE,H25=FALSE),,if(G25=H25,JOIN("""",""Static: "",G25),JOIN("""",""Min:  "",G25, CHAR(10),""Max: "",H25)))"),"Min:  23.25%
Max: 31.75%")</f>
        <v>Min:  23.25%
Max: 31.75%</v>
      </c>
      <c r="G25" s="71">
        <f t="array" ref="G25">_xlfn.XLOOKUP(B25,'Up Min'!A:A,'Up Min'!B:B,)</f>
        <v>0.2325</v>
      </c>
      <c r="H25" s="71">
        <f t="array" ref="H25">_xlfn.XLOOKUP(B25,'Up Max'!A:A,'Up Max'!B:B,)</f>
        <v>0.3175</v>
      </c>
      <c r="I25" s="53" t="str">
        <f t="array" ref="I25">_xlfn.XLOOKUP(B25,'Up Stats'!A:A,'Up Stats'!C:C,)</f>
        <v>Fire Rate</v>
      </c>
      <c r="J25" s="54" t="str">
        <f>IFERROR(__xludf.DUMMYFUNCTION("if(AND(K25=FALSE,L25=FALSE),,if(K25=L25,JOIN("""",""Static: "",K25),JOIN("""",""Min:  "",K25, CHAR(10),""Max: "",L25)))"),"Min:  -55.75%
Max: -60.63%")</f>
        <v>Min:  -55.75%
Max: -60.63%</v>
      </c>
      <c r="K25" s="71">
        <f t="array" ref="K25">_xlfn.XLOOKUP(B25,'Up Min'!A:A,'Up Min'!C:C,)</f>
        <v>-0.5575</v>
      </c>
      <c r="L25" s="71">
        <f t="array" ref="L25">_xlfn.XLOOKUP(B25,'Up Max'!A:A,'Up Max'!C:C,)</f>
        <v>-0.6063</v>
      </c>
      <c r="M25" s="53" t="str">
        <f t="array" ref="M25">_xlfn.XLOOKUP(B25,'Up Stats'!A:A,'Up Stats'!D:D,)</f>
        <v/>
      </c>
      <c r="N25" s="54" t="str">
        <f>IFERROR(__xludf.DUMMYFUNCTION("if(AND(O25=FALSE,P25=FALSE),,if(O25=P25,JOIN("""",""Static: "",O25),JOIN("""",""Min:  "",O25, CHAR(10),""Max: "",P25)))"),"")</f>
        <v/>
      </c>
      <c r="O25" s="55" t="str">
        <f t="array" ref="O25">_xlfn.XLOOKUP(B25,'Up Min'!A:A,'Up Min'!D:D,)</f>
        <v/>
      </c>
      <c r="P25" s="55" t="str">
        <f t="array" ref="P25">_xlfn.XLOOKUP(B25,'Up Max'!A:A,'Up Max'!D:D,)</f>
        <v/>
      </c>
      <c r="Q25" s="57" t="str">
        <f t="array" ref="Q25">_xlfn.XLOOKUP(B25,'Up Stats'!A:A,'Up Stats'!E:E,)</f>
        <v/>
      </c>
      <c r="R25" s="54" t="str">
        <f>IFERROR(__xludf.DUMMYFUNCTION("if(AND(S25=FALSE,T25=FALSE),,if(S25=T25,JOIN("""",""Static: "",S25),JOIN("""",""Min:  "",S25, CHAR(10),""Max: "",T25)))"),"")</f>
        <v/>
      </c>
      <c r="S25" s="55" t="str">
        <f t="array" ref="S25">_xlfn.XLOOKUP(B25,'Up Min'!A:A,'Up Min'!E:E,)</f>
        <v/>
      </c>
      <c r="T25" s="55" t="str">
        <f t="array" ref="T25">_xlfn.XLOOKUP(B25,'Up Max'!A:A,'Up Max'!E:E,)</f>
        <v/>
      </c>
      <c r="U25" s="57" t="str">
        <f t="array" ref="U25">_xlfn.XLOOKUP(B25,'Up Stats'!A:A,'Up Stats'!F:F,)</f>
        <v/>
      </c>
      <c r="V25" s="54" t="str">
        <f>IFERROR(__xludf.DUMMYFUNCTION("if(AND(W25=FALSE,X25=FALSE),,if(W25=X25,JOIN("""",""Static: "",W25),JOIN("""",""Min:  "",W25, CHAR(10),""Max: "",X25)))"),"")</f>
        <v/>
      </c>
      <c r="W25" s="55" t="str">
        <f t="array" ref="W25">_xlfn.XLOOKUP(B25,'Up Min'!A:A,'Up Min'!F:F,)</f>
        <v/>
      </c>
      <c r="X25" s="55" t="str">
        <f t="array" ref="X25">_xlfn.XLOOKUP(B25,'Up Max'!A:A,'Up Max'!F:F,)</f>
        <v/>
      </c>
      <c r="Y25" s="57" t="str">
        <f t="array" ref="Y25">_xlfn.XLOOKUP(B25,'Up Stats'!A:A,'Up Stats'!G:G,)</f>
        <v/>
      </c>
      <c r="Z25" s="54" t="str">
        <f>IFERROR(__xludf.DUMMYFUNCTION("if(AND(AA25=FALSE,AB25=FALSE),,if(AA25=AB25,JOIN("""",""Static: "",AA25),JOIN("""",""Min:  "",AA25, CHAR(10),""Max: "",AB25)))"),"")</f>
        <v/>
      </c>
      <c r="AA25" s="55" t="str">
        <f t="array" ref="AA25">_xlfn.XLOOKUP(B25,'Up Min'!A:A,'Up Min'!G:G,)</f>
        <v/>
      </c>
      <c r="AB25" s="55" t="str">
        <f t="array" ref="AB25">_xlfn.XLOOKUP(B25,'Up Max'!A:A,'Up Max'!G:G,)</f>
        <v/>
      </c>
      <c r="AC25" s="57" t="str">
        <f t="array" ref="AC25">_xlfn.XLOOKUP(B25,'Up Stats'!A:A,'Up Stats'!H:H,)</f>
        <v/>
      </c>
      <c r="AD25" s="54" t="str">
        <f>IFERROR(__xludf.DUMMYFUNCTION("if(AND(AE25=FALSE,AF25=FALSE),,if(AE25=AF25,JOIN("""",""Static: "",AE25),JOIN("""",""Min:  "",AE25, CHAR(10),""Max: "",AF25)))"),"")</f>
        <v/>
      </c>
      <c r="AE25" s="55" t="str">
        <f t="array" ref="AE25">_xlfn.XLOOKUP(B25,'Up Min'!A:A,'Up Min'!H:H,)</f>
        <v/>
      </c>
      <c r="AF25" s="55" t="str">
        <f t="array" ref="AF25">_xlfn.XLOOKUP(B25,'Up Max'!A:A,'Up Max'!H:H,)</f>
        <v/>
      </c>
      <c r="AG25" s="57" t="str">
        <f t="array" ref="AG25">_xlfn.XLOOKUP(B25,'Up Stats'!A:A,'Up Stats'!I:I,)</f>
        <v/>
      </c>
      <c r="AH25" s="54" t="str">
        <f>IFERROR(__xludf.DUMMYFUNCTION("if(AND(AI25=FALSE,AJ25=FALSE),,if(AI25=AJ25,JOIN("""",""Static: "",AI25),JOIN("""",""Min:  "",AI25, CHAR(10),""Max: "",AJ25)))"),"")</f>
        <v/>
      </c>
      <c r="AI25" s="55" t="str">
        <f t="array" ref="AI25">_xlfn.XLOOKUP(B25,'Up Min'!A:A,'Up Min'!I:I,)</f>
        <v/>
      </c>
      <c r="AJ25" s="55" t="str">
        <f t="array" ref="AJ25">_xlfn.XLOOKUP(B25,'Up Max'!A:A,'Up Max'!I:I,)</f>
        <v/>
      </c>
      <c r="AK25" s="57" t="str">
        <f t="array" ref="AK25">_xlfn.XLOOKUP(B25,'Up Stats'!A:A,'Up Stats'!J:J,)</f>
        <v/>
      </c>
      <c r="AL25" s="54" t="str">
        <f>IFERROR(__xludf.DUMMYFUNCTION("if(AND(AM25=FALSE,AN25=FALSE),,if(AM25=AN25,JOIN("""",""Static: "",AM25),JOIN("""",""Min:  "",AM25, CHAR(10),""Max: "",AN25)))"),"")</f>
        <v/>
      </c>
      <c r="AM25" s="55" t="str">
        <f t="array" ref="AM25">_xlfn.XLOOKUP(B25,'Up Min'!A:A,'Up Min'!J:J,)</f>
        <v/>
      </c>
      <c r="AN25" s="55" t="str">
        <f t="array" ref="AN25">_xlfn.XLOOKUP(B25,'Up Max'!A:A,'Up Max'!J:J,)</f>
        <v/>
      </c>
      <c r="AO25" s="51" t="str">
        <f t="array" ref="AO25">CONCATENATE(_xlfn.XLOOKUP(B25,'Up Cells'!A:A,'Up Cells'!B:B,))</f>
        <v>3</v>
      </c>
      <c r="AP25" s="51" t="str">
        <f t="array" ref="AP25">CONCATENATE(_xlfn.XLOOKUP(B25,'Up Rarity'!A:A,'Up Rarity'!B:B,),CHAR(10),"-")</f>
        <v>Rare
-</v>
      </c>
    </row>
    <row r="26">
      <c r="A26" s="83" t="str">
        <f t="array" ref="A26">_xlfn.XLOOKUP(B26,'Up Icon'!A:A,'Up Icon'!B:B,)</f>
        <v/>
      </c>
      <c r="B26" s="89" t="str">
        <f t="array" ref="B26">HYPERLINK(_xlfn.XLOOKUP('Up Names'!E23,'Up Wiki'!A:A,'Up Wiki'!B:B,),'Up Names'!E23)</f>
        <v>Home Cooking</v>
      </c>
      <c r="C26" s="37" t="str">
        <f t="array" ref="C26">_xlfn.XLOOKUP(B26,'Up Desc'!A:A,'Up Desc'!B:B,)</f>
        <v>Each bullet has a chance to deal extra damage, but also has a chance to damage you.</v>
      </c>
      <c r="D26" s="37" t="str">
        <f t="array" ref="D26">_xlfn.XLOOKUP(B26,'Up Turbo'!A:A,'Up Turbo'!B:B,)</f>
        <v>n/a</v>
      </c>
      <c r="E26" s="39" t="str">
        <f t="array" ref="E26">_xlfn.XLOOKUP(B26,'Up Stats'!A:A,'Up Stats'!B:B,)</f>
        <v>Increase Damage Chance</v>
      </c>
      <c r="F26" s="40" t="str">
        <f>IFERROR(__xludf.DUMMYFUNCTION("if(AND(G26=FALSE,H26=FALSE),,if(G26=H26,JOIN("""",""Static: "",G26),JOIN("""",""Min:  "",G26, CHAR(10),""Max: "",H26)))"),"Min:  39%
Max: 57%")</f>
        <v>Min:  39%
Max: 57%</v>
      </c>
      <c r="G26" s="41">
        <f t="array" ref="G26">_xlfn.XLOOKUP(B26,'Up Min'!A:A,'Up Min'!B:B,)</f>
        <v>0.39</v>
      </c>
      <c r="H26" s="41">
        <f t="array" ref="H26">_xlfn.XLOOKUP(B26,'Up Max'!A:A,'Up Max'!B:B,)</f>
        <v>0.57</v>
      </c>
      <c r="I26" s="39" t="str">
        <f t="array" ref="I26">_xlfn.XLOOKUP(B26,'Up Stats'!A:A,'Up Stats'!C:C,)</f>
        <v>Damage</v>
      </c>
      <c r="J26" s="40" t="str">
        <f>IFERROR(__xludf.DUMMYFUNCTION("if(AND(K26=FALSE,L26=FALSE),,if(K26=L26,JOIN("""",""Static: "",K26),JOIN("""",""Min:  "",K26, CHAR(10),""Max: "",L26)))"),"Min:  35%
Max: 50%")</f>
        <v>Min:  35%
Max: 50%</v>
      </c>
      <c r="K26" s="41">
        <f t="array" ref="K26">_xlfn.XLOOKUP(B26,'Up Min'!A:A,'Up Min'!C:C,)</f>
        <v>0.35</v>
      </c>
      <c r="L26" s="41">
        <f t="array" ref="L26">_xlfn.XLOOKUP(B26,'Up Max'!A:A,'Up Max'!C:C,)</f>
        <v>0.5</v>
      </c>
      <c r="M26" s="39" t="str">
        <f t="array" ref="M26">_xlfn.XLOOKUP(B26,'Up Stats'!A:A,'Up Stats'!D:D,)</f>
        <v>Damage Self Chance</v>
      </c>
      <c r="N26" s="40" t="str">
        <f>IFERROR(__xludf.DUMMYFUNCTION("if(AND(O26=FALSE,P26=FALSE),,if(O26=P26,JOIN("""",""Static: "",O26),JOIN("""",""Min:  "",O26, CHAR(10),""Max: "",P26)))"),"Min:  8%
Max: 12%")</f>
        <v>Min:  8%
Max: 12%</v>
      </c>
      <c r="O26" s="41">
        <f t="array" ref="O26">_xlfn.XLOOKUP(B26,'Up Min'!A:A,'Up Min'!D:D,)</f>
        <v>0.08</v>
      </c>
      <c r="P26" s="41">
        <f t="array" ref="P26">_xlfn.XLOOKUP(B26,'Up Max'!A:A,'Up Max'!D:D,)</f>
        <v>0.12</v>
      </c>
      <c r="Q26" s="48" t="str">
        <f t="array" ref="Q26">_xlfn.XLOOKUP(B26,'Up Stats'!A:A,'Up Stats'!E:E,)</f>
        <v>Damage Taken</v>
      </c>
      <c r="R26" s="40" t="str">
        <f>IFERROR(__xludf.DUMMYFUNCTION("if(AND(S26=FALSE,T26=FALSE),,if(S26=T26,JOIN("""",""Static: "",S26),JOIN("""",""Min:  "",S26, CHAR(10),""Max: "",T26)))"),"Min:  2.5
Max: 3.35")</f>
        <v>Min:  2.5
Max: 3.35</v>
      </c>
      <c r="S26" s="68">
        <f t="array" ref="S26">_xlfn.XLOOKUP(B26,'Up Min'!A:A,'Up Min'!E:E,)</f>
        <v>2.5</v>
      </c>
      <c r="T26" s="68">
        <f t="array" ref="T26">_xlfn.XLOOKUP(B26,'Up Max'!A:A,'Up Max'!E:E,)</f>
        <v>3.35</v>
      </c>
      <c r="U26" s="48" t="str">
        <f t="array" ref="U26">_xlfn.XLOOKUP(B26,'Up Stats'!A:A,'Up Stats'!F:F,)</f>
        <v/>
      </c>
      <c r="V26" s="40" t="str">
        <f>IFERROR(__xludf.DUMMYFUNCTION("if(AND(W26=FALSE,X26=FALSE),,if(W26=X26,JOIN("""",""Static: "",W26),JOIN("""",""Min:  "",W26, CHAR(10),""Max: "",X26)))"),"")</f>
        <v/>
      </c>
      <c r="W26" s="45" t="str">
        <f t="array" ref="W26">_xlfn.XLOOKUP(B26,'Up Min'!A:A,'Up Min'!F:F,)</f>
        <v/>
      </c>
      <c r="X26" s="45" t="str">
        <f t="array" ref="X26">_xlfn.XLOOKUP(B26,'Up Max'!A:A,'Up Max'!F:F,)</f>
        <v/>
      </c>
      <c r="Y26" s="39" t="str">
        <f t="array" ref="Y26">_xlfn.XLOOKUP(B26,'Up Stats'!A:A,'Up Stats'!G:G,)</f>
        <v/>
      </c>
      <c r="Z26" s="40" t="str">
        <f>IFERROR(__xludf.DUMMYFUNCTION("if(AND(AA26=FALSE,AB26=FALSE),,if(AA26=AB26,JOIN("""",""Static: "",AA26),JOIN("""",""Min:  "",AA26, CHAR(10),""Max: "",AB26)))"),"")</f>
        <v/>
      </c>
      <c r="AA26" s="45" t="str">
        <f t="array" ref="AA26">_xlfn.XLOOKUP(B26,'Up Min'!A:A,'Up Min'!G:G,)</f>
        <v/>
      </c>
      <c r="AB26" s="45" t="str">
        <f t="array" ref="AB26">_xlfn.XLOOKUP(B26,'Up Max'!A:A,'Up Max'!G:G,)</f>
        <v/>
      </c>
      <c r="AC26" s="39" t="str">
        <f t="array" ref="AC26">_xlfn.XLOOKUP(B26,'Up Stats'!A:A,'Up Stats'!H:H,)</f>
        <v/>
      </c>
      <c r="AD26" s="40" t="str">
        <f>IFERROR(__xludf.DUMMYFUNCTION("if(AND(AE26=FALSE,AF26=FALSE),,if(AE26=AF26,JOIN("""",""Static: "",AE26),JOIN("""",""Min:  "",AE26, CHAR(10),""Max: "",AF26)))"),"")</f>
        <v/>
      </c>
      <c r="AE26" s="45" t="str">
        <f t="array" ref="AE26">_xlfn.XLOOKUP(B26,'Up Min'!A:A,'Up Min'!H:H,)</f>
        <v/>
      </c>
      <c r="AF26" s="45" t="str">
        <f t="array" ref="AF26">_xlfn.XLOOKUP(B26,'Up Max'!A:A,'Up Max'!H:H,)</f>
        <v/>
      </c>
      <c r="AG26" s="39" t="str">
        <f t="array" ref="AG26">_xlfn.XLOOKUP(B26,'Up Stats'!A:A,'Up Stats'!I:I,)</f>
        <v/>
      </c>
      <c r="AH26" s="40" t="str">
        <f>IFERROR(__xludf.DUMMYFUNCTION("if(AND(AI26=FALSE,AJ26=FALSE),,if(AI26=AJ26,JOIN("""",""Static: "",AI26),JOIN("""",""Min:  "",AI26, CHAR(10),""Max: "",AJ26)))"),"")</f>
        <v/>
      </c>
      <c r="AI26" s="45" t="str">
        <f t="array" ref="AI26">_xlfn.XLOOKUP(B26,'Up Min'!A:A,'Up Min'!I:I,)</f>
        <v/>
      </c>
      <c r="AJ26" s="45" t="str">
        <f t="array" ref="AJ26">_xlfn.XLOOKUP(B26,'Up Max'!A:A,'Up Max'!I:I,)</f>
        <v/>
      </c>
      <c r="AK26" s="39" t="str">
        <f t="array" ref="AK26">_xlfn.XLOOKUP(B26,'Up Stats'!A:A,'Up Stats'!J:J,)</f>
        <v/>
      </c>
      <c r="AL26" s="40" t="str">
        <f>IFERROR(__xludf.DUMMYFUNCTION("if(AND(AM26=FALSE,AN26=FALSE),,if(AM26=AN26,JOIN("""",""Static: "",AM26),JOIN("""",""Min:  "",AM26, CHAR(10),""Max: "",AN26)))"),"")</f>
        <v/>
      </c>
      <c r="AM26" s="45" t="str">
        <f t="array" ref="AM26">_xlfn.XLOOKUP(B26,'Up Min'!A:A,'Up Min'!J:J,)</f>
        <v/>
      </c>
      <c r="AN26" s="45" t="str">
        <f t="array" ref="AN26">_xlfn.XLOOKUP(B26,'Up Max'!A:A,'Up Max'!J:J,)</f>
        <v/>
      </c>
      <c r="AO26" s="34" t="str">
        <f t="array" ref="AO26">CONCATENATE(_xlfn.XLOOKUP(B26,'Up Cells'!A:A,'Up Cells'!B:B,))</f>
        <v>3</v>
      </c>
      <c r="AP26" s="34" t="str">
        <f t="array" ref="AP26">CONCATENATE(_xlfn.XLOOKUP(B26,'Up Rarity'!A:A,'Up Rarity'!B:B,),CHAR(10),"-")</f>
        <v>Rare
-</v>
      </c>
    </row>
    <row r="27">
      <c r="A27" s="83" t="str">
        <f t="array" ref="A27">_xlfn.XLOOKUP(B27,'Up Icon'!A:A,'Up Icon'!B:B,)</f>
        <v/>
      </c>
      <c r="B27" s="88" t="str">
        <f t="array" ref="B27">HYPERLINK(_xlfn.XLOOKUP('Up Names'!E24,'Up Wiki'!A:A,'Up Wiki'!B:B,),'Up Names'!E24)</f>
        <v>Just Add More Gunpowder</v>
      </c>
      <c r="C27" s="52" t="str">
        <f t="array" ref="C27">_xlfn.XLOOKUP(B27,'Up Desc'!A:A,'Up Desc'!B:B,)</f>
        <v>Damage is increased, but so is recoil.</v>
      </c>
      <c r="D27" s="52" t="str">
        <f t="array" ref="D27">_xlfn.XLOOKUP(B27,'Up Turbo'!A:A,'Up Turbo'!B:B,)</f>
        <v>n/a</v>
      </c>
      <c r="E27" s="53" t="str">
        <f t="array" ref="E27">_xlfn.XLOOKUP(B27,'Up Stats'!A:A,'Up Stats'!B:B,)</f>
        <v>Damage</v>
      </c>
      <c r="F27" s="54" t="str">
        <f>IFERROR(__xludf.DUMMYFUNCTION("if(AND(G27=FALSE,H27=FALSE),,if(G27=H27,JOIN("""",""Static: "",G27),JOIN("""",""Min:  "",G27, CHAR(10),""Max: "",H27)))"),"Min:  13%
Max: 17.40%")</f>
        <v>Min:  13%
Max: 17.40%</v>
      </c>
      <c r="G27" s="59">
        <f t="array" ref="G27">_xlfn.XLOOKUP(B27,'Up Min'!A:A,'Up Min'!B:B,)</f>
        <v>0.13</v>
      </c>
      <c r="H27" s="71">
        <f t="array" ref="H27">_xlfn.XLOOKUP(B27,'Up Max'!A:A,'Up Max'!B:B,)</f>
        <v>0.174</v>
      </c>
      <c r="I27" s="53" t="str">
        <f t="array" ref="I27">_xlfn.XLOOKUP(B27,'Up Stats'!A:A,'Up Stats'!C:C,)</f>
        <v>Vertical Recoil</v>
      </c>
      <c r="J27" s="54" t="str">
        <f>IFERROR(__xludf.DUMMYFUNCTION("if(AND(K27=FALSE,L27=FALSE),,if(K27=L27,JOIN("""",""Static: "",K27),JOIN("""",""Min:  "",K27, CHAR(10),""Max: "",L27)))"),"Min:  126%
Max: 150%")</f>
        <v>Min:  126%
Max: 150%</v>
      </c>
      <c r="K27" s="59">
        <f t="array" ref="K27">_xlfn.XLOOKUP(B27,'Up Min'!A:A,'Up Min'!C:C,)</f>
        <v>1.26</v>
      </c>
      <c r="L27" s="59">
        <f t="array" ref="L27">_xlfn.XLOOKUP(B27,'Up Max'!A:A,'Up Max'!C:C,)</f>
        <v>1.5</v>
      </c>
      <c r="M27" s="53" t="str">
        <f t="array" ref="M27">_xlfn.XLOOKUP(B27,'Up Stats'!A:A,'Up Stats'!D:D,)</f>
        <v/>
      </c>
      <c r="N27" s="54" t="str">
        <f>IFERROR(__xludf.DUMMYFUNCTION("if(AND(O27=FALSE,P27=FALSE),,if(O27=P27,JOIN("""",""Static: "",O27),JOIN("""",""Min:  "",O27, CHAR(10),""Max: "",P27)))"),"")</f>
        <v/>
      </c>
      <c r="O27" s="55" t="str">
        <f t="array" ref="O27">_xlfn.XLOOKUP(B27,'Up Min'!A:A,'Up Min'!D:D,)</f>
        <v/>
      </c>
      <c r="P27" s="55" t="str">
        <f t="array" ref="P27">_xlfn.XLOOKUP(B27,'Up Max'!A:A,'Up Max'!D:D,)</f>
        <v/>
      </c>
      <c r="Q27" s="57" t="str">
        <f t="array" ref="Q27">_xlfn.XLOOKUP(B27,'Up Stats'!A:A,'Up Stats'!E:E,)</f>
        <v/>
      </c>
      <c r="R27" s="54" t="str">
        <f>IFERROR(__xludf.DUMMYFUNCTION("if(AND(S27=FALSE,T27=FALSE),,if(S27=T27,JOIN("""",""Static: "",S27),JOIN("""",""Min:  "",S27, CHAR(10),""Max: "",T27)))"),"")</f>
        <v/>
      </c>
      <c r="S27" s="55" t="str">
        <f t="array" ref="S27">_xlfn.XLOOKUP(B27,'Up Min'!A:A,'Up Min'!E:E,)</f>
        <v/>
      </c>
      <c r="T27" s="55" t="str">
        <f t="array" ref="T27">_xlfn.XLOOKUP(B27,'Up Max'!A:A,'Up Max'!E:E,)</f>
        <v/>
      </c>
      <c r="U27" s="57" t="str">
        <f t="array" ref="U27">_xlfn.XLOOKUP(B27,'Up Stats'!A:A,'Up Stats'!F:F,)</f>
        <v/>
      </c>
      <c r="V27" s="54" t="str">
        <f>IFERROR(__xludf.DUMMYFUNCTION("if(AND(W27=FALSE,X27=FALSE),,if(W27=X27,JOIN("""",""Static: "",W27),JOIN("""",""Min:  "",W27, CHAR(10),""Max: "",X27)))"),"")</f>
        <v/>
      </c>
      <c r="W27" s="55" t="str">
        <f t="array" ref="W27">_xlfn.XLOOKUP(B27,'Up Min'!A:A,'Up Min'!F:F,)</f>
        <v/>
      </c>
      <c r="X27" s="55" t="str">
        <f t="array" ref="X27">_xlfn.XLOOKUP(B27,'Up Max'!A:A,'Up Max'!F:F,)</f>
        <v/>
      </c>
      <c r="Y27" s="57" t="str">
        <f t="array" ref="Y27">_xlfn.XLOOKUP(B27,'Up Stats'!A:A,'Up Stats'!G:G,)</f>
        <v/>
      </c>
      <c r="Z27" s="54" t="str">
        <f>IFERROR(__xludf.DUMMYFUNCTION("if(AND(AA27=FALSE,AB27=FALSE),,if(AA27=AB27,JOIN("""",""Static: "",AA27),JOIN("""",""Min:  "",AA27, CHAR(10),""Max: "",AB27)))"),"")</f>
        <v/>
      </c>
      <c r="AA27" s="55" t="str">
        <f t="array" ref="AA27">_xlfn.XLOOKUP(B27,'Up Min'!A:A,'Up Min'!G:G,)</f>
        <v/>
      </c>
      <c r="AB27" s="55" t="str">
        <f t="array" ref="AB27">_xlfn.XLOOKUP(B27,'Up Max'!A:A,'Up Max'!G:G,)</f>
        <v/>
      </c>
      <c r="AC27" s="57" t="str">
        <f t="array" ref="AC27">_xlfn.XLOOKUP(B27,'Up Stats'!A:A,'Up Stats'!H:H,)</f>
        <v/>
      </c>
      <c r="AD27" s="54" t="str">
        <f>IFERROR(__xludf.DUMMYFUNCTION("if(AND(AE27=FALSE,AF27=FALSE),,if(AE27=AF27,JOIN("""",""Static: "",AE27),JOIN("""",""Min:  "",AE27, CHAR(10),""Max: "",AF27)))"),"")</f>
        <v/>
      </c>
      <c r="AE27" s="55" t="str">
        <f t="array" ref="AE27">_xlfn.XLOOKUP(B27,'Up Min'!A:A,'Up Min'!H:H,)</f>
        <v/>
      </c>
      <c r="AF27" s="55" t="str">
        <f t="array" ref="AF27">_xlfn.XLOOKUP(B27,'Up Max'!A:A,'Up Max'!H:H,)</f>
        <v/>
      </c>
      <c r="AG27" s="57" t="str">
        <f t="array" ref="AG27">_xlfn.XLOOKUP(B27,'Up Stats'!A:A,'Up Stats'!I:I,)</f>
        <v/>
      </c>
      <c r="AH27" s="54" t="str">
        <f>IFERROR(__xludf.DUMMYFUNCTION("if(AND(AI27=FALSE,AJ27=FALSE),,if(AI27=AJ27,JOIN("""",""Static: "",AI27),JOIN("""",""Min:  "",AI27, CHAR(10),""Max: "",AJ27)))"),"")</f>
        <v/>
      </c>
      <c r="AI27" s="55" t="str">
        <f t="array" ref="AI27">_xlfn.XLOOKUP(B27,'Up Min'!A:A,'Up Min'!I:I,)</f>
        <v/>
      </c>
      <c r="AJ27" s="55" t="str">
        <f t="array" ref="AJ27">_xlfn.XLOOKUP(B27,'Up Max'!A:A,'Up Max'!I:I,)</f>
        <v/>
      </c>
      <c r="AK27" s="57" t="str">
        <f t="array" ref="AK27">_xlfn.XLOOKUP(B27,'Up Stats'!A:A,'Up Stats'!J:J,)</f>
        <v/>
      </c>
      <c r="AL27" s="54" t="str">
        <f>IFERROR(__xludf.DUMMYFUNCTION("if(AND(AM27=FALSE,AN27=FALSE),,if(AM27=AN27,JOIN("""",""Static: "",AM27),JOIN("""",""Min:  "",AM27, CHAR(10),""Max: "",AN27)))"),"")</f>
        <v/>
      </c>
      <c r="AM27" s="55" t="str">
        <f t="array" ref="AM27">_xlfn.XLOOKUP(B27,'Up Min'!A:A,'Up Min'!J:J,)</f>
        <v/>
      </c>
      <c r="AN27" s="55" t="str">
        <f t="array" ref="AN27">_xlfn.XLOOKUP(B27,'Up Max'!A:A,'Up Max'!J:J,)</f>
        <v/>
      </c>
      <c r="AO27" s="51" t="str">
        <f t="array" ref="AO27">CONCATENATE(_xlfn.XLOOKUP(B27,'Up Cells'!A:A,'Up Cells'!B:B,))</f>
        <v>4</v>
      </c>
      <c r="AP27" s="51" t="str">
        <f t="array" ref="AP27">CONCATENATE(_xlfn.XLOOKUP(B27,'Up Rarity'!A:A,'Up Rarity'!B:B,),CHAR(10),"-")</f>
        <v>Rare
-</v>
      </c>
    </row>
    <row r="28">
      <c r="A28" s="83" t="str">
        <f t="array" ref="A28">_xlfn.XLOOKUP(B28,'Up Icon'!A:A,'Up Icon'!B:B,)</f>
        <v/>
      </c>
      <c r="B28" s="89" t="str">
        <f t="array" ref="B28">HYPERLINK(_xlfn.XLOOKUP('Up Names'!E25,'Up Wiki'!A:A,'Up Wiki'!B:B,),'Up Names'!E25)</f>
        <v>Lucky Last</v>
      </c>
      <c r="C28" s="37" t="str">
        <f t="array" ref="C28">_xlfn.XLOOKUP(B28,'Up Desc'!A:A,'Up Desc'!B:B,)</f>
        <v>The last bullet in the chamber explodes.</v>
      </c>
      <c r="D28" s="37" t="str">
        <f t="array" ref="D28">_xlfn.XLOOKUP(B28,'Up Turbo'!A:A,'Up Turbo'!B:B,)</f>
        <v>n/a</v>
      </c>
      <c r="E28" s="39" t="str">
        <f t="array" ref="E28">_xlfn.XLOOKUP(B28,'Up Stats'!A:A,'Up Stats'!B:B,)</f>
        <v>Size</v>
      </c>
      <c r="F28" s="40" t="str">
        <f>IFERROR(__xludf.DUMMYFUNCTION("if(AND(G28=FALSE,H28=FALSE),,if(G28=H28,JOIN("""",""Static: "",G28),JOIN("""",""Min:  "",G28, CHAR(10),""Max: "",H28)))"),"Min:  1.6
Max: 2.4")</f>
        <v>Min:  1.6
Max: 2.4</v>
      </c>
      <c r="G28" s="69">
        <f t="array" ref="G28">_xlfn.XLOOKUP(B28,'Up Min'!A:A,'Up Min'!B:B,)</f>
        <v>1.6</v>
      </c>
      <c r="H28" s="68">
        <f t="array" ref="H28">_xlfn.XLOOKUP(B28,'Up Max'!A:A,'Up Max'!B:B,)</f>
        <v>2.4</v>
      </c>
      <c r="I28" s="39" t="str">
        <f t="array" ref="I28">_xlfn.XLOOKUP(B28,'Up Stats'!A:A,'Up Stats'!C:C,)</f>
        <v>Damage</v>
      </c>
      <c r="J28" s="40" t="str">
        <f>IFERROR(__xludf.DUMMYFUNCTION("if(AND(K28=FALSE,L28=FALSE),,if(K28=L28,JOIN("""",""Static: "",K28),JOIN("""",""Min:  "",K28, CHAR(10),""Max: "",L28)))"),"Min:  9
Max: 13")</f>
        <v>Min:  9
Max: 13</v>
      </c>
      <c r="K28" s="68">
        <f t="array" ref="K28">_xlfn.XLOOKUP(B28,'Up Min'!A:A,'Up Min'!C:C,)</f>
        <v>9</v>
      </c>
      <c r="L28" s="69">
        <f t="array" ref="L28">_xlfn.XLOOKUP(B28,'Up Max'!A:A,'Up Max'!C:C,)</f>
        <v>13</v>
      </c>
      <c r="M28" s="39" t="str">
        <f t="array" ref="M28">_xlfn.XLOOKUP(B28,'Up Stats'!A:A,'Up Stats'!D:D,)</f>
        <v/>
      </c>
      <c r="N28" s="40" t="str">
        <f>IFERROR(__xludf.DUMMYFUNCTION("if(AND(O28=FALSE,P28=FALSE),,if(O28=P28,JOIN("""",""Static: "",O28),JOIN("""",""Min:  "",O28, CHAR(10),""Max: "",P28)))"),"")</f>
        <v/>
      </c>
      <c r="O28" s="42" t="str">
        <f t="array" ref="O28">_xlfn.XLOOKUP(B28,'Up Min'!A:A,'Up Min'!D:D,)</f>
        <v/>
      </c>
      <c r="P28" s="42" t="str">
        <f t="array" ref="P28">_xlfn.XLOOKUP(B28,'Up Max'!A:A,'Up Max'!D:D,)</f>
        <v/>
      </c>
      <c r="Q28" s="48" t="str">
        <f t="array" ref="Q28">_xlfn.XLOOKUP(B28,'Up Stats'!A:A,'Up Stats'!E:E,)</f>
        <v/>
      </c>
      <c r="R28" s="40" t="str">
        <f>IFERROR(__xludf.DUMMYFUNCTION("if(AND(S28=FALSE,T28=FALSE),,if(S28=T28,JOIN("""",""Static: "",S28),JOIN("""",""Min:  "",S28, CHAR(10),""Max: "",T28)))"),"")</f>
        <v/>
      </c>
      <c r="S28" s="42" t="str">
        <f t="array" ref="S28">_xlfn.XLOOKUP(B28,'Up Min'!A:A,'Up Min'!E:E,)</f>
        <v/>
      </c>
      <c r="T28" s="42" t="str">
        <f t="array" ref="T28">_xlfn.XLOOKUP(B28,'Up Max'!A:A,'Up Max'!E:E,)</f>
        <v/>
      </c>
      <c r="U28" s="48" t="str">
        <f t="array" ref="U28">_xlfn.XLOOKUP(B28,'Up Stats'!A:A,'Up Stats'!F:F,)</f>
        <v/>
      </c>
      <c r="V28" s="40" t="str">
        <f>IFERROR(__xludf.DUMMYFUNCTION("if(AND(W28=FALSE,X28=FALSE),,if(W28=X28,JOIN("""",""Static: "",W28),JOIN("""",""Min:  "",W28, CHAR(10),""Max: "",X28)))"),"")</f>
        <v/>
      </c>
      <c r="W28" s="42" t="str">
        <f t="array" ref="W28">_xlfn.XLOOKUP(B28,'Up Min'!A:A,'Up Min'!F:F,)</f>
        <v/>
      </c>
      <c r="X28" s="42" t="str">
        <f t="array" ref="X28">_xlfn.XLOOKUP(B28,'Up Max'!A:A,'Up Max'!F:F,)</f>
        <v/>
      </c>
      <c r="Y28" s="48" t="str">
        <f t="array" ref="Y28">_xlfn.XLOOKUP(B28,'Up Stats'!A:A,'Up Stats'!G:G,)</f>
        <v/>
      </c>
      <c r="Z28" s="40" t="str">
        <f>IFERROR(__xludf.DUMMYFUNCTION("if(AND(AA28=FALSE,AB28=FALSE),,if(AA28=AB28,JOIN("""",""Static: "",AA28),JOIN("""",""Min:  "",AA28, CHAR(10),""Max: "",AB28)))"),"")</f>
        <v/>
      </c>
      <c r="AA28" s="42" t="str">
        <f t="array" ref="AA28">_xlfn.XLOOKUP(B28,'Up Min'!A:A,'Up Min'!G:G,)</f>
        <v/>
      </c>
      <c r="AB28" s="42" t="str">
        <f t="array" ref="AB28">_xlfn.XLOOKUP(B28,'Up Max'!A:A,'Up Max'!G:G,)</f>
        <v/>
      </c>
      <c r="AC28" s="48" t="str">
        <f t="array" ref="AC28">_xlfn.XLOOKUP(B28,'Up Stats'!A:A,'Up Stats'!H:H,)</f>
        <v/>
      </c>
      <c r="AD28" s="40" t="str">
        <f>IFERROR(__xludf.DUMMYFUNCTION("if(AND(AE28=FALSE,AF28=FALSE),,if(AE28=AF28,JOIN("""",""Static: "",AE28),JOIN("""",""Min:  "",AE28, CHAR(10),""Max: "",AF28)))"),"")</f>
        <v/>
      </c>
      <c r="AE28" s="42" t="str">
        <f t="array" ref="AE28">_xlfn.XLOOKUP(B28,'Up Min'!A:A,'Up Min'!H:H,)</f>
        <v/>
      </c>
      <c r="AF28" s="42" t="str">
        <f t="array" ref="AF28">_xlfn.XLOOKUP(B28,'Up Max'!A:A,'Up Max'!H:H,)</f>
        <v/>
      </c>
      <c r="AG28" s="48" t="str">
        <f t="array" ref="AG28">_xlfn.XLOOKUP(B28,'Up Stats'!A:A,'Up Stats'!I:I,)</f>
        <v/>
      </c>
      <c r="AH28" s="40" t="str">
        <f>IFERROR(__xludf.DUMMYFUNCTION("if(AND(AI28=FALSE,AJ28=FALSE),,if(AI28=AJ28,JOIN("""",""Static: "",AI28),JOIN("""",""Min:  "",AI28, CHAR(10),""Max: "",AJ28)))"),"")</f>
        <v/>
      </c>
      <c r="AI28" s="42" t="str">
        <f t="array" ref="AI28">_xlfn.XLOOKUP(B28,'Up Min'!A:A,'Up Min'!I:I,)</f>
        <v/>
      </c>
      <c r="AJ28" s="42" t="str">
        <f t="array" ref="AJ28">_xlfn.XLOOKUP(B28,'Up Max'!A:A,'Up Max'!I:I,)</f>
        <v/>
      </c>
      <c r="AK28" s="48" t="str">
        <f t="array" ref="AK28">_xlfn.XLOOKUP(B28,'Up Stats'!A:A,'Up Stats'!J:J,)</f>
        <v/>
      </c>
      <c r="AL28" s="40" t="str">
        <f>IFERROR(__xludf.DUMMYFUNCTION("if(AND(AM28=FALSE,AN28=FALSE),,if(AM28=AN28,JOIN("""",""Static: "",AM28),JOIN("""",""Min:  "",AM28, CHAR(10),""Max: "",AN28)))"),"")</f>
        <v/>
      </c>
      <c r="AM28" s="42" t="str">
        <f t="array" ref="AM28">_xlfn.XLOOKUP(B28,'Up Min'!A:A,'Up Min'!J:J,)</f>
        <v/>
      </c>
      <c r="AN28" s="42" t="str">
        <f t="array" ref="AN28">_xlfn.XLOOKUP(B28,'Up Max'!A:A,'Up Max'!J:J,)</f>
        <v/>
      </c>
      <c r="AO28" s="34" t="str">
        <f t="array" ref="AO28">CONCATENATE(_xlfn.XLOOKUP(B28,'Up Cells'!A:A,'Up Cells'!B:B,))</f>
        <v>5</v>
      </c>
      <c r="AP28" s="34" t="str">
        <f t="array" ref="AP28">CONCATENATE(_xlfn.XLOOKUP(B28,'Up Rarity'!A:A,'Up Rarity'!B:B,),CHAR(10),"-")</f>
        <v>Rare
-</v>
      </c>
    </row>
    <row r="29">
      <c r="A29" s="83" t="str">
        <f t="array" ref="A29">_xlfn.XLOOKUP(B29,'Up Icon'!A:A,'Up Icon'!B:B,)</f>
        <v/>
      </c>
      <c r="B29" s="88" t="str">
        <f t="array" ref="B29">HYPERLINK(_xlfn.XLOOKUP('Up Names'!E26,'Up Wiki'!A:A,'Up Wiki'!B:B,),'Up Names'!E26)</f>
        <v>Practice Makes Perfect</v>
      </c>
      <c r="C29" s="52" t="str">
        <f t="array" ref="C29">_xlfn.XLOOKUP(B29,'Up Desc'!A:A,'Up Desc'!B:B,)</f>
        <v>Press FIRE during a random point in your reload to greatly increase its speed.</v>
      </c>
      <c r="D29" s="52" t="str">
        <f t="array" ref="D29">_xlfn.XLOOKUP(B29,'Up Turbo'!A:A,'Up Turbo'!B:B,)</f>
        <v>n/a</v>
      </c>
      <c r="E29" s="53" t="str">
        <f t="array" ref="E29">_xlfn.XLOOKUP(B29,'Up Stats'!A:A,'Up Stats'!B:B,)</f>
        <v>Duration</v>
      </c>
      <c r="F29" s="54" t="str">
        <f>IFERROR(__xludf.DUMMYFUNCTION("if(AND(G29=FALSE,H29=FALSE),,if(G29=H29,JOIN("""",""Static: "",G29),JOIN("""",""Min:  "",G29, CHAR(10),""Max: "",H29)))"),"Min:  0.3
Max: 0.42")</f>
        <v>Min:  0.3
Max: 0.42</v>
      </c>
      <c r="G29" s="64">
        <f t="array" ref="G29">_xlfn.XLOOKUP(B29,'Up Min'!A:A,'Up Min'!B:B,)</f>
        <v>0.3</v>
      </c>
      <c r="H29" s="65">
        <f t="array" ref="H29">_xlfn.XLOOKUP(B29,'Up Max'!A:A,'Up Max'!B:B,)</f>
        <v>0.42</v>
      </c>
      <c r="I29" s="53" t="str">
        <f t="array" ref="I29">_xlfn.XLOOKUP(B29,'Up Stats'!A:A,'Up Stats'!C:C,)</f>
        <v>Reload Speed</v>
      </c>
      <c r="J29" s="54" t="str">
        <f>IFERROR(__xludf.DUMMYFUNCTION("if(AND(K29=FALSE,L29=FALSE),,if(K29=L29,JOIN("""",""Static: "",K29),JOIN("""",""Min:  "",K29, CHAR(10),""Max: "",L29)))"),"Min:  110%
Max: 230%")</f>
        <v>Min:  110%
Max: 230%</v>
      </c>
      <c r="K29" s="59">
        <f t="array" ref="K29">_xlfn.XLOOKUP(B29,'Up Min'!A:A,'Up Min'!C:C,)</f>
        <v>1.1</v>
      </c>
      <c r="L29" s="59">
        <f t="array" ref="L29">_xlfn.XLOOKUP(B29,'Up Max'!A:A,'Up Max'!C:C,)</f>
        <v>2.3</v>
      </c>
      <c r="M29" s="53" t="str">
        <f t="array" ref="M29">_xlfn.XLOOKUP(B29,'Up Stats'!A:A,'Up Stats'!D:D,)</f>
        <v/>
      </c>
      <c r="N29" s="54" t="str">
        <f>IFERROR(__xludf.DUMMYFUNCTION("if(AND(O29=FALSE,P29=FALSE),,if(O29=P29,JOIN("""",""Static: "",O29),JOIN("""",""Min:  "",O29, CHAR(10),""Max: "",P29)))"),"")</f>
        <v/>
      </c>
      <c r="O29" s="55" t="str">
        <f t="array" ref="O29">_xlfn.XLOOKUP(B29,'Up Min'!A:A,'Up Min'!D:D,)</f>
        <v/>
      </c>
      <c r="P29" s="55" t="str">
        <f t="array" ref="P29">_xlfn.XLOOKUP(B29,'Up Max'!A:A,'Up Max'!D:D,)</f>
        <v/>
      </c>
      <c r="Q29" s="57" t="str">
        <f t="array" ref="Q29">_xlfn.XLOOKUP(B29,'Up Stats'!A:A,'Up Stats'!E:E,)</f>
        <v/>
      </c>
      <c r="R29" s="54" t="str">
        <f>IFERROR(__xludf.DUMMYFUNCTION("if(AND(S29=FALSE,T29=FALSE),,if(S29=T29,JOIN("""",""Static: "",S29),JOIN("""",""Min:  "",S29, CHAR(10),""Max: "",T29)))"),"")</f>
        <v/>
      </c>
      <c r="S29" s="55" t="str">
        <f t="array" ref="S29">_xlfn.XLOOKUP(B29,'Up Min'!A:A,'Up Min'!E:E,)</f>
        <v/>
      </c>
      <c r="T29" s="55" t="str">
        <f t="array" ref="T29">_xlfn.XLOOKUP(B29,'Up Max'!A:A,'Up Max'!E:E,)</f>
        <v/>
      </c>
      <c r="U29" s="57" t="str">
        <f t="array" ref="U29">_xlfn.XLOOKUP(B29,'Up Stats'!A:A,'Up Stats'!F:F,)</f>
        <v/>
      </c>
      <c r="V29" s="54" t="str">
        <f>IFERROR(__xludf.DUMMYFUNCTION("if(AND(W29=FALSE,X29=FALSE),,if(W29=X29,JOIN("""",""Static: "",W29),JOIN("""",""Min:  "",W29, CHAR(10),""Max: "",X29)))"),"")</f>
        <v/>
      </c>
      <c r="W29" s="55" t="str">
        <f t="array" ref="W29">_xlfn.XLOOKUP(B29,'Up Min'!A:A,'Up Min'!F:F,)</f>
        <v/>
      </c>
      <c r="X29" s="55" t="str">
        <f t="array" ref="X29">_xlfn.XLOOKUP(B29,'Up Max'!A:A,'Up Max'!F:F,)</f>
        <v/>
      </c>
      <c r="Y29" s="57" t="str">
        <f t="array" ref="Y29">_xlfn.XLOOKUP(B29,'Up Stats'!A:A,'Up Stats'!G:G,)</f>
        <v/>
      </c>
      <c r="Z29" s="54" t="str">
        <f>IFERROR(__xludf.DUMMYFUNCTION("if(AND(AA29=FALSE,AB29=FALSE),,if(AA29=AB29,JOIN("""",""Static: "",AA29),JOIN("""",""Min:  "",AA29, CHAR(10),""Max: "",AB29)))"),"")</f>
        <v/>
      </c>
      <c r="AA29" s="55" t="str">
        <f t="array" ref="AA29">_xlfn.XLOOKUP(B29,'Up Min'!A:A,'Up Min'!G:G,)</f>
        <v/>
      </c>
      <c r="AB29" s="55" t="str">
        <f t="array" ref="AB29">_xlfn.XLOOKUP(B29,'Up Max'!A:A,'Up Max'!G:G,)</f>
        <v/>
      </c>
      <c r="AC29" s="57" t="str">
        <f t="array" ref="AC29">_xlfn.XLOOKUP(B29,'Up Stats'!A:A,'Up Stats'!H:H,)</f>
        <v/>
      </c>
      <c r="AD29" s="54" t="str">
        <f>IFERROR(__xludf.DUMMYFUNCTION("if(AND(AE29=FALSE,AF29=FALSE),,if(AE29=AF29,JOIN("""",""Static: "",AE29),JOIN("""",""Min:  "",AE29, CHAR(10),""Max: "",AF29)))"),"")</f>
        <v/>
      </c>
      <c r="AE29" s="55" t="str">
        <f t="array" ref="AE29">_xlfn.XLOOKUP(B29,'Up Min'!A:A,'Up Min'!H:H,)</f>
        <v/>
      </c>
      <c r="AF29" s="55" t="str">
        <f t="array" ref="AF29">_xlfn.XLOOKUP(B29,'Up Max'!A:A,'Up Max'!H:H,)</f>
        <v/>
      </c>
      <c r="AG29" s="57" t="str">
        <f t="array" ref="AG29">_xlfn.XLOOKUP(B29,'Up Stats'!A:A,'Up Stats'!I:I,)</f>
        <v/>
      </c>
      <c r="AH29" s="54" t="str">
        <f>IFERROR(__xludf.DUMMYFUNCTION("if(AND(AI29=FALSE,AJ29=FALSE),,if(AI29=AJ29,JOIN("""",""Static: "",AI29),JOIN("""",""Min:  "",AI29, CHAR(10),""Max: "",AJ29)))"),"")</f>
        <v/>
      </c>
      <c r="AI29" s="55" t="str">
        <f t="array" ref="AI29">_xlfn.XLOOKUP(B29,'Up Min'!A:A,'Up Min'!I:I,)</f>
        <v/>
      </c>
      <c r="AJ29" s="55" t="str">
        <f t="array" ref="AJ29">_xlfn.XLOOKUP(B29,'Up Max'!A:A,'Up Max'!I:I,)</f>
        <v/>
      </c>
      <c r="AK29" s="57" t="str">
        <f t="array" ref="AK29">_xlfn.XLOOKUP(B29,'Up Stats'!A:A,'Up Stats'!J:J,)</f>
        <v/>
      </c>
      <c r="AL29" s="54" t="str">
        <f>IFERROR(__xludf.DUMMYFUNCTION("if(AND(AM29=FALSE,AN29=FALSE),,if(AM29=AN29,JOIN("""",""Static: "",AM29),JOIN("""",""Min:  "",AM29, CHAR(10),""Max: "",AN29)))"),"")</f>
        <v/>
      </c>
      <c r="AM29" s="55" t="str">
        <f t="array" ref="AM29">_xlfn.XLOOKUP(B29,'Up Min'!A:A,'Up Min'!J:J,)</f>
        <v/>
      </c>
      <c r="AN29" s="55" t="str">
        <f t="array" ref="AN29">_xlfn.XLOOKUP(B29,'Up Max'!A:A,'Up Max'!J:J,)</f>
        <v/>
      </c>
      <c r="AO29" s="51" t="str">
        <f t="array" ref="AO29">CONCATENATE(_xlfn.XLOOKUP(B29,'Up Cells'!A:A,'Up Cells'!B:B,))</f>
        <v>4</v>
      </c>
      <c r="AP29" s="51" t="str">
        <f t="array" ref="AP29">CONCATENATE(_xlfn.XLOOKUP(B29,'Up Rarity'!A:A,'Up Rarity'!B:B,),CHAR(10),"-")</f>
        <v>Rare
-</v>
      </c>
    </row>
    <row r="30">
      <c r="A30" s="83" t="str">
        <f t="array" ref="A30">_xlfn.XLOOKUP(B30,'Up Icon'!A:A,'Up Icon'!B:B,)</f>
        <v/>
      </c>
      <c r="B30" s="89" t="str">
        <f t="array" ref="B30">HYPERLINK(_xlfn.XLOOKUP('Up Names'!E27,'Up Wiki'!A:A,'Up Wiki'!B:B,),'Up Names'!E27)</f>
        <v>Shrapnel Loading</v>
      </c>
      <c r="C30" s="37" t="str">
        <f t="array" ref="C30">_xlfn.XLOOKUP(B30,'Up Desc'!A:A,'Up Desc'!B:B,)</f>
        <v>Each shot fires 3 bullets with reduced damage.</v>
      </c>
      <c r="D30" s="37" t="str">
        <f t="array" ref="D30">_xlfn.XLOOKUP(B30,'Up Turbo'!A:A,'Up Turbo'!B:B,)</f>
        <v>n/a</v>
      </c>
      <c r="E30" s="39" t="str">
        <f t="array" ref="E30">_xlfn.XLOOKUP(B30,'Up Stats'!A:A,'Up Stats'!B:B,)</f>
        <v>Damage</v>
      </c>
      <c r="F30" s="40" t="str">
        <f>IFERROR(__xludf.DUMMYFUNCTION("if(AND(G30=FALSE,H30=FALSE),,if(G30=H30,JOIN("""",""Static: "",G30),JOIN("""",""Min:  "",G30, CHAR(10),""Max: "",H30)))"),"Min:  -75%
Max: -70%")</f>
        <v>Min:  -75%
Max: -70%</v>
      </c>
      <c r="G30" s="41">
        <f t="array" ref="G30">_xlfn.XLOOKUP(B30,'Up Min'!A:A,'Up Min'!B:B,)</f>
        <v>-0.75</v>
      </c>
      <c r="H30" s="41">
        <f t="array" ref="H30">_xlfn.XLOOKUP(B30,'Up Max'!A:A,'Up Max'!B:B,)</f>
        <v>-0.7</v>
      </c>
      <c r="I30" s="39" t="str">
        <f t="array" ref="I30">_xlfn.XLOOKUP(B30,'Up Stats'!A:A,'Up Stats'!C:C,)</f>
        <v>Bullets per Shot</v>
      </c>
      <c r="J30" s="40" t="str">
        <f>IFERROR(__xludf.DUMMYFUNCTION("if(AND(K30=FALSE,L30=FALSE),,if(K30=L30,JOIN("""",""Static: "",K30),JOIN("""",""Min:  "",K30, CHAR(10),""Max: "",L30)))"),"Static: 2")</f>
        <v>Static: 2</v>
      </c>
      <c r="K30" s="69">
        <f t="array" ref="K30">_xlfn.XLOOKUP(B30,'Up Min'!A:A,'Up Min'!C:C,)</f>
        <v>2</v>
      </c>
      <c r="L30" s="69">
        <f t="array" ref="L30">_xlfn.XLOOKUP(B30,'Up Max'!A:A,'Up Max'!C:C,)</f>
        <v>2</v>
      </c>
      <c r="M30" s="39" t="str">
        <f t="array" ref="M30">_xlfn.XLOOKUP(B30,'Up Stats'!A:A,'Up Stats'!D:D,)</f>
        <v>Horizontal Spread</v>
      </c>
      <c r="N30" s="40" t="str">
        <f>IFERROR(__xludf.DUMMYFUNCTION("if(AND(O30=FALSE,P30=FALSE),,if(O30=P30,JOIN("""",""Static: "",O30),JOIN("""",""Min:  "",O30, CHAR(10),""Max: "",P30)))"),"Min:  10
Max: 12")</f>
        <v>Min:  10
Max: 12</v>
      </c>
      <c r="O30" s="68">
        <f t="array" ref="O30">_xlfn.XLOOKUP(B30,'Up Min'!A:A,'Up Min'!D:D,)</f>
        <v>10</v>
      </c>
      <c r="P30" s="69">
        <f t="array" ref="P30">_xlfn.XLOOKUP(B30,'Up Max'!A:A,'Up Max'!D:D,)</f>
        <v>12</v>
      </c>
      <c r="Q30" s="48" t="str">
        <f t="array" ref="Q30">_xlfn.XLOOKUP(B30,'Up Stats'!A:A,'Up Stats'!E:E,)</f>
        <v/>
      </c>
      <c r="R30" s="40" t="str">
        <f>IFERROR(__xludf.DUMMYFUNCTION("if(AND(S30=FALSE,T30=FALSE),,if(S30=T30,JOIN("""",""Static: "",S30),JOIN("""",""Min:  "",S30, CHAR(10),""Max: "",T30)))"),"")</f>
        <v/>
      </c>
      <c r="S30" s="45" t="str">
        <f t="array" ref="S30">_xlfn.XLOOKUP(B30,'Up Min'!A:A,'Up Min'!E:E,)</f>
        <v/>
      </c>
      <c r="T30" s="42" t="str">
        <f t="array" ref="T30">_xlfn.XLOOKUP(B30,'Up Max'!A:A,'Up Max'!E:E,)</f>
        <v/>
      </c>
      <c r="U30" s="48" t="str">
        <f t="array" ref="U30">_xlfn.XLOOKUP(B30,'Up Stats'!A:A,'Up Stats'!F:F,)</f>
        <v/>
      </c>
      <c r="V30" s="40" t="str">
        <f>IFERROR(__xludf.DUMMYFUNCTION("if(AND(W30=FALSE,X30=FALSE),,if(W30=X30,JOIN("""",""Static: "",W30),JOIN("""",""Min:  "",W30, CHAR(10),""Max: "",X30)))"),"")</f>
        <v/>
      </c>
      <c r="W30" s="42" t="str">
        <f t="array" ref="W30">_xlfn.XLOOKUP(B30,'Up Min'!A:A,'Up Min'!F:F,)</f>
        <v/>
      </c>
      <c r="X30" s="42" t="str">
        <f t="array" ref="X30">_xlfn.XLOOKUP(B30,'Up Max'!A:A,'Up Max'!F:F,)</f>
        <v/>
      </c>
      <c r="Y30" s="48" t="str">
        <f t="array" ref="Y30">_xlfn.XLOOKUP(B30,'Up Stats'!A:A,'Up Stats'!G:G,)</f>
        <v/>
      </c>
      <c r="Z30" s="40" t="str">
        <f>IFERROR(__xludf.DUMMYFUNCTION("if(AND(AA30=FALSE,AB30=FALSE),,if(AA30=AB30,JOIN("""",""Static: "",AA30),JOIN("""",""Min:  "",AA30, CHAR(10),""Max: "",AB30)))"),"")</f>
        <v/>
      </c>
      <c r="AA30" s="42" t="str">
        <f t="array" ref="AA30">_xlfn.XLOOKUP(B30,'Up Min'!A:A,'Up Min'!G:G,)</f>
        <v/>
      </c>
      <c r="AB30" s="42" t="str">
        <f t="array" ref="AB30">_xlfn.XLOOKUP(B30,'Up Max'!A:A,'Up Max'!G:G,)</f>
        <v/>
      </c>
      <c r="AC30" s="48" t="str">
        <f t="array" ref="AC30">_xlfn.XLOOKUP(B30,'Up Stats'!A:A,'Up Stats'!H:H,)</f>
        <v/>
      </c>
      <c r="AD30" s="40" t="str">
        <f>IFERROR(__xludf.DUMMYFUNCTION("if(AND(AE30=FALSE,AF30=FALSE),,if(AE30=AF30,JOIN("""",""Static: "",AE30),JOIN("""",""Min:  "",AE30, CHAR(10),""Max: "",AF30)))"),"")</f>
        <v/>
      </c>
      <c r="AE30" s="42" t="str">
        <f t="array" ref="AE30">_xlfn.XLOOKUP(B30,'Up Min'!A:A,'Up Min'!H:H,)</f>
        <v/>
      </c>
      <c r="AF30" s="42" t="str">
        <f t="array" ref="AF30">_xlfn.XLOOKUP(B30,'Up Max'!A:A,'Up Max'!H:H,)</f>
        <v/>
      </c>
      <c r="AG30" s="48" t="str">
        <f t="array" ref="AG30">_xlfn.XLOOKUP(B30,'Up Stats'!A:A,'Up Stats'!I:I,)</f>
        <v/>
      </c>
      <c r="AH30" s="40" t="str">
        <f>IFERROR(__xludf.DUMMYFUNCTION("if(AND(AI30=FALSE,AJ30=FALSE),,if(AI30=AJ30,JOIN("""",""Static: "",AI30),JOIN("""",""Min:  "",AI30, CHAR(10),""Max: "",AJ30)))"),"")</f>
        <v/>
      </c>
      <c r="AI30" s="42" t="str">
        <f t="array" ref="AI30">_xlfn.XLOOKUP(B30,'Up Min'!A:A,'Up Min'!I:I,)</f>
        <v/>
      </c>
      <c r="AJ30" s="42" t="str">
        <f t="array" ref="AJ30">_xlfn.XLOOKUP(B30,'Up Max'!A:A,'Up Max'!I:I,)</f>
        <v/>
      </c>
      <c r="AK30" s="48" t="str">
        <f t="array" ref="AK30">_xlfn.XLOOKUP(B30,'Up Stats'!A:A,'Up Stats'!J:J,)</f>
        <v/>
      </c>
      <c r="AL30" s="40" t="str">
        <f>IFERROR(__xludf.DUMMYFUNCTION("if(AND(AM30=FALSE,AN30=FALSE),,if(AM30=AN30,JOIN("""",""Static: "",AM30),JOIN("""",""Min:  "",AM30, CHAR(10),""Max: "",AN30)))"),"")</f>
        <v/>
      </c>
      <c r="AM30" s="42" t="str">
        <f t="array" ref="AM30">_xlfn.XLOOKUP(B30,'Up Min'!A:A,'Up Min'!J:J,)</f>
        <v/>
      </c>
      <c r="AN30" s="42" t="str">
        <f t="array" ref="AN30">_xlfn.XLOOKUP(B30,'Up Max'!A:A,'Up Max'!J:J,)</f>
        <v/>
      </c>
      <c r="AO30" s="34" t="str">
        <f t="array" ref="AO30">CONCATENATE(_xlfn.XLOOKUP(B30,'Up Cells'!A:A,'Up Cells'!B:B,))</f>
        <v>3</v>
      </c>
      <c r="AP30" s="34" t="str">
        <f t="array" ref="AP30">CONCATENATE(_xlfn.XLOOKUP(B30,'Up Rarity'!A:A,'Up Rarity'!B:B,),CHAR(10),"-")</f>
        <v>Rare
-</v>
      </c>
    </row>
    <row r="31">
      <c r="A31" s="83" t="str">
        <f t="array" ref="A31">_xlfn.XLOOKUP(B31,'Up Icon'!A:A,'Up Icon'!B:B,)</f>
        <v/>
      </c>
      <c r="B31" s="88" t="str">
        <f t="array" ref="B31">HYPERLINK(_xlfn.XLOOKUP('Up Names'!E28,'Up Wiki'!A:A,'Up Wiki'!B:B,),'Up Names'!E28)</f>
        <v>Unnatural Focus</v>
      </c>
      <c r="C31" s="70" t="str">
        <f t="array" ref="C31">_xlfn.XLOOKUP(B31,'Up Desc'!A:A,'Up Desc'!B:B,)</f>
        <v>Aim zoom is increased. Range is greatly increase while aiming.</v>
      </c>
      <c r="D31" s="52" t="str">
        <f t="array" ref="D31">_xlfn.XLOOKUP(B31,'Up Turbo'!A:A,'Up Turbo'!B:B,)</f>
        <v>n/a</v>
      </c>
      <c r="E31" s="53" t="str">
        <f t="array" ref="E31">_xlfn.XLOOKUP(B31,'Up Stats'!A:A,'Up Stats'!B:B,)</f>
        <v>Aim Range</v>
      </c>
      <c r="F31" s="54" t="str">
        <f>IFERROR(__xludf.DUMMYFUNCTION("if(AND(G31=FALSE,H31=FALSE),,if(G31=H31,JOIN("""",""Static: "",G31),JOIN("""",""Min:  "",G31, CHAR(10),""Max: "",H31)))"),"Min:  15
Max: 25")</f>
        <v>Min:  15
Max: 25</v>
      </c>
      <c r="G31" s="64">
        <f t="array" ref="G31">_xlfn.XLOOKUP(B31,'Up Min'!A:A,'Up Min'!B:B,)</f>
        <v>15</v>
      </c>
      <c r="H31" s="65">
        <f t="array" ref="H31">_xlfn.XLOOKUP(B31,'Up Max'!A:A,'Up Max'!B:B,)</f>
        <v>25</v>
      </c>
      <c r="I31" s="53" t="str">
        <f t="array" ref="I31">_xlfn.XLOOKUP(B31,'Up Stats'!A:A,'Up Stats'!C:C,)</f>
        <v/>
      </c>
      <c r="J31" s="54" t="str">
        <f>IFERROR(__xludf.DUMMYFUNCTION("if(AND(K31=FALSE,L31=FALSE),,if(K31=L31,JOIN("""",""Static: "",K31),JOIN("""",""Min:  "",K31, CHAR(10),""Max: "",L31)))"),"")</f>
        <v/>
      </c>
      <c r="K31" s="72" t="str">
        <f t="array" ref="K31">_xlfn.XLOOKUP(B31,'Up Min'!A:A,'Up Min'!C:C,)</f>
        <v/>
      </c>
      <c r="L31" s="72" t="str">
        <f t="array" ref="L31">_xlfn.XLOOKUP(B31,'Up Max'!A:A,'Up Max'!C:C,)</f>
        <v/>
      </c>
      <c r="M31" s="53" t="str">
        <f t="array" ref="M31">_xlfn.XLOOKUP(B31,'Up Stats'!A:A,'Up Stats'!D:D,)</f>
        <v/>
      </c>
      <c r="N31" s="54" t="str">
        <f>IFERROR(__xludf.DUMMYFUNCTION("if(AND(O31=FALSE,P31=FALSE),,if(O31=P31,JOIN("""",""Static: "",O31),JOIN("""",""Min:  "",O31, CHAR(10),""Max: "",P31)))"),"")</f>
        <v/>
      </c>
      <c r="O31" s="55" t="str">
        <f t="array" ref="O31">_xlfn.XLOOKUP(B31,'Up Min'!A:A,'Up Min'!D:D,)</f>
        <v/>
      </c>
      <c r="P31" s="55" t="str">
        <f t="array" ref="P31">_xlfn.XLOOKUP(B31,'Up Max'!A:A,'Up Max'!D:D,)</f>
        <v/>
      </c>
      <c r="Q31" s="57" t="str">
        <f t="array" ref="Q31">_xlfn.XLOOKUP(B31,'Up Stats'!A:A,'Up Stats'!E:E,)</f>
        <v/>
      </c>
      <c r="R31" s="54" t="str">
        <f>IFERROR(__xludf.DUMMYFUNCTION("if(AND(S31=FALSE,T31=FALSE),,if(S31=T31,JOIN("""",""Static: "",S31),JOIN("""",""Min:  "",S31, CHAR(10),""Max: "",T31)))"),"")</f>
        <v/>
      </c>
      <c r="S31" s="55" t="str">
        <f t="array" ref="S31">_xlfn.XLOOKUP(B31,'Up Min'!A:A,'Up Min'!E:E,)</f>
        <v/>
      </c>
      <c r="T31" s="55" t="str">
        <f t="array" ref="T31">_xlfn.XLOOKUP(B31,'Up Max'!A:A,'Up Max'!E:E,)</f>
        <v/>
      </c>
      <c r="U31" s="57" t="str">
        <f t="array" ref="U31">_xlfn.XLOOKUP(B31,'Up Stats'!A:A,'Up Stats'!F:F,)</f>
        <v/>
      </c>
      <c r="V31" s="54" t="str">
        <f>IFERROR(__xludf.DUMMYFUNCTION("if(AND(W31=FALSE,X31=FALSE),,if(W31=X31,JOIN("""",""Static: "",W31),JOIN("""",""Min:  "",W31, CHAR(10),""Max: "",X31)))"),"")</f>
        <v/>
      </c>
      <c r="W31" s="55" t="str">
        <f t="array" ref="W31">_xlfn.XLOOKUP(B31,'Up Min'!A:A,'Up Min'!F:F,)</f>
        <v/>
      </c>
      <c r="X31" s="55" t="str">
        <f t="array" ref="X31">_xlfn.XLOOKUP(B31,'Up Max'!A:A,'Up Max'!F:F,)</f>
        <v/>
      </c>
      <c r="Y31" s="57" t="str">
        <f t="array" ref="Y31">_xlfn.XLOOKUP(B31,'Up Stats'!A:A,'Up Stats'!G:G,)</f>
        <v/>
      </c>
      <c r="Z31" s="54" t="str">
        <f>IFERROR(__xludf.DUMMYFUNCTION("if(AND(AA31=FALSE,AB31=FALSE),,if(AA31=AB31,JOIN("""",""Static: "",AA31),JOIN("""",""Min:  "",AA31, CHAR(10),""Max: "",AB31)))"),"")</f>
        <v/>
      </c>
      <c r="AA31" s="55" t="str">
        <f t="array" ref="AA31">_xlfn.XLOOKUP(B31,'Up Min'!A:A,'Up Min'!G:G,)</f>
        <v/>
      </c>
      <c r="AB31" s="55" t="str">
        <f t="array" ref="AB31">_xlfn.XLOOKUP(B31,'Up Max'!A:A,'Up Max'!G:G,)</f>
        <v/>
      </c>
      <c r="AC31" s="57" t="str">
        <f t="array" ref="AC31">_xlfn.XLOOKUP(B31,'Up Stats'!A:A,'Up Stats'!H:H,)</f>
        <v/>
      </c>
      <c r="AD31" s="54" t="str">
        <f>IFERROR(__xludf.DUMMYFUNCTION("if(AND(AE31=FALSE,AF31=FALSE),,if(AE31=AF31,JOIN("""",""Static: "",AE31),JOIN("""",""Min:  "",AE31, CHAR(10),""Max: "",AF31)))"),"")</f>
        <v/>
      </c>
      <c r="AE31" s="55" t="str">
        <f t="array" ref="AE31">_xlfn.XLOOKUP(B31,'Up Min'!A:A,'Up Min'!H:H,)</f>
        <v/>
      </c>
      <c r="AF31" s="55" t="str">
        <f t="array" ref="AF31">_xlfn.XLOOKUP(B31,'Up Max'!A:A,'Up Max'!H:H,)</f>
        <v/>
      </c>
      <c r="AG31" s="57" t="str">
        <f t="array" ref="AG31">_xlfn.XLOOKUP(B31,'Up Stats'!A:A,'Up Stats'!I:I,)</f>
        <v/>
      </c>
      <c r="AH31" s="54" t="str">
        <f>IFERROR(__xludf.DUMMYFUNCTION("if(AND(AI31=FALSE,AJ31=FALSE),,if(AI31=AJ31,JOIN("""",""Static: "",AI31),JOIN("""",""Min:  "",AI31, CHAR(10),""Max: "",AJ31)))"),"")</f>
        <v/>
      </c>
      <c r="AI31" s="55" t="str">
        <f t="array" ref="AI31">_xlfn.XLOOKUP(B31,'Up Min'!A:A,'Up Min'!I:I,)</f>
        <v/>
      </c>
      <c r="AJ31" s="55" t="str">
        <f t="array" ref="AJ31">_xlfn.XLOOKUP(B31,'Up Max'!A:A,'Up Max'!I:I,)</f>
        <v/>
      </c>
      <c r="AK31" s="57" t="str">
        <f t="array" ref="AK31">_xlfn.XLOOKUP(B31,'Up Stats'!A:A,'Up Stats'!J:J,)</f>
        <v/>
      </c>
      <c r="AL31" s="54" t="str">
        <f>IFERROR(__xludf.DUMMYFUNCTION("if(AND(AM31=FALSE,AN31=FALSE),,if(AM31=AN31,JOIN("""",""Static: "",AM31),JOIN("""",""Min:  "",AM31, CHAR(10),""Max: "",AN31)))"),"")</f>
        <v/>
      </c>
      <c r="AM31" s="55" t="str">
        <f t="array" ref="AM31">_xlfn.XLOOKUP(B31,'Up Min'!A:A,'Up Min'!J:J,)</f>
        <v/>
      </c>
      <c r="AN31" s="55" t="str">
        <f t="array" ref="AN31">_xlfn.XLOOKUP(B31,'Up Max'!A:A,'Up Max'!J:J,)</f>
        <v/>
      </c>
      <c r="AO31" s="51" t="str">
        <f t="array" ref="AO31">CONCATENATE(_xlfn.XLOOKUP(B31,'Up Cells'!A:A,'Up Cells'!B:B,))</f>
        <v>3</v>
      </c>
      <c r="AP31" s="51" t="str">
        <f t="array" ref="AP31">CONCATENATE(_xlfn.XLOOKUP(B31,'Up Rarity'!A:A,'Up Rarity'!B:B,),CHAR(10),"-")</f>
        <v>Rare
-</v>
      </c>
    </row>
    <row r="32">
      <c r="A32" s="84" t="str">
        <f t="array" ref="A32">_xlfn.XLOOKUP(B32,'Up Icon'!A:A,'Up Icon'!B:B,)</f>
        <v/>
      </c>
      <c r="B32" s="89" t="str">
        <f t="array" ref="B32">HYPERLINK(_xlfn.XLOOKUP('Up Names'!E29,'Up Wiki'!A:A,'Up Wiki'!B:B,),'Up Names'!E29)</f>
        <v>Bandolier</v>
      </c>
      <c r="C32" s="67" t="str">
        <f t="array" ref="C32">_xlfn.XLOOKUP(B32,'Up Desc'!A:A,'Up Desc'!B:B,)</f>
        <v>Ammo reserves are increased.</v>
      </c>
      <c r="D32" s="37" t="str">
        <f t="array" ref="D32">_xlfn.XLOOKUP(B32,'Up Turbo'!A:A,'Up Turbo'!B:B,)</f>
        <v>n/a</v>
      </c>
      <c r="E32" s="39" t="str">
        <f t="array" ref="E32">_xlfn.XLOOKUP(B32,'Up Stats'!A:A,'Up Stats'!B:B,)</f>
        <v>Ammo Capacity</v>
      </c>
      <c r="F32" s="40" t="str">
        <f>IFERROR(__xludf.DUMMYFUNCTION("if(AND(G32=FALSE,H32=FALSE),,if(G32=H32,JOIN("""",""Static: "",G32),JOIN("""",""Min:  "",G32, CHAR(10),""Max: "",H32)))"),"Min:  16
Max: 44")</f>
        <v>Min:  16
Max: 44</v>
      </c>
      <c r="G32" s="40">
        <f t="array" ref="G32">_xlfn.XLOOKUP(B32,'Up Min'!A:A,'Up Min'!B:B,)</f>
        <v>16</v>
      </c>
      <c r="H32" s="40">
        <f t="array" ref="H32">_xlfn.XLOOKUP(B32,'Up Max'!A:A,'Up Max'!B:B,)</f>
        <v>44</v>
      </c>
      <c r="I32" s="39" t="str">
        <f t="array" ref="I32">_xlfn.XLOOKUP(B32,'Up Stats'!A:A,'Up Stats'!C:C,)</f>
        <v/>
      </c>
      <c r="J32" s="40" t="str">
        <f>IFERROR(__xludf.DUMMYFUNCTION("if(AND(K32=FALSE,L32=FALSE),,if(K32=L32,JOIN("""",""Static: "",K32),JOIN("""",""Min:  "",K32, CHAR(10),""Max: "",L32)))"),"")</f>
        <v/>
      </c>
      <c r="K32" s="42" t="str">
        <f t="array" ref="K32">_xlfn.XLOOKUP(B32,'Up Min'!A:A,'Up Min'!C:C,)</f>
        <v/>
      </c>
      <c r="L32" s="42" t="str">
        <f t="array" ref="L32">_xlfn.XLOOKUP(B32,'Up Max'!A:A,'Up Max'!C:C,)</f>
        <v/>
      </c>
      <c r="M32" s="48" t="str">
        <f t="array" ref="M32">_xlfn.XLOOKUP(B32,'Up Stats'!A:A,'Up Stats'!D:D,)</f>
        <v/>
      </c>
      <c r="N32" s="40" t="str">
        <f>IFERROR(__xludf.DUMMYFUNCTION("if(AND(O32=FALSE,P32=FALSE),,if(O32=P32,JOIN("""",""Static: "",O32),JOIN("""",""Min:  "",O32, CHAR(10),""Max: "",P32)))"),"")</f>
        <v/>
      </c>
      <c r="O32" s="42" t="str">
        <f t="array" ref="O32">_xlfn.XLOOKUP(B32,'Up Min'!A:A,'Up Min'!D:D,)</f>
        <v/>
      </c>
      <c r="P32" s="42" t="str">
        <f t="array" ref="P32">_xlfn.XLOOKUP(B32,'Up Max'!A:A,'Up Max'!D:D,)</f>
        <v/>
      </c>
      <c r="Q32" s="48" t="str">
        <f t="array" ref="Q32">_xlfn.XLOOKUP(B32,'Up Stats'!A:A,'Up Stats'!E:E,)</f>
        <v/>
      </c>
      <c r="R32" s="40" t="str">
        <f>IFERROR(__xludf.DUMMYFUNCTION("if(AND(S32=FALSE,T32=FALSE),,if(S32=T32,JOIN("""",""Static: "",S32),JOIN("""",""Min:  "",S32, CHAR(10),""Max: "",T32)))"),"")</f>
        <v/>
      </c>
      <c r="S32" s="42" t="str">
        <f t="array" ref="S32">_xlfn.XLOOKUP(B32,'Up Min'!A:A,'Up Min'!E:E,)</f>
        <v/>
      </c>
      <c r="T32" s="42" t="str">
        <f t="array" ref="T32">_xlfn.XLOOKUP(B32,'Up Max'!A:A,'Up Max'!E:E,)</f>
        <v/>
      </c>
      <c r="U32" s="48" t="str">
        <f t="array" ref="U32">_xlfn.XLOOKUP(B32,'Up Stats'!A:A,'Up Stats'!F:F,)</f>
        <v/>
      </c>
      <c r="V32" s="40" t="str">
        <f>IFERROR(__xludf.DUMMYFUNCTION("if(AND(W32=FALSE,X32=FALSE),,if(W32=X32,JOIN("""",""Static: "",W32),JOIN("""",""Min:  "",W32, CHAR(10),""Max: "",X32)))"),"")</f>
        <v/>
      </c>
      <c r="W32" s="42" t="str">
        <f t="array" ref="W32">_xlfn.XLOOKUP(B32,'Up Min'!A:A,'Up Min'!F:F,)</f>
        <v/>
      </c>
      <c r="X32" s="42" t="str">
        <f t="array" ref="X32">_xlfn.XLOOKUP(B32,'Up Max'!A:A,'Up Max'!F:F,)</f>
        <v/>
      </c>
      <c r="Y32" s="48" t="str">
        <f t="array" ref="Y32">_xlfn.XLOOKUP(B32,'Up Stats'!A:A,'Up Stats'!G:G,)</f>
        <v/>
      </c>
      <c r="Z32" s="40" t="str">
        <f>IFERROR(__xludf.DUMMYFUNCTION("if(AND(AA32=FALSE,AB32=FALSE),,if(AA32=AB32,JOIN("""",""Static: "",AA32),JOIN("""",""Min:  "",AA32, CHAR(10),""Max: "",AB32)))"),"")</f>
        <v/>
      </c>
      <c r="AA32" s="42" t="str">
        <f t="array" ref="AA32">_xlfn.XLOOKUP(B32,'Up Min'!A:A,'Up Min'!G:G,)</f>
        <v/>
      </c>
      <c r="AB32" s="42" t="str">
        <f t="array" ref="AB32">_xlfn.XLOOKUP(B32,'Up Max'!A:A,'Up Max'!G:G,)</f>
        <v/>
      </c>
      <c r="AC32" s="48" t="str">
        <f t="array" ref="AC32">_xlfn.XLOOKUP(B32,'Up Stats'!A:A,'Up Stats'!H:H,)</f>
        <v/>
      </c>
      <c r="AD32" s="40" t="str">
        <f>IFERROR(__xludf.DUMMYFUNCTION("if(AND(AE32=FALSE,AF32=FALSE),,if(AE32=AF32,JOIN("""",""Static: "",AE32),JOIN("""",""Min:  "",AE32, CHAR(10),""Max: "",AF32)))"),"")</f>
        <v/>
      </c>
      <c r="AE32" s="42" t="str">
        <f t="array" ref="AE32">_xlfn.XLOOKUP(B32,'Up Min'!A:A,'Up Min'!H:H,)</f>
        <v/>
      </c>
      <c r="AF32" s="42" t="str">
        <f t="array" ref="AF32">_xlfn.XLOOKUP(B32,'Up Max'!A:A,'Up Max'!H:H,)</f>
        <v/>
      </c>
      <c r="AG32" s="48" t="str">
        <f t="array" ref="AG32">_xlfn.XLOOKUP(B32,'Up Stats'!A:A,'Up Stats'!I:I,)</f>
        <v/>
      </c>
      <c r="AH32" s="40" t="str">
        <f>IFERROR(__xludf.DUMMYFUNCTION("if(AND(AI32=FALSE,AJ32=FALSE),,if(AI32=AJ32,JOIN("""",""Static: "",AI32),JOIN("""",""Min:  "",AI32, CHAR(10),""Max: "",AJ32)))"),"")</f>
        <v/>
      </c>
      <c r="AI32" s="42" t="str">
        <f t="array" ref="AI32">_xlfn.XLOOKUP(B32,'Up Min'!A:A,'Up Min'!I:I,)</f>
        <v/>
      </c>
      <c r="AJ32" s="42" t="str">
        <f t="array" ref="AJ32">_xlfn.XLOOKUP(B32,'Up Max'!A:A,'Up Max'!I:I,)</f>
        <v/>
      </c>
      <c r="AK32" s="48" t="str">
        <f t="array" ref="AK32">_xlfn.XLOOKUP(B32,'Up Stats'!A:A,'Up Stats'!J:J,)</f>
        <v/>
      </c>
      <c r="AL32" s="40" t="str">
        <f>IFERROR(__xludf.DUMMYFUNCTION("if(AND(AM32=FALSE,AN32=FALSE),,if(AM32=AN32,JOIN("""",""Static: "",AM32),JOIN("""",""Min:  "",AM32, CHAR(10),""Max: "",AN32)))"),"")</f>
        <v/>
      </c>
      <c r="AM32" s="42" t="str">
        <f t="array" ref="AM32">_xlfn.XLOOKUP(B32,'Up Min'!A:A,'Up Min'!J:J,)</f>
        <v/>
      </c>
      <c r="AN32" s="42" t="str">
        <f t="array" ref="AN32">_xlfn.XLOOKUP(B32,'Up Max'!A:A,'Up Max'!J:J,)</f>
        <v/>
      </c>
      <c r="AO32" s="34" t="str">
        <f t="array" ref="AO32">CONCATENATE(_xlfn.XLOOKUP(B32,'Up Cells'!A:A,'Up Cells'!B:B,))</f>
        <v>3</v>
      </c>
      <c r="AP32" s="34" t="str">
        <f t="array" ref="AP32">CONCATENATE(_xlfn.XLOOKUP(B32,'Up Rarity'!A:A,'Up Rarity'!B:B,),CHAR(10),"-")</f>
        <v>Standard
-</v>
      </c>
    </row>
    <row r="33">
      <c r="A33" s="84" t="str">
        <f t="array" ref="A33">_xlfn.XLOOKUP(B33,'Up Icon'!A:A,'Up Icon'!B:B,)</f>
        <v/>
      </c>
      <c r="B33" s="88" t="str">
        <f t="array" ref="B33">HYPERLINK(_xlfn.XLOOKUP('Up Names'!E30,'Up Wiki'!A:A,'Up Wiki'!B:B,),'Up Names'!E30)</f>
        <v>Breathe Deep</v>
      </c>
      <c r="C33" s="52" t="str">
        <f t="array" ref="C33">_xlfn.XLOOKUP(B33,'Up Desc'!A:A,'Up Desc'!B:B,)</f>
        <v>Range is increased.</v>
      </c>
      <c r="D33" s="52" t="str">
        <f t="array" ref="D33">_xlfn.XLOOKUP(B33,'Up Turbo'!A:A,'Up Turbo'!B:B,)</f>
        <v>n/a</v>
      </c>
      <c r="E33" s="53" t="str">
        <f t="array" ref="E33">_xlfn.XLOOKUP(B33,'Up Stats'!A:A,'Up Stats'!B:B,)</f>
        <v>Range</v>
      </c>
      <c r="F33" s="54" t="str">
        <f>IFERROR(__xludf.DUMMYFUNCTION("if(AND(G33=FALSE,H33=FALSE),,if(G33=H33,JOIN("""",""Static: "",G33),JOIN("""",""Min:  "",G33, CHAR(10),""Max: "",H33)))"),"Min:  8
Max: 12")</f>
        <v>Min:  8
Max: 12</v>
      </c>
      <c r="G33" s="64">
        <f t="array" ref="G33">_xlfn.XLOOKUP(B33,'Up Min'!A:A,'Up Min'!B:B,)</f>
        <v>8</v>
      </c>
      <c r="H33" s="65">
        <f t="array" ref="H33">_xlfn.XLOOKUP(B33,'Up Max'!A:A,'Up Max'!B:B,)</f>
        <v>12</v>
      </c>
      <c r="I33" s="53" t="str">
        <f t="array" ref="I33">_xlfn.XLOOKUP(B33,'Up Stats'!A:A,'Up Stats'!C:C,)</f>
        <v/>
      </c>
      <c r="J33" s="54" t="str">
        <f>IFERROR(__xludf.DUMMYFUNCTION("if(AND(K33=FALSE,L33=FALSE),,if(K33=L33,JOIN("""",""Static: "",K33),JOIN("""",""Min:  "",K33, CHAR(10),""Max: "",L33)))"),"")</f>
        <v/>
      </c>
      <c r="K33" s="55" t="str">
        <f t="array" ref="K33">_xlfn.XLOOKUP(B33,'Up Min'!A:A,'Up Min'!C:C,)</f>
        <v/>
      </c>
      <c r="L33" s="55" t="str">
        <f t="array" ref="L33">_xlfn.XLOOKUP(B33,'Up Max'!A:A,'Up Max'!C:C,)</f>
        <v/>
      </c>
      <c r="M33" s="53" t="str">
        <f t="array" ref="M33">_xlfn.XLOOKUP(B33,'Up Stats'!A:A,'Up Stats'!D:D,)</f>
        <v/>
      </c>
      <c r="N33" s="54" t="str">
        <f>IFERROR(__xludf.DUMMYFUNCTION("if(AND(O33=FALSE,P33=FALSE),,if(O33=P33,JOIN("""",""Static: "",O33),JOIN("""",""Min:  "",O33, CHAR(10),""Max: "",P33)))"),"")</f>
        <v/>
      </c>
      <c r="O33" s="55" t="str">
        <f t="array" ref="O33">_xlfn.XLOOKUP(B33,'Up Min'!A:A,'Up Min'!D:D,)</f>
        <v/>
      </c>
      <c r="P33" s="55" t="str">
        <f t="array" ref="P33">_xlfn.XLOOKUP(B33,'Up Max'!A:A,'Up Max'!D:D,)</f>
        <v/>
      </c>
      <c r="Q33" s="57" t="str">
        <f t="array" ref="Q33">_xlfn.XLOOKUP(B33,'Up Stats'!A:A,'Up Stats'!E:E,)</f>
        <v/>
      </c>
      <c r="R33" s="54" t="str">
        <f>IFERROR(__xludf.DUMMYFUNCTION("if(AND(S33=FALSE,T33=FALSE),,if(S33=T33,JOIN("""",""Static: "",S33),JOIN("""",""Min:  "",S33, CHAR(10),""Max: "",T33)))"),"")</f>
        <v/>
      </c>
      <c r="S33" s="55" t="str">
        <f t="array" ref="S33">_xlfn.XLOOKUP(B33,'Up Min'!A:A,'Up Min'!E:E,)</f>
        <v/>
      </c>
      <c r="T33" s="55" t="str">
        <f t="array" ref="T33">_xlfn.XLOOKUP(B33,'Up Max'!A:A,'Up Max'!E:E,)</f>
        <v/>
      </c>
      <c r="U33" s="57" t="str">
        <f t="array" ref="U33">_xlfn.XLOOKUP(B33,'Up Stats'!A:A,'Up Stats'!F:F,)</f>
        <v/>
      </c>
      <c r="V33" s="54" t="str">
        <f>IFERROR(__xludf.DUMMYFUNCTION("if(AND(W33=FALSE,X33=FALSE),,if(W33=X33,JOIN("""",""Static: "",W33),JOIN("""",""Min:  "",W33, CHAR(10),""Max: "",X33)))"),"")</f>
        <v/>
      </c>
      <c r="W33" s="55" t="str">
        <f t="array" ref="W33">_xlfn.XLOOKUP(B33,'Up Min'!A:A,'Up Min'!F:F,)</f>
        <v/>
      </c>
      <c r="X33" s="55" t="str">
        <f t="array" ref="X33">_xlfn.XLOOKUP(B33,'Up Max'!A:A,'Up Max'!F:F,)</f>
        <v/>
      </c>
      <c r="Y33" s="57" t="str">
        <f t="array" ref="Y33">_xlfn.XLOOKUP(B33,'Up Stats'!A:A,'Up Stats'!G:G,)</f>
        <v/>
      </c>
      <c r="Z33" s="54" t="str">
        <f>IFERROR(__xludf.DUMMYFUNCTION("if(AND(AA33=FALSE,AB33=FALSE),,if(AA33=AB33,JOIN("""",""Static: "",AA33),JOIN("""",""Min:  "",AA33, CHAR(10),""Max: "",AB33)))"),"")</f>
        <v/>
      </c>
      <c r="AA33" s="55" t="str">
        <f t="array" ref="AA33">_xlfn.XLOOKUP(B33,'Up Min'!A:A,'Up Min'!G:G,)</f>
        <v/>
      </c>
      <c r="AB33" s="55" t="str">
        <f t="array" ref="AB33">_xlfn.XLOOKUP(B33,'Up Max'!A:A,'Up Max'!G:G,)</f>
        <v/>
      </c>
      <c r="AC33" s="57" t="str">
        <f t="array" ref="AC33">_xlfn.XLOOKUP(B33,'Up Stats'!A:A,'Up Stats'!H:H,)</f>
        <v/>
      </c>
      <c r="AD33" s="54" t="str">
        <f>IFERROR(__xludf.DUMMYFUNCTION("if(AND(AE33=FALSE,AF33=FALSE),,if(AE33=AF33,JOIN("""",""Static: "",AE33),JOIN("""",""Min:  "",AE33, CHAR(10),""Max: "",AF33)))"),"")</f>
        <v/>
      </c>
      <c r="AE33" s="55" t="str">
        <f t="array" ref="AE33">_xlfn.XLOOKUP(B33,'Up Min'!A:A,'Up Min'!H:H,)</f>
        <v/>
      </c>
      <c r="AF33" s="55" t="str">
        <f t="array" ref="AF33">_xlfn.XLOOKUP(B33,'Up Max'!A:A,'Up Max'!H:H,)</f>
        <v/>
      </c>
      <c r="AG33" s="57" t="str">
        <f t="array" ref="AG33">_xlfn.XLOOKUP(B33,'Up Stats'!A:A,'Up Stats'!I:I,)</f>
        <v/>
      </c>
      <c r="AH33" s="54" t="str">
        <f>IFERROR(__xludf.DUMMYFUNCTION("if(AND(AI33=FALSE,AJ33=FALSE),,if(AI33=AJ33,JOIN("""",""Static: "",AI33),JOIN("""",""Min:  "",AI33, CHAR(10),""Max: "",AJ33)))"),"")</f>
        <v/>
      </c>
      <c r="AI33" s="55" t="str">
        <f t="array" ref="AI33">_xlfn.XLOOKUP(B33,'Up Min'!A:A,'Up Min'!I:I,)</f>
        <v/>
      </c>
      <c r="AJ33" s="55" t="str">
        <f t="array" ref="AJ33">_xlfn.XLOOKUP(B33,'Up Max'!A:A,'Up Max'!I:I,)</f>
        <v/>
      </c>
      <c r="AK33" s="57" t="str">
        <f t="array" ref="AK33">_xlfn.XLOOKUP(B33,'Up Stats'!A:A,'Up Stats'!J:J,)</f>
        <v/>
      </c>
      <c r="AL33" s="54" t="str">
        <f>IFERROR(__xludf.DUMMYFUNCTION("if(AND(AM33=FALSE,AN33=FALSE),,if(AM33=AN33,JOIN("""",""Static: "",AM33),JOIN("""",""Min:  "",AM33, CHAR(10),""Max: "",AN33)))"),"")</f>
        <v/>
      </c>
      <c r="AM33" s="55" t="str">
        <f t="array" ref="AM33">_xlfn.XLOOKUP(B33,'Up Min'!A:A,'Up Min'!J:J,)</f>
        <v/>
      </c>
      <c r="AN33" s="55" t="str">
        <f t="array" ref="AN33">_xlfn.XLOOKUP(B33,'Up Max'!A:A,'Up Max'!J:J,)</f>
        <v/>
      </c>
      <c r="AO33" s="51" t="str">
        <f t="array" ref="AO33">CONCATENATE(_xlfn.XLOOKUP(B33,'Up Cells'!A:A,'Up Cells'!B:B,))</f>
        <v>3</v>
      </c>
      <c r="AP33" s="51" t="str">
        <f t="array" ref="AP33">CONCATENATE(_xlfn.XLOOKUP(B33,'Up Rarity'!A:A,'Up Rarity'!B:B,),CHAR(10),"-")</f>
        <v>Standard
-</v>
      </c>
    </row>
    <row r="34">
      <c r="A34" s="84" t="str">
        <f t="array" ref="A34">_xlfn.XLOOKUP(B34,'Up Icon'!A:A,'Up Icon'!B:B,)</f>
        <v/>
      </c>
      <c r="B34" s="89" t="str">
        <f t="array" ref="B34">HYPERLINK(_xlfn.XLOOKUP('Up Names'!E31,'Up Wiki'!A:A,'Up Wiki'!B:B,),'Up Names'!E31)</f>
        <v>Hallucinated Space</v>
      </c>
      <c r="C34" s="37" t="str">
        <f t="array" ref="C34">_xlfn.XLOOKUP(B34,'Up Desc'!A:A,'Up Desc'!B:B,)</f>
        <v>Magazine size is increased.</v>
      </c>
      <c r="D34" s="37" t="str">
        <f t="array" ref="D34">_xlfn.XLOOKUP(B34,'Up Turbo'!A:A,'Up Turbo'!B:B,)</f>
        <v>n/a</v>
      </c>
      <c r="E34" s="39" t="str">
        <f t="array" ref="E34">_xlfn.XLOOKUP(B34,'Up Stats'!A:A,'Up Stats'!B:B,)</f>
        <v>Magazine Size</v>
      </c>
      <c r="F34" s="40" t="str">
        <f>IFERROR(__xludf.DUMMYFUNCTION("if(AND(G34=FALSE,H34=FALSE),,if(G34=H34,JOIN("""",""Static: "",G34),JOIN("""",""Min:  "",G34, CHAR(10),""Max: "",H34)))"),"Min:  1
Max: 2")</f>
        <v>Min:  1
Max: 2</v>
      </c>
      <c r="G34" s="69">
        <f t="array" ref="G34">_xlfn.XLOOKUP(B34,'Up Min'!A:A,'Up Min'!B:B,)</f>
        <v>1</v>
      </c>
      <c r="H34" s="68">
        <f t="array" ref="H34">_xlfn.XLOOKUP(B34,'Up Max'!A:A,'Up Max'!B:B,)</f>
        <v>2</v>
      </c>
      <c r="I34" s="39" t="str">
        <f t="array" ref="I34">_xlfn.XLOOKUP(B34,'Up Stats'!A:A,'Up Stats'!C:C,)</f>
        <v/>
      </c>
      <c r="J34" s="40" t="str">
        <f>IFERROR(__xludf.DUMMYFUNCTION("if(AND(K34=FALSE,L34=FALSE),,if(K34=L34,JOIN("""",""Static: "",K34),JOIN("""",""Min:  "",K34, CHAR(10),""Max: "",L34)))"),"")</f>
        <v/>
      </c>
      <c r="K34" s="42" t="str">
        <f t="array" ref="K34">_xlfn.XLOOKUP(B34,'Up Min'!A:A,'Up Min'!C:C,)</f>
        <v/>
      </c>
      <c r="L34" s="42" t="str">
        <f t="array" ref="L34">_xlfn.XLOOKUP(B34,'Up Max'!A:A,'Up Max'!C:C,)</f>
        <v/>
      </c>
      <c r="M34" s="48" t="str">
        <f t="array" ref="M34">_xlfn.XLOOKUP(B34,'Up Stats'!A:A,'Up Stats'!D:D,)</f>
        <v/>
      </c>
      <c r="N34" s="40" t="str">
        <f>IFERROR(__xludf.DUMMYFUNCTION("if(AND(O34=FALSE,P34=FALSE),,if(O34=P34,JOIN("""",""Static: "",O34),JOIN("""",""Min:  "",O34, CHAR(10),""Max: "",P34)))"),"")</f>
        <v/>
      </c>
      <c r="O34" s="42" t="str">
        <f t="array" ref="O34">_xlfn.XLOOKUP(B34,'Up Min'!A:A,'Up Min'!D:D,)</f>
        <v/>
      </c>
      <c r="P34" s="42" t="str">
        <f t="array" ref="P34">_xlfn.XLOOKUP(B34,'Up Max'!A:A,'Up Max'!D:D,)</f>
        <v/>
      </c>
      <c r="Q34" s="48" t="str">
        <f t="array" ref="Q34">_xlfn.XLOOKUP(B34,'Up Stats'!A:A,'Up Stats'!E:E,)</f>
        <v/>
      </c>
      <c r="R34" s="40" t="str">
        <f>IFERROR(__xludf.DUMMYFUNCTION("if(AND(S34=FALSE,T34=FALSE),,if(S34=T34,JOIN("""",""Static: "",S34),JOIN("""",""Min:  "",S34, CHAR(10),""Max: "",T34)))"),"")</f>
        <v/>
      </c>
      <c r="S34" s="42" t="str">
        <f t="array" ref="S34">_xlfn.XLOOKUP(B34,'Up Min'!A:A,'Up Min'!E:E,)</f>
        <v/>
      </c>
      <c r="T34" s="42" t="str">
        <f t="array" ref="T34">_xlfn.XLOOKUP(B34,'Up Max'!A:A,'Up Max'!E:E,)</f>
        <v/>
      </c>
      <c r="U34" s="48" t="str">
        <f t="array" ref="U34">_xlfn.XLOOKUP(B34,'Up Stats'!A:A,'Up Stats'!F:F,)</f>
        <v/>
      </c>
      <c r="V34" s="40" t="str">
        <f>IFERROR(__xludf.DUMMYFUNCTION("if(AND(W34=FALSE,X34=FALSE),,if(W34=X34,JOIN("""",""Static: "",W34),JOIN("""",""Min:  "",W34, CHAR(10),""Max: "",X34)))"),"")</f>
        <v/>
      </c>
      <c r="W34" s="42" t="str">
        <f t="array" ref="W34">_xlfn.XLOOKUP(B34,'Up Min'!A:A,'Up Min'!F:F,)</f>
        <v/>
      </c>
      <c r="X34" s="42" t="str">
        <f t="array" ref="X34">_xlfn.XLOOKUP(B34,'Up Max'!A:A,'Up Max'!F:F,)</f>
        <v/>
      </c>
      <c r="Y34" s="48" t="str">
        <f t="array" ref="Y34">_xlfn.XLOOKUP(B34,'Up Stats'!A:A,'Up Stats'!G:G,)</f>
        <v/>
      </c>
      <c r="Z34" s="40" t="str">
        <f>IFERROR(__xludf.DUMMYFUNCTION("if(AND(AA34=FALSE,AB34=FALSE),,if(AA34=AB34,JOIN("""",""Static: "",AA34),JOIN("""",""Min:  "",AA34, CHAR(10),""Max: "",AB34)))"),"")</f>
        <v/>
      </c>
      <c r="AA34" s="42" t="str">
        <f t="array" ref="AA34">_xlfn.XLOOKUP(B34,'Up Min'!A:A,'Up Min'!G:G,)</f>
        <v/>
      </c>
      <c r="AB34" s="42" t="str">
        <f t="array" ref="AB34">_xlfn.XLOOKUP(B34,'Up Max'!A:A,'Up Max'!G:G,)</f>
        <v/>
      </c>
      <c r="AC34" s="48" t="str">
        <f t="array" ref="AC34">_xlfn.XLOOKUP(B34,'Up Stats'!A:A,'Up Stats'!H:H,)</f>
        <v/>
      </c>
      <c r="AD34" s="40" t="str">
        <f>IFERROR(__xludf.DUMMYFUNCTION("if(AND(AE34=FALSE,AF34=FALSE),,if(AE34=AF34,JOIN("""",""Static: "",AE34),JOIN("""",""Min:  "",AE34, CHAR(10),""Max: "",AF34)))"),"")</f>
        <v/>
      </c>
      <c r="AE34" s="42" t="str">
        <f t="array" ref="AE34">_xlfn.XLOOKUP(B34,'Up Min'!A:A,'Up Min'!H:H,)</f>
        <v/>
      </c>
      <c r="AF34" s="42" t="str">
        <f t="array" ref="AF34">_xlfn.XLOOKUP(B34,'Up Max'!A:A,'Up Max'!H:H,)</f>
        <v/>
      </c>
      <c r="AG34" s="48" t="str">
        <f t="array" ref="AG34">_xlfn.XLOOKUP(B34,'Up Stats'!A:A,'Up Stats'!I:I,)</f>
        <v/>
      </c>
      <c r="AH34" s="40" t="str">
        <f>IFERROR(__xludf.DUMMYFUNCTION("if(AND(AI34=FALSE,AJ34=FALSE),,if(AI34=AJ34,JOIN("""",""Static: "",AI34),JOIN("""",""Min:  "",AI34, CHAR(10),""Max: "",AJ34)))"),"")</f>
        <v/>
      </c>
      <c r="AI34" s="42" t="str">
        <f t="array" ref="AI34">_xlfn.XLOOKUP(B34,'Up Min'!A:A,'Up Min'!I:I,)</f>
        <v/>
      </c>
      <c r="AJ34" s="42" t="str">
        <f t="array" ref="AJ34">_xlfn.XLOOKUP(B34,'Up Max'!A:A,'Up Max'!I:I,)</f>
        <v/>
      </c>
      <c r="AK34" s="48" t="str">
        <f t="array" ref="AK34">_xlfn.XLOOKUP(B34,'Up Stats'!A:A,'Up Stats'!J:J,)</f>
        <v/>
      </c>
      <c r="AL34" s="40" t="str">
        <f>IFERROR(__xludf.DUMMYFUNCTION("if(AND(AM34=FALSE,AN34=FALSE),,if(AM34=AN34,JOIN("""",""Static: "",AM34),JOIN("""",""Min:  "",AM34, CHAR(10),""Max: "",AN34)))"),"")</f>
        <v/>
      </c>
      <c r="AM34" s="42" t="str">
        <f t="array" ref="AM34">_xlfn.XLOOKUP(B34,'Up Min'!A:A,'Up Min'!J:J,)</f>
        <v/>
      </c>
      <c r="AN34" s="42" t="str">
        <f t="array" ref="AN34">_xlfn.XLOOKUP(B34,'Up Max'!A:A,'Up Max'!J:J,)</f>
        <v/>
      </c>
      <c r="AO34" s="34" t="str">
        <f t="array" ref="AO34">CONCATENATE(_xlfn.XLOOKUP(B34,'Up Cells'!A:A,'Up Cells'!B:B,))</f>
        <v>2</v>
      </c>
      <c r="AP34" s="34" t="str">
        <f t="array" ref="AP34">CONCATENATE(_xlfn.XLOOKUP(B34,'Up Rarity'!A:A,'Up Rarity'!B:B,),CHAR(10),"-")</f>
        <v>Standard
-</v>
      </c>
    </row>
    <row r="35">
      <c r="A35" s="84" t="str">
        <f t="array" ref="A35">_xlfn.XLOOKUP(B35,'Up Icon'!A:A,'Up Icon'!B:B,)</f>
        <v/>
      </c>
      <c r="B35" s="88" t="str">
        <f t="array" ref="B35">HYPERLINK(_xlfn.XLOOKUP('Up Names'!E32,'Up Wiki'!A:A,'Up Wiki'!B:B,),'Up Names'!E32)</f>
        <v>Lead Poisoning</v>
      </c>
      <c r="C35" s="52" t="str">
        <f t="array" ref="C35">_xlfn.XLOOKUP(B35,'Up Desc'!A:A,'Up Desc'!B:B,)</f>
        <v>Damage is increased.</v>
      </c>
      <c r="D35" s="52" t="str">
        <f t="array" ref="D35">_xlfn.XLOOKUP(B35,'Up Turbo'!A:A,'Up Turbo'!B:B,)</f>
        <v>n/a</v>
      </c>
      <c r="E35" s="53" t="str">
        <f t="array" ref="E35">_xlfn.XLOOKUP(B35,'Up Stats'!A:A,'Up Stats'!B:B,)</f>
        <v>Damage</v>
      </c>
      <c r="F35" s="54" t="str">
        <f>IFERROR(__xludf.DUMMYFUNCTION("if(AND(G35=FALSE,H35=FALSE),,if(G35=H35,JOIN("""",""Static: "",G35),JOIN("""",""Min:  "",G35, CHAR(10),""Max: "",H35)))"),"Min:  8%
Max: 20%")</f>
        <v>Min:  8%
Max: 20%</v>
      </c>
      <c r="G35" s="59">
        <f t="array" ref="G35">_xlfn.XLOOKUP(B35,'Up Min'!A:A,'Up Min'!B:B,)</f>
        <v>0.08</v>
      </c>
      <c r="H35" s="59">
        <f t="array" ref="H35">_xlfn.XLOOKUP(B35,'Up Max'!A:A,'Up Max'!B:B,)</f>
        <v>0.2</v>
      </c>
      <c r="I35" s="53" t="str">
        <f t="array" ref="I35">_xlfn.XLOOKUP(B35,'Up Stats'!A:A,'Up Stats'!C:C,)</f>
        <v/>
      </c>
      <c r="J35" s="54" t="str">
        <f>IFERROR(__xludf.DUMMYFUNCTION("if(AND(K35=FALSE,L35=FALSE),,if(K35=L35,JOIN("""",""Static: "",K35),JOIN("""",""Min:  "",K35, CHAR(10),""Max: "",L35)))"),"")</f>
        <v/>
      </c>
      <c r="K35" s="55" t="str">
        <f t="array" ref="K35">_xlfn.XLOOKUP(B35,'Up Min'!A:A,'Up Min'!C:C,)</f>
        <v/>
      </c>
      <c r="L35" s="55" t="str">
        <f t="array" ref="L35">_xlfn.XLOOKUP(B35,'Up Max'!A:A,'Up Max'!C:C,)</f>
        <v/>
      </c>
      <c r="M35" s="57" t="str">
        <f t="array" ref="M35">_xlfn.XLOOKUP(B35,'Up Stats'!A:A,'Up Stats'!D:D,)</f>
        <v/>
      </c>
      <c r="N35" s="54" t="str">
        <f>IFERROR(__xludf.DUMMYFUNCTION("if(AND(O35=FALSE,P35=FALSE),,if(O35=P35,JOIN("""",""Static: "",O35),JOIN("""",""Min:  "",O35, CHAR(10),""Max: "",P35)))"),"")</f>
        <v/>
      </c>
      <c r="O35" s="55" t="str">
        <f t="array" ref="O35">_xlfn.XLOOKUP(B35,'Up Min'!A:A,'Up Min'!D:D,)</f>
        <v/>
      </c>
      <c r="P35" s="55" t="str">
        <f t="array" ref="P35">_xlfn.XLOOKUP(B35,'Up Max'!A:A,'Up Max'!D:D,)</f>
        <v/>
      </c>
      <c r="Q35" s="57" t="str">
        <f t="array" ref="Q35">_xlfn.XLOOKUP(B35,'Up Stats'!A:A,'Up Stats'!E:E,)</f>
        <v/>
      </c>
      <c r="R35" s="54" t="str">
        <f>IFERROR(__xludf.DUMMYFUNCTION("if(AND(S35=FALSE,T35=FALSE),,if(S35=T35,JOIN("""",""Static: "",S35),JOIN("""",""Min:  "",S35, CHAR(10),""Max: "",T35)))"),"")</f>
        <v/>
      </c>
      <c r="S35" s="55" t="str">
        <f t="array" ref="S35">_xlfn.XLOOKUP(B35,'Up Min'!A:A,'Up Min'!E:E,)</f>
        <v/>
      </c>
      <c r="T35" s="55" t="str">
        <f t="array" ref="T35">_xlfn.XLOOKUP(B35,'Up Max'!A:A,'Up Max'!E:E,)</f>
        <v/>
      </c>
      <c r="U35" s="57" t="str">
        <f t="array" ref="U35">_xlfn.XLOOKUP(B35,'Up Stats'!A:A,'Up Stats'!F:F,)</f>
        <v/>
      </c>
      <c r="V35" s="54" t="str">
        <f>IFERROR(__xludf.DUMMYFUNCTION("if(AND(W35=FALSE,X35=FALSE),,if(W35=X35,JOIN("""",""Static: "",W35),JOIN("""",""Min:  "",W35, CHAR(10),""Max: "",X35)))"),"")</f>
        <v/>
      </c>
      <c r="W35" s="55" t="str">
        <f t="array" ref="W35">_xlfn.XLOOKUP(B35,'Up Min'!A:A,'Up Min'!F:F,)</f>
        <v/>
      </c>
      <c r="X35" s="55" t="str">
        <f t="array" ref="X35">_xlfn.XLOOKUP(B35,'Up Max'!A:A,'Up Max'!F:F,)</f>
        <v/>
      </c>
      <c r="Y35" s="57" t="str">
        <f t="array" ref="Y35">_xlfn.XLOOKUP(B35,'Up Stats'!A:A,'Up Stats'!G:G,)</f>
        <v/>
      </c>
      <c r="Z35" s="54" t="str">
        <f>IFERROR(__xludf.DUMMYFUNCTION("if(AND(AA35=FALSE,AB35=FALSE),,if(AA35=AB35,JOIN("""",""Static: "",AA35),JOIN("""",""Min:  "",AA35, CHAR(10),""Max: "",AB35)))"),"")</f>
        <v/>
      </c>
      <c r="AA35" s="55" t="str">
        <f t="array" ref="AA35">_xlfn.XLOOKUP(B35,'Up Min'!A:A,'Up Min'!G:G,)</f>
        <v/>
      </c>
      <c r="AB35" s="55" t="str">
        <f t="array" ref="AB35">_xlfn.XLOOKUP(B35,'Up Max'!A:A,'Up Max'!G:G,)</f>
        <v/>
      </c>
      <c r="AC35" s="57" t="str">
        <f t="array" ref="AC35">_xlfn.XLOOKUP(B35,'Up Stats'!A:A,'Up Stats'!H:H,)</f>
        <v/>
      </c>
      <c r="AD35" s="54" t="str">
        <f>IFERROR(__xludf.DUMMYFUNCTION("if(AND(AE35=FALSE,AF35=FALSE),,if(AE35=AF35,JOIN("""",""Static: "",AE35),JOIN("""",""Min:  "",AE35, CHAR(10),""Max: "",AF35)))"),"")</f>
        <v/>
      </c>
      <c r="AE35" s="55" t="str">
        <f t="array" ref="AE35">_xlfn.XLOOKUP(B35,'Up Min'!A:A,'Up Min'!H:H,)</f>
        <v/>
      </c>
      <c r="AF35" s="55" t="str">
        <f t="array" ref="AF35">_xlfn.XLOOKUP(B35,'Up Max'!A:A,'Up Max'!H:H,)</f>
        <v/>
      </c>
      <c r="AG35" s="57" t="str">
        <f t="array" ref="AG35">_xlfn.XLOOKUP(B35,'Up Stats'!A:A,'Up Stats'!I:I,)</f>
        <v/>
      </c>
      <c r="AH35" s="54" t="str">
        <f>IFERROR(__xludf.DUMMYFUNCTION("if(AND(AI35=FALSE,AJ35=FALSE),,if(AI35=AJ35,JOIN("""",""Static: "",AI35),JOIN("""",""Min:  "",AI35, CHAR(10),""Max: "",AJ35)))"),"")</f>
        <v/>
      </c>
      <c r="AI35" s="55" t="str">
        <f t="array" ref="AI35">_xlfn.XLOOKUP(B35,'Up Min'!A:A,'Up Min'!I:I,)</f>
        <v/>
      </c>
      <c r="AJ35" s="55" t="str">
        <f t="array" ref="AJ35">_xlfn.XLOOKUP(B35,'Up Max'!A:A,'Up Max'!I:I,)</f>
        <v/>
      </c>
      <c r="AK35" s="57" t="str">
        <f t="array" ref="AK35">_xlfn.XLOOKUP(B35,'Up Stats'!A:A,'Up Stats'!J:J,)</f>
        <v/>
      </c>
      <c r="AL35" s="54" t="str">
        <f>IFERROR(__xludf.DUMMYFUNCTION("if(AND(AM35=FALSE,AN35=FALSE),,if(AM35=AN35,JOIN("""",""Static: "",AM35),JOIN("""",""Min:  "",AM35, CHAR(10),""Max: "",AN35)))"),"")</f>
        <v/>
      </c>
      <c r="AM35" s="55" t="str">
        <f t="array" ref="AM35">_xlfn.XLOOKUP(B35,'Up Min'!A:A,'Up Min'!J:J,)</f>
        <v/>
      </c>
      <c r="AN35" s="55" t="str">
        <f t="array" ref="AN35">_xlfn.XLOOKUP(B35,'Up Max'!A:A,'Up Max'!J:J,)</f>
        <v/>
      </c>
      <c r="AO35" s="51" t="str">
        <f t="array" ref="AO35">CONCATENATE(_xlfn.XLOOKUP(B35,'Up Cells'!A:A,'Up Cells'!B:B,))</f>
        <v>3</v>
      </c>
      <c r="AP35" s="51" t="str">
        <f t="array" ref="AP35">CONCATENATE(_xlfn.XLOOKUP(B35,'Up Rarity'!A:A,'Up Rarity'!B:B,),CHAR(10),"-")</f>
        <v>Standard
-</v>
      </c>
    </row>
    <row r="36">
      <c r="A36" s="87" t="str">
        <f t="array" ref="A36">_xlfn.XLOOKUP(B36,'Up Icon'!A:A,'Up Icon'!B:B,)</f>
        <v/>
      </c>
      <c r="B36" s="58" t="str">
        <f t="array" ref="B36">HYPERLINK(_xlfn.XLOOKUP('Up Names'!E36,'Up Wiki'!A:A,'Up Wiki'!B:B,),'Up Names'!E36)</f>
        <v/>
      </c>
      <c r="C36" s="37" t="str">
        <f t="array" ref="C36">_xlfn.XLOOKUP(B36,'Up Desc'!A:A,'Up Desc'!B:B,)</f>
        <v/>
      </c>
      <c r="D36" s="37" t="str">
        <f t="array" ref="D36">_xlfn.XLOOKUP(B36,'Up Turbo'!A:A,'Up Turbo'!B:B,)</f>
        <v/>
      </c>
      <c r="E36" s="39" t="str">
        <f t="array" ref="E36">_xlfn.XLOOKUP(B36,'Up Stats'!A:A,'Up Stats'!B:B,)</f>
        <v/>
      </c>
      <c r="F36" s="40" t="str">
        <f>IFERROR(__xludf.DUMMYFUNCTION("if(AND(G36=FALSE,H36=FALSE),,if(G36=H36,JOIN("""",""Static: "",G36),JOIN("""",""Min:  "",G36, CHAR(10),""Max: "",H36)))"),"")</f>
        <v/>
      </c>
      <c r="G36" s="42" t="str">
        <f t="array" ref="G36">_xlfn.XLOOKUP(B36,'Up Min'!A:A,'Up Min'!B:B,)</f>
        <v/>
      </c>
      <c r="H36" s="45" t="str">
        <f t="array" ref="H36">_xlfn.XLOOKUP(B36,'Up Max'!A:A,'Up Max'!B:B,)</f>
        <v/>
      </c>
      <c r="I36" s="39" t="str">
        <f t="array" ref="I36">_xlfn.XLOOKUP(B36,'Up Stats'!A:A,'Up Stats'!C:C,)</f>
        <v/>
      </c>
      <c r="J36" s="40" t="str">
        <f>IFERROR(__xludf.DUMMYFUNCTION("if(AND(K36=FALSE,L36=FALSE),,if(K36=L36,JOIN("""",""Static: "",K36),JOIN("""",""Min:  "",K36, CHAR(10),""Max: "",L36)))"),"")</f>
        <v/>
      </c>
      <c r="K36" s="42" t="str">
        <f t="array" ref="K36">_xlfn.XLOOKUP(B36,'Up Min'!A:A,'Up Min'!C:C,)</f>
        <v/>
      </c>
      <c r="L36" s="42" t="str">
        <f t="array" ref="L36">_xlfn.XLOOKUP(B36,'Up Max'!A:A,'Up Max'!C:C,)</f>
        <v/>
      </c>
      <c r="M36" s="48" t="str">
        <f t="array" ref="M36">_xlfn.XLOOKUP(B36,'Up Stats'!A:A,'Up Stats'!D:D,)</f>
        <v/>
      </c>
      <c r="N36" s="40" t="str">
        <f>IFERROR(__xludf.DUMMYFUNCTION("if(AND(O36=FALSE,P36=FALSE),,if(O36=P36,JOIN("""",""Static: "",O36),JOIN("""",""Min:  "",O36, CHAR(10),""Max: "",P36)))"),"")</f>
        <v/>
      </c>
      <c r="O36" s="42" t="str">
        <f t="array" ref="O36">_xlfn.XLOOKUP(B36,'Up Min'!A:A,'Up Min'!D:D,)</f>
        <v/>
      </c>
      <c r="P36" s="42" t="str">
        <f t="array" ref="P36">_xlfn.XLOOKUP(B36,'Up Max'!A:A,'Up Max'!D:D,)</f>
        <v/>
      </c>
      <c r="Q36" s="48" t="str">
        <f t="array" ref="Q36">_xlfn.XLOOKUP(B36,'Up Stats'!A:A,'Up Stats'!E:E,)</f>
        <v/>
      </c>
      <c r="R36" s="40" t="str">
        <f>IFERROR(__xludf.DUMMYFUNCTION("if(AND(S36=FALSE,T36=FALSE),,if(S36=T36,JOIN("""",""Static: "",S36),JOIN("""",""Min:  "",S36, CHAR(10),""Max: "",T36)))"),"")</f>
        <v/>
      </c>
      <c r="S36" s="42" t="str">
        <f t="array" ref="S36">_xlfn.XLOOKUP(B36,'Up Min'!A:A,'Up Min'!E:E,)</f>
        <v/>
      </c>
      <c r="T36" s="42" t="str">
        <f t="array" ref="T36">_xlfn.XLOOKUP(B36,'Up Max'!A:A,'Up Max'!E:E,)</f>
        <v/>
      </c>
      <c r="U36" s="48" t="str">
        <f t="array" ref="U36">_xlfn.XLOOKUP(B36,'Up Stats'!A:A,'Up Stats'!F:F,)</f>
        <v/>
      </c>
      <c r="V36" s="40" t="str">
        <f>IFERROR(__xludf.DUMMYFUNCTION("if(AND(W36=FALSE,X36=FALSE),,if(W36=X36,JOIN("""",""Static: "",W36),JOIN("""",""Min:  "",W36, CHAR(10),""Max: "",X36)))"),"")</f>
        <v/>
      </c>
      <c r="W36" s="42" t="str">
        <f t="array" ref="W36">_xlfn.XLOOKUP(B36,'Up Min'!A:A,'Up Min'!F:F,)</f>
        <v/>
      </c>
      <c r="X36" s="42" t="str">
        <f t="array" ref="X36">_xlfn.XLOOKUP(B36,'Up Max'!A:A,'Up Max'!F:F,)</f>
        <v/>
      </c>
      <c r="Y36" s="48" t="str">
        <f t="array" ref="Y36">_xlfn.XLOOKUP(B36,'Up Stats'!A:A,'Up Stats'!G:G,)</f>
        <v/>
      </c>
      <c r="Z36" s="40" t="str">
        <f>IFERROR(__xludf.DUMMYFUNCTION("if(AND(AA36=FALSE,AB36=FALSE),,if(AA36=AB36,JOIN("""",""Static: "",AA36),JOIN("""",""Min:  "",AA36, CHAR(10),""Max: "",AB36)))"),"")</f>
        <v/>
      </c>
      <c r="AA36" s="42" t="str">
        <f t="array" ref="AA36">_xlfn.XLOOKUP(B36,'Up Min'!A:A,'Up Min'!G:G,)</f>
        <v/>
      </c>
      <c r="AB36" s="42" t="str">
        <f t="array" ref="AB36">_xlfn.XLOOKUP(B36,'Up Max'!A:A,'Up Max'!G:G,)</f>
        <v/>
      </c>
      <c r="AC36" s="48" t="str">
        <f t="array" ref="AC36">_xlfn.XLOOKUP(B36,'Up Stats'!A:A,'Up Stats'!H:H,)</f>
        <v/>
      </c>
      <c r="AD36" s="40" t="str">
        <f>IFERROR(__xludf.DUMMYFUNCTION("if(AND(AE36=FALSE,AF36=FALSE),,if(AE36=AF36,JOIN("""",""Static: "",AE36),JOIN("""",""Min:  "",AE36, CHAR(10),""Max: "",AF36)))"),"")</f>
        <v/>
      </c>
      <c r="AE36" s="42" t="str">
        <f t="array" ref="AE36">_xlfn.XLOOKUP(B36,'Up Min'!A:A,'Up Min'!H:H,)</f>
        <v/>
      </c>
      <c r="AF36" s="42" t="str">
        <f t="array" ref="AF36">_xlfn.XLOOKUP(B36,'Up Max'!A:A,'Up Max'!H:H,)</f>
        <v/>
      </c>
      <c r="AG36" s="48" t="str">
        <f t="array" ref="AG36">_xlfn.XLOOKUP(B36,'Up Stats'!A:A,'Up Stats'!I:I,)</f>
        <v/>
      </c>
      <c r="AH36" s="40" t="str">
        <f>IFERROR(__xludf.DUMMYFUNCTION("if(AND(AI36=FALSE,AJ36=FALSE),,if(AI36=AJ36,JOIN("""",""Static: "",AI36),JOIN("""",""Min:  "",AI36, CHAR(10),""Max: "",AJ36)))"),"")</f>
        <v/>
      </c>
      <c r="AI36" s="42" t="str">
        <f t="array" ref="AI36">_xlfn.XLOOKUP(B36,'Up Min'!A:A,'Up Min'!I:I,)</f>
        <v/>
      </c>
      <c r="AJ36" s="42" t="str">
        <f t="array" ref="AJ36">_xlfn.XLOOKUP(B36,'Up Max'!A:A,'Up Max'!I:I,)</f>
        <v/>
      </c>
      <c r="AK36" s="48" t="str">
        <f t="array" ref="AK36">_xlfn.XLOOKUP(B36,'Up Stats'!A:A,'Up Stats'!J:J,)</f>
        <v/>
      </c>
      <c r="AL36" s="40" t="str">
        <f>IFERROR(__xludf.DUMMYFUNCTION("if(AND(AM36=FALSE,AN36=FALSE),,if(AM36=AN36,JOIN("""",""Static: "",AM36),JOIN("""",""Min:  "",AM36, CHAR(10),""Max: "",AN36)))"),"")</f>
        <v/>
      </c>
      <c r="AM36" s="42" t="str">
        <f t="array" ref="AM36">_xlfn.XLOOKUP(B36,'Up Min'!A:A,'Up Min'!J:J,)</f>
        <v/>
      </c>
      <c r="AN36" s="42" t="str">
        <f t="array" ref="AN36">_xlfn.XLOOKUP(B36,'Up Max'!A:A,'Up Max'!J:J,)</f>
        <v/>
      </c>
      <c r="AO36" s="34" t="str">
        <f t="array" ref="AO36">CONCATENATE(_xlfn.XLOOKUP(B36,'Up Cells'!A:A,'Up Cells'!B:B,))</f>
        <v/>
      </c>
      <c r="AP36" s="34" t="str">
        <f t="array" ref="AP36">CONCATENATE(_xlfn.XLOOKUP(B36,'Up Rarity'!A:A,'Up Rarity'!B:B,),CHAR(10),"-")</f>
        <v>
-</v>
      </c>
    </row>
    <row r="37">
      <c r="A37" s="86" t="str">
        <f t="array" ref="A37">_xlfn.XLOOKUP(B37,'Up Icon'!A:A,'Up Icon'!B:B,)</f>
        <v/>
      </c>
      <c r="B37" s="61" t="str">
        <f t="array" ref="B37">HYPERLINK(_xlfn.XLOOKUP('Up Names'!E37,'Up Wiki'!A:A,'Up Wiki'!B:B,),'Up Names'!E37)</f>
        <v/>
      </c>
      <c r="C37" s="52" t="str">
        <f t="array" ref="C37">_xlfn.XLOOKUP(B37,'Up Desc'!A:A,'Up Desc'!B:B,)</f>
        <v/>
      </c>
      <c r="D37" s="52" t="str">
        <f t="array" ref="D37">_xlfn.XLOOKUP(B37,'Up Turbo'!A:A,'Up Turbo'!B:B,)</f>
        <v/>
      </c>
      <c r="E37" s="53" t="str">
        <f t="array" ref="E37">_xlfn.XLOOKUP(B37,'Up Stats'!A:A,'Up Stats'!B:B,)</f>
        <v/>
      </c>
      <c r="F37" s="54" t="str">
        <f>IFERROR(__xludf.DUMMYFUNCTION("if(AND(G37=FALSE,H37=FALSE),,if(G37=H37,JOIN("""",""Static: "",G37),JOIN("""",""Min:  "",G37, CHAR(10),""Max: "",H37)))"),"")</f>
        <v/>
      </c>
      <c r="G37" s="55" t="str">
        <f t="array" ref="G37">_xlfn.XLOOKUP(B37,'Up Min'!A:A,'Up Min'!B:B,)</f>
        <v/>
      </c>
      <c r="H37" s="56" t="str">
        <f t="array" ref="H37">_xlfn.XLOOKUP(B37,'Up Max'!A:A,'Up Max'!B:B,)</f>
        <v/>
      </c>
      <c r="I37" s="53" t="str">
        <f t="array" ref="I37">_xlfn.XLOOKUP(B37,'Up Stats'!A:A,'Up Stats'!C:C,)</f>
        <v/>
      </c>
      <c r="J37" s="54" t="str">
        <f>IFERROR(__xludf.DUMMYFUNCTION("if(AND(K37=FALSE,L37=FALSE),,if(K37=L37,JOIN("""",""Static: "",K37),JOIN("""",""Min:  "",K37, CHAR(10),""Max: "",L37)))"),"")</f>
        <v/>
      </c>
      <c r="K37" s="55" t="str">
        <f t="array" ref="K37">_xlfn.XLOOKUP(B37,'Up Min'!A:A,'Up Min'!C:C,)</f>
        <v/>
      </c>
      <c r="L37" s="55" t="str">
        <f t="array" ref="L37">_xlfn.XLOOKUP(B37,'Up Max'!A:A,'Up Max'!C:C,)</f>
        <v/>
      </c>
      <c r="M37" s="57" t="str">
        <f t="array" ref="M37">_xlfn.XLOOKUP(B37,'Up Stats'!A:A,'Up Stats'!D:D,)</f>
        <v/>
      </c>
      <c r="N37" s="54" t="str">
        <f>IFERROR(__xludf.DUMMYFUNCTION("if(AND(O37=FALSE,P37=FALSE),,if(O37=P37,JOIN("""",""Static: "",O37),JOIN("""",""Min:  "",O37, CHAR(10),""Max: "",P37)))"),"")</f>
        <v/>
      </c>
      <c r="O37" s="55" t="str">
        <f t="array" ref="O37">_xlfn.XLOOKUP(B37,'Up Min'!A:A,'Up Min'!D:D,)</f>
        <v/>
      </c>
      <c r="P37" s="55" t="str">
        <f t="array" ref="P37">_xlfn.XLOOKUP(B37,'Up Max'!A:A,'Up Max'!D:D,)</f>
        <v/>
      </c>
      <c r="Q37" s="57" t="str">
        <f t="array" ref="Q37">_xlfn.XLOOKUP(B37,'Up Stats'!A:A,'Up Stats'!E:E,)</f>
        <v/>
      </c>
      <c r="R37" s="54" t="str">
        <f>IFERROR(__xludf.DUMMYFUNCTION("if(AND(S37=FALSE,T37=FALSE),,if(S37=T37,JOIN("""",""Static: "",S37),JOIN("""",""Min:  "",S37, CHAR(10),""Max: "",T37)))"),"")</f>
        <v/>
      </c>
      <c r="S37" s="55" t="str">
        <f t="array" ref="S37">_xlfn.XLOOKUP(B37,'Up Min'!A:A,'Up Min'!E:E,)</f>
        <v/>
      </c>
      <c r="T37" s="55" t="str">
        <f t="array" ref="T37">_xlfn.XLOOKUP(B37,'Up Max'!A:A,'Up Max'!E:E,)</f>
        <v/>
      </c>
      <c r="U37" s="57" t="str">
        <f t="array" ref="U37">_xlfn.XLOOKUP(B37,'Up Stats'!A:A,'Up Stats'!F:F,)</f>
        <v/>
      </c>
      <c r="V37" s="54" t="str">
        <f>IFERROR(__xludf.DUMMYFUNCTION("if(AND(W37=FALSE,X37=FALSE),,if(W37=X37,JOIN("""",""Static: "",W37),JOIN("""",""Min:  "",W37, CHAR(10),""Max: "",X37)))"),"")</f>
        <v/>
      </c>
      <c r="W37" s="55" t="str">
        <f t="array" ref="W37">_xlfn.XLOOKUP(B37,'Up Min'!A:A,'Up Min'!F:F,)</f>
        <v/>
      </c>
      <c r="X37" s="55" t="str">
        <f t="array" ref="X37">_xlfn.XLOOKUP(B37,'Up Max'!A:A,'Up Max'!F:F,)</f>
        <v/>
      </c>
      <c r="Y37" s="57" t="str">
        <f t="array" ref="Y37">_xlfn.XLOOKUP(B37,'Up Stats'!A:A,'Up Stats'!G:G,)</f>
        <v/>
      </c>
      <c r="Z37" s="54" t="str">
        <f>IFERROR(__xludf.DUMMYFUNCTION("if(AND(AA37=FALSE,AB37=FALSE),,if(AA37=AB37,JOIN("""",""Static: "",AA37),JOIN("""",""Min:  "",AA37, CHAR(10),""Max: "",AB37)))"),"")</f>
        <v/>
      </c>
      <c r="AA37" s="55" t="str">
        <f t="array" ref="AA37">_xlfn.XLOOKUP(B37,'Up Min'!A:A,'Up Min'!G:G,)</f>
        <v/>
      </c>
      <c r="AB37" s="55" t="str">
        <f t="array" ref="AB37">_xlfn.XLOOKUP(B37,'Up Max'!A:A,'Up Max'!G:G,)</f>
        <v/>
      </c>
      <c r="AC37" s="57" t="str">
        <f t="array" ref="AC37">_xlfn.XLOOKUP(B37,'Up Stats'!A:A,'Up Stats'!H:H,)</f>
        <v/>
      </c>
      <c r="AD37" s="54" t="str">
        <f>IFERROR(__xludf.DUMMYFUNCTION("if(AND(AE37=FALSE,AF37=FALSE),,if(AE37=AF37,JOIN("""",""Static: "",AE37),JOIN("""",""Min:  "",AE37, CHAR(10),""Max: "",AF37)))"),"")</f>
        <v/>
      </c>
      <c r="AE37" s="55" t="str">
        <f t="array" ref="AE37">_xlfn.XLOOKUP(B37,'Up Min'!A:A,'Up Min'!H:H,)</f>
        <v/>
      </c>
      <c r="AF37" s="55" t="str">
        <f t="array" ref="AF37">_xlfn.XLOOKUP(B37,'Up Max'!A:A,'Up Max'!H:H,)</f>
        <v/>
      </c>
      <c r="AG37" s="57" t="str">
        <f t="array" ref="AG37">_xlfn.XLOOKUP(B37,'Up Stats'!A:A,'Up Stats'!I:I,)</f>
        <v/>
      </c>
      <c r="AH37" s="54" t="str">
        <f>IFERROR(__xludf.DUMMYFUNCTION("if(AND(AI37=FALSE,AJ37=FALSE),,if(AI37=AJ37,JOIN("""",""Static: "",AI37),JOIN("""",""Min:  "",AI37, CHAR(10),""Max: "",AJ37)))"),"")</f>
        <v/>
      </c>
      <c r="AI37" s="55" t="str">
        <f t="array" ref="AI37">_xlfn.XLOOKUP(B37,'Up Min'!A:A,'Up Min'!I:I,)</f>
        <v/>
      </c>
      <c r="AJ37" s="55" t="str">
        <f t="array" ref="AJ37">_xlfn.XLOOKUP(B37,'Up Max'!A:A,'Up Max'!I:I,)</f>
        <v/>
      </c>
      <c r="AK37" s="57" t="str">
        <f t="array" ref="AK37">_xlfn.XLOOKUP(B37,'Up Stats'!A:A,'Up Stats'!J:J,)</f>
        <v/>
      </c>
      <c r="AL37" s="54" t="str">
        <f>IFERROR(__xludf.DUMMYFUNCTION("if(AND(AM37=FALSE,AN37=FALSE),,if(AM37=AN37,JOIN("""",""Static: "",AM37),JOIN("""",""Min:  "",AM37, CHAR(10),""Max: "",AN37)))"),"")</f>
        <v/>
      </c>
      <c r="AM37" s="55" t="str">
        <f t="array" ref="AM37">_xlfn.XLOOKUP(B37,'Up Min'!A:A,'Up Min'!J:J,)</f>
        <v/>
      </c>
      <c r="AN37" s="55" t="str">
        <f t="array" ref="AN37">_xlfn.XLOOKUP(B37,'Up Max'!A:A,'Up Max'!J:J,)</f>
        <v/>
      </c>
      <c r="AO37" s="51" t="str">
        <f t="array" ref="AO37">CONCATENATE(_xlfn.XLOOKUP(B37,'Up Cells'!A:A,'Up Cells'!B:B,))</f>
        <v/>
      </c>
      <c r="AP37" s="51" t="str">
        <f t="array" ref="AP37">CONCATENATE(_xlfn.XLOOKUP(B37,'Up Rarity'!A:A,'Up Rarity'!B:B,),CHAR(10),"-")</f>
        <v>
-</v>
      </c>
    </row>
    <row r="38">
      <c r="A38" s="87" t="str">
        <f t="array" ref="A38">_xlfn.XLOOKUP(B38,'Up Icon'!A:A,'Up Icon'!B:B,)</f>
        <v/>
      </c>
      <c r="B38" s="58" t="str">
        <f t="array" ref="B38">HYPERLINK(_xlfn.XLOOKUP('Up Names'!E38,'Up Wiki'!A:A,'Up Wiki'!B:B,),'Up Names'!E38)</f>
        <v/>
      </c>
      <c r="C38" s="37" t="str">
        <f t="array" ref="C38">_xlfn.XLOOKUP(B38,'Up Desc'!A:A,'Up Desc'!B:B,)</f>
        <v/>
      </c>
      <c r="D38" s="37" t="str">
        <f t="array" ref="D38">_xlfn.XLOOKUP(B38,'Up Turbo'!A:A,'Up Turbo'!B:B,)</f>
        <v/>
      </c>
      <c r="E38" s="39" t="str">
        <f t="array" ref="E38">_xlfn.XLOOKUP(B38,'Up Stats'!A:A,'Up Stats'!B:B,)</f>
        <v/>
      </c>
      <c r="F38" s="40" t="str">
        <f>IFERROR(__xludf.DUMMYFUNCTION("if(AND(G38=FALSE,H38=FALSE),,if(G38=H38,JOIN("""",""Static: "",G38),JOIN("""",""Min:  "",G38, CHAR(10),""Max: "",H38)))"),"")</f>
        <v/>
      </c>
      <c r="G38" s="42" t="str">
        <f t="array" ref="G38">_xlfn.XLOOKUP(B38,'Up Min'!A:A,'Up Min'!B:B,)</f>
        <v/>
      </c>
      <c r="H38" s="45" t="str">
        <f t="array" ref="H38">_xlfn.XLOOKUP(B38,'Up Max'!A:A,'Up Max'!B:B,)</f>
        <v/>
      </c>
      <c r="I38" s="39" t="str">
        <f t="array" ref="I38">_xlfn.XLOOKUP(B38,'Up Stats'!A:A,'Up Stats'!C:C,)</f>
        <v/>
      </c>
      <c r="J38" s="40" t="str">
        <f>IFERROR(__xludf.DUMMYFUNCTION("if(AND(K38=FALSE,L38=FALSE),,if(K38=L38,JOIN("""",""Static: "",K38),JOIN("""",""Min:  "",K38, CHAR(10),""Max: "",L38)))"),"")</f>
        <v/>
      </c>
      <c r="K38" s="42" t="str">
        <f t="array" ref="K38">_xlfn.XLOOKUP(B38,'Up Min'!A:A,'Up Min'!C:C,)</f>
        <v/>
      </c>
      <c r="L38" s="42" t="str">
        <f t="array" ref="L38">_xlfn.XLOOKUP(B38,'Up Max'!A:A,'Up Max'!C:C,)</f>
        <v/>
      </c>
      <c r="M38" s="48" t="str">
        <f t="array" ref="M38">_xlfn.XLOOKUP(B38,'Up Stats'!A:A,'Up Stats'!D:D,)</f>
        <v/>
      </c>
      <c r="N38" s="40" t="str">
        <f>IFERROR(__xludf.DUMMYFUNCTION("if(AND(O38=FALSE,P38=FALSE),,if(O38=P38,JOIN("""",""Static: "",O38),JOIN("""",""Min:  "",O38, CHAR(10),""Max: "",P38)))"),"")</f>
        <v/>
      </c>
      <c r="O38" s="42" t="str">
        <f t="array" ref="O38">_xlfn.XLOOKUP(B38,'Up Min'!A:A,'Up Min'!D:D,)</f>
        <v/>
      </c>
      <c r="P38" s="42" t="str">
        <f t="array" ref="P38">_xlfn.XLOOKUP(B38,'Up Max'!A:A,'Up Max'!D:D,)</f>
        <v/>
      </c>
      <c r="Q38" s="48" t="str">
        <f t="array" ref="Q38">_xlfn.XLOOKUP(B38,'Up Stats'!A:A,'Up Stats'!E:E,)</f>
        <v/>
      </c>
      <c r="R38" s="40" t="str">
        <f>IFERROR(__xludf.DUMMYFUNCTION("if(AND(S38=FALSE,T38=FALSE),,if(S38=T38,JOIN("""",""Static: "",S38),JOIN("""",""Min:  "",S38, CHAR(10),""Max: "",T38)))"),"")</f>
        <v/>
      </c>
      <c r="S38" s="42" t="str">
        <f t="array" ref="S38">_xlfn.XLOOKUP(B38,'Up Min'!A:A,'Up Min'!E:E,)</f>
        <v/>
      </c>
      <c r="T38" s="42" t="str">
        <f t="array" ref="T38">_xlfn.XLOOKUP(B38,'Up Max'!A:A,'Up Max'!E:E,)</f>
        <v/>
      </c>
      <c r="U38" s="48" t="str">
        <f t="array" ref="U38">_xlfn.XLOOKUP(B38,'Up Stats'!A:A,'Up Stats'!F:F,)</f>
        <v/>
      </c>
      <c r="V38" s="40" t="str">
        <f>IFERROR(__xludf.DUMMYFUNCTION("if(AND(W38=FALSE,X38=FALSE),,if(W38=X38,JOIN("""",""Static: "",W38),JOIN("""",""Min:  "",W38, CHAR(10),""Max: "",X38)))"),"")</f>
        <v/>
      </c>
      <c r="W38" s="42" t="str">
        <f t="array" ref="W38">_xlfn.XLOOKUP(B38,'Up Min'!A:A,'Up Min'!F:F,)</f>
        <v/>
      </c>
      <c r="X38" s="42" t="str">
        <f t="array" ref="X38">_xlfn.XLOOKUP(B38,'Up Max'!A:A,'Up Max'!F:F,)</f>
        <v/>
      </c>
      <c r="Y38" s="48" t="str">
        <f t="array" ref="Y38">_xlfn.XLOOKUP(B38,'Up Stats'!A:A,'Up Stats'!G:G,)</f>
        <v/>
      </c>
      <c r="Z38" s="40" t="str">
        <f>IFERROR(__xludf.DUMMYFUNCTION("if(AND(AA38=FALSE,AB38=FALSE),,if(AA38=AB38,JOIN("""",""Static: "",AA38),JOIN("""",""Min:  "",AA38, CHAR(10),""Max: "",AB38)))"),"")</f>
        <v/>
      </c>
      <c r="AA38" s="42" t="str">
        <f t="array" ref="AA38">_xlfn.XLOOKUP(B38,'Up Min'!A:A,'Up Min'!G:G,)</f>
        <v/>
      </c>
      <c r="AB38" s="42" t="str">
        <f t="array" ref="AB38">_xlfn.XLOOKUP(B38,'Up Max'!A:A,'Up Max'!G:G,)</f>
        <v/>
      </c>
      <c r="AC38" s="48" t="str">
        <f t="array" ref="AC38">_xlfn.XLOOKUP(B38,'Up Stats'!A:A,'Up Stats'!H:H,)</f>
        <v/>
      </c>
      <c r="AD38" s="40" t="str">
        <f>IFERROR(__xludf.DUMMYFUNCTION("if(AND(AE38=FALSE,AF38=FALSE),,if(AE38=AF38,JOIN("""",""Static: "",AE38),JOIN("""",""Min:  "",AE38, CHAR(10),""Max: "",AF38)))"),"")</f>
        <v/>
      </c>
      <c r="AE38" s="42" t="str">
        <f t="array" ref="AE38">_xlfn.XLOOKUP(B38,'Up Min'!A:A,'Up Min'!H:H,)</f>
        <v/>
      </c>
      <c r="AF38" s="42" t="str">
        <f t="array" ref="AF38">_xlfn.XLOOKUP(B38,'Up Max'!A:A,'Up Max'!H:H,)</f>
        <v/>
      </c>
      <c r="AG38" s="48" t="str">
        <f t="array" ref="AG38">_xlfn.XLOOKUP(B38,'Up Stats'!A:A,'Up Stats'!I:I,)</f>
        <v/>
      </c>
      <c r="AH38" s="40" t="str">
        <f>IFERROR(__xludf.DUMMYFUNCTION("if(AND(AI38=FALSE,AJ38=FALSE),,if(AI38=AJ38,JOIN("""",""Static: "",AI38),JOIN("""",""Min:  "",AI38, CHAR(10),""Max: "",AJ38)))"),"")</f>
        <v/>
      </c>
      <c r="AI38" s="42" t="str">
        <f t="array" ref="AI38">_xlfn.XLOOKUP(B38,'Up Min'!A:A,'Up Min'!I:I,)</f>
        <v/>
      </c>
      <c r="AJ38" s="42" t="str">
        <f t="array" ref="AJ38">_xlfn.XLOOKUP(B38,'Up Max'!A:A,'Up Max'!I:I,)</f>
        <v/>
      </c>
      <c r="AK38" s="48" t="str">
        <f t="array" ref="AK38">_xlfn.XLOOKUP(B38,'Up Stats'!A:A,'Up Stats'!J:J,)</f>
        <v/>
      </c>
      <c r="AL38" s="40" t="str">
        <f>IFERROR(__xludf.DUMMYFUNCTION("if(AND(AM38=FALSE,AN38=FALSE),,if(AM38=AN38,JOIN("""",""Static: "",AM38),JOIN("""",""Min:  "",AM38, CHAR(10),""Max: "",AN38)))"),"")</f>
        <v/>
      </c>
      <c r="AM38" s="42" t="str">
        <f t="array" ref="AM38">_xlfn.XLOOKUP(B38,'Up Min'!A:A,'Up Min'!J:J,)</f>
        <v/>
      </c>
      <c r="AN38" s="42" t="str">
        <f t="array" ref="AN38">_xlfn.XLOOKUP(B38,'Up Max'!A:A,'Up Max'!J:J,)</f>
        <v/>
      </c>
      <c r="AO38" s="34" t="str">
        <f t="array" ref="AO38">CONCATENATE(_xlfn.XLOOKUP(B38,'Up Cells'!A:A,'Up Cells'!B:B,))</f>
        <v/>
      </c>
      <c r="AP38" s="34" t="str">
        <f t="array" ref="AP38">CONCATENATE(_xlfn.XLOOKUP(B38,'Up Rarity'!A:A,'Up Rarity'!B:B,),CHAR(10),"-")</f>
        <v>
-</v>
      </c>
    </row>
    <row r="39">
      <c r="A39" s="86" t="str">
        <f t="array" ref="A39">_xlfn.XLOOKUP(B39,'Up Icon'!A:A,'Up Icon'!B:B,)</f>
        <v/>
      </c>
      <c r="B39" s="61" t="str">
        <f t="array" ref="B39">HYPERLINK(_xlfn.XLOOKUP('Up Names'!E39,'Up Wiki'!A:A,'Up Wiki'!B:B,),'Up Names'!E39)</f>
        <v/>
      </c>
      <c r="C39" s="52" t="str">
        <f t="array" ref="C39">_xlfn.XLOOKUP(B39,'Up Desc'!A:A,'Up Desc'!B:B,)</f>
        <v/>
      </c>
      <c r="D39" s="52" t="str">
        <f t="array" ref="D39">_xlfn.XLOOKUP(B39,'Up Turbo'!A:A,'Up Turbo'!B:B,)</f>
        <v/>
      </c>
      <c r="E39" s="53" t="str">
        <f t="array" ref="E39">_xlfn.XLOOKUP(B39,'Up Stats'!A:A,'Up Stats'!B:B,)</f>
        <v/>
      </c>
      <c r="F39" s="54" t="str">
        <f>IFERROR(__xludf.DUMMYFUNCTION("if(AND(G39=FALSE,H39=FALSE),,if(G39=H39,JOIN("""",""Static: "",G39),JOIN("""",""Min:  "",G39, CHAR(10),""Max: "",H39)))"),"")</f>
        <v/>
      </c>
      <c r="G39" s="55" t="str">
        <f t="array" ref="G39">_xlfn.XLOOKUP(B39,'Up Min'!A:A,'Up Min'!B:B,)</f>
        <v/>
      </c>
      <c r="H39" s="56" t="str">
        <f t="array" ref="H39">_xlfn.XLOOKUP(B39,'Up Max'!A:A,'Up Max'!B:B,)</f>
        <v/>
      </c>
      <c r="I39" s="53" t="str">
        <f t="array" ref="I39">_xlfn.XLOOKUP(B39,'Up Stats'!A:A,'Up Stats'!C:C,)</f>
        <v/>
      </c>
      <c r="J39" s="54" t="str">
        <f>IFERROR(__xludf.DUMMYFUNCTION("if(AND(K39=FALSE,L39=FALSE),,if(K39=L39,JOIN("""",""Static: "",K39),JOIN("""",""Min:  "",K39, CHAR(10),""Max: "",L39)))"),"")</f>
        <v/>
      </c>
      <c r="K39" s="55" t="str">
        <f t="array" ref="K39">_xlfn.XLOOKUP(B39,'Up Min'!A:A,'Up Min'!C:C,)</f>
        <v/>
      </c>
      <c r="L39" s="55" t="str">
        <f t="array" ref="L39">_xlfn.XLOOKUP(B39,'Up Max'!A:A,'Up Max'!C:C,)</f>
        <v/>
      </c>
      <c r="M39" s="57" t="str">
        <f t="array" ref="M39">_xlfn.XLOOKUP(B39,'Up Stats'!A:A,'Up Stats'!D:D,)</f>
        <v/>
      </c>
      <c r="N39" s="54" t="str">
        <f>IFERROR(__xludf.DUMMYFUNCTION("if(AND(O39=FALSE,P39=FALSE),,if(O39=P39,JOIN("""",""Static: "",O39),JOIN("""",""Min:  "",O39, CHAR(10),""Max: "",P39)))"),"")</f>
        <v/>
      </c>
      <c r="O39" s="55" t="str">
        <f t="array" ref="O39">_xlfn.XLOOKUP(B39,'Up Min'!A:A,'Up Min'!D:D,)</f>
        <v/>
      </c>
      <c r="P39" s="55" t="str">
        <f t="array" ref="P39">_xlfn.XLOOKUP(B39,'Up Max'!A:A,'Up Max'!D:D,)</f>
        <v/>
      </c>
      <c r="Q39" s="57" t="str">
        <f t="array" ref="Q39">_xlfn.XLOOKUP(B39,'Up Stats'!A:A,'Up Stats'!E:E,)</f>
        <v/>
      </c>
      <c r="R39" s="54" t="str">
        <f>IFERROR(__xludf.DUMMYFUNCTION("if(AND(S39=FALSE,T39=FALSE),,if(S39=T39,JOIN("""",""Static: "",S39),JOIN("""",""Min:  "",S39, CHAR(10),""Max: "",T39)))"),"")</f>
        <v/>
      </c>
      <c r="S39" s="55" t="str">
        <f t="array" ref="S39">_xlfn.XLOOKUP(B39,'Up Min'!A:A,'Up Min'!E:E,)</f>
        <v/>
      </c>
      <c r="T39" s="55" t="str">
        <f t="array" ref="T39">_xlfn.XLOOKUP(B39,'Up Max'!A:A,'Up Max'!E:E,)</f>
        <v/>
      </c>
      <c r="U39" s="57" t="str">
        <f t="array" ref="U39">_xlfn.XLOOKUP(B39,'Up Stats'!A:A,'Up Stats'!F:F,)</f>
        <v/>
      </c>
      <c r="V39" s="54" t="str">
        <f>IFERROR(__xludf.DUMMYFUNCTION("if(AND(W39=FALSE,X39=FALSE),,if(W39=X39,JOIN("""",""Static: "",W39),JOIN("""",""Min:  "",W39, CHAR(10),""Max: "",X39)))"),"")</f>
        <v/>
      </c>
      <c r="W39" s="55" t="str">
        <f t="array" ref="W39">_xlfn.XLOOKUP(B39,'Up Min'!A:A,'Up Min'!F:F,)</f>
        <v/>
      </c>
      <c r="X39" s="55" t="str">
        <f t="array" ref="X39">_xlfn.XLOOKUP(B39,'Up Max'!A:A,'Up Max'!F:F,)</f>
        <v/>
      </c>
      <c r="Y39" s="57" t="str">
        <f t="array" ref="Y39">_xlfn.XLOOKUP(B39,'Up Stats'!A:A,'Up Stats'!G:G,)</f>
        <v/>
      </c>
      <c r="Z39" s="54" t="str">
        <f>IFERROR(__xludf.DUMMYFUNCTION("if(AND(AA39=FALSE,AB39=FALSE),,if(AA39=AB39,JOIN("""",""Static: "",AA39),JOIN("""",""Min:  "",AA39, CHAR(10),""Max: "",AB39)))"),"")</f>
        <v/>
      </c>
      <c r="AA39" s="55" t="str">
        <f t="array" ref="AA39">_xlfn.XLOOKUP(B39,'Up Min'!A:A,'Up Min'!G:G,)</f>
        <v/>
      </c>
      <c r="AB39" s="55" t="str">
        <f t="array" ref="AB39">_xlfn.XLOOKUP(B39,'Up Max'!A:A,'Up Max'!G:G,)</f>
        <v/>
      </c>
      <c r="AC39" s="57" t="str">
        <f t="array" ref="AC39">_xlfn.XLOOKUP(B39,'Up Stats'!A:A,'Up Stats'!H:H,)</f>
        <v/>
      </c>
      <c r="AD39" s="54" t="str">
        <f>IFERROR(__xludf.DUMMYFUNCTION("if(AND(AE39=FALSE,AF39=FALSE),,if(AE39=AF39,JOIN("""",""Static: "",AE39),JOIN("""",""Min:  "",AE39, CHAR(10),""Max: "",AF39)))"),"")</f>
        <v/>
      </c>
      <c r="AE39" s="55" t="str">
        <f t="array" ref="AE39">_xlfn.XLOOKUP(B39,'Up Min'!A:A,'Up Min'!H:H,)</f>
        <v/>
      </c>
      <c r="AF39" s="55" t="str">
        <f t="array" ref="AF39">_xlfn.XLOOKUP(B39,'Up Max'!A:A,'Up Max'!H:H,)</f>
        <v/>
      </c>
      <c r="AG39" s="57" t="str">
        <f t="array" ref="AG39">_xlfn.XLOOKUP(B39,'Up Stats'!A:A,'Up Stats'!I:I,)</f>
        <v/>
      </c>
      <c r="AH39" s="54" t="str">
        <f>IFERROR(__xludf.DUMMYFUNCTION("if(AND(AI39=FALSE,AJ39=FALSE),,if(AI39=AJ39,JOIN("""",""Static: "",AI39),JOIN("""",""Min:  "",AI39, CHAR(10),""Max: "",AJ39)))"),"")</f>
        <v/>
      </c>
      <c r="AI39" s="55" t="str">
        <f t="array" ref="AI39">_xlfn.XLOOKUP(B39,'Up Min'!A:A,'Up Min'!I:I,)</f>
        <v/>
      </c>
      <c r="AJ39" s="55" t="str">
        <f t="array" ref="AJ39">_xlfn.XLOOKUP(B39,'Up Max'!A:A,'Up Max'!I:I,)</f>
        <v/>
      </c>
      <c r="AK39" s="57" t="str">
        <f t="array" ref="AK39">_xlfn.XLOOKUP(B39,'Up Stats'!A:A,'Up Stats'!J:J,)</f>
        <v/>
      </c>
      <c r="AL39" s="54" t="str">
        <f>IFERROR(__xludf.DUMMYFUNCTION("if(AND(AM39=FALSE,AN39=FALSE),,if(AM39=AN39,JOIN("""",""Static: "",AM39),JOIN("""",""Min:  "",AM39, CHAR(10),""Max: "",AN39)))"),"")</f>
        <v/>
      </c>
      <c r="AM39" s="55" t="str">
        <f t="array" ref="AM39">_xlfn.XLOOKUP(B39,'Up Min'!A:A,'Up Min'!J:J,)</f>
        <v/>
      </c>
      <c r="AN39" s="55" t="str">
        <f t="array" ref="AN39">_xlfn.XLOOKUP(B39,'Up Max'!A:A,'Up Max'!J:J,)</f>
        <v/>
      </c>
      <c r="AO39" s="51" t="str">
        <f t="array" ref="AO39">CONCATENATE(_xlfn.XLOOKUP(B39,'Up Cells'!A:A,'Up Cells'!B:B,))</f>
        <v/>
      </c>
      <c r="AP39" s="51" t="str">
        <f t="array" ref="AP39">CONCATENATE(_xlfn.XLOOKUP(B39,'Up Rarity'!A:A,'Up Rarity'!B:B,),CHAR(10),"-")</f>
        <v>
-</v>
      </c>
    </row>
    <row r="40">
      <c r="A40" s="87" t="str">
        <f t="array" ref="A40">_xlfn.XLOOKUP(B40,'Up Icon'!A:A,'Up Icon'!B:B,)</f>
        <v/>
      </c>
      <c r="B40" s="58" t="str">
        <f t="array" ref="B40">HYPERLINK(_xlfn.XLOOKUP('Up Names'!E40,'Up Wiki'!A:A,'Up Wiki'!B:B,),'Up Names'!E40)</f>
        <v/>
      </c>
      <c r="C40" s="37" t="str">
        <f t="array" ref="C40">_xlfn.XLOOKUP(B40,'Up Desc'!A:A,'Up Desc'!B:B,)</f>
        <v/>
      </c>
      <c r="D40" s="37" t="str">
        <f t="array" ref="D40">_xlfn.XLOOKUP(B40,'Up Turbo'!A:A,'Up Turbo'!B:B,)</f>
        <v/>
      </c>
      <c r="E40" s="39" t="str">
        <f t="array" ref="E40">_xlfn.XLOOKUP(B40,'Up Stats'!A:A,'Up Stats'!B:B,)</f>
        <v/>
      </c>
      <c r="F40" s="40" t="str">
        <f>IFERROR(__xludf.DUMMYFUNCTION("if(AND(G40=FALSE,H40=FALSE),,if(G40=H40,JOIN("""",""Static: "",G40),JOIN("""",""Min:  "",G40, CHAR(10),""Max: "",H40)))"),"")</f>
        <v/>
      </c>
      <c r="G40" s="42" t="str">
        <f t="array" ref="G40">_xlfn.XLOOKUP(B40,'Up Min'!A:A,'Up Min'!B:B,)</f>
        <v/>
      </c>
      <c r="H40" s="45" t="str">
        <f t="array" ref="H40">_xlfn.XLOOKUP(B40,'Up Max'!A:A,'Up Max'!B:B,)</f>
        <v/>
      </c>
      <c r="I40" s="39" t="str">
        <f t="array" ref="I40">_xlfn.XLOOKUP(B40,'Up Stats'!A:A,'Up Stats'!C:C,)</f>
        <v/>
      </c>
      <c r="J40" s="40" t="str">
        <f>IFERROR(__xludf.DUMMYFUNCTION("if(AND(K40=FALSE,L40=FALSE),,if(K40=L40,JOIN("""",""Static: "",K40),JOIN("""",""Min:  "",K40, CHAR(10),""Max: "",L40)))"),"")</f>
        <v/>
      </c>
      <c r="K40" s="42" t="str">
        <f t="array" ref="K40">_xlfn.XLOOKUP(B40,'Up Min'!A:A,'Up Min'!C:C,)</f>
        <v/>
      </c>
      <c r="L40" s="42" t="str">
        <f t="array" ref="L40">_xlfn.XLOOKUP(B40,'Up Max'!A:A,'Up Max'!C:C,)</f>
        <v/>
      </c>
      <c r="M40" s="48" t="str">
        <f t="array" ref="M40">_xlfn.XLOOKUP(B40,'Up Stats'!A:A,'Up Stats'!D:D,)</f>
        <v/>
      </c>
      <c r="N40" s="40" t="str">
        <f>IFERROR(__xludf.DUMMYFUNCTION("if(AND(O40=FALSE,P40=FALSE),,if(O40=P40,JOIN("""",""Static: "",O40),JOIN("""",""Min:  "",O40, CHAR(10),""Max: "",P40)))"),"")</f>
        <v/>
      </c>
      <c r="O40" s="42" t="str">
        <f t="array" ref="O40">_xlfn.XLOOKUP(B40,'Up Min'!A:A,'Up Min'!D:D,)</f>
        <v/>
      </c>
      <c r="P40" s="42" t="str">
        <f t="array" ref="P40">_xlfn.XLOOKUP(B40,'Up Max'!A:A,'Up Max'!D:D,)</f>
        <v/>
      </c>
      <c r="Q40" s="48" t="str">
        <f t="array" ref="Q40">_xlfn.XLOOKUP(B40,'Up Stats'!A:A,'Up Stats'!E:E,)</f>
        <v/>
      </c>
      <c r="R40" s="40" t="str">
        <f>IFERROR(__xludf.DUMMYFUNCTION("if(AND(S40=FALSE,T40=FALSE),,if(S40=T40,JOIN("""",""Static: "",S40),JOIN("""",""Min:  "",S40, CHAR(10),""Max: "",T40)))"),"")</f>
        <v/>
      </c>
      <c r="S40" s="42" t="str">
        <f t="array" ref="S40">_xlfn.XLOOKUP(B40,'Up Min'!A:A,'Up Min'!E:E,)</f>
        <v/>
      </c>
      <c r="T40" s="42" t="str">
        <f t="array" ref="T40">_xlfn.XLOOKUP(B40,'Up Max'!A:A,'Up Max'!E:E,)</f>
        <v/>
      </c>
      <c r="U40" s="48" t="str">
        <f t="array" ref="U40">_xlfn.XLOOKUP(B40,'Up Stats'!A:A,'Up Stats'!F:F,)</f>
        <v/>
      </c>
      <c r="V40" s="40" t="str">
        <f>IFERROR(__xludf.DUMMYFUNCTION("if(AND(W40=FALSE,X40=FALSE),,if(W40=X40,JOIN("""",""Static: "",W40),JOIN("""",""Min:  "",W40, CHAR(10),""Max: "",X40)))"),"")</f>
        <v/>
      </c>
      <c r="W40" s="42" t="str">
        <f t="array" ref="W40">_xlfn.XLOOKUP(B40,'Up Min'!A:A,'Up Min'!F:F,)</f>
        <v/>
      </c>
      <c r="X40" s="42" t="str">
        <f t="array" ref="X40">_xlfn.XLOOKUP(B40,'Up Max'!A:A,'Up Max'!F:F,)</f>
        <v/>
      </c>
      <c r="Y40" s="48" t="str">
        <f t="array" ref="Y40">_xlfn.XLOOKUP(B40,'Up Stats'!A:A,'Up Stats'!G:G,)</f>
        <v/>
      </c>
      <c r="Z40" s="40" t="str">
        <f>IFERROR(__xludf.DUMMYFUNCTION("if(AND(AA40=FALSE,AB40=FALSE),,if(AA40=AB40,JOIN("""",""Static: "",AA40),JOIN("""",""Min:  "",AA40, CHAR(10),""Max: "",AB40)))"),"")</f>
        <v/>
      </c>
      <c r="AA40" s="42" t="str">
        <f t="array" ref="AA40">_xlfn.XLOOKUP(B40,'Up Min'!A:A,'Up Min'!G:G,)</f>
        <v/>
      </c>
      <c r="AB40" s="42" t="str">
        <f t="array" ref="AB40">_xlfn.XLOOKUP(B40,'Up Max'!A:A,'Up Max'!G:G,)</f>
        <v/>
      </c>
      <c r="AC40" s="48" t="str">
        <f t="array" ref="AC40">_xlfn.XLOOKUP(B40,'Up Stats'!A:A,'Up Stats'!H:H,)</f>
        <v/>
      </c>
      <c r="AD40" s="40" t="str">
        <f>IFERROR(__xludf.DUMMYFUNCTION("if(AND(AE40=FALSE,AF40=FALSE),,if(AE40=AF40,JOIN("""",""Static: "",AE40),JOIN("""",""Min:  "",AE40, CHAR(10),""Max: "",AF40)))"),"")</f>
        <v/>
      </c>
      <c r="AE40" s="42" t="str">
        <f t="array" ref="AE40">_xlfn.XLOOKUP(B40,'Up Min'!A:A,'Up Min'!H:H,)</f>
        <v/>
      </c>
      <c r="AF40" s="42" t="str">
        <f t="array" ref="AF40">_xlfn.XLOOKUP(B40,'Up Max'!A:A,'Up Max'!H:H,)</f>
        <v/>
      </c>
      <c r="AG40" s="48" t="str">
        <f t="array" ref="AG40">_xlfn.XLOOKUP(B40,'Up Stats'!A:A,'Up Stats'!I:I,)</f>
        <v/>
      </c>
      <c r="AH40" s="40" t="str">
        <f>IFERROR(__xludf.DUMMYFUNCTION("if(AND(AI40=FALSE,AJ40=FALSE),,if(AI40=AJ40,JOIN("""",""Static: "",AI40),JOIN("""",""Min:  "",AI40, CHAR(10),""Max: "",AJ40)))"),"")</f>
        <v/>
      </c>
      <c r="AI40" s="42" t="str">
        <f t="array" ref="AI40">_xlfn.XLOOKUP(B40,'Up Min'!A:A,'Up Min'!I:I,)</f>
        <v/>
      </c>
      <c r="AJ40" s="42" t="str">
        <f t="array" ref="AJ40">_xlfn.XLOOKUP(B40,'Up Max'!A:A,'Up Max'!I:I,)</f>
        <v/>
      </c>
      <c r="AK40" s="48" t="str">
        <f t="array" ref="AK40">_xlfn.XLOOKUP(B40,'Up Stats'!A:A,'Up Stats'!J:J,)</f>
        <v/>
      </c>
      <c r="AL40" s="40" t="str">
        <f>IFERROR(__xludf.DUMMYFUNCTION("if(AND(AM40=FALSE,AN40=FALSE),,if(AM40=AN40,JOIN("""",""Static: "",AM40),JOIN("""",""Min:  "",AM40, CHAR(10),""Max: "",AN40)))"),"")</f>
        <v/>
      </c>
      <c r="AM40" s="42" t="str">
        <f t="array" ref="AM40">_xlfn.XLOOKUP(B40,'Up Min'!A:A,'Up Min'!J:J,)</f>
        <v/>
      </c>
      <c r="AN40" s="42" t="str">
        <f t="array" ref="AN40">_xlfn.XLOOKUP(B40,'Up Max'!A:A,'Up Max'!J:J,)</f>
        <v/>
      </c>
      <c r="AO40" s="34" t="str">
        <f t="array" ref="AO40">CONCATENATE(_xlfn.XLOOKUP(B40,'Up Cells'!A:A,'Up Cells'!B:B,))</f>
        <v/>
      </c>
      <c r="AP40" s="34" t="str">
        <f t="array" ref="AP40">CONCATENATE(_xlfn.XLOOKUP(B40,'Up Rarity'!A:A,'Up Rarity'!B:B,),CHAR(10),"-")</f>
        <v>
-</v>
      </c>
    </row>
    <row r="41">
      <c r="A41" s="86" t="str">
        <f t="array" ref="A41">_xlfn.XLOOKUP(B41,'Up Icon'!A:A,'Up Icon'!B:B,)</f>
        <v/>
      </c>
      <c r="B41" s="61" t="str">
        <f t="array" ref="B41">HYPERLINK(_xlfn.XLOOKUP('Up Names'!E41,'Up Wiki'!A:A,'Up Wiki'!B:B,),'Up Names'!E41)</f>
        <v/>
      </c>
      <c r="C41" s="52" t="str">
        <f t="array" ref="C41">_xlfn.XLOOKUP(B41,'Up Desc'!A:A,'Up Desc'!B:B,)</f>
        <v/>
      </c>
      <c r="D41" s="52" t="str">
        <f t="array" ref="D41">_xlfn.XLOOKUP(B41,'Up Turbo'!A:A,'Up Turbo'!B:B,)</f>
        <v/>
      </c>
      <c r="E41" s="53" t="str">
        <f t="array" ref="E41">_xlfn.XLOOKUP(B41,'Up Stats'!A:A,'Up Stats'!B:B,)</f>
        <v/>
      </c>
      <c r="F41" s="54" t="str">
        <f>IFERROR(__xludf.DUMMYFUNCTION("if(AND(G41=FALSE,H41=FALSE),,if(G41=H41,JOIN("""",""Static: "",G41),JOIN("""",""Min:  "",G41, CHAR(10),""Max: "",H41)))"),"")</f>
        <v/>
      </c>
      <c r="G41" s="55" t="str">
        <f t="array" ref="G41">_xlfn.XLOOKUP(B41,'Up Min'!A:A,'Up Min'!B:B,)</f>
        <v/>
      </c>
      <c r="H41" s="56" t="str">
        <f t="array" ref="H41">_xlfn.XLOOKUP(B41,'Up Max'!A:A,'Up Max'!B:B,)</f>
        <v/>
      </c>
      <c r="I41" s="53" t="str">
        <f t="array" ref="I41">_xlfn.XLOOKUP(B41,'Up Stats'!A:A,'Up Stats'!C:C,)</f>
        <v/>
      </c>
      <c r="J41" s="54" t="str">
        <f>IFERROR(__xludf.DUMMYFUNCTION("if(AND(K41=FALSE,L41=FALSE),,if(K41=L41,JOIN("""",""Static: "",K41),JOIN("""",""Min:  "",K41, CHAR(10),""Max: "",L41)))"),"")</f>
        <v/>
      </c>
      <c r="K41" s="55" t="str">
        <f t="array" ref="K41">_xlfn.XLOOKUP(B41,'Up Min'!A:A,'Up Min'!C:C,)</f>
        <v/>
      </c>
      <c r="L41" s="55" t="str">
        <f t="array" ref="L41">_xlfn.XLOOKUP(B41,'Up Max'!A:A,'Up Max'!C:C,)</f>
        <v/>
      </c>
      <c r="M41" s="57" t="str">
        <f t="array" ref="M41">_xlfn.XLOOKUP(B41,'Up Stats'!A:A,'Up Stats'!D:D,)</f>
        <v/>
      </c>
      <c r="N41" s="54" t="str">
        <f>IFERROR(__xludf.DUMMYFUNCTION("if(AND(O41=FALSE,P41=FALSE),,if(O41=P41,JOIN("""",""Static: "",O41),JOIN("""",""Min:  "",O41, CHAR(10),""Max: "",P41)))"),"")</f>
        <v/>
      </c>
      <c r="O41" s="55" t="str">
        <f t="array" ref="O41">_xlfn.XLOOKUP(B41,'Up Min'!A:A,'Up Min'!D:D,)</f>
        <v/>
      </c>
      <c r="P41" s="55" t="str">
        <f t="array" ref="P41">_xlfn.XLOOKUP(B41,'Up Max'!A:A,'Up Max'!D:D,)</f>
        <v/>
      </c>
      <c r="Q41" s="57" t="str">
        <f t="array" ref="Q41">_xlfn.XLOOKUP(B41,'Up Stats'!A:A,'Up Stats'!E:E,)</f>
        <v/>
      </c>
      <c r="R41" s="54" t="str">
        <f>IFERROR(__xludf.DUMMYFUNCTION("if(AND(S41=FALSE,T41=FALSE),,if(S41=T41,JOIN("""",""Static: "",S41),JOIN("""",""Min:  "",S41, CHAR(10),""Max: "",T41)))"),"")</f>
        <v/>
      </c>
      <c r="S41" s="55" t="str">
        <f t="array" ref="S41">_xlfn.XLOOKUP(B41,'Up Min'!A:A,'Up Min'!E:E,)</f>
        <v/>
      </c>
      <c r="T41" s="55" t="str">
        <f t="array" ref="T41">_xlfn.XLOOKUP(B41,'Up Max'!A:A,'Up Max'!E:E,)</f>
        <v/>
      </c>
      <c r="U41" s="57" t="str">
        <f t="array" ref="U41">_xlfn.XLOOKUP(B41,'Up Stats'!A:A,'Up Stats'!F:F,)</f>
        <v/>
      </c>
      <c r="V41" s="54" t="str">
        <f>IFERROR(__xludf.DUMMYFUNCTION("if(AND(W41=FALSE,X41=FALSE),,if(W41=X41,JOIN("""",""Static: "",W41),JOIN("""",""Min:  "",W41, CHAR(10),""Max: "",X41)))"),"")</f>
        <v/>
      </c>
      <c r="W41" s="55" t="str">
        <f t="array" ref="W41">_xlfn.XLOOKUP(B41,'Up Min'!A:A,'Up Min'!F:F,)</f>
        <v/>
      </c>
      <c r="X41" s="55" t="str">
        <f t="array" ref="X41">_xlfn.XLOOKUP(B41,'Up Max'!A:A,'Up Max'!F:F,)</f>
        <v/>
      </c>
      <c r="Y41" s="57" t="str">
        <f t="array" ref="Y41">_xlfn.XLOOKUP(B41,'Up Stats'!A:A,'Up Stats'!G:G,)</f>
        <v/>
      </c>
      <c r="Z41" s="54" t="str">
        <f>IFERROR(__xludf.DUMMYFUNCTION("if(AND(AA41=FALSE,AB41=FALSE),,if(AA41=AB41,JOIN("""",""Static: "",AA41),JOIN("""",""Min:  "",AA41, CHAR(10),""Max: "",AB41)))"),"")</f>
        <v/>
      </c>
      <c r="AA41" s="55" t="str">
        <f t="array" ref="AA41">_xlfn.XLOOKUP(B41,'Up Min'!A:A,'Up Min'!G:G,)</f>
        <v/>
      </c>
      <c r="AB41" s="55" t="str">
        <f t="array" ref="AB41">_xlfn.XLOOKUP(B41,'Up Max'!A:A,'Up Max'!G:G,)</f>
        <v/>
      </c>
      <c r="AC41" s="57" t="str">
        <f t="array" ref="AC41">_xlfn.XLOOKUP(B41,'Up Stats'!A:A,'Up Stats'!H:H,)</f>
        <v/>
      </c>
      <c r="AD41" s="54" t="str">
        <f>IFERROR(__xludf.DUMMYFUNCTION("if(AND(AE41=FALSE,AF41=FALSE),,if(AE41=AF41,JOIN("""",""Static: "",AE41),JOIN("""",""Min:  "",AE41, CHAR(10),""Max: "",AF41)))"),"")</f>
        <v/>
      </c>
      <c r="AE41" s="55" t="str">
        <f t="array" ref="AE41">_xlfn.XLOOKUP(B41,'Up Min'!A:A,'Up Min'!H:H,)</f>
        <v/>
      </c>
      <c r="AF41" s="55" t="str">
        <f t="array" ref="AF41">_xlfn.XLOOKUP(B41,'Up Max'!A:A,'Up Max'!H:H,)</f>
        <v/>
      </c>
      <c r="AG41" s="57" t="str">
        <f t="array" ref="AG41">_xlfn.XLOOKUP(B41,'Up Stats'!A:A,'Up Stats'!I:I,)</f>
        <v/>
      </c>
      <c r="AH41" s="54" t="str">
        <f>IFERROR(__xludf.DUMMYFUNCTION("if(AND(AI41=FALSE,AJ41=FALSE),,if(AI41=AJ41,JOIN("""",""Static: "",AI41),JOIN("""",""Min:  "",AI41, CHAR(10),""Max: "",AJ41)))"),"")</f>
        <v/>
      </c>
      <c r="AI41" s="55" t="str">
        <f t="array" ref="AI41">_xlfn.XLOOKUP(B41,'Up Min'!A:A,'Up Min'!I:I,)</f>
        <v/>
      </c>
      <c r="AJ41" s="55" t="str">
        <f t="array" ref="AJ41">_xlfn.XLOOKUP(B41,'Up Max'!A:A,'Up Max'!I:I,)</f>
        <v/>
      </c>
      <c r="AK41" s="57" t="str">
        <f t="array" ref="AK41">_xlfn.XLOOKUP(B41,'Up Stats'!A:A,'Up Stats'!J:J,)</f>
        <v/>
      </c>
      <c r="AL41" s="54" t="str">
        <f>IFERROR(__xludf.DUMMYFUNCTION("if(AND(AM41=FALSE,AN41=FALSE),,if(AM41=AN41,JOIN("""",""Static: "",AM41),JOIN("""",""Min:  "",AM41, CHAR(10),""Max: "",AN41)))"),"")</f>
        <v/>
      </c>
      <c r="AM41" s="55" t="str">
        <f t="array" ref="AM41">_xlfn.XLOOKUP(B41,'Up Min'!A:A,'Up Min'!J:J,)</f>
        <v/>
      </c>
      <c r="AN41" s="55" t="str">
        <f t="array" ref="AN41">_xlfn.XLOOKUP(B41,'Up Max'!A:A,'Up Max'!J:J,)</f>
        <v/>
      </c>
      <c r="AO41" s="51" t="str">
        <f t="array" ref="AO41">CONCATENATE(_xlfn.XLOOKUP(B41,'Up Cells'!A:A,'Up Cells'!B:B,))</f>
        <v/>
      </c>
      <c r="AP41" s="51" t="str">
        <f t="array" ref="AP41">CONCATENATE(_xlfn.XLOOKUP(B41,'Up Rarity'!A:A,'Up Rarity'!B:B,),CHAR(10),"-")</f>
        <v>
-</v>
      </c>
    </row>
    <row r="42">
      <c r="A42" s="87" t="str">
        <f t="array" ref="A42">_xlfn.XLOOKUP(B42,'Up Icon'!A:A,'Up Icon'!B:B,)</f>
        <v/>
      </c>
      <c r="B42" s="58" t="str">
        <f t="array" ref="B42">HYPERLINK(_xlfn.XLOOKUP('Up Names'!E42,'Up Wiki'!A:A,'Up Wiki'!B:B,),'Up Names'!E42)</f>
        <v/>
      </c>
      <c r="C42" s="37" t="str">
        <f t="array" ref="C42">_xlfn.XLOOKUP(B42,'Up Desc'!A:A,'Up Desc'!B:B,)</f>
        <v/>
      </c>
      <c r="D42" s="37" t="str">
        <f t="array" ref="D42">_xlfn.XLOOKUP(B42,'Up Turbo'!A:A,'Up Turbo'!B:B,)</f>
        <v/>
      </c>
      <c r="E42" s="39" t="str">
        <f t="array" ref="E42">_xlfn.XLOOKUP(B42,'Up Stats'!A:A,'Up Stats'!B:B,)</f>
        <v/>
      </c>
      <c r="F42" s="40" t="str">
        <f>IFERROR(__xludf.DUMMYFUNCTION("if(AND(G42=FALSE,H42=FALSE),,if(G42=H42,JOIN("""",""Static: "",G42),JOIN("""",""Min:  "",G42, CHAR(10),""Max: "",H42)))"),"")</f>
        <v/>
      </c>
      <c r="G42" s="42" t="str">
        <f t="array" ref="G42">_xlfn.XLOOKUP(B42,'Up Min'!A:A,'Up Min'!B:B,)</f>
        <v/>
      </c>
      <c r="H42" s="45" t="str">
        <f t="array" ref="H42">_xlfn.XLOOKUP(B42,'Up Max'!A:A,'Up Max'!B:B,)</f>
        <v/>
      </c>
      <c r="I42" s="39" t="str">
        <f t="array" ref="I42">_xlfn.XLOOKUP(B42,'Up Stats'!A:A,'Up Stats'!C:C,)</f>
        <v/>
      </c>
      <c r="J42" s="40" t="str">
        <f>IFERROR(__xludf.DUMMYFUNCTION("if(AND(K42=FALSE,L42=FALSE),,if(K42=L42,JOIN("""",""Static: "",K42),JOIN("""",""Min:  "",K42, CHAR(10),""Max: "",L42)))"),"")</f>
        <v/>
      </c>
      <c r="K42" s="42" t="str">
        <f t="array" ref="K42">_xlfn.XLOOKUP(B42,'Up Min'!A:A,'Up Min'!C:C,)</f>
        <v/>
      </c>
      <c r="L42" s="42" t="str">
        <f t="array" ref="L42">_xlfn.XLOOKUP(B42,'Up Max'!A:A,'Up Max'!C:C,)</f>
        <v/>
      </c>
      <c r="M42" s="48" t="str">
        <f t="array" ref="M42">_xlfn.XLOOKUP(B42,'Up Stats'!A:A,'Up Stats'!D:D,)</f>
        <v/>
      </c>
      <c r="N42" s="40" t="str">
        <f>IFERROR(__xludf.DUMMYFUNCTION("if(AND(O42=FALSE,P42=FALSE),,if(O42=P42,JOIN("""",""Static: "",O42),JOIN("""",""Min:  "",O42, CHAR(10),""Max: "",P42)))"),"")</f>
        <v/>
      </c>
      <c r="O42" s="42" t="str">
        <f t="array" ref="O42">_xlfn.XLOOKUP(B42,'Up Min'!A:A,'Up Min'!D:D,)</f>
        <v/>
      </c>
      <c r="P42" s="42" t="str">
        <f t="array" ref="P42">_xlfn.XLOOKUP(B42,'Up Max'!A:A,'Up Max'!D:D,)</f>
        <v/>
      </c>
      <c r="Q42" s="48" t="str">
        <f t="array" ref="Q42">_xlfn.XLOOKUP(B42,'Up Stats'!A:A,'Up Stats'!E:E,)</f>
        <v/>
      </c>
      <c r="R42" s="40" t="str">
        <f>IFERROR(__xludf.DUMMYFUNCTION("if(AND(S42=FALSE,T42=FALSE),,if(S42=T42,JOIN("""",""Static: "",S42),JOIN("""",""Min:  "",S42, CHAR(10),""Max: "",T42)))"),"")</f>
        <v/>
      </c>
      <c r="S42" s="42" t="str">
        <f t="array" ref="S42">_xlfn.XLOOKUP(B42,'Up Min'!A:A,'Up Min'!E:E,)</f>
        <v/>
      </c>
      <c r="T42" s="42" t="str">
        <f t="array" ref="T42">_xlfn.XLOOKUP(B42,'Up Max'!A:A,'Up Max'!E:E,)</f>
        <v/>
      </c>
      <c r="U42" s="48" t="str">
        <f t="array" ref="U42">_xlfn.XLOOKUP(B42,'Up Stats'!A:A,'Up Stats'!F:F,)</f>
        <v/>
      </c>
      <c r="V42" s="40" t="str">
        <f>IFERROR(__xludf.DUMMYFUNCTION("if(AND(W42=FALSE,X42=FALSE),,if(W42=X42,JOIN("""",""Static: "",W42),JOIN("""",""Min:  "",W42, CHAR(10),""Max: "",X42)))"),"")</f>
        <v/>
      </c>
      <c r="W42" s="42" t="str">
        <f t="array" ref="W42">_xlfn.XLOOKUP(B42,'Up Min'!A:A,'Up Min'!F:F,)</f>
        <v/>
      </c>
      <c r="X42" s="42" t="str">
        <f t="array" ref="X42">_xlfn.XLOOKUP(B42,'Up Max'!A:A,'Up Max'!F:F,)</f>
        <v/>
      </c>
      <c r="Y42" s="48" t="str">
        <f t="array" ref="Y42">_xlfn.XLOOKUP(B42,'Up Stats'!A:A,'Up Stats'!G:G,)</f>
        <v/>
      </c>
      <c r="Z42" s="40" t="str">
        <f>IFERROR(__xludf.DUMMYFUNCTION("if(AND(AA42=FALSE,AB42=FALSE),,if(AA42=AB42,JOIN("""",""Static: "",AA42),JOIN("""",""Min:  "",AA42, CHAR(10),""Max: "",AB42)))"),"")</f>
        <v/>
      </c>
      <c r="AA42" s="42" t="str">
        <f t="array" ref="AA42">_xlfn.XLOOKUP(B42,'Up Min'!A:A,'Up Min'!G:G,)</f>
        <v/>
      </c>
      <c r="AB42" s="42" t="str">
        <f t="array" ref="AB42">_xlfn.XLOOKUP(B42,'Up Max'!A:A,'Up Max'!G:G,)</f>
        <v/>
      </c>
      <c r="AC42" s="48" t="str">
        <f t="array" ref="AC42">_xlfn.XLOOKUP(B42,'Up Stats'!A:A,'Up Stats'!H:H,)</f>
        <v/>
      </c>
      <c r="AD42" s="40" t="str">
        <f>IFERROR(__xludf.DUMMYFUNCTION("if(AND(AE42=FALSE,AF42=FALSE),,if(AE42=AF42,JOIN("""",""Static: "",AE42),JOIN("""",""Min:  "",AE42, CHAR(10),""Max: "",AF42)))"),"")</f>
        <v/>
      </c>
      <c r="AE42" s="42" t="str">
        <f t="array" ref="AE42">_xlfn.XLOOKUP(B42,'Up Min'!A:A,'Up Min'!H:H,)</f>
        <v/>
      </c>
      <c r="AF42" s="42" t="str">
        <f t="array" ref="AF42">_xlfn.XLOOKUP(B42,'Up Max'!A:A,'Up Max'!H:H,)</f>
        <v/>
      </c>
      <c r="AG42" s="48" t="str">
        <f t="array" ref="AG42">_xlfn.XLOOKUP(B42,'Up Stats'!A:A,'Up Stats'!I:I,)</f>
        <v/>
      </c>
      <c r="AH42" s="40" t="str">
        <f>IFERROR(__xludf.DUMMYFUNCTION("if(AND(AI42=FALSE,AJ42=FALSE),,if(AI42=AJ42,JOIN("""",""Static: "",AI42),JOIN("""",""Min:  "",AI42, CHAR(10),""Max: "",AJ42)))"),"")</f>
        <v/>
      </c>
      <c r="AI42" s="42" t="str">
        <f t="array" ref="AI42">_xlfn.XLOOKUP(B42,'Up Min'!A:A,'Up Min'!I:I,)</f>
        <v/>
      </c>
      <c r="AJ42" s="42" t="str">
        <f t="array" ref="AJ42">_xlfn.XLOOKUP(B42,'Up Max'!A:A,'Up Max'!I:I,)</f>
        <v/>
      </c>
      <c r="AK42" s="48" t="str">
        <f t="array" ref="AK42">_xlfn.XLOOKUP(B42,'Up Stats'!A:A,'Up Stats'!J:J,)</f>
        <v/>
      </c>
      <c r="AL42" s="40" t="str">
        <f>IFERROR(__xludf.DUMMYFUNCTION("if(AND(AM42=FALSE,AN42=FALSE),,if(AM42=AN42,JOIN("""",""Static: "",AM42),JOIN("""",""Min:  "",AM42, CHAR(10),""Max: "",AN42)))"),"")</f>
        <v/>
      </c>
      <c r="AM42" s="42" t="str">
        <f t="array" ref="AM42">_xlfn.XLOOKUP(B42,'Up Min'!A:A,'Up Min'!J:J,)</f>
        <v/>
      </c>
      <c r="AN42" s="42" t="str">
        <f t="array" ref="AN42">_xlfn.XLOOKUP(B42,'Up Max'!A:A,'Up Max'!J:J,)</f>
        <v/>
      </c>
      <c r="AO42" s="34" t="str">
        <f t="array" ref="AO42">CONCATENATE(_xlfn.XLOOKUP(B42,'Up Cells'!A:A,'Up Cells'!B:B,))</f>
        <v/>
      </c>
      <c r="AP42" s="34" t="str">
        <f t="array" ref="AP42">CONCATENATE(_xlfn.XLOOKUP(B42,'Up Rarity'!A:A,'Up Rarity'!B:B,),CHAR(10),"-")</f>
        <v>
-</v>
      </c>
    </row>
    <row r="43">
      <c r="A43" s="86" t="str">
        <f t="array" ref="A43">_xlfn.XLOOKUP(B43,'Up Icon'!A:A,'Up Icon'!B:B,)</f>
        <v/>
      </c>
      <c r="B43" s="61" t="str">
        <f t="array" ref="B43">HYPERLINK(_xlfn.XLOOKUP('Up Names'!E43,'Up Wiki'!A:A,'Up Wiki'!B:B,),'Up Names'!E43)</f>
        <v/>
      </c>
      <c r="C43" s="52" t="str">
        <f t="array" ref="C43">_xlfn.XLOOKUP(B43,'Up Desc'!A:A,'Up Desc'!B:B,)</f>
        <v/>
      </c>
      <c r="D43" s="52" t="str">
        <f t="array" ref="D43">_xlfn.XLOOKUP(B43,'Up Turbo'!A:A,'Up Turbo'!B:B,)</f>
        <v/>
      </c>
      <c r="E43" s="53" t="str">
        <f t="array" ref="E43">_xlfn.XLOOKUP(B43,'Up Stats'!A:A,'Up Stats'!B:B,)</f>
        <v/>
      </c>
      <c r="F43" s="54" t="str">
        <f>IFERROR(__xludf.DUMMYFUNCTION("if(AND(G43=FALSE,H43=FALSE),,if(G43=H43,JOIN("""",""Static: "",G43),JOIN("""",""Min:  "",G43, CHAR(10),""Max: "",H43)))"),"")</f>
        <v/>
      </c>
      <c r="G43" s="55" t="str">
        <f t="array" ref="G43">_xlfn.XLOOKUP(B43,'Up Min'!A:A,'Up Min'!B:B,)</f>
        <v/>
      </c>
      <c r="H43" s="56" t="str">
        <f t="array" ref="H43">_xlfn.XLOOKUP(B43,'Up Max'!A:A,'Up Max'!B:B,)</f>
        <v/>
      </c>
      <c r="I43" s="53" t="str">
        <f t="array" ref="I43">_xlfn.XLOOKUP(B43,'Up Stats'!A:A,'Up Stats'!C:C,)</f>
        <v/>
      </c>
      <c r="J43" s="54" t="str">
        <f>IFERROR(__xludf.DUMMYFUNCTION("if(AND(K43=FALSE,L43=FALSE),,if(K43=L43,JOIN("""",""Static: "",K43),JOIN("""",""Min:  "",K43, CHAR(10),""Max: "",L43)))"),"")</f>
        <v/>
      </c>
      <c r="K43" s="55" t="str">
        <f t="array" ref="K43">_xlfn.XLOOKUP(B43,'Up Min'!A:A,'Up Min'!C:C,)</f>
        <v/>
      </c>
      <c r="L43" s="55" t="str">
        <f t="array" ref="L43">_xlfn.XLOOKUP(B43,'Up Max'!A:A,'Up Max'!C:C,)</f>
        <v/>
      </c>
      <c r="M43" s="57" t="str">
        <f t="array" ref="M43">_xlfn.XLOOKUP(B43,'Up Stats'!A:A,'Up Stats'!D:D,)</f>
        <v/>
      </c>
      <c r="N43" s="54" t="str">
        <f>IFERROR(__xludf.DUMMYFUNCTION("if(AND(O43=FALSE,P43=FALSE),,if(O43=P43,JOIN("""",""Static: "",O43),JOIN("""",""Min:  "",O43, CHAR(10),""Max: "",P43)))"),"")</f>
        <v/>
      </c>
      <c r="O43" s="55" t="str">
        <f t="array" ref="O43">_xlfn.XLOOKUP(B43,'Up Min'!A:A,'Up Min'!D:D,)</f>
        <v/>
      </c>
      <c r="P43" s="55" t="str">
        <f t="array" ref="P43">_xlfn.XLOOKUP(B43,'Up Max'!A:A,'Up Max'!D:D,)</f>
        <v/>
      </c>
      <c r="Q43" s="57" t="str">
        <f t="array" ref="Q43">_xlfn.XLOOKUP(B43,'Up Stats'!A:A,'Up Stats'!E:E,)</f>
        <v/>
      </c>
      <c r="R43" s="54" t="str">
        <f>IFERROR(__xludf.DUMMYFUNCTION("if(AND(S43=FALSE,T43=FALSE),,if(S43=T43,JOIN("""",""Static: "",S43),JOIN("""",""Min:  "",S43, CHAR(10),""Max: "",T43)))"),"")</f>
        <v/>
      </c>
      <c r="S43" s="55" t="str">
        <f t="array" ref="S43">_xlfn.XLOOKUP(B43,'Up Min'!A:A,'Up Min'!E:E,)</f>
        <v/>
      </c>
      <c r="T43" s="55" t="str">
        <f t="array" ref="T43">_xlfn.XLOOKUP(B43,'Up Max'!A:A,'Up Max'!E:E,)</f>
        <v/>
      </c>
      <c r="U43" s="57" t="str">
        <f t="array" ref="U43">_xlfn.XLOOKUP(B43,'Up Stats'!A:A,'Up Stats'!F:F,)</f>
        <v/>
      </c>
      <c r="V43" s="54" t="str">
        <f>IFERROR(__xludf.DUMMYFUNCTION("if(AND(W43=FALSE,X43=FALSE),,if(W43=X43,JOIN("""",""Static: "",W43),JOIN("""",""Min:  "",W43, CHAR(10),""Max: "",X43)))"),"")</f>
        <v/>
      </c>
      <c r="W43" s="55" t="str">
        <f t="array" ref="W43">_xlfn.XLOOKUP(B43,'Up Min'!A:A,'Up Min'!F:F,)</f>
        <v/>
      </c>
      <c r="X43" s="55" t="str">
        <f t="array" ref="X43">_xlfn.XLOOKUP(B43,'Up Max'!A:A,'Up Max'!F:F,)</f>
        <v/>
      </c>
      <c r="Y43" s="57" t="str">
        <f t="array" ref="Y43">_xlfn.XLOOKUP(B43,'Up Stats'!A:A,'Up Stats'!G:G,)</f>
        <v/>
      </c>
      <c r="Z43" s="54" t="str">
        <f>IFERROR(__xludf.DUMMYFUNCTION("if(AND(AA43=FALSE,AB43=FALSE),,if(AA43=AB43,JOIN("""",""Static: "",AA43),JOIN("""",""Min:  "",AA43, CHAR(10),""Max: "",AB43)))"),"")</f>
        <v/>
      </c>
      <c r="AA43" s="55" t="str">
        <f t="array" ref="AA43">_xlfn.XLOOKUP(B43,'Up Min'!A:A,'Up Min'!G:G,)</f>
        <v/>
      </c>
      <c r="AB43" s="55" t="str">
        <f t="array" ref="AB43">_xlfn.XLOOKUP(B43,'Up Max'!A:A,'Up Max'!G:G,)</f>
        <v/>
      </c>
      <c r="AC43" s="57" t="str">
        <f t="array" ref="AC43">_xlfn.XLOOKUP(B43,'Up Stats'!A:A,'Up Stats'!H:H,)</f>
        <v/>
      </c>
      <c r="AD43" s="54" t="str">
        <f>IFERROR(__xludf.DUMMYFUNCTION("if(AND(AE43=FALSE,AF43=FALSE),,if(AE43=AF43,JOIN("""",""Static: "",AE43),JOIN("""",""Min:  "",AE43, CHAR(10),""Max: "",AF43)))"),"")</f>
        <v/>
      </c>
      <c r="AE43" s="55" t="str">
        <f t="array" ref="AE43">_xlfn.XLOOKUP(B43,'Up Min'!A:A,'Up Min'!H:H,)</f>
        <v/>
      </c>
      <c r="AF43" s="55" t="str">
        <f t="array" ref="AF43">_xlfn.XLOOKUP(B43,'Up Max'!A:A,'Up Max'!H:H,)</f>
        <v/>
      </c>
      <c r="AG43" s="57" t="str">
        <f t="array" ref="AG43">_xlfn.XLOOKUP(B43,'Up Stats'!A:A,'Up Stats'!I:I,)</f>
        <v/>
      </c>
      <c r="AH43" s="54" t="str">
        <f>IFERROR(__xludf.DUMMYFUNCTION("if(AND(AI43=FALSE,AJ43=FALSE),,if(AI43=AJ43,JOIN("""",""Static: "",AI43),JOIN("""",""Min:  "",AI43, CHAR(10),""Max: "",AJ43)))"),"")</f>
        <v/>
      </c>
      <c r="AI43" s="55" t="str">
        <f t="array" ref="AI43">_xlfn.XLOOKUP(B43,'Up Min'!A:A,'Up Min'!I:I,)</f>
        <v/>
      </c>
      <c r="AJ43" s="55" t="str">
        <f t="array" ref="AJ43">_xlfn.XLOOKUP(B43,'Up Max'!A:A,'Up Max'!I:I,)</f>
        <v/>
      </c>
      <c r="AK43" s="57" t="str">
        <f t="array" ref="AK43">_xlfn.XLOOKUP(B43,'Up Stats'!A:A,'Up Stats'!J:J,)</f>
        <v/>
      </c>
      <c r="AL43" s="54" t="str">
        <f>IFERROR(__xludf.DUMMYFUNCTION("if(AND(AM43=FALSE,AN43=FALSE),,if(AM43=AN43,JOIN("""",""Static: "",AM43),JOIN("""",""Min:  "",AM43, CHAR(10),""Max: "",AN43)))"),"")</f>
        <v/>
      </c>
      <c r="AM43" s="55" t="str">
        <f t="array" ref="AM43">_xlfn.XLOOKUP(B43,'Up Min'!A:A,'Up Min'!J:J,)</f>
        <v/>
      </c>
      <c r="AN43" s="55" t="str">
        <f t="array" ref="AN43">_xlfn.XLOOKUP(B43,'Up Max'!A:A,'Up Max'!J:J,)</f>
        <v/>
      </c>
      <c r="AO43" s="51" t="str">
        <f t="array" ref="AO43">CONCATENATE(_xlfn.XLOOKUP(B43,'Up Cells'!A:A,'Up Cells'!B:B,))</f>
        <v/>
      </c>
      <c r="AP43" s="51" t="str">
        <f t="array" ref="AP43">CONCATENATE(_xlfn.XLOOKUP(B43,'Up Rarity'!A:A,'Up Rarity'!B:B,),CHAR(10),"-")</f>
        <v>
-</v>
      </c>
    </row>
    <row r="44">
      <c r="A44" s="87" t="str">
        <f t="array" ref="A44">_xlfn.XLOOKUP(B44,'Up Icon'!A:A,'Up Icon'!B:B,)</f>
        <v/>
      </c>
      <c r="B44" s="58" t="str">
        <f t="array" ref="B44">HYPERLINK(_xlfn.XLOOKUP('Up Names'!E44,'Up Wiki'!A:A,'Up Wiki'!B:B,),'Up Names'!E44)</f>
        <v/>
      </c>
      <c r="C44" s="37" t="str">
        <f t="array" ref="C44">_xlfn.XLOOKUP(B44,'Up Desc'!A:A,'Up Desc'!B:B,)</f>
        <v/>
      </c>
      <c r="D44" s="37" t="str">
        <f t="array" ref="D44">_xlfn.XLOOKUP(B44,'Up Turbo'!A:A,'Up Turbo'!B:B,)</f>
        <v/>
      </c>
      <c r="E44" s="39" t="str">
        <f t="array" ref="E44">_xlfn.XLOOKUP(B44,'Up Stats'!A:A,'Up Stats'!B:B,)</f>
        <v/>
      </c>
      <c r="F44" s="40" t="str">
        <f>IFERROR(__xludf.DUMMYFUNCTION("if(AND(G44=FALSE,H44=FALSE),,if(G44=H44,JOIN("""",""Static: "",G44),JOIN("""",""Min:  "",G44, CHAR(10),""Max: "",H44)))"),"")</f>
        <v/>
      </c>
      <c r="G44" s="42" t="str">
        <f t="array" ref="G44">_xlfn.XLOOKUP(B44,'Up Min'!A:A,'Up Min'!B:B,)</f>
        <v/>
      </c>
      <c r="H44" s="45" t="str">
        <f t="array" ref="H44">_xlfn.XLOOKUP(B44,'Up Max'!A:A,'Up Max'!B:B,)</f>
        <v/>
      </c>
      <c r="I44" s="39" t="str">
        <f t="array" ref="I44">_xlfn.XLOOKUP(B44,'Up Stats'!A:A,'Up Stats'!C:C,)</f>
        <v/>
      </c>
      <c r="J44" s="40" t="str">
        <f>IFERROR(__xludf.DUMMYFUNCTION("if(AND(K44=FALSE,L44=FALSE),,if(K44=L44,JOIN("""",""Static: "",K44),JOIN("""",""Min:  "",K44, CHAR(10),""Max: "",L44)))"),"")</f>
        <v/>
      </c>
      <c r="K44" s="42" t="str">
        <f t="array" ref="K44">_xlfn.XLOOKUP(B44,'Up Min'!A:A,'Up Min'!C:C,)</f>
        <v/>
      </c>
      <c r="L44" s="42" t="str">
        <f t="array" ref="L44">_xlfn.XLOOKUP(B44,'Up Max'!A:A,'Up Max'!C:C,)</f>
        <v/>
      </c>
      <c r="M44" s="48" t="str">
        <f t="array" ref="M44">_xlfn.XLOOKUP(B44,'Up Stats'!A:A,'Up Stats'!D:D,)</f>
        <v/>
      </c>
      <c r="N44" s="40" t="str">
        <f>IFERROR(__xludf.DUMMYFUNCTION("if(AND(O44=FALSE,P44=FALSE),,if(O44=P44,JOIN("""",""Static: "",O44),JOIN("""",""Min:  "",O44, CHAR(10),""Max: "",P44)))"),"")</f>
        <v/>
      </c>
      <c r="O44" s="42" t="str">
        <f t="array" ref="O44">_xlfn.XLOOKUP(B44,'Up Min'!A:A,'Up Min'!D:D,)</f>
        <v/>
      </c>
      <c r="P44" s="42" t="str">
        <f t="array" ref="P44">_xlfn.XLOOKUP(B44,'Up Max'!A:A,'Up Max'!D:D,)</f>
        <v/>
      </c>
      <c r="Q44" s="48" t="str">
        <f t="array" ref="Q44">_xlfn.XLOOKUP(B44,'Up Stats'!A:A,'Up Stats'!E:E,)</f>
        <v/>
      </c>
      <c r="R44" s="40" t="str">
        <f>IFERROR(__xludf.DUMMYFUNCTION("if(AND(S44=FALSE,T44=FALSE),,if(S44=T44,JOIN("""",""Static: "",S44),JOIN("""",""Min:  "",S44, CHAR(10),""Max: "",T44)))"),"")</f>
        <v/>
      </c>
      <c r="S44" s="42" t="str">
        <f t="array" ref="S44">_xlfn.XLOOKUP(B44,'Up Min'!A:A,'Up Min'!E:E,)</f>
        <v/>
      </c>
      <c r="T44" s="42" t="str">
        <f t="array" ref="T44">_xlfn.XLOOKUP(B44,'Up Max'!A:A,'Up Max'!E:E,)</f>
        <v/>
      </c>
      <c r="U44" s="48" t="str">
        <f t="array" ref="U44">_xlfn.XLOOKUP(B44,'Up Stats'!A:A,'Up Stats'!F:F,)</f>
        <v/>
      </c>
      <c r="V44" s="40" t="str">
        <f>IFERROR(__xludf.DUMMYFUNCTION("if(AND(W44=FALSE,X44=FALSE),,if(W44=X44,JOIN("""",""Static: "",W44),JOIN("""",""Min:  "",W44, CHAR(10),""Max: "",X44)))"),"")</f>
        <v/>
      </c>
      <c r="W44" s="42" t="str">
        <f t="array" ref="W44">_xlfn.XLOOKUP(B44,'Up Min'!A:A,'Up Min'!F:F,)</f>
        <v/>
      </c>
      <c r="X44" s="42" t="str">
        <f t="array" ref="X44">_xlfn.XLOOKUP(B44,'Up Max'!A:A,'Up Max'!F:F,)</f>
        <v/>
      </c>
      <c r="Y44" s="48" t="str">
        <f t="array" ref="Y44">_xlfn.XLOOKUP(B44,'Up Stats'!A:A,'Up Stats'!G:G,)</f>
        <v/>
      </c>
      <c r="Z44" s="40" t="str">
        <f>IFERROR(__xludf.DUMMYFUNCTION("if(AND(AA44=FALSE,AB44=FALSE),,if(AA44=AB44,JOIN("""",""Static: "",AA44),JOIN("""",""Min:  "",AA44, CHAR(10),""Max: "",AB44)))"),"")</f>
        <v/>
      </c>
      <c r="AA44" s="42" t="str">
        <f t="array" ref="AA44">_xlfn.XLOOKUP(B44,'Up Min'!A:A,'Up Min'!G:G,)</f>
        <v/>
      </c>
      <c r="AB44" s="42" t="str">
        <f t="array" ref="AB44">_xlfn.XLOOKUP(B44,'Up Max'!A:A,'Up Max'!G:G,)</f>
        <v/>
      </c>
      <c r="AC44" s="48" t="str">
        <f t="array" ref="AC44">_xlfn.XLOOKUP(B44,'Up Stats'!A:A,'Up Stats'!H:H,)</f>
        <v/>
      </c>
      <c r="AD44" s="40" t="str">
        <f>IFERROR(__xludf.DUMMYFUNCTION("if(AND(AE44=FALSE,AF44=FALSE),,if(AE44=AF44,JOIN("""",""Static: "",AE44),JOIN("""",""Min:  "",AE44, CHAR(10),""Max: "",AF44)))"),"")</f>
        <v/>
      </c>
      <c r="AE44" s="42" t="str">
        <f t="array" ref="AE44">_xlfn.XLOOKUP(B44,'Up Min'!A:A,'Up Min'!H:H,)</f>
        <v/>
      </c>
      <c r="AF44" s="42" t="str">
        <f t="array" ref="AF44">_xlfn.XLOOKUP(B44,'Up Max'!A:A,'Up Max'!H:H,)</f>
        <v/>
      </c>
      <c r="AG44" s="48" t="str">
        <f t="array" ref="AG44">_xlfn.XLOOKUP(B44,'Up Stats'!A:A,'Up Stats'!I:I,)</f>
        <v/>
      </c>
      <c r="AH44" s="40" t="str">
        <f>IFERROR(__xludf.DUMMYFUNCTION("if(AND(AI44=FALSE,AJ44=FALSE),,if(AI44=AJ44,JOIN("""",""Static: "",AI44),JOIN("""",""Min:  "",AI44, CHAR(10),""Max: "",AJ44)))"),"")</f>
        <v/>
      </c>
      <c r="AI44" s="42" t="str">
        <f t="array" ref="AI44">_xlfn.XLOOKUP(B44,'Up Min'!A:A,'Up Min'!I:I,)</f>
        <v/>
      </c>
      <c r="AJ44" s="42" t="str">
        <f t="array" ref="AJ44">_xlfn.XLOOKUP(B44,'Up Max'!A:A,'Up Max'!I:I,)</f>
        <v/>
      </c>
      <c r="AK44" s="48" t="str">
        <f t="array" ref="AK44">_xlfn.XLOOKUP(B44,'Up Stats'!A:A,'Up Stats'!J:J,)</f>
        <v/>
      </c>
      <c r="AL44" s="40" t="str">
        <f>IFERROR(__xludf.DUMMYFUNCTION("if(AND(AM44=FALSE,AN44=FALSE),,if(AM44=AN44,JOIN("""",""Static: "",AM44),JOIN("""",""Min:  "",AM44, CHAR(10),""Max: "",AN44)))"),"")</f>
        <v/>
      </c>
      <c r="AM44" s="42" t="str">
        <f t="array" ref="AM44">_xlfn.XLOOKUP(B44,'Up Min'!A:A,'Up Min'!J:J,)</f>
        <v/>
      </c>
      <c r="AN44" s="42" t="str">
        <f t="array" ref="AN44">_xlfn.XLOOKUP(B44,'Up Max'!A:A,'Up Max'!J:J,)</f>
        <v/>
      </c>
      <c r="AO44" s="34" t="str">
        <f t="array" ref="AO44">CONCATENATE(_xlfn.XLOOKUP(B44,'Up Cells'!A:A,'Up Cells'!B:B,))</f>
        <v/>
      </c>
      <c r="AP44" s="34" t="str">
        <f t="array" ref="AP44">CONCATENATE(_xlfn.XLOOKUP(B44,'Up Rarity'!A:A,'Up Rarity'!B:B,),CHAR(10),"-")</f>
        <v>
-</v>
      </c>
    </row>
    <row r="45">
      <c r="A45" s="86" t="str">
        <f t="array" ref="A45">_xlfn.XLOOKUP(B45,'Up Icon'!A:A,'Up Icon'!B:B,)</f>
        <v/>
      </c>
      <c r="B45" s="61" t="str">
        <f t="array" ref="B45">HYPERLINK(_xlfn.XLOOKUP('Up Names'!E45,'Up Wiki'!A:A,'Up Wiki'!B:B,),'Up Names'!E45)</f>
        <v/>
      </c>
      <c r="C45" s="52" t="str">
        <f t="array" ref="C45">_xlfn.XLOOKUP(B45,'Up Desc'!A:A,'Up Desc'!B:B,)</f>
        <v/>
      </c>
      <c r="D45" s="52" t="str">
        <f t="array" ref="D45">_xlfn.XLOOKUP(B45,'Up Turbo'!A:A,'Up Turbo'!B:B,)</f>
        <v/>
      </c>
      <c r="E45" s="53" t="str">
        <f t="array" ref="E45">_xlfn.XLOOKUP(B45,'Up Stats'!A:A,'Up Stats'!B:B,)</f>
        <v/>
      </c>
      <c r="F45" s="54" t="str">
        <f>IFERROR(__xludf.DUMMYFUNCTION("if(AND(G45=FALSE,H45=FALSE),,if(G45=H45,JOIN("""",""Static: "",G45),JOIN("""",""Min:  "",G45, CHAR(10),""Max: "",H45)))"),"")</f>
        <v/>
      </c>
      <c r="G45" s="55" t="str">
        <f t="array" ref="G45">_xlfn.XLOOKUP(B45,'Up Min'!A:A,'Up Min'!B:B,)</f>
        <v/>
      </c>
      <c r="H45" s="56" t="str">
        <f t="array" ref="H45">_xlfn.XLOOKUP(B45,'Up Max'!A:A,'Up Max'!B:B,)</f>
        <v/>
      </c>
      <c r="I45" s="53" t="str">
        <f t="array" ref="I45">_xlfn.XLOOKUP(B45,'Up Stats'!A:A,'Up Stats'!C:C,)</f>
        <v/>
      </c>
      <c r="J45" s="54" t="str">
        <f>IFERROR(__xludf.DUMMYFUNCTION("if(AND(K45=FALSE,L45=FALSE),,if(K45=L45,JOIN("""",""Static: "",K45),JOIN("""",""Min:  "",K45, CHAR(10),""Max: "",L45)))"),"")</f>
        <v/>
      </c>
      <c r="K45" s="55" t="str">
        <f t="array" ref="K45">_xlfn.XLOOKUP(B45,'Up Min'!A:A,'Up Min'!C:C,)</f>
        <v/>
      </c>
      <c r="L45" s="55" t="str">
        <f t="array" ref="L45">_xlfn.XLOOKUP(B45,'Up Max'!A:A,'Up Max'!C:C,)</f>
        <v/>
      </c>
      <c r="M45" s="57" t="str">
        <f t="array" ref="M45">_xlfn.XLOOKUP(B45,'Up Stats'!A:A,'Up Stats'!D:D,)</f>
        <v/>
      </c>
      <c r="N45" s="54" t="str">
        <f>IFERROR(__xludf.DUMMYFUNCTION("if(AND(O45=FALSE,P45=FALSE),,if(O45=P45,JOIN("""",""Static: "",O45),JOIN("""",""Min:  "",O45, CHAR(10),""Max: "",P45)))"),"")</f>
        <v/>
      </c>
      <c r="O45" s="55" t="str">
        <f t="array" ref="O45">_xlfn.XLOOKUP(B45,'Up Min'!A:A,'Up Min'!D:D,)</f>
        <v/>
      </c>
      <c r="P45" s="55" t="str">
        <f t="array" ref="P45">_xlfn.XLOOKUP(B45,'Up Max'!A:A,'Up Max'!D:D,)</f>
        <v/>
      </c>
      <c r="Q45" s="57" t="str">
        <f t="array" ref="Q45">_xlfn.XLOOKUP(B45,'Up Stats'!A:A,'Up Stats'!E:E,)</f>
        <v/>
      </c>
      <c r="R45" s="54" t="str">
        <f>IFERROR(__xludf.DUMMYFUNCTION("if(AND(S45=FALSE,T45=FALSE),,if(S45=T45,JOIN("""",""Static: "",S45),JOIN("""",""Min:  "",S45, CHAR(10),""Max: "",T45)))"),"")</f>
        <v/>
      </c>
      <c r="S45" s="55" t="str">
        <f t="array" ref="S45">_xlfn.XLOOKUP(B45,'Up Min'!A:A,'Up Min'!E:E,)</f>
        <v/>
      </c>
      <c r="T45" s="55" t="str">
        <f t="array" ref="T45">_xlfn.XLOOKUP(B45,'Up Max'!A:A,'Up Max'!E:E,)</f>
        <v/>
      </c>
      <c r="U45" s="57" t="str">
        <f t="array" ref="U45">_xlfn.XLOOKUP(B45,'Up Stats'!A:A,'Up Stats'!F:F,)</f>
        <v/>
      </c>
      <c r="V45" s="54" t="str">
        <f>IFERROR(__xludf.DUMMYFUNCTION("if(AND(W45=FALSE,X45=FALSE),,if(W45=X45,JOIN("""",""Static: "",W45),JOIN("""",""Min:  "",W45, CHAR(10),""Max: "",X45)))"),"")</f>
        <v/>
      </c>
      <c r="W45" s="55" t="str">
        <f t="array" ref="W45">_xlfn.XLOOKUP(B45,'Up Min'!A:A,'Up Min'!F:F,)</f>
        <v/>
      </c>
      <c r="X45" s="55" t="str">
        <f t="array" ref="X45">_xlfn.XLOOKUP(B45,'Up Max'!A:A,'Up Max'!F:F,)</f>
        <v/>
      </c>
      <c r="Y45" s="57" t="str">
        <f t="array" ref="Y45">_xlfn.XLOOKUP(B45,'Up Stats'!A:A,'Up Stats'!G:G,)</f>
        <v/>
      </c>
      <c r="Z45" s="54" t="str">
        <f>IFERROR(__xludf.DUMMYFUNCTION("if(AND(AA45=FALSE,AB45=FALSE),,if(AA45=AB45,JOIN("""",""Static: "",AA45),JOIN("""",""Min:  "",AA45, CHAR(10),""Max: "",AB45)))"),"")</f>
        <v/>
      </c>
      <c r="AA45" s="55" t="str">
        <f t="array" ref="AA45">_xlfn.XLOOKUP(B45,'Up Min'!A:A,'Up Min'!G:G,)</f>
        <v/>
      </c>
      <c r="AB45" s="55" t="str">
        <f t="array" ref="AB45">_xlfn.XLOOKUP(B45,'Up Max'!A:A,'Up Max'!G:G,)</f>
        <v/>
      </c>
      <c r="AC45" s="57" t="str">
        <f t="array" ref="AC45">_xlfn.XLOOKUP(B45,'Up Stats'!A:A,'Up Stats'!H:H,)</f>
        <v/>
      </c>
      <c r="AD45" s="54" t="str">
        <f>IFERROR(__xludf.DUMMYFUNCTION("if(AND(AE45=FALSE,AF45=FALSE),,if(AE45=AF45,JOIN("""",""Static: "",AE45),JOIN("""",""Min:  "",AE45, CHAR(10),""Max: "",AF45)))"),"")</f>
        <v/>
      </c>
      <c r="AE45" s="55" t="str">
        <f t="array" ref="AE45">_xlfn.XLOOKUP(B45,'Up Min'!A:A,'Up Min'!H:H,)</f>
        <v/>
      </c>
      <c r="AF45" s="55" t="str">
        <f t="array" ref="AF45">_xlfn.XLOOKUP(B45,'Up Max'!A:A,'Up Max'!H:H,)</f>
        <v/>
      </c>
      <c r="AG45" s="57" t="str">
        <f t="array" ref="AG45">_xlfn.XLOOKUP(B45,'Up Stats'!A:A,'Up Stats'!I:I,)</f>
        <v/>
      </c>
      <c r="AH45" s="54" t="str">
        <f>IFERROR(__xludf.DUMMYFUNCTION("if(AND(AI45=FALSE,AJ45=FALSE),,if(AI45=AJ45,JOIN("""",""Static: "",AI45),JOIN("""",""Min:  "",AI45, CHAR(10),""Max: "",AJ45)))"),"")</f>
        <v/>
      </c>
      <c r="AI45" s="55" t="str">
        <f t="array" ref="AI45">_xlfn.XLOOKUP(B45,'Up Min'!A:A,'Up Min'!I:I,)</f>
        <v/>
      </c>
      <c r="AJ45" s="55" t="str">
        <f t="array" ref="AJ45">_xlfn.XLOOKUP(B45,'Up Max'!A:A,'Up Max'!I:I,)</f>
        <v/>
      </c>
      <c r="AK45" s="57" t="str">
        <f t="array" ref="AK45">_xlfn.XLOOKUP(B45,'Up Stats'!A:A,'Up Stats'!J:J,)</f>
        <v/>
      </c>
      <c r="AL45" s="54" t="str">
        <f>IFERROR(__xludf.DUMMYFUNCTION("if(AND(AM45=FALSE,AN45=FALSE),,if(AM45=AN45,JOIN("""",""Static: "",AM45),JOIN("""",""Min:  "",AM45, CHAR(10),""Max: "",AN45)))"),"")</f>
        <v/>
      </c>
      <c r="AM45" s="55" t="str">
        <f t="array" ref="AM45">_xlfn.XLOOKUP(B45,'Up Min'!A:A,'Up Min'!J:J,)</f>
        <v/>
      </c>
      <c r="AN45" s="55" t="str">
        <f t="array" ref="AN45">_xlfn.XLOOKUP(B45,'Up Max'!A:A,'Up Max'!J:J,)</f>
        <v/>
      </c>
      <c r="AO45" s="51" t="str">
        <f t="array" ref="AO45">CONCATENATE(_xlfn.XLOOKUP(B45,'Up Cells'!A:A,'Up Cells'!B:B,))</f>
        <v/>
      </c>
      <c r="AP45" s="51" t="str">
        <f t="array" ref="AP45">CONCATENATE(_xlfn.XLOOKUP(B45,'Up Rarity'!A:A,'Up Rarity'!B:B,),CHAR(10),"-")</f>
        <v>
-</v>
      </c>
    </row>
    <row r="46">
      <c r="A46" s="87" t="str">
        <f t="array" ref="A46">_xlfn.XLOOKUP(B46,'Up Icon'!A:A,'Up Icon'!B:B,)</f>
        <v/>
      </c>
      <c r="B46" s="58" t="str">
        <f t="array" ref="B46">HYPERLINK(_xlfn.XLOOKUP('Up Names'!E46,'Up Wiki'!A:A,'Up Wiki'!B:B,),'Up Names'!E46)</f>
        <v/>
      </c>
      <c r="C46" s="37" t="str">
        <f t="array" ref="C46">_xlfn.XLOOKUP(B46,'Up Desc'!A:A,'Up Desc'!B:B,)</f>
        <v/>
      </c>
      <c r="D46" s="37" t="str">
        <f t="array" ref="D46">_xlfn.XLOOKUP(B46,'Up Turbo'!A:A,'Up Turbo'!B:B,)</f>
        <v/>
      </c>
      <c r="E46" s="39" t="str">
        <f t="array" ref="E46">_xlfn.XLOOKUP(B46,'Up Stats'!A:A,'Up Stats'!B:B,)</f>
        <v/>
      </c>
      <c r="F46" s="40" t="str">
        <f>IFERROR(__xludf.DUMMYFUNCTION("if(AND(G46=FALSE,H46=FALSE),,if(G46=H46,JOIN("""",""Static: "",G46),JOIN("""",""Min:  "",G46, CHAR(10),""Max: "",H46)))"),"")</f>
        <v/>
      </c>
      <c r="G46" s="42" t="str">
        <f t="array" ref="G46">_xlfn.XLOOKUP(B46,'Up Min'!A:A,'Up Min'!B:B,)</f>
        <v/>
      </c>
      <c r="H46" s="45" t="str">
        <f t="array" ref="H46">_xlfn.XLOOKUP(B46,'Up Max'!A:A,'Up Max'!B:B,)</f>
        <v/>
      </c>
      <c r="I46" s="39" t="str">
        <f t="array" ref="I46">_xlfn.XLOOKUP(B46,'Up Stats'!A:A,'Up Stats'!C:C,)</f>
        <v/>
      </c>
      <c r="J46" s="40" t="str">
        <f>IFERROR(__xludf.DUMMYFUNCTION("if(AND(K46=FALSE,L46=FALSE),,if(K46=L46,JOIN("""",""Static: "",K46),JOIN("""",""Min:  "",K46, CHAR(10),""Max: "",L46)))"),"")</f>
        <v/>
      </c>
      <c r="K46" s="42" t="str">
        <f t="array" ref="K46">_xlfn.XLOOKUP(B46,'Up Min'!A:A,'Up Min'!C:C,)</f>
        <v/>
      </c>
      <c r="L46" s="42" t="str">
        <f t="array" ref="L46">_xlfn.XLOOKUP(B46,'Up Max'!A:A,'Up Max'!C:C,)</f>
        <v/>
      </c>
      <c r="M46" s="48" t="str">
        <f t="array" ref="M46">_xlfn.XLOOKUP(B46,'Up Stats'!A:A,'Up Stats'!D:D,)</f>
        <v/>
      </c>
      <c r="N46" s="40" t="str">
        <f>IFERROR(__xludf.DUMMYFUNCTION("if(AND(O46=FALSE,P46=FALSE),,if(O46=P46,JOIN("""",""Static: "",O46),JOIN("""",""Min:  "",O46, CHAR(10),""Max: "",P46)))"),"")</f>
        <v/>
      </c>
      <c r="O46" s="42" t="str">
        <f t="array" ref="O46">_xlfn.XLOOKUP(B46,'Up Min'!A:A,'Up Min'!D:D,)</f>
        <v/>
      </c>
      <c r="P46" s="42" t="str">
        <f t="array" ref="P46">_xlfn.XLOOKUP(B46,'Up Max'!A:A,'Up Max'!D:D,)</f>
        <v/>
      </c>
      <c r="Q46" s="48" t="str">
        <f t="array" ref="Q46">_xlfn.XLOOKUP(B46,'Up Stats'!A:A,'Up Stats'!E:E,)</f>
        <v/>
      </c>
      <c r="R46" s="40" t="str">
        <f>IFERROR(__xludf.DUMMYFUNCTION("if(AND(S46=FALSE,T46=FALSE),,if(S46=T46,JOIN("""",""Static: "",S46),JOIN("""",""Min:  "",S46, CHAR(10),""Max: "",T46)))"),"")</f>
        <v/>
      </c>
      <c r="S46" s="42" t="str">
        <f t="array" ref="S46">_xlfn.XLOOKUP(B46,'Up Min'!A:A,'Up Min'!E:E,)</f>
        <v/>
      </c>
      <c r="T46" s="42" t="str">
        <f t="array" ref="T46">_xlfn.XLOOKUP(B46,'Up Max'!A:A,'Up Max'!E:E,)</f>
        <v/>
      </c>
      <c r="U46" s="48" t="str">
        <f t="array" ref="U46">_xlfn.XLOOKUP(B46,'Up Stats'!A:A,'Up Stats'!F:F,)</f>
        <v/>
      </c>
      <c r="V46" s="40" t="str">
        <f>IFERROR(__xludf.DUMMYFUNCTION("if(AND(W46=FALSE,X46=FALSE),,if(W46=X46,JOIN("""",""Static: "",W46),JOIN("""",""Min:  "",W46, CHAR(10),""Max: "",X46)))"),"")</f>
        <v/>
      </c>
      <c r="W46" s="42" t="str">
        <f t="array" ref="W46">_xlfn.XLOOKUP(B46,'Up Min'!A:A,'Up Min'!F:F,)</f>
        <v/>
      </c>
      <c r="X46" s="42" t="str">
        <f t="array" ref="X46">_xlfn.XLOOKUP(B46,'Up Max'!A:A,'Up Max'!F:F,)</f>
        <v/>
      </c>
      <c r="Y46" s="48" t="str">
        <f t="array" ref="Y46">_xlfn.XLOOKUP(B46,'Up Stats'!A:A,'Up Stats'!G:G,)</f>
        <v/>
      </c>
      <c r="Z46" s="40" t="str">
        <f>IFERROR(__xludf.DUMMYFUNCTION("if(AND(AA46=FALSE,AB46=FALSE),,if(AA46=AB46,JOIN("""",""Static: "",AA46),JOIN("""",""Min:  "",AA46, CHAR(10),""Max: "",AB46)))"),"")</f>
        <v/>
      </c>
      <c r="AA46" s="42" t="str">
        <f t="array" ref="AA46">_xlfn.XLOOKUP(B46,'Up Min'!A:A,'Up Min'!G:G,)</f>
        <v/>
      </c>
      <c r="AB46" s="42" t="str">
        <f t="array" ref="AB46">_xlfn.XLOOKUP(B46,'Up Max'!A:A,'Up Max'!G:G,)</f>
        <v/>
      </c>
      <c r="AC46" s="48" t="str">
        <f t="array" ref="AC46">_xlfn.XLOOKUP(B46,'Up Stats'!A:A,'Up Stats'!H:H,)</f>
        <v/>
      </c>
      <c r="AD46" s="40" t="str">
        <f>IFERROR(__xludf.DUMMYFUNCTION("if(AND(AE46=FALSE,AF46=FALSE),,if(AE46=AF46,JOIN("""",""Static: "",AE46),JOIN("""",""Min:  "",AE46, CHAR(10),""Max: "",AF46)))"),"")</f>
        <v/>
      </c>
      <c r="AE46" s="42" t="str">
        <f t="array" ref="AE46">_xlfn.XLOOKUP(B46,'Up Min'!A:A,'Up Min'!H:H,)</f>
        <v/>
      </c>
      <c r="AF46" s="42" t="str">
        <f t="array" ref="AF46">_xlfn.XLOOKUP(B46,'Up Max'!A:A,'Up Max'!H:H,)</f>
        <v/>
      </c>
      <c r="AG46" s="48" t="str">
        <f t="array" ref="AG46">_xlfn.XLOOKUP(B46,'Up Stats'!A:A,'Up Stats'!I:I,)</f>
        <v/>
      </c>
      <c r="AH46" s="40" t="str">
        <f>IFERROR(__xludf.DUMMYFUNCTION("if(AND(AI46=FALSE,AJ46=FALSE),,if(AI46=AJ46,JOIN("""",""Static: "",AI46),JOIN("""",""Min:  "",AI46, CHAR(10),""Max: "",AJ46)))"),"")</f>
        <v/>
      </c>
      <c r="AI46" s="42" t="str">
        <f t="array" ref="AI46">_xlfn.XLOOKUP(B46,'Up Min'!A:A,'Up Min'!I:I,)</f>
        <v/>
      </c>
      <c r="AJ46" s="42" t="str">
        <f t="array" ref="AJ46">_xlfn.XLOOKUP(B46,'Up Max'!A:A,'Up Max'!I:I,)</f>
        <v/>
      </c>
      <c r="AK46" s="48" t="str">
        <f t="array" ref="AK46">_xlfn.XLOOKUP(B46,'Up Stats'!A:A,'Up Stats'!J:J,)</f>
        <v/>
      </c>
      <c r="AL46" s="40" t="str">
        <f>IFERROR(__xludf.DUMMYFUNCTION("if(AND(AM46=FALSE,AN46=FALSE),,if(AM46=AN46,JOIN("""",""Static: "",AM46),JOIN("""",""Min:  "",AM46, CHAR(10),""Max: "",AN46)))"),"")</f>
        <v/>
      </c>
      <c r="AM46" s="42" t="str">
        <f t="array" ref="AM46">_xlfn.XLOOKUP(B46,'Up Min'!A:A,'Up Min'!J:J,)</f>
        <v/>
      </c>
      <c r="AN46" s="42" t="str">
        <f t="array" ref="AN46">_xlfn.XLOOKUP(B46,'Up Max'!A:A,'Up Max'!J:J,)</f>
        <v/>
      </c>
      <c r="AO46" s="34" t="str">
        <f t="array" ref="AO46">CONCATENATE(_xlfn.XLOOKUP(B46,'Up Cells'!A:A,'Up Cells'!B:B,))</f>
        <v/>
      </c>
      <c r="AP46" s="34" t="str">
        <f t="array" ref="AP46">CONCATENATE(_xlfn.XLOOKUP(B46,'Up Rarity'!A:A,'Up Rarity'!B:B,),CHAR(10),"-")</f>
        <v>
-</v>
      </c>
    </row>
    <row r="47">
      <c r="A47" s="86" t="str">
        <f t="array" ref="A47">_xlfn.XLOOKUP(B47,'Up Icon'!A:A,'Up Icon'!B:B,)</f>
        <v/>
      </c>
      <c r="B47" s="61" t="str">
        <f t="array" ref="B47">HYPERLINK(_xlfn.XLOOKUP('Up Names'!E47,'Up Wiki'!A:A,'Up Wiki'!B:B,),'Up Names'!E47)</f>
        <v/>
      </c>
      <c r="C47" s="52" t="str">
        <f t="array" ref="C47">_xlfn.XLOOKUP(B47,'Up Desc'!A:A,'Up Desc'!B:B,)</f>
        <v/>
      </c>
      <c r="D47" s="52" t="str">
        <f t="array" ref="D47">_xlfn.XLOOKUP(B47,'Up Turbo'!A:A,'Up Turbo'!B:B,)</f>
        <v/>
      </c>
      <c r="E47" s="53" t="str">
        <f t="array" ref="E47">_xlfn.XLOOKUP(B47,'Up Stats'!A:A,'Up Stats'!B:B,)</f>
        <v/>
      </c>
      <c r="F47" s="54" t="str">
        <f>IFERROR(__xludf.DUMMYFUNCTION("if(AND(G47=FALSE,H47=FALSE),,if(G47=H47,JOIN("""",""Static: "",G47),JOIN("""",""Min:  "",G47, CHAR(10),""Max: "",H47)))"),"")</f>
        <v/>
      </c>
      <c r="G47" s="55" t="str">
        <f t="array" ref="G47">_xlfn.XLOOKUP(B47,'Up Min'!A:A,'Up Min'!B:B,)</f>
        <v/>
      </c>
      <c r="H47" s="56" t="str">
        <f t="array" ref="H47">_xlfn.XLOOKUP(B47,'Up Max'!A:A,'Up Max'!B:B,)</f>
        <v/>
      </c>
      <c r="I47" s="53" t="str">
        <f t="array" ref="I47">_xlfn.XLOOKUP(B47,'Up Stats'!A:A,'Up Stats'!C:C,)</f>
        <v/>
      </c>
      <c r="J47" s="54" t="str">
        <f>IFERROR(__xludf.DUMMYFUNCTION("if(AND(K47=FALSE,L47=FALSE),,if(K47=L47,JOIN("""",""Static: "",K47),JOIN("""",""Min:  "",K47, CHAR(10),""Max: "",L47)))"),"")</f>
        <v/>
      </c>
      <c r="K47" s="55" t="str">
        <f t="array" ref="K47">_xlfn.XLOOKUP(B47,'Up Min'!A:A,'Up Min'!C:C,)</f>
        <v/>
      </c>
      <c r="L47" s="55" t="str">
        <f t="array" ref="L47">_xlfn.XLOOKUP(B47,'Up Max'!A:A,'Up Max'!C:C,)</f>
        <v/>
      </c>
      <c r="M47" s="57" t="str">
        <f t="array" ref="M47">_xlfn.XLOOKUP(B47,'Up Stats'!A:A,'Up Stats'!D:D,)</f>
        <v/>
      </c>
      <c r="N47" s="54" t="str">
        <f>IFERROR(__xludf.DUMMYFUNCTION("if(AND(O47=FALSE,P47=FALSE),,if(O47=P47,JOIN("""",""Static: "",O47),JOIN("""",""Min:  "",O47, CHAR(10),""Max: "",P47)))"),"")</f>
        <v/>
      </c>
      <c r="O47" s="55" t="str">
        <f t="array" ref="O47">_xlfn.XLOOKUP(B47,'Up Min'!A:A,'Up Min'!D:D,)</f>
        <v/>
      </c>
      <c r="P47" s="55" t="str">
        <f t="array" ref="P47">_xlfn.XLOOKUP(B47,'Up Max'!A:A,'Up Max'!D:D,)</f>
        <v/>
      </c>
      <c r="Q47" s="57" t="str">
        <f t="array" ref="Q47">_xlfn.XLOOKUP(B47,'Up Stats'!A:A,'Up Stats'!E:E,)</f>
        <v/>
      </c>
      <c r="R47" s="54" t="str">
        <f>IFERROR(__xludf.DUMMYFUNCTION("if(AND(S47=FALSE,T47=FALSE),,if(S47=T47,JOIN("""",""Static: "",S47),JOIN("""",""Min:  "",S47, CHAR(10),""Max: "",T47)))"),"")</f>
        <v/>
      </c>
      <c r="S47" s="55" t="str">
        <f t="array" ref="S47">_xlfn.XLOOKUP(B47,'Up Min'!A:A,'Up Min'!E:E,)</f>
        <v/>
      </c>
      <c r="T47" s="55" t="str">
        <f t="array" ref="T47">_xlfn.XLOOKUP(B47,'Up Max'!A:A,'Up Max'!E:E,)</f>
        <v/>
      </c>
      <c r="U47" s="57" t="str">
        <f t="array" ref="U47">_xlfn.XLOOKUP(B47,'Up Stats'!A:A,'Up Stats'!F:F,)</f>
        <v/>
      </c>
      <c r="V47" s="54" t="str">
        <f>IFERROR(__xludf.DUMMYFUNCTION("if(AND(W47=FALSE,X47=FALSE),,if(W47=X47,JOIN("""",""Static: "",W47),JOIN("""",""Min:  "",W47, CHAR(10),""Max: "",X47)))"),"")</f>
        <v/>
      </c>
      <c r="W47" s="55" t="str">
        <f t="array" ref="W47">_xlfn.XLOOKUP(B47,'Up Min'!A:A,'Up Min'!F:F,)</f>
        <v/>
      </c>
      <c r="X47" s="55" t="str">
        <f t="array" ref="X47">_xlfn.XLOOKUP(B47,'Up Max'!A:A,'Up Max'!F:F,)</f>
        <v/>
      </c>
      <c r="Y47" s="57" t="str">
        <f t="array" ref="Y47">_xlfn.XLOOKUP(B47,'Up Stats'!A:A,'Up Stats'!G:G,)</f>
        <v/>
      </c>
      <c r="Z47" s="54" t="str">
        <f>IFERROR(__xludf.DUMMYFUNCTION("if(AND(AA47=FALSE,AB47=FALSE),,if(AA47=AB47,JOIN("""",""Static: "",AA47),JOIN("""",""Min:  "",AA47, CHAR(10),""Max: "",AB47)))"),"")</f>
        <v/>
      </c>
      <c r="AA47" s="55" t="str">
        <f t="array" ref="AA47">_xlfn.XLOOKUP(B47,'Up Min'!A:A,'Up Min'!G:G,)</f>
        <v/>
      </c>
      <c r="AB47" s="55" t="str">
        <f t="array" ref="AB47">_xlfn.XLOOKUP(B47,'Up Max'!A:A,'Up Max'!G:G,)</f>
        <v/>
      </c>
      <c r="AC47" s="57" t="str">
        <f t="array" ref="AC47">_xlfn.XLOOKUP(B47,'Up Stats'!A:A,'Up Stats'!H:H,)</f>
        <v/>
      </c>
      <c r="AD47" s="54" t="str">
        <f>IFERROR(__xludf.DUMMYFUNCTION("if(AND(AE47=FALSE,AF47=FALSE),,if(AE47=AF47,JOIN("""",""Static: "",AE47),JOIN("""",""Min:  "",AE47, CHAR(10),""Max: "",AF47)))"),"")</f>
        <v/>
      </c>
      <c r="AE47" s="55" t="str">
        <f t="array" ref="AE47">_xlfn.XLOOKUP(B47,'Up Min'!A:A,'Up Min'!H:H,)</f>
        <v/>
      </c>
      <c r="AF47" s="55" t="str">
        <f t="array" ref="AF47">_xlfn.XLOOKUP(B47,'Up Max'!A:A,'Up Max'!H:H,)</f>
        <v/>
      </c>
      <c r="AG47" s="57" t="str">
        <f t="array" ref="AG47">_xlfn.XLOOKUP(B47,'Up Stats'!A:A,'Up Stats'!I:I,)</f>
        <v/>
      </c>
      <c r="AH47" s="54" t="str">
        <f>IFERROR(__xludf.DUMMYFUNCTION("if(AND(AI47=FALSE,AJ47=FALSE),,if(AI47=AJ47,JOIN("""",""Static: "",AI47),JOIN("""",""Min:  "",AI47, CHAR(10),""Max: "",AJ47)))"),"")</f>
        <v/>
      </c>
      <c r="AI47" s="55" t="str">
        <f t="array" ref="AI47">_xlfn.XLOOKUP(B47,'Up Min'!A:A,'Up Min'!I:I,)</f>
        <v/>
      </c>
      <c r="AJ47" s="55" t="str">
        <f t="array" ref="AJ47">_xlfn.XLOOKUP(B47,'Up Max'!A:A,'Up Max'!I:I,)</f>
        <v/>
      </c>
      <c r="AK47" s="57" t="str">
        <f t="array" ref="AK47">_xlfn.XLOOKUP(B47,'Up Stats'!A:A,'Up Stats'!J:J,)</f>
        <v/>
      </c>
      <c r="AL47" s="54" t="str">
        <f>IFERROR(__xludf.DUMMYFUNCTION("if(AND(AM47=FALSE,AN47=FALSE),,if(AM47=AN47,JOIN("""",""Static: "",AM47),JOIN("""",""Min:  "",AM47, CHAR(10),""Max: "",AN47)))"),"")</f>
        <v/>
      </c>
      <c r="AM47" s="55" t="str">
        <f t="array" ref="AM47">_xlfn.XLOOKUP(B47,'Up Min'!A:A,'Up Min'!J:J,)</f>
        <v/>
      </c>
      <c r="AN47" s="55" t="str">
        <f t="array" ref="AN47">_xlfn.XLOOKUP(B47,'Up Max'!A:A,'Up Max'!J:J,)</f>
        <v/>
      </c>
      <c r="AO47" s="51" t="str">
        <f t="array" ref="AO47">CONCATENATE(_xlfn.XLOOKUP(B47,'Up Cells'!A:A,'Up Cells'!B:B,))</f>
        <v/>
      </c>
      <c r="AP47" s="51" t="str">
        <f t="array" ref="AP47">CONCATENATE(_xlfn.XLOOKUP(B47,'Up Rarity'!A:A,'Up Rarity'!B:B,),CHAR(10),"-")</f>
        <v>
-</v>
      </c>
    </row>
  </sheetData>
  <autoFilter ref="$A$1:$AP$47">
    <sortState ref="A1:AP47">
      <sortCondition descending="1" sortBy="cellColor" ref="AP1:AP47" dxfId="2"/>
    </sortState>
  </autoFilter>
  <conditionalFormatting sqref="AO1:AP47">
    <cfRule type="containsText" dxfId="3" priority="1" operator="containsText" text="Oddity">
      <formula>NOT(ISERROR(SEARCH(("Oddity"),(AO1))))</formula>
    </cfRule>
  </conditionalFormatting>
  <conditionalFormatting sqref="AO1:AP47">
    <cfRule type="containsText" dxfId="4" priority="2" operator="containsText" text="Exotic">
      <formula>NOT(ISERROR(SEARCH(("Exotic"),(AO1))))</formula>
    </cfRule>
  </conditionalFormatting>
  <conditionalFormatting sqref="AO1:AP47">
    <cfRule type="containsText" dxfId="5" priority="3" operator="containsText" text="Epic">
      <formula>NOT(ISERROR(SEARCH(("Epic"),(AO1))))</formula>
    </cfRule>
  </conditionalFormatting>
  <conditionalFormatting sqref="AO1:AP47">
    <cfRule type="containsText" dxfId="6" priority="4" operator="containsText" text="Rare">
      <formula>NOT(ISERROR(SEARCH(("Rare"),(AO1))))</formula>
    </cfRule>
  </conditionalFormatting>
  <conditionalFormatting sqref="AO1:AP47">
    <cfRule type="containsText" dxfId="7" priority="5" operator="containsText" text="Standard">
      <formula>NOT(ISERROR(SEARCH(("Standard"),(AO1))))</formula>
    </cfRule>
  </conditionalFormatting>
  <conditionalFormatting sqref="AO1:AP47">
    <cfRule type="containsText" dxfId="8" priority="6" operator="containsText" text="Contraband">
      <formula>NOT(ISERROR(SEARCH(("Contraband"),(AO1))))</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12.63"/>
    <col customWidth="1" min="3" max="4" width="31.38"/>
    <col customWidth="1" min="5" max="6" width="12.63"/>
    <col customWidth="1" hidden="1" min="7" max="8" width="12.63"/>
    <col customWidth="1" min="9" max="10" width="12.63"/>
    <col customWidth="1" hidden="1" min="11" max="12" width="12.63"/>
    <col customWidth="1" min="13" max="14" width="12.63"/>
    <col customWidth="1" hidden="1" min="15" max="16" width="12.63"/>
    <col customWidth="1" min="17" max="18" width="12.63"/>
    <col customWidth="1" hidden="1" min="19" max="20" width="12.63"/>
    <col customWidth="1" min="21" max="22" width="12.63"/>
    <col customWidth="1" hidden="1" min="23" max="24" width="12.63"/>
    <col customWidth="1" min="25" max="26" width="12.63"/>
    <col customWidth="1" hidden="1" min="27" max="28" width="12.63"/>
    <col customWidth="1" min="29" max="30" width="12.63"/>
    <col customWidth="1" hidden="1" min="31" max="32" width="12.63"/>
    <col customWidth="1" min="33" max="34" width="12.63"/>
    <col customWidth="1" hidden="1" min="35" max="36" width="12.63"/>
    <col customWidth="1" min="37" max="38" width="12.63"/>
    <col customWidth="1" hidden="1" min="39" max="40" width="12.63"/>
    <col customWidth="1" min="41" max="42" width="8.25"/>
  </cols>
  <sheetData>
    <row r="1">
      <c r="A1" s="28" t="s">
        <v>1</v>
      </c>
      <c r="B1" s="9" t="s">
        <v>2</v>
      </c>
      <c r="C1" s="9" t="s">
        <v>3</v>
      </c>
      <c r="D1" s="11" t="s">
        <v>4</v>
      </c>
      <c r="E1" s="16" t="s">
        <v>6</v>
      </c>
      <c r="F1" s="19" t="s">
        <v>7</v>
      </c>
      <c r="G1" s="21" t="s">
        <v>8</v>
      </c>
      <c r="H1" s="25" t="s">
        <v>9</v>
      </c>
      <c r="I1" s="29" t="s">
        <v>6</v>
      </c>
      <c r="J1" s="19" t="s">
        <v>7</v>
      </c>
      <c r="K1" s="21" t="s">
        <v>8</v>
      </c>
      <c r="L1" s="21" t="s">
        <v>9</v>
      </c>
      <c r="M1" s="29" t="s">
        <v>6</v>
      </c>
      <c r="N1" s="19" t="s">
        <v>7</v>
      </c>
      <c r="O1" s="21" t="s">
        <v>8</v>
      </c>
      <c r="P1" s="21" t="s">
        <v>9</v>
      </c>
      <c r="Q1" s="16" t="s">
        <v>6</v>
      </c>
      <c r="R1" s="19" t="s">
        <v>7</v>
      </c>
      <c r="S1" s="25" t="s">
        <v>8</v>
      </c>
      <c r="T1" s="21" t="s">
        <v>9</v>
      </c>
      <c r="U1" s="16" t="s">
        <v>6</v>
      </c>
      <c r="V1" s="19" t="s">
        <v>7</v>
      </c>
      <c r="W1" s="25" t="s">
        <v>8</v>
      </c>
      <c r="X1" s="25" t="s">
        <v>9</v>
      </c>
      <c r="Y1" s="16" t="s">
        <v>6</v>
      </c>
      <c r="Z1" s="19" t="s">
        <v>7</v>
      </c>
      <c r="AA1" s="21" t="s">
        <v>8</v>
      </c>
      <c r="AB1" s="25" t="s">
        <v>9</v>
      </c>
      <c r="AC1" s="29" t="s">
        <v>6</v>
      </c>
      <c r="AD1" s="19" t="s">
        <v>7</v>
      </c>
      <c r="AE1" s="21" t="s">
        <v>8</v>
      </c>
      <c r="AF1" s="21" t="s">
        <v>9</v>
      </c>
      <c r="AG1" s="16" t="s">
        <v>6</v>
      </c>
      <c r="AH1" s="19" t="s">
        <v>7</v>
      </c>
      <c r="AI1" s="21" t="s">
        <v>8</v>
      </c>
      <c r="AJ1" s="21" t="s">
        <v>9</v>
      </c>
      <c r="AK1" s="16" t="s">
        <v>6</v>
      </c>
      <c r="AL1" s="19" t="s">
        <v>7</v>
      </c>
      <c r="AM1" s="21" t="s">
        <v>8</v>
      </c>
      <c r="AN1" s="21" t="s">
        <v>9</v>
      </c>
      <c r="AO1" s="11" t="s">
        <v>12</v>
      </c>
      <c r="AP1" s="22" t="s">
        <v>13</v>
      </c>
    </row>
    <row r="2">
      <c r="A2" s="31" t="str">
        <f t="array" ref="A2">_xlfn.XLOOKUP(B2,'Up Icon'!A:A,'Up Icon'!B:B,)</f>
        <v/>
      </c>
      <c r="B2" s="58" t="str">
        <f t="array" ref="B2">HYPERLINK(_xlfn.XLOOKUP('Up Names'!F32,'Up Wiki'!A:A,'Up Wiki'!B:B,),'Up Names'!F32)</f>
        <v>Edge Fault</v>
      </c>
      <c r="C2" s="37" t="str">
        <f t="array" ref="C2">_xlfn.XLOOKUP(B2,'Up Desc'!A:A,'Up Desc'!B:B,)</f>
        <v>Increases the size of your upgrade grid.</v>
      </c>
      <c r="D2" s="37" t="str">
        <f t="array" ref="D2">_xlfn.XLOOKUP(B2,'Up Turbo'!A:A,'Up Turbo'!B:B,)</f>
        <v>n/a</v>
      </c>
      <c r="E2" s="39" t="str">
        <f t="array" ref="E2">_xlfn.XLOOKUP(B2,'Up Stats'!A:A,'Up Stats'!B:B,)</f>
        <v/>
      </c>
      <c r="F2" s="40" t="str">
        <f>IFERROR(__xludf.DUMMYFUNCTION("if(AND(G2=FALSE,H2=FALSE),,if(G2=H2,JOIN("""",""Static: "",G2),JOIN("""",""Min:  "",G2, CHAR(10),""Max: "",H2)))"),"")</f>
        <v/>
      </c>
      <c r="G2" s="42" t="str">
        <f t="array" ref="G2">_xlfn.XLOOKUP(B2,'Up Min'!A:A,'Up Min'!B:B,)</f>
        <v/>
      </c>
      <c r="H2" s="45" t="str">
        <f t="array" ref="H2">_xlfn.XLOOKUP(B2,'Up Max'!A:A,'Up Max'!B:B,)</f>
        <v/>
      </c>
      <c r="I2" s="39" t="str">
        <f t="array" ref="I2">_xlfn.XLOOKUP(B2,'Up Stats'!A:A,'Up Stats'!C:C,)</f>
        <v/>
      </c>
      <c r="J2" s="40" t="str">
        <f>IFERROR(__xludf.DUMMYFUNCTION("if(AND(K2=FALSE,L2=FALSE),,if(K2=L2,JOIN("""",""Static: "",K2),JOIN("""",""Min:  "",K2, CHAR(10),""Max: "",L2)))"),"")</f>
        <v/>
      </c>
      <c r="K2" s="42" t="str">
        <f t="array" ref="K2">_xlfn.XLOOKUP(B2,'Up Min'!A:A,'Up Min'!C:C,)</f>
        <v/>
      </c>
      <c r="L2" s="42" t="str">
        <f t="array" ref="L2">_xlfn.XLOOKUP(B2,'Up Max'!A:A,'Up Max'!C:C,)</f>
        <v/>
      </c>
      <c r="M2" s="48" t="str">
        <f t="array" ref="M2">_xlfn.XLOOKUP(B2,'Up Stats'!A:A,'Up Stats'!D:D,)</f>
        <v/>
      </c>
      <c r="N2" s="40" t="str">
        <f>IFERROR(__xludf.DUMMYFUNCTION("if(AND(O2=FALSE,P2=FALSE),,if(O2=P2,JOIN("""",""Static: "",O2),JOIN("""",""Min:  "",O2, CHAR(10),""Max: "",P2)))"),"")</f>
        <v/>
      </c>
      <c r="O2" s="42" t="str">
        <f t="array" ref="O2">_xlfn.XLOOKUP(B2,'Up Min'!A:A,'Up Min'!D:D,)</f>
        <v/>
      </c>
      <c r="P2" s="42" t="str">
        <f t="array" ref="P2">_xlfn.XLOOKUP(B2,'Up Max'!A:A,'Up Max'!D:D,)</f>
        <v/>
      </c>
      <c r="Q2" s="48" t="str">
        <f t="array" ref="Q2">_xlfn.XLOOKUP(B2,'Up Stats'!A:A,'Up Stats'!E:E,)</f>
        <v/>
      </c>
      <c r="R2" s="40" t="str">
        <f>IFERROR(__xludf.DUMMYFUNCTION("if(AND(S2=FALSE,T2=FALSE),,if(S2=T2,JOIN("""",""Static: "",S2),JOIN("""",""Min:  "",S2, CHAR(10),""Max: "",T2)))"),"")</f>
        <v/>
      </c>
      <c r="S2" s="42" t="str">
        <f t="array" ref="S2">_xlfn.XLOOKUP(B2,'Up Min'!A:A,'Up Min'!E:E,)</f>
        <v/>
      </c>
      <c r="T2" s="42" t="str">
        <f t="array" ref="T2">_xlfn.XLOOKUP(B2,'Up Max'!A:A,'Up Max'!E:E,)</f>
        <v/>
      </c>
      <c r="U2" s="48" t="str">
        <f t="array" ref="U2">_xlfn.XLOOKUP(B2,'Up Stats'!A:A,'Up Stats'!F:F,)</f>
        <v/>
      </c>
      <c r="V2" s="40" t="str">
        <f>IFERROR(__xludf.DUMMYFUNCTION("if(AND(W2=FALSE,X2=FALSE),,if(W2=X2,JOIN("""",""Static: "",W2),JOIN("""",""Min:  "",W2, CHAR(10),""Max: "",X2)))"),"")</f>
        <v/>
      </c>
      <c r="W2" s="42" t="str">
        <f t="array" ref="W2">_xlfn.XLOOKUP(B2,'Up Min'!A:A,'Up Min'!F:F,)</f>
        <v/>
      </c>
      <c r="X2" s="42" t="str">
        <f t="array" ref="X2">_xlfn.XLOOKUP(B2,'Up Max'!A:A,'Up Max'!F:F,)</f>
        <v/>
      </c>
      <c r="Y2" s="48" t="str">
        <f t="array" ref="Y2">_xlfn.XLOOKUP(B2,'Up Stats'!A:A,'Up Stats'!G:G,)</f>
        <v/>
      </c>
      <c r="Z2" s="40" t="str">
        <f>IFERROR(__xludf.DUMMYFUNCTION("if(AND(AA2=FALSE,AB2=FALSE),,if(AA2=AB2,JOIN("""",""Static: "",AA2),JOIN("""",""Min:  "",AA2, CHAR(10),""Max: "",AB2)))"),"")</f>
        <v/>
      </c>
      <c r="AA2" s="42" t="str">
        <f t="array" ref="AA2">_xlfn.XLOOKUP(B2,'Up Min'!A:A,'Up Min'!G:G,)</f>
        <v/>
      </c>
      <c r="AB2" s="42" t="str">
        <f t="array" ref="AB2">_xlfn.XLOOKUP(B2,'Up Max'!A:A,'Up Max'!G:G,)</f>
        <v/>
      </c>
      <c r="AC2" s="48" t="str">
        <f t="array" ref="AC2">_xlfn.XLOOKUP(B2,'Up Stats'!A:A,'Up Stats'!H:H,)</f>
        <v/>
      </c>
      <c r="AD2" s="40" t="str">
        <f>IFERROR(__xludf.DUMMYFUNCTION("if(AND(AE2=FALSE,AF2=FALSE),,if(AE2=AF2,JOIN("""",""Static: "",AE2),JOIN("""",""Min:  "",AE2, CHAR(10),""Max: "",AF2)))"),"")</f>
        <v/>
      </c>
      <c r="AE2" s="42" t="str">
        <f t="array" ref="AE2">_xlfn.XLOOKUP(B2,'Up Min'!A:A,'Up Min'!H:H,)</f>
        <v/>
      </c>
      <c r="AF2" s="42" t="str">
        <f t="array" ref="AF2">_xlfn.XLOOKUP(B2,'Up Max'!A:A,'Up Max'!H:H,)</f>
        <v/>
      </c>
      <c r="AG2" s="48" t="str">
        <f t="array" ref="AG2">_xlfn.XLOOKUP(B2,'Up Stats'!A:A,'Up Stats'!I:I,)</f>
        <v/>
      </c>
      <c r="AH2" s="40" t="str">
        <f>IFERROR(__xludf.DUMMYFUNCTION("if(AND(AI2=FALSE,AJ2=FALSE),,if(AI2=AJ2,JOIN("""",""Static: "",AI2),JOIN("""",""Min:  "",AI2, CHAR(10),""Max: "",AJ2)))"),"")</f>
        <v/>
      </c>
      <c r="AI2" s="42" t="str">
        <f t="array" ref="AI2">_xlfn.XLOOKUP(B2,'Up Min'!A:A,'Up Min'!I:I,)</f>
        <v/>
      </c>
      <c r="AJ2" s="42" t="str">
        <f t="array" ref="AJ2">_xlfn.XLOOKUP(B2,'Up Max'!A:A,'Up Max'!I:I,)</f>
        <v/>
      </c>
      <c r="AK2" s="48" t="str">
        <f t="array" ref="AK2">_xlfn.XLOOKUP(B2,'Up Stats'!A:A,'Up Stats'!J:J,)</f>
        <v/>
      </c>
      <c r="AL2" s="40" t="str">
        <f>IFERROR(__xludf.DUMMYFUNCTION("if(AND(AM2=FALSE,AN2=FALSE),,if(AM2=AN2,JOIN("""",""Static: "",AM2),JOIN("""",""Min:  "",AM2, CHAR(10),""Max: "",AN2)))"),"")</f>
        <v/>
      </c>
      <c r="AM2" s="42" t="str">
        <f t="array" ref="AM2">_xlfn.XLOOKUP(B2,'Up Min'!A:A,'Up Min'!J:J,)</f>
        <v/>
      </c>
      <c r="AN2" s="42" t="str">
        <f t="array" ref="AN2">_xlfn.XLOOKUP(B2,'Up Max'!A:A,'Up Max'!J:J,)</f>
        <v/>
      </c>
      <c r="AO2" s="34" t="str">
        <f t="array" ref="AO2">CONCATENATE(_xlfn.XLOOKUP(B2,'Up Cells'!A:A,'Up Cells'!B:B,))</f>
        <v>1</v>
      </c>
      <c r="AP2" s="34" t="str">
        <f t="array" ref="AP2">CONCATENATE(_xlfn.XLOOKUP(B2,'Up Rarity'!A:A,'Up Rarity'!B:B,),CHAR(10),"-")</f>
        <v>Contraband
-</v>
      </c>
    </row>
    <row r="3">
      <c r="A3" s="31" t="str">
        <f t="array" ref="A3">_xlfn.XLOOKUP(B3,'Up Icon'!A:A,'Up Icon'!B:B,)</f>
        <v/>
      </c>
      <c r="B3" s="61" t="str">
        <f t="array" ref="B3">HYPERLINK(_xlfn.XLOOKUP('Up Names'!F33,'Up Wiki'!A:A,'Up Wiki'!B:B,),'Up Names'!F33)</f>
        <v>Multiversal Thievery</v>
      </c>
      <c r="C3" s="52" t="str">
        <f t="array" ref="C3">_xlfn.XLOOKUP(B3,'Up Desc'!A:A,'Up Desc'!B:B,)</f>
        <v>Commandeers 1 column from each of your other upgrade grids.</v>
      </c>
      <c r="D3" s="52" t="str">
        <f t="array" ref="D3">_xlfn.XLOOKUP(B3,'Up Turbo'!A:A,'Up Turbo'!B:B,)</f>
        <v>n/a</v>
      </c>
      <c r="E3" s="53" t="str">
        <f t="array" ref="E3">_xlfn.XLOOKUP(B3,'Up Stats'!A:A,'Up Stats'!B:B,)</f>
        <v/>
      </c>
      <c r="F3" s="54" t="str">
        <f>IFERROR(__xludf.DUMMYFUNCTION("if(AND(G3=FALSE,H3=FALSE),,if(G3=H3,JOIN("""",""Static: "",G3),JOIN("""",""Min:  "",G3, CHAR(10),""Max: "",H3)))"),"")</f>
        <v/>
      </c>
      <c r="G3" s="55" t="str">
        <f t="array" ref="G3">_xlfn.XLOOKUP(B3,'Up Min'!A:A,'Up Min'!B:B,)</f>
        <v/>
      </c>
      <c r="H3" s="56" t="str">
        <f t="array" ref="H3">_xlfn.XLOOKUP(B3,'Up Max'!A:A,'Up Max'!B:B,)</f>
        <v/>
      </c>
      <c r="I3" s="53" t="str">
        <f t="array" ref="I3">_xlfn.XLOOKUP(B3,'Up Stats'!A:A,'Up Stats'!C:C,)</f>
        <v/>
      </c>
      <c r="J3" s="54" t="str">
        <f>IFERROR(__xludf.DUMMYFUNCTION("if(AND(K3=FALSE,L3=FALSE),,if(K3=L3,JOIN("""",""Static: "",K3),JOIN("""",""Min:  "",K3, CHAR(10),""Max: "",L3)))"),"")</f>
        <v/>
      </c>
      <c r="K3" s="55" t="str">
        <f t="array" ref="K3">_xlfn.XLOOKUP(B3,'Up Min'!A:A,'Up Min'!C:C,)</f>
        <v/>
      </c>
      <c r="L3" s="55" t="str">
        <f t="array" ref="L3">_xlfn.XLOOKUP(B3,'Up Max'!A:A,'Up Max'!C:C,)</f>
        <v/>
      </c>
      <c r="M3" s="57" t="str">
        <f t="array" ref="M3">_xlfn.XLOOKUP(B3,'Up Stats'!A:A,'Up Stats'!D:D,)</f>
        <v/>
      </c>
      <c r="N3" s="54" t="str">
        <f>IFERROR(__xludf.DUMMYFUNCTION("if(AND(O3=FALSE,P3=FALSE),,if(O3=P3,JOIN("""",""Static: "",O3),JOIN("""",""Min:  "",O3, CHAR(10),""Max: "",P3)))"),"")</f>
        <v/>
      </c>
      <c r="O3" s="55" t="str">
        <f t="array" ref="O3">_xlfn.XLOOKUP(B3,'Up Min'!A:A,'Up Min'!D:D,)</f>
        <v/>
      </c>
      <c r="P3" s="55" t="str">
        <f t="array" ref="P3">_xlfn.XLOOKUP(B3,'Up Max'!A:A,'Up Max'!D:D,)</f>
        <v/>
      </c>
      <c r="Q3" s="57" t="str">
        <f t="array" ref="Q3">_xlfn.XLOOKUP(B3,'Up Stats'!A:A,'Up Stats'!E:E,)</f>
        <v/>
      </c>
      <c r="R3" s="54" t="str">
        <f>IFERROR(__xludf.DUMMYFUNCTION("if(AND(S3=FALSE,T3=FALSE),,if(S3=T3,JOIN("""",""Static: "",S3),JOIN("""",""Min:  "",S3, CHAR(10),""Max: "",T3)))"),"")</f>
        <v/>
      </c>
      <c r="S3" s="55" t="str">
        <f t="array" ref="S3">_xlfn.XLOOKUP(B3,'Up Min'!A:A,'Up Min'!E:E,)</f>
        <v/>
      </c>
      <c r="T3" s="55" t="str">
        <f t="array" ref="T3">_xlfn.XLOOKUP(B3,'Up Max'!A:A,'Up Max'!E:E,)</f>
        <v/>
      </c>
      <c r="U3" s="57" t="str">
        <f t="array" ref="U3">_xlfn.XLOOKUP(B3,'Up Stats'!A:A,'Up Stats'!F:F,)</f>
        <v/>
      </c>
      <c r="V3" s="54" t="str">
        <f>IFERROR(__xludf.DUMMYFUNCTION("if(AND(W3=FALSE,X3=FALSE),,if(W3=X3,JOIN("""",""Static: "",W3),JOIN("""",""Min:  "",W3, CHAR(10),""Max: "",X3)))"),"")</f>
        <v/>
      </c>
      <c r="W3" s="55" t="str">
        <f t="array" ref="W3">_xlfn.XLOOKUP(B3,'Up Min'!A:A,'Up Min'!F:F,)</f>
        <v/>
      </c>
      <c r="X3" s="55" t="str">
        <f t="array" ref="X3">_xlfn.XLOOKUP(B3,'Up Max'!A:A,'Up Max'!F:F,)</f>
        <v/>
      </c>
      <c r="Y3" s="57" t="str">
        <f t="array" ref="Y3">_xlfn.XLOOKUP(B3,'Up Stats'!A:A,'Up Stats'!G:G,)</f>
        <v/>
      </c>
      <c r="Z3" s="54" t="str">
        <f>IFERROR(__xludf.DUMMYFUNCTION("if(AND(AA3=FALSE,AB3=FALSE),,if(AA3=AB3,JOIN("""",""Static: "",AA3),JOIN("""",""Min:  "",AA3, CHAR(10),""Max: "",AB3)))"),"")</f>
        <v/>
      </c>
      <c r="AA3" s="55" t="str">
        <f t="array" ref="AA3">_xlfn.XLOOKUP(B3,'Up Min'!A:A,'Up Min'!G:G,)</f>
        <v/>
      </c>
      <c r="AB3" s="55" t="str">
        <f t="array" ref="AB3">_xlfn.XLOOKUP(B3,'Up Max'!A:A,'Up Max'!G:G,)</f>
        <v/>
      </c>
      <c r="AC3" s="57" t="str">
        <f t="array" ref="AC3">_xlfn.XLOOKUP(B3,'Up Stats'!A:A,'Up Stats'!H:H,)</f>
        <v/>
      </c>
      <c r="AD3" s="54" t="str">
        <f>IFERROR(__xludf.DUMMYFUNCTION("if(AND(AE3=FALSE,AF3=FALSE),,if(AE3=AF3,JOIN("""",""Static: "",AE3),JOIN("""",""Min:  "",AE3, CHAR(10),""Max: "",AF3)))"),"")</f>
        <v/>
      </c>
      <c r="AE3" s="55" t="str">
        <f t="array" ref="AE3">_xlfn.XLOOKUP(B3,'Up Min'!A:A,'Up Min'!H:H,)</f>
        <v/>
      </c>
      <c r="AF3" s="55" t="str">
        <f t="array" ref="AF3">_xlfn.XLOOKUP(B3,'Up Max'!A:A,'Up Max'!H:H,)</f>
        <v/>
      </c>
      <c r="AG3" s="57" t="str">
        <f t="array" ref="AG3">_xlfn.XLOOKUP(B3,'Up Stats'!A:A,'Up Stats'!I:I,)</f>
        <v/>
      </c>
      <c r="AH3" s="54" t="str">
        <f>IFERROR(__xludf.DUMMYFUNCTION("if(AND(AI3=FALSE,AJ3=FALSE),,if(AI3=AJ3,JOIN("""",""Static: "",AI3),JOIN("""",""Min:  "",AI3, CHAR(10),""Max: "",AJ3)))"),"")</f>
        <v/>
      </c>
      <c r="AI3" s="55" t="str">
        <f t="array" ref="AI3">_xlfn.XLOOKUP(B3,'Up Min'!A:A,'Up Min'!I:I,)</f>
        <v/>
      </c>
      <c r="AJ3" s="55" t="str">
        <f t="array" ref="AJ3">_xlfn.XLOOKUP(B3,'Up Max'!A:A,'Up Max'!I:I,)</f>
        <v/>
      </c>
      <c r="AK3" s="57" t="str">
        <f t="array" ref="AK3">_xlfn.XLOOKUP(B3,'Up Stats'!A:A,'Up Stats'!J:J,)</f>
        <v/>
      </c>
      <c r="AL3" s="54" t="str">
        <f>IFERROR(__xludf.DUMMYFUNCTION("if(AND(AM3=FALSE,AN3=FALSE),,if(AM3=AN3,JOIN("""",""Static: "",AM3),JOIN("""",""Min:  "",AM3, CHAR(10),""Max: "",AN3)))"),"")</f>
        <v/>
      </c>
      <c r="AM3" s="55" t="str">
        <f t="array" ref="AM3">_xlfn.XLOOKUP(B3,'Up Min'!A:A,'Up Min'!J:J,)</f>
        <v/>
      </c>
      <c r="AN3" s="55" t="str">
        <f t="array" ref="AN3">_xlfn.XLOOKUP(B3,'Up Max'!A:A,'Up Max'!J:J,)</f>
        <v/>
      </c>
      <c r="AO3" s="51" t="str">
        <f t="array" ref="AO3">CONCATENATE(_xlfn.XLOOKUP(B3,'Up Cells'!A:A,'Up Cells'!B:B,))</f>
        <v>1</v>
      </c>
      <c r="AP3" s="51" t="str">
        <f t="array" ref="AP3">CONCATENATE(_xlfn.XLOOKUP(B3,'Up Rarity'!A:A,'Up Rarity'!B:B,),CHAR(10),"-")</f>
        <v>Contraband
-</v>
      </c>
    </row>
    <row r="4">
      <c r="A4" s="60" t="str">
        <f t="array" ref="A4">_xlfn.XLOOKUP(B4,'Up Icon'!A:A,'Up Icon'!B:B,)</f>
        <v/>
      </c>
      <c r="B4" s="58" t="str">
        <f t="array" ref="B4">HYPERLINK(_xlfn.XLOOKUP('Up Names'!F34,'Up Wiki'!A:A,'Up Wiki'!B:B,),'Up Names'!F34)</f>
        <v>Boundary Incursion</v>
      </c>
      <c r="C4" s="37" t="str">
        <f t="array" ref="C4">_xlfn.XLOOKUP(B4,'Up Desc'!A:A,'Up Desc'!B:B,)</f>
        <v>Increases the size of your upgrade grid.</v>
      </c>
      <c r="D4" s="37" t="str">
        <f t="array" ref="D4">_xlfn.XLOOKUP(B4,'Up Turbo'!A:A,'Up Turbo'!B:B,)</f>
        <v>n/a</v>
      </c>
      <c r="E4" s="39" t="str">
        <f t="array" ref="E4">_xlfn.XLOOKUP(B4,'Up Stats'!A:A,'Up Stats'!B:B,)</f>
        <v/>
      </c>
      <c r="F4" s="40" t="str">
        <f>IFERROR(__xludf.DUMMYFUNCTION("if(AND(G4=FALSE,H4=FALSE),,if(G4=H4,JOIN("""",""Static: "",G4),JOIN("""",""Min:  "",G4, CHAR(10),""Max: "",H4)))"),"")</f>
        <v/>
      </c>
      <c r="G4" s="42" t="str">
        <f t="array" ref="G4">_xlfn.XLOOKUP(B4,'Up Min'!A:A,'Up Min'!B:B,)</f>
        <v/>
      </c>
      <c r="H4" s="45" t="str">
        <f t="array" ref="H4">_xlfn.XLOOKUP(B4,'Up Max'!A:A,'Up Max'!B:B,)</f>
        <v/>
      </c>
      <c r="I4" s="39" t="str">
        <f t="array" ref="I4">_xlfn.XLOOKUP(B4,'Up Stats'!A:A,'Up Stats'!C:C,)</f>
        <v/>
      </c>
      <c r="J4" s="40" t="str">
        <f>IFERROR(__xludf.DUMMYFUNCTION("if(AND(K4=FALSE,L4=FALSE),,if(K4=L4,JOIN("""",""Static: "",K4),JOIN("""",""Min:  "",K4, CHAR(10),""Max: "",L4)))"),"")</f>
        <v/>
      </c>
      <c r="K4" s="42" t="str">
        <f t="array" ref="K4">_xlfn.XLOOKUP(B4,'Up Min'!A:A,'Up Min'!C:C,)</f>
        <v/>
      </c>
      <c r="L4" s="42" t="str">
        <f t="array" ref="L4">_xlfn.XLOOKUP(B4,'Up Max'!A:A,'Up Max'!C:C,)</f>
        <v/>
      </c>
      <c r="M4" s="48" t="str">
        <f t="array" ref="M4">_xlfn.XLOOKUP(B4,'Up Stats'!A:A,'Up Stats'!D:D,)</f>
        <v/>
      </c>
      <c r="N4" s="40" t="str">
        <f>IFERROR(__xludf.DUMMYFUNCTION("if(AND(O4=FALSE,P4=FALSE),,if(O4=P4,JOIN("""",""Static: "",O4),JOIN("""",""Min:  "",O4, CHAR(10),""Max: "",P4)))"),"")</f>
        <v/>
      </c>
      <c r="O4" s="42" t="str">
        <f t="array" ref="O4">_xlfn.XLOOKUP(B4,'Up Min'!A:A,'Up Min'!D:D,)</f>
        <v/>
      </c>
      <c r="P4" s="42" t="str">
        <f t="array" ref="P4">_xlfn.XLOOKUP(B4,'Up Max'!A:A,'Up Max'!D:D,)</f>
        <v/>
      </c>
      <c r="Q4" s="48" t="str">
        <f t="array" ref="Q4">_xlfn.XLOOKUP(B4,'Up Stats'!A:A,'Up Stats'!E:E,)</f>
        <v/>
      </c>
      <c r="R4" s="40" t="str">
        <f>IFERROR(__xludf.DUMMYFUNCTION("if(AND(S4=FALSE,T4=FALSE),,if(S4=T4,JOIN("""",""Static: "",S4),JOIN("""",""Min:  "",S4, CHAR(10),""Max: "",T4)))"),"")</f>
        <v/>
      </c>
      <c r="S4" s="42" t="str">
        <f t="array" ref="S4">_xlfn.XLOOKUP(B4,'Up Min'!A:A,'Up Min'!E:E,)</f>
        <v/>
      </c>
      <c r="T4" s="42" t="str">
        <f t="array" ref="T4">_xlfn.XLOOKUP(B4,'Up Max'!A:A,'Up Max'!E:E,)</f>
        <v/>
      </c>
      <c r="U4" s="48" t="str">
        <f t="array" ref="U4">_xlfn.XLOOKUP(B4,'Up Stats'!A:A,'Up Stats'!F:F,)</f>
        <v/>
      </c>
      <c r="V4" s="40" t="str">
        <f>IFERROR(__xludf.DUMMYFUNCTION("if(AND(W4=FALSE,X4=FALSE),,if(W4=X4,JOIN("""",""Static: "",W4),JOIN("""",""Min:  "",W4, CHAR(10),""Max: "",X4)))"),"")</f>
        <v/>
      </c>
      <c r="W4" s="42" t="str">
        <f t="array" ref="W4">_xlfn.XLOOKUP(B4,'Up Min'!A:A,'Up Min'!F:F,)</f>
        <v/>
      </c>
      <c r="X4" s="42" t="str">
        <f t="array" ref="X4">_xlfn.XLOOKUP(B4,'Up Max'!A:A,'Up Max'!F:F,)</f>
        <v/>
      </c>
      <c r="Y4" s="48" t="str">
        <f t="array" ref="Y4">_xlfn.XLOOKUP(B4,'Up Stats'!A:A,'Up Stats'!G:G,)</f>
        <v/>
      </c>
      <c r="Z4" s="40" t="str">
        <f>IFERROR(__xludf.DUMMYFUNCTION("if(AND(AA4=FALSE,AB4=FALSE),,if(AA4=AB4,JOIN("""",""Static: "",AA4),JOIN("""",""Min:  "",AA4, CHAR(10),""Max: "",AB4)))"),"")</f>
        <v/>
      </c>
      <c r="AA4" s="42" t="str">
        <f t="array" ref="AA4">_xlfn.XLOOKUP(B4,'Up Min'!A:A,'Up Min'!G:G,)</f>
        <v/>
      </c>
      <c r="AB4" s="42" t="str">
        <f t="array" ref="AB4">_xlfn.XLOOKUP(B4,'Up Max'!A:A,'Up Max'!G:G,)</f>
        <v/>
      </c>
      <c r="AC4" s="48" t="str">
        <f t="array" ref="AC4">_xlfn.XLOOKUP(B4,'Up Stats'!A:A,'Up Stats'!H:H,)</f>
        <v/>
      </c>
      <c r="AD4" s="40" t="str">
        <f>IFERROR(__xludf.DUMMYFUNCTION("if(AND(AE4=FALSE,AF4=FALSE),,if(AE4=AF4,JOIN("""",""Static: "",AE4),JOIN("""",""Min:  "",AE4, CHAR(10),""Max: "",AF4)))"),"")</f>
        <v/>
      </c>
      <c r="AE4" s="42" t="str">
        <f t="array" ref="AE4">_xlfn.XLOOKUP(B4,'Up Min'!A:A,'Up Min'!H:H,)</f>
        <v/>
      </c>
      <c r="AF4" s="42" t="str">
        <f t="array" ref="AF4">_xlfn.XLOOKUP(B4,'Up Max'!A:A,'Up Max'!H:H,)</f>
        <v/>
      </c>
      <c r="AG4" s="48" t="str">
        <f t="array" ref="AG4">_xlfn.XLOOKUP(B4,'Up Stats'!A:A,'Up Stats'!I:I,)</f>
        <v/>
      </c>
      <c r="AH4" s="40" t="str">
        <f>IFERROR(__xludf.DUMMYFUNCTION("if(AND(AI4=FALSE,AJ4=FALSE),,if(AI4=AJ4,JOIN("""",""Static: "",AI4),JOIN("""",""Min:  "",AI4, CHAR(10),""Max: "",AJ4)))"),"")</f>
        <v/>
      </c>
      <c r="AI4" s="42" t="str">
        <f t="array" ref="AI4">_xlfn.XLOOKUP(B4,'Up Min'!A:A,'Up Min'!I:I,)</f>
        <v/>
      </c>
      <c r="AJ4" s="42" t="str">
        <f t="array" ref="AJ4">_xlfn.XLOOKUP(B4,'Up Max'!A:A,'Up Max'!I:I,)</f>
        <v/>
      </c>
      <c r="AK4" s="48" t="str">
        <f t="array" ref="AK4">_xlfn.XLOOKUP(B4,'Up Stats'!A:A,'Up Stats'!J:J,)</f>
        <v/>
      </c>
      <c r="AL4" s="40" t="str">
        <f>IFERROR(__xludf.DUMMYFUNCTION("if(AND(AM4=FALSE,AN4=FALSE),,if(AM4=AN4,JOIN("""",""Static: "",AM4),JOIN("""",""Min:  "",AM4, CHAR(10),""Max: "",AN4)))"),"")</f>
        <v/>
      </c>
      <c r="AM4" s="42" t="str">
        <f t="array" ref="AM4">_xlfn.XLOOKUP(B4,'Up Min'!A:A,'Up Min'!J:J,)</f>
        <v/>
      </c>
      <c r="AN4" s="42" t="str">
        <f t="array" ref="AN4">_xlfn.XLOOKUP(B4,'Up Max'!A:A,'Up Max'!J:J,)</f>
        <v/>
      </c>
      <c r="AO4" s="34" t="str">
        <f t="array" ref="AO4">CONCATENATE(_xlfn.XLOOKUP(B4,'Up Cells'!A:A,'Up Cells'!B:B,))</f>
        <v>1</v>
      </c>
      <c r="AP4" s="34" t="str">
        <f t="array" ref="AP4">CONCATENATE(_xlfn.XLOOKUP(B4,'Up Rarity'!A:A,'Up Rarity'!B:B,),CHAR(10),"-")</f>
        <v>Oddity
-</v>
      </c>
    </row>
    <row r="5">
      <c r="A5" s="60" t="str">
        <f t="array" ref="A5">_xlfn.XLOOKUP(B5,'Up Icon'!A:A,'Up Icon'!B:B,)</f>
        <v/>
      </c>
      <c r="B5" s="88" t="str">
        <f t="array" ref="B5">HYPERLINK(_xlfn.XLOOKUP('Up Names'!F2,'Up Wiki'!A:A,'Up Wiki'!B:B,),'Up Names'!F2)</f>
        <v>Return to Receiver</v>
      </c>
      <c r="C5" s="70" t="str">
        <f t="array" ref="C5">_xlfn.XLOOKUP(B5,'Up Desc'!A:A,'Up Desc'!B:B,)</f>
        <v>Magnetism goes both ways.</v>
      </c>
      <c r="D5" s="52" t="str">
        <f t="array" ref="D5">_xlfn.XLOOKUP(B5,'Up Turbo'!A:A,'Up Turbo'!B:B,)</f>
        <v>n/a</v>
      </c>
      <c r="E5" s="53" t="str">
        <f t="array" ref="E5">_xlfn.XLOOKUP(B5,'Up Stats'!A:A,'Up Stats'!B:B,)</f>
        <v>Range</v>
      </c>
      <c r="F5" s="54" t="str">
        <f>IFERROR(__xludf.DUMMYFUNCTION("if(AND(G5=FALSE,H5=FALSE),,if(G5=H5,JOIN("""",""Static: "",G5),JOIN("""",""Min:  "",G5, CHAR(10),""Max: "",H5)))"),"Static: -50%")</f>
        <v>Static: -50%</v>
      </c>
      <c r="G5" s="59">
        <f t="array" ref="G5">_xlfn.XLOOKUP(B5,'Up Min'!A:A,'Up Min'!B:B,)</f>
        <v>-0.5</v>
      </c>
      <c r="H5" s="59">
        <f t="array" ref="H5">_xlfn.XLOOKUP(B5,'Up Max'!A:A,'Up Max'!B:B,)</f>
        <v>-0.5</v>
      </c>
      <c r="I5" s="53" t="str">
        <f t="array" ref="I5">_xlfn.XLOOKUP(B5,'Up Stats'!A:A,'Up Stats'!C:C,)</f>
        <v/>
      </c>
      <c r="J5" s="54" t="str">
        <f>IFERROR(__xludf.DUMMYFUNCTION("if(AND(K5=FALSE,L5=FALSE),,if(K5=L5,JOIN("""",""Static: "",K5),JOIN("""",""Min:  "",K5, CHAR(10),""Max: "",L5)))"),"")</f>
        <v/>
      </c>
      <c r="K5" s="55" t="str">
        <f t="array" ref="K5">_xlfn.XLOOKUP(B5,'Up Min'!A:A,'Up Min'!C:C,)</f>
        <v/>
      </c>
      <c r="L5" s="55" t="str">
        <f t="array" ref="L5">_xlfn.XLOOKUP(B5,'Up Max'!A:A,'Up Max'!C:C,)</f>
        <v/>
      </c>
      <c r="M5" s="57" t="str">
        <f t="array" ref="M5">_xlfn.XLOOKUP(B5,'Up Stats'!A:A,'Up Stats'!D:D,)</f>
        <v/>
      </c>
      <c r="N5" s="54" t="str">
        <f>IFERROR(__xludf.DUMMYFUNCTION("if(AND(O5=FALSE,P5=FALSE),,if(O5=P5,JOIN("""",""Static: "",O5),JOIN("""",""Min:  "",O5, CHAR(10),""Max: "",P5)))"),"")</f>
        <v/>
      </c>
      <c r="O5" s="55" t="str">
        <f t="array" ref="O5">_xlfn.XLOOKUP(B5,'Up Min'!A:A,'Up Min'!D:D,)</f>
        <v/>
      </c>
      <c r="P5" s="55" t="str">
        <f t="array" ref="P5">_xlfn.XLOOKUP(B5,'Up Max'!A:A,'Up Max'!D:D,)</f>
        <v/>
      </c>
      <c r="Q5" s="57" t="str">
        <f t="array" ref="Q5">_xlfn.XLOOKUP(B5,'Up Stats'!A:A,'Up Stats'!E:E,)</f>
        <v/>
      </c>
      <c r="R5" s="54" t="str">
        <f>IFERROR(__xludf.DUMMYFUNCTION("if(AND(S5=FALSE,T5=FALSE),,if(S5=T5,JOIN("""",""Static: "",S5),JOIN("""",""Min:  "",S5, CHAR(10),""Max: "",T5)))"),"")</f>
        <v/>
      </c>
      <c r="S5" s="55" t="str">
        <f t="array" ref="S5">_xlfn.XLOOKUP(B5,'Up Min'!A:A,'Up Min'!E:E,)</f>
        <v/>
      </c>
      <c r="T5" s="55" t="str">
        <f t="array" ref="T5">_xlfn.XLOOKUP(B5,'Up Max'!A:A,'Up Max'!E:E,)</f>
        <v/>
      </c>
      <c r="U5" s="57" t="str">
        <f t="array" ref="U5">_xlfn.XLOOKUP(B5,'Up Stats'!A:A,'Up Stats'!F:F,)</f>
        <v/>
      </c>
      <c r="V5" s="54" t="str">
        <f>IFERROR(__xludf.DUMMYFUNCTION("if(AND(W5=FALSE,X5=FALSE),,if(W5=X5,JOIN("""",""Static: "",W5),JOIN("""",""Min:  "",W5, CHAR(10),""Max: "",X5)))"),"")</f>
        <v/>
      </c>
      <c r="W5" s="55" t="str">
        <f t="array" ref="W5">_xlfn.XLOOKUP(B5,'Up Min'!A:A,'Up Min'!F:F,)</f>
        <v/>
      </c>
      <c r="X5" s="55" t="str">
        <f t="array" ref="X5">_xlfn.XLOOKUP(B5,'Up Max'!A:A,'Up Max'!F:F,)</f>
        <v/>
      </c>
      <c r="Y5" s="57" t="str">
        <f t="array" ref="Y5">_xlfn.XLOOKUP(B5,'Up Stats'!A:A,'Up Stats'!G:G,)</f>
        <v/>
      </c>
      <c r="Z5" s="54" t="str">
        <f>IFERROR(__xludf.DUMMYFUNCTION("if(AND(AA5=FALSE,AB5=FALSE),,if(AA5=AB5,JOIN("""",""Static: "",AA5),JOIN("""",""Min:  "",AA5, CHAR(10),""Max: "",AB5)))"),"")</f>
        <v/>
      </c>
      <c r="AA5" s="55" t="str">
        <f t="array" ref="AA5">_xlfn.XLOOKUP(B5,'Up Min'!A:A,'Up Min'!G:G,)</f>
        <v/>
      </c>
      <c r="AB5" s="55" t="str">
        <f t="array" ref="AB5">_xlfn.XLOOKUP(B5,'Up Max'!A:A,'Up Max'!G:G,)</f>
        <v/>
      </c>
      <c r="AC5" s="57" t="str">
        <f t="array" ref="AC5">_xlfn.XLOOKUP(B5,'Up Stats'!A:A,'Up Stats'!H:H,)</f>
        <v/>
      </c>
      <c r="AD5" s="54" t="str">
        <f>IFERROR(__xludf.DUMMYFUNCTION("if(AND(AE5=FALSE,AF5=FALSE),,if(AE5=AF5,JOIN("""",""Static: "",AE5),JOIN("""",""Min:  "",AE5, CHAR(10),""Max: "",AF5)))"),"")</f>
        <v/>
      </c>
      <c r="AE5" s="55" t="str">
        <f t="array" ref="AE5">_xlfn.XLOOKUP(B5,'Up Min'!A:A,'Up Min'!H:H,)</f>
        <v/>
      </c>
      <c r="AF5" s="55" t="str">
        <f t="array" ref="AF5">_xlfn.XLOOKUP(B5,'Up Max'!A:A,'Up Max'!H:H,)</f>
        <v/>
      </c>
      <c r="AG5" s="57" t="str">
        <f t="array" ref="AG5">_xlfn.XLOOKUP(B5,'Up Stats'!A:A,'Up Stats'!I:I,)</f>
        <v/>
      </c>
      <c r="AH5" s="54" t="str">
        <f>IFERROR(__xludf.DUMMYFUNCTION("if(AND(AI5=FALSE,AJ5=FALSE),,if(AI5=AJ5,JOIN("""",""Static: "",AI5),JOIN("""",""Min:  "",AI5, CHAR(10),""Max: "",AJ5)))"),"")</f>
        <v/>
      </c>
      <c r="AI5" s="55" t="str">
        <f t="array" ref="AI5">_xlfn.XLOOKUP(B5,'Up Min'!A:A,'Up Min'!I:I,)</f>
        <v/>
      </c>
      <c r="AJ5" s="55" t="str">
        <f t="array" ref="AJ5">_xlfn.XLOOKUP(B5,'Up Max'!A:A,'Up Max'!I:I,)</f>
        <v/>
      </c>
      <c r="AK5" s="57" t="str">
        <f t="array" ref="AK5">_xlfn.XLOOKUP(B5,'Up Stats'!A:A,'Up Stats'!J:J,)</f>
        <v/>
      </c>
      <c r="AL5" s="54" t="str">
        <f>IFERROR(__xludf.DUMMYFUNCTION("if(AND(AM5=FALSE,AN5=FALSE),,if(AM5=AN5,JOIN("""",""Static: "",AM5),JOIN("""",""Min:  "",AM5, CHAR(10),""Max: "",AN5)))"),"")</f>
        <v/>
      </c>
      <c r="AM5" s="55" t="str">
        <f t="array" ref="AM5">_xlfn.XLOOKUP(B5,'Up Min'!A:A,'Up Min'!J:J,)</f>
        <v/>
      </c>
      <c r="AN5" s="55" t="str">
        <f t="array" ref="AN5">_xlfn.XLOOKUP(B5,'Up Max'!A:A,'Up Max'!J:J,)</f>
        <v/>
      </c>
      <c r="AO5" s="51" t="str">
        <f t="array" ref="AO5">CONCATENATE(_xlfn.XLOOKUP(B5,'Up Cells'!A:A,'Up Cells'!B:B,))</f>
        <v>5</v>
      </c>
      <c r="AP5" s="51" t="str">
        <f t="array" ref="AP5">CONCATENATE(_xlfn.XLOOKUP(B5,'Up Rarity'!A:A,'Up Rarity'!B:B,),CHAR(10),"-")</f>
        <v>Oddity
-</v>
      </c>
    </row>
    <row r="6">
      <c r="A6" s="62" t="str">
        <f t="array" ref="A6">_xlfn.XLOOKUP(B6,'Up Icon'!A:A,'Up Icon'!B:B,)</f>
        <v/>
      </c>
      <c r="B6" s="89" t="str">
        <f t="array" ref="B6">HYPERLINK(_xlfn.XLOOKUP('Up Names'!F3,'Up Wiki'!A:A,'Up Wiki'!B:B,),'Up Names'!F3)</f>
        <v>Clearing Plasma</v>
      </c>
      <c r="C6" s="67" t="str">
        <f t="array" ref="C6">_xlfn.XLOOKUP(B6,'Up Desc'!A:A,'Up Desc'!B:B,)</f>
        <v>Plates spin, slicing things around them with light blades.</v>
      </c>
      <c r="D6" s="37" t="str">
        <f t="array" ref="D6">_xlfn.XLOOKUP(B6,'Up Turbo'!A:A,'Up Turbo'!B:B,)</f>
        <v>Plates can pierce shields.</v>
      </c>
      <c r="E6" s="39" t="str">
        <f t="array" ref="E6">_xlfn.XLOOKUP(B6,'Up Stats'!A:A,'Up Stats'!B:B,)</f>
        <v>Size</v>
      </c>
      <c r="F6" s="40" t="str">
        <f>IFERROR(__xludf.DUMMYFUNCTION("if(AND(G6=FALSE,H6=FALSE),,if(G6=H6,JOIN("""",""Static: "",G6),JOIN("""",""Min:  "",G6, CHAR(10),""Max: "",H6)))"),"Min:  11
Max: 18")</f>
        <v>Min:  11
Max: 18</v>
      </c>
      <c r="G6" s="69">
        <f t="array" ref="G6">_xlfn.XLOOKUP(B6,'Up Min'!A:A,'Up Min'!B:B,)</f>
        <v>11</v>
      </c>
      <c r="H6" s="68">
        <f t="array" ref="H6">_xlfn.XLOOKUP(B6,'Up Max'!A:A,'Up Max'!B:B,)</f>
        <v>18</v>
      </c>
      <c r="I6" s="39" t="str">
        <f t="array" ref="I6">_xlfn.XLOOKUP(B6,'Up Stats'!A:A,'Up Stats'!C:C,)</f>
        <v/>
      </c>
      <c r="J6" s="40" t="str">
        <f>IFERROR(__xludf.DUMMYFUNCTION("if(AND(K6=FALSE,L6=FALSE),,if(K6=L6,JOIN("""",""Static: "",K6),JOIN("""",""Min:  "",K6, CHAR(10),""Max: "",L6)))"),"")</f>
        <v/>
      </c>
      <c r="K6" s="42" t="str">
        <f t="array" ref="K6">_xlfn.XLOOKUP(B6,'Up Min'!A:A,'Up Min'!C:C,)</f>
        <v/>
      </c>
      <c r="L6" s="42" t="str">
        <f t="array" ref="L6">_xlfn.XLOOKUP(B6,'Up Max'!A:A,'Up Max'!C:C,)</f>
        <v/>
      </c>
      <c r="M6" s="48" t="str">
        <f t="array" ref="M6">_xlfn.XLOOKUP(B6,'Up Stats'!A:A,'Up Stats'!D:D,)</f>
        <v/>
      </c>
      <c r="N6" s="40" t="str">
        <f>IFERROR(__xludf.DUMMYFUNCTION("if(AND(O6=FALSE,P6=FALSE),,if(O6=P6,JOIN("""",""Static: "",O6),JOIN("""",""Min:  "",O6, CHAR(10),""Max: "",P6)))"),"")</f>
        <v/>
      </c>
      <c r="O6" s="42" t="str">
        <f t="array" ref="O6">_xlfn.XLOOKUP(B6,'Up Min'!A:A,'Up Min'!D:D,)</f>
        <v/>
      </c>
      <c r="P6" s="42" t="str">
        <f t="array" ref="P6">_xlfn.XLOOKUP(B6,'Up Max'!A:A,'Up Max'!D:D,)</f>
        <v/>
      </c>
      <c r="Q6" s="48" t="str">
        <f t="array" ref="Q6">_xlfn.XLOOKUP(B6,'Up Stats'!A:A,'Up Stats'!E:E,)</f>
        <v/>
      </c>
      <c r="R6" s="40" t="str">
        <f>IFERROR(__xludf.DUMMYFUNCTION("if(AND(S6=FALSE,T6=FALSE),,if(S6=T6,JOIN("""",""Static: "",S6),JOIN("""",""Min:  "",S6, CHAR(10),""Max: "",T6)))"),"")</f>
        <v/>
      </c>
      <c r="S6" s="42" t="str">
        <f t="array" ref="S6">_xlfn.XLOOKUP(B6,'Up Min'!A:A,'Up Min'!E:E,)</f>
        <v/>
      </c>
      <c r="T6" s="42" t="str">
        <f t="array" ref="T6">_xlfn.XLOOKUP(B6,'Up Max'!A:A,'Up Max'!E:E,)</f>
        <v/>
      </c>
      <c r="U6" s="48" t="str">
        <f t="array" ref="U6">_xlfn.XLOOKUP(B6,'Up Stats'!A:A,'Up Stats'!F:F,)</f>
        <v/>
      </c>
      <c r="V6" s="40" t="str">
        <f>IFERROR(__xludf.DUMMYFUNCTION("if(AND(W6=FALSE,X6=FALSE),,if(W6=X6,JOIN("""",""Static: "",W6),JOIN("""",""Min:  "",W6, CHAR(10),""Max: "",X6)))"),"")</f>
        <v/>
      </c>
      <c r="W6" s="42" t="str">
        <f t="array" ref="W6">_xlfn.XLOOKUP(B6,'Up Min'!A:A,'Up Min'!F:F,)</f>
        <v/>
      </c>
      <c r="X6" s="42" t="str">
        <f t="array" ref="X6">_xlfn.XLOOKUP(B6,'Up Max'!A:A,'Up Max'!F:F,)</f>
        <v/>
      </c>
      <c r="Y6" s="48" t="str">
        <f t="array" ref="Y6">_xlfn.XLOOKUP(B6,'Up Stats'!A:A,'Up Stats'!G:G,)</f>
        <v/>
      </c>
      <c r="Z6" s="40" t="str">
        <f>IFERROR(__xludf.DUMMYFUNCTION("if(AND(AA6=FALSE,AB6=FALSE),,if(AA6=AB6,JOIN("""",""Static: "",AA6),JOIN("""",""Min:  "",AA6, CHAR(10),""Max: "",AB6)))"),"")</f>
        <v/>
      </c>
      <c r="AA6" s="42" t="str">
        <f t="array" ref="AA6">_xlfn.XLOOKUP(B6,'Up Min'!A:A,'Up Min'!G:G,)</f>
        <v/>
      </c>
      <c r="AB6" s="42" t="str">
        <f t="array" ref="AB6">_xlfn.XLOOKUP(B6,'Up Max'!A:A,'Up Max'!G:G,)</f>
        <v/>
      </c>
      <c r="AC6" s="48" t="str">
        <f t="array" ref="AC6">_xlfn.XLOOKUP(B6,'Up Stats'!A:A,'Up Stats'!H:H,)</f>
        <v/>
      </c>
      <c r="AD6" s="40" t="str">
        <f>IFERROR(__xludf.DUMMYFUNCTION("if(AND(AE6=FALSE,AF6=FALSE),,if(AE6=AF6,JOIN("""",""Static: "",AE6),JOIN("""",""Min:  "",AE6, CHAR(10),""Max: "",AF6)))"),"")</f>
        <v/>
      </c>
      <c r="AE6" s="42" t="str">
        <f t="array" ref="AE6">_xlfn.XLOOKUP(B6,'Up Min'!A:A,'Up Min'!H:H,)</f>
        <v/>
      </c>
      <c r="AF6" s="42" t="str">
        <f t="array" ref="AF6">_xlfn.XLOOKUP(B6,'Up Max'!A:A,'Up Max'!H:H,)</f>
        <v/>
      </c>
      <c r="AG6" s="48" t="str">
        <f t="array" ref="AG6">_xlfn.XLOOKUP(B6,'Up Stats'!A:A,'Up Stats'!I:I,)</f>
        <v/>
      </c>
      <c r="AH6" s="40" t="str">
        <f>IFERROR(__xludf.DUMMYFUNCTION("if(AND(AI6=FALSE,AJ6=FALSE),,if(AI6=AJ6,JOIN("""",""Static: "",AI6),JOIN("""",""Min:  "",AI6, CHAR(10),""Max: "",AJ6)))"),"")</f>
        <v/>
      </c>
      <c r="AI6" s="42" t="str">
        <f t="array" ref="AI6">_xlfn.XLOOKUP(B6,'Up Min'!A:A,'Up Min'!I:I,)</f>
        <v/>
      </c>
      <c r="AJ6" s="42" t="str">
        <f t="array" ref="AJ6">_xlfn.XLOOKUP(B6,'Up Max'!A:A,'Up Max'!I:I,)</f>
        <v/>
      </c>
      <c r="AK6" s="48" t="str">
        <f t="array" ref="AK6">_xlfn.XLOOKUP(B6,'Up Stats'!A:A,'Up Stats'!J:J,)</f>
        <v/>
      </c>
      <c r="AL6" s="40" t="str">
        <f>IFERROR(__xludf.DUMMYFUNCTION("if(AND(AM6=FALSE,AN6=FALSE),,if(AM6=AN6,JOIN("""",""Static: "",AM6),JOIN("""",""Min:  "",AM6, CHAR(10),""Max: "",AN6)))"),"")</f>
        <v/>
      </c>
      <c r="AM6" s="42" t="str">
        <f t="array" ref="AM6">_xlfn.XLOOKUP(B6,'Up Min'!A:A,'Up Min'!J:J,)</f>
        <v/>
      </c>
      <c r="AN6" s="42" t="str">
        <f t="array" ref="AN6">_xlfn.XLOOKUP(B6,'Up Max'!A:A,'Up Max'!J:J,)</f>
        <v/>
      </c>
      <c r="AO6" s="34" t="str">
        <f t="array" ref="AO6">CONCATENATE(_xlfn.XLOOKUP(B6,'Up Cells'!A:A,'Up Cells'!B:B,))</f>
        <v>4</v>
      </c>
      <c r="AP6" s="34" t="str">
        <f t="array" ref="AP6">CONCATENATE(_xlfn.XLOOKUP(B6,'Up Rarity'!A:A,'Up Rarity'!B:B,),CHAR(10),"-")</f>
        <v>Exotic
-</v>
      </c>
    </row>
    <row r="7">
      <c r="A7" s="62" t="str">
        <f t="array" ref="A7">_xlfn.XLOOKUP(B7,'Up Icon'!A:A,'Up Icon'!B:B,)</f>
        <v/>
      </c>
      <c r="B7" s="88" t="str">
        <f t="array" ref="B7">HYPERLINK(_xlfn.XLOOKUP('Up Names'!F4,'Up Wiki'!A:A,'Up Wiki'!B:B,),'Up Names'!F4)</f>
        <v>Compressed Plate Storage</v>
      </c>
      <c r="C7" s="70" t="str">
        <f t="array" ref="C7">_xlfn.XLOOKUP(B7,'Up Desc'!A:A,'Up Desc'!B:B,)</f>
        <v>Fire up to 4 plates at once.</v>
      </c>
      <c r="D7" s="52" t="str">
        <f t="array" ref="D7">_xlfn.XLOOKUP(B7,'Up Turbo'!A:A,'Up Turbo'!B:B,)</f>
        <v>Magazine Size: [+1]</v>
      </c>
      <c r="E7" s="53" t="str">
        <f t="array" ref="E7">_xlfn.XLOOKUP(B7,'Up Stats'!A:A,'Up Stats'!B:B,)</f>
        <v>Magazine Size</v>
      </c>
      <c r="F7" s="54" t="str">
        <f>IFERROR(__xludf.DUMMYFUNCTION("if(AND(G7=FALSE,H7=FALSE),,if(G7=H7,JOIN("""",""Static: "",G7),JOIN("""",""Min:  "",G7, CHAR(10),""Max: "",H7)))"),"Static: 3")</f>
        <v>Static: 3</v>
      </c>
      <c r="G7" s="64">
        <f t="array" ref="G7">_xlfn.XLOOKUP(B7,'Up Min'!A:A,'Up Min'!B:B,)</f>
        <v>3</v>
      </c>
      <c r="H7" s="65">
        <f t="array" ref="H7">_xlfn.XLOOKUP(B7,'Up Max'!A:A,'Up Max'!B:B,)</f>
        <v>3</v>
      </c>
      <c r="I7" s="53" t="str">
        <f t="array" ref="I7">_xlfn.XLOOKUP(B7,'Up Stats'!A:A,'Up Stats'!C:C,)</f>
        <v/>
      </c>
      <c r="J7" s="54" t="str">
        <f>IFERROR(__xludf.DUMMYFUNCTION("if(AND(K7=FALSE,L7=FALSE),,if(K7=L7,JOIN("""",""Static: "",K7),JOIN("""",""Min:  "",K7, CHAR(10),""Max: "",L7)))"),"")</f>
        <v/>
      </c>
      <c r="K7" s="72" t="str">
        <f t="array" ref="K7">_xlfn.XLOOKUP(B7,'Up Min'!A:A,'Up Min'!C:C,)</f>
        <v/>
      </c>
      <c r="L7" s="72" t="str">
        <f t="array" ref="L7">_xlfn.XLOOKUP(B7,'Up Max'!A:A,'Up Max'!C:C,)</f>
        <v/>
      </c>
      <c r="M7" s="57" t="str">
        <f t="array" ref="M7">_xlfn.XLOOKUP(B7,'Up Stats'!A:A,'Up Stats'!D:D,)</f>
        <v/>
      </c>
      <c r="N7" s="54" t="str">
        <f>IFERROR(__xludf.DUMMYFUNCTION("if(AND(O7=FALSE,P7=FALSE),,if(O7=P7,JOIN("""",""Static: "",O7),JOIN("""",""Min:  "",O7, CHAR(10),""Max: "",P7)))"),"")</f>
        <v/>
      </c>
      <c r="O7" s="72" t="str">
        <f t="array" ref="O7">_xlfn.XLOOKUP(B7,'Up Min'!A:A,'Up Min'!D:D,)</f>
        <v/>
      </c>
      <c r="P7" s="72" t="str">
        <f t="array" ref="P7">_xlfn.XLOOKUP(B7,'Up Max'!A:A,'Up Max'!D:D,)</f>
        <v/>
      </c>
      <c r="Q7" s="57" t="str">
        <f t="array" ref="Q7">_xlfn.XLOOKUP(B7,'Up Stats'!A:A,'Up Stats'!E:E,)</f>
        <v/>
      </c>
      <c r="R7" s="54" t="str">
        <f>IFERROR(__xludf.DUMMYFUNCTION("if(AND(S7=FALSE,T7=FALSE),,if(S7=T7,JOIN("""",""Static: "",S7),JOIN("""",""Min:  "",S7, CHAR(10),""Max: "",T7)))"),"")</f>
        <v/>
      </c>
      <c r="S7" s="55" t="str">
        <f t="array" ref="S7">_xlfn.XLOOKUP(B7,'Up Min'!A:A,'Up Min'!E:E,)</f>
        <v/>
      </c>
      <c r="T7" s="55" t="str">
        <f t="array" ref="T7">_xlfn.XLOOKUP(B7,'Up Max'!A:A,'Up Max'!E:E,)</f>
        <v/>
      </c>
      <c r="U7" s="57" t="str">
        <f t="array" ref="U7">_xlfn.XLOOKUP(B7,'Up Stats'!A:A,'Up Stats'!F:F,)</f>
        <v/>
      </c>
      <c r="V7" s="54" t="str">
        <f>IFERROR(__xludf.DUMMYFUNCTION("if(AND(W7=FALSE,X7=FALSE),,if(W7=X7,JOIN("""",""Static: "",W7),JOIN("""",""Min:  "",W7, CHAR(10),""Max: "",X7)))"),"")</f>
        <v/>
      </c>
      <c r="W7" s="55" t="str">
        <f t="array" ref="W7">_xlfn.XLOOKUP(B7,'Up Min'!A:A,'Up Min'!F:F,)</f>
        <v/>
      </c>
      <c r="X7" s="55" t="str">
        <f t="array" ref="X7">_xlfn.XLOOKUP(B7,'Up Max'!A:A,'Up Max'!F:F,)</f>
        <v/>
      </c>
      <c r="Y7" s="57" t="str">
        <f t="array" ref="Y7">_xlfn.XLOOKUP(B7,'Up Stats'!A:A,'Up Stats'!G:G,)</f>
        <v/>
      </c>
      <c r="Z7" s="54" t="str">
        <f>IFERROR(__xludf.DUMMYFUNCTION("if(AND(AA7=FALSE,AB7=FALSE),,if(AA7=AB7,JOIN("""",""Static: "",AA7),JOIN("""",""Min:  "",AA7, CHAR(10),""Max: "",AB7)))"),"")</f>
        <v/>
      </c>
      <c r="AA7" s="55" t="str">
        <f t="array" ref="AA7">_xlfn.XLOOKUP(B7,'Up Min'!A:A,'Up Min'!G:G,)</f>
        <v/>
      </c>
      <c r="AB7" s="55" t="str">
        <f t="array" ref="AB7">_xlfn.XLOOKUP(B7,'Up Max'!A:A,'Up Max'!G:G,)</f>
        <v/>
      </c>
      <c r="AC7" s="57" t="str">
        <f t="array" ref="AC7">_xlfn.XLOOKUP(B7,'Up Stats'!A:A,'Up Stats'!H:H,)</f>
        <v/>
      </c>
      <c r="AD7" s="54" t="str">
        <f>IFERROR(__xludf.DUMMYFUNCTION("if(AND(AE7=FALSE,AF7=FALSE),,if(AE7=AF7,JOIN("""",""Static: "",AE7),JOIN("""",""Min:  "",AE7, CHAR(10),""Max: "",AF7)))"),"")</f>
        <v/>
      </c>
      <c r="AE7" s="55" t="str">
        <f t="array" ref="AE7">_xlfn.XLOOKUP(B7,'Up Min'!A:A,'Up Min'!H:H,)</f>
        <v/>
      </c>
      <c r="AF7" s="55" t="str">
        <f t="array" ref="AF7">_xlfn.XLOOKUP(B7,'Up Max'!A:A,'Up Max'!H:H,)</f>
        <v/>
      </c>
      <c r="AG7" s="57" t="str">
        <f t="array" ref="AG7">_xlfn.XLOOKUP(B7,'Up Stats'!A:A,'Up Stats'!I:I,)</f>
        <v/>
      </c>
      <c r="AH7" s="54" t="str">
        <f>IFERROR(__xludf.DUMMYFUNCTION("if(AND(AI7=FALSE,AJ7=FALSE),,if(AI7=AJ7,JOIN("""",""Static: "",AI7),JOIN("""",""Min:  "",AI7, CHAR(10),""Max: "",AJ7)))"),"")</f>
        <v/>
      </c>
      <c r="AI7" s="55" t="str">
        <f t="array" ref="AI7">_xlfn.XLOOKUP(B7,'Up Min'!A:A,'Up Min'!I:I,)</f>
        <v/>
      </c>
      <c r="AJ7" s="55" t="str">
        <f t="array" ref="AJ7">_xlfn.XLOOKUP(B7,'Up Max'!A:A,'Up Max'!I:I,)</f>
        <v/>
      </c>
      <c r="AK7" s="57" t="str">
        <f t="array" ref="AK7">_xlfn.XLOOKUP(B7,'Up Stats'!A:A,'Up Stats'!J:J,)</f>
        <v/>
      </c>
      <c r="AL7" s="54" t="str">
        <f>IFERROR(__xludf.DUMMYFUNCTION("if(AND(AM7=FALSE,AN7=FALSE),,if(AM7=AN7,JOIN("""",""Static: "",AM7),JOIN("""",""Min:  "",AM7, CHAR(10),""Max: "",AN7)))"),"")</f>
        <v/>
      </c>
      <c r="AM7" s="55" t="str">
        <f t="array" ref="AM7">_xlfn.XLOOKUP(B7,'Up Min'!A:A,'Up Min'!J:J,)</f>
        <v/>
      </c>
      <c r="AN7" s="55" t="str">
        <f t="array" ref="AN7">_xlfn.XLOOKUP(B7,'Up Max'!A:A,'Up Max'!J:J,)</f>
        <v/>
      </c>
      <c r="AO7" s="51" t="str">
        <f t="array" ref="AO7">CONCATENATE(_xlfn.XLOOKUP(B7,'Up Cells'!A:A,'Up Cells'!B:B,))</f>
        <v>6</v>
      </c>
      <c r="AP7" s="51" t="str">
        <f t="array" ref="AP7">CONCATENATE(_xlfn.XLOOKUP(B7,'Up Rarity'!A:A,'Up Rarity'!B:B,),CHAR(10),"-")</f>
        <v>Exotic
-</v>
      </c>
    </row>
    <row r="8">
      <c r="A8" s="62" t="str">
        <f t="array" ref="A8">_xlfn.XLOOKUP(B8,'Up Icon'!A:A,'Up Icon'!B:B,)</f>
        <v/>
      </c>
      <c r="B8" s="89" t="str">
        <f t="array" ref="B8">HYPERLINK(_xlfn.XLOOKUP('Up Names'!F5,'Up Wiki'!A:A,'Up Wiki'!B:B,),'Up Names'!F5)</f>
        <v>Damage Arc</v>
      </c>
      <c r="C8" s="67" t="str">
        <f t="array" ref="C8">_xlfn.XLOOKUP(B8,'Up Desc'!A:A,'Up Desc'!B:B,)</f>
        <v>Shoot a plate with an element to create an elemental explosion.</v>
      </c>
      <c r="D8" s="37" t="str">
        <f t="array" ref="D8">_xlfn.XLOOKUP(B8,'Up Turbo'!A:A,'Up Turbo'!B:B,)</f>
        <v>Damage arc also triggers on normal damage.</v>
      </c>
      <c r="E8" s="39" t="str">
        <f t="array" ref="E8">_xlfn.XLOOKUP(B8,'Up Stats'!A:A,'Up Stats'!B:B,)</f>
        <v>Explosion Damage</v>
      </c>
      <c r="F8" s="40" t="str">
        <f>IFERROR(__xludf.DUMMYFUNCTION("if(AND(G8=FALSE,H8=FALSE),,if(G8=H8,JOIN("""",""Static: "",G8),JOIN("""",""Min:  "",G8, CHAR(10),""Max: "",H8)))"),"Min:  45%
Max: 52%")</f>
        <v>Min:  45%
Max: 52%</v>
      </c>
      <c r="G8" s="74">
        <f t="array" ref="G8">_xlfn.XLOOKUP(B8,'Up Min'!A:A,'Up Min'!B:B,)</f>
        <v>0.45</v>
      </c>
      <c r="H8" s="74">
        <f t="array" ref="H8">_xlfn.XLOOKUP(B8,'Up Max'!A:A,'Up Max'!B:B,)</f>
        <v>0.52</v>
      </c>
      <c r="I8" s="39" t="str">
        <f t="array" ref="I8">_xlfn.XLOOKUP(B8,'Up Stats'!A:A,'Up Stats'!C:C,)</f>
        <v>Cooldown</v>
      </c>
      <c r="J8" s="40" t="str">
        <f>IFERROR(__xludf.DUMMYFUNCTION("if(AND(K8=FALSE,L8=FALSE),,if(K8=L8,JOIN("""",""Static: "",K8),JOIN("""",""Min:  "",K8, CHAR(10),""Max: "",L8)))"),"Static: 0.3")</f>
        <v>Static: 0.3</v>
      </c>
      <c r="K8" s="42">
        <f t="array" ref="K8">_xlfn.XLOOKUP(B8,'Up Min'!A:A,'Up Min'!C:C,)</f>
        <v>0.3</v>
      </c>
      <c r="L8" s="42">
        <f t="array" ref="L8">_xlfn.XLOOKUP(B8,'Up Max'!A:A,'Up Max'!C:C,)</f>
        <v>0.3</v>
      </c>
      <c r="M8" s="48" t="str">
        <f t="array" ref="M8">_xlfn.XLOOKUP(B8,'Up Stats'!A:A,'Up Stats'!D:D,)</f>
        <v/>
      </c>
      <c r="N8" s="40" t="str">
        <f>IFERROR(__xludf.DUMMYFUNCTION("if(AND(O8=FALSE,P8=FALSE),,if(O8=P8,JOIN("""",""Static: "",O8),JOIN("""",""Min:  "",O8, CHAR(10),""Max: "",P8)))"),"")</f>
        <v/>
      </c>
      <c r="O8" s="42" t="str">
        <f t="array" ref="O8">_xlfn.XLOOKUP(B8,'Up Min'!A:A,'Up Min'!D:D,)</f>
        <v/>
      </c>
      <c r="P8" s="42" t="str">
        <f t="array" ref="P8">_xlfn.XLOOKUP(B8,'Up Max'!A:A,'Up Max'!D:D,)</f>
        <v/>
      </c>
      <c r="Q8" s="48" t="str">
        <f t="array" ref="Q8">_xlfn.XLOOKUP(B8,'Up Stats'!A:A,'Up Stats'!E:E,)</f>
        <v/>
      </c>
      <c r="R8" s="40" t="str">
        <f>IFERROR(__xludf.DUMMYFUNCTION("if(AND(S8=FALSE,T8=FALSE),,if(S8=T8,JOIN("""",""Static: "",S8),JOIN("""",""Min:  "",S8, CHAR(10),""Max: "",T8)))"),"")</f>
        <v/>
      </c>
      <c r="S8" s="42" t="str">
        <f t="array" ref="S8">_xlfn.XLOOKUP(B8,'Up Min'!A:A,'Up Min'!E:E,)</f>
        <v/>
      </c>
      <c r="T8" s="42" t="str">
        <f t="array" ref="T8">_xlfn.XLOOKUP(B8,'Up Max'!A:A,'Up Max'!E:E,)</f>
        <v/>
      </c>
      <c r="U8" s="48" t="str">
        <f t="array" ref="U8">_xlfn.XLOOKUP(B8,'Up Stats'!A:A,'Up Stats'!F:F,)</f>
        <v/>
      </c>
      <c r="V8" s="40" t="str">
        <f>IFERROR(__xludf.DUMMYFUNCTION("if(AND(W8=FALSE,X8=FALSE),,if(W8=X8,JOIN("""",""Static: "",W8),JOIN("""",""Min:  "",W8, CHAR(10),""Max: "",X8)))"),"")</f>
        <v/>
      </c>
      <c r="W8" s="42" t="str">
        <f t="array" ref="W8">_xlfn.XLOOKUP(B8,'Up Min'!A:A,'Up Min'!F:F,)</f>
        <v/>
      </c>
      <c r="X8" s="42" t="str">
        <f t="array" ref="X8">_xlfn.XLOOKUP(B8,'Up Max'!A:A,'Up Max'!F:F,)</f>
        <v/>
      </c>
      <c r="Y8" s="48" t="str">
        <f t="array" ref="Y8">_xlfn.XLOOKUP(B8,'Up Stats'!A:A,'Up Stats'!G:G,)</f>
        <v/>
      </c>
      <c r="Z8" s="40" t="str">
        <f>IFERROR(__xludf.DUMMYFUNCTION("if(AND(AA8=FALSE,AB8=FALSE),,if(AA8=AB8,JOIN("""",""Static: "",AA8),JOIN("""",""Min:  "",AA8, CHAR(10),""Max: "",AB8)))"),"")</f>
        <v/>
      </c>
      <c r="AA8" s="42" t="str">
        <f t="array" ref="AA8">_xlfn.XLOOKUP(B8,'Up Min'!A:A,'Up Min'!G:G,)</f>
        <v/>
      </c>
      <c r="AB8" s="42" t="str">
        <f t="array" ref="AB8">_xlfn.XLOOKUP(B8,'Up Max'!A:A,'Up Max'!G:G,)</f>
        <v/>
      </c>
      <c r="AC8" s="48" t="str">
        <f t="array" ref="AC8">_xlfn.XLOOKUP(B8,'Up Stats'!A:A,'Up Stats'!H:H,)</f>
        <v/>
      </c>
      <c r="AD8" s="40" t="str">
        <f>IFERROR(__xludf.DUMMYFUNCTION("if(AND(AE8=FALSE,AF8=FALSE),,if(AE8=AF8,JOIN("""",""Static: "",AE8),JOIN("""",""Min:  "",AE8, CHAR(10),""Max: "",AF8)))"),"")</f>
        <v/>
      </c>
      <c r="AE8" s="42" t="str">
        <f t="array" ref="AE8">_xlfn.XLOOKUP(B8,'Up Min'!A:A,'Up Min'!H:H,)</f>
        <v/>
      </c>
      <c r="AF8" s="42" t="str">
        <f t="array" ref="AF8">_xlfn.XLOOKUP(B8,'Up Max'!A:A,'Up Max'!H:H,)</f>
        <v/>
      </c>
      <c r="AG8" s="48" t="str">
        <f t="array" ref="AG8">_xlfn.XLOOKUP(B8,'Up Stats'!A:A,'Up Stats'!I:I,)</f>
        <v/>
      </c>
      <c r="AH8" s="40" t="str">
        <f>IFERROR(__xludf.DUMMYFUNCTION("if(AND(AI8=FALSE,AJ8=FALSE),,if(AI8=AJ8,JOIN("""",""Static: "",AI8),JOIN("""",""Min:  "",AI8, CHAR(10),""Max: "",AJ8)))"),"")</f>
        <v/>
      </c>
      <c r="AI8" s="42" t="str">
        <f t="array" ref="AI8">_xlfn.XLOOKUP(B8,'Up Min'!A:A,'Up Min'!I:I,)</f>
        <v/>
      </c>
      <c r="AJ8" s="42" t="str">
        <f t="array" ref="AJ8">_xlfn.XLOOKUP(B8,'Up Max'!A:A,'Up Max'!I:I,)</f>
        <v/>
      </c>
      <c r="AK8" s="48" t="str">
        <f t="array" ref="AK8">_xlfn.XLOOKUP(B8,'Up Stats'!A:A,'Up Stats'!J:J,)</f>
        <v/>
      </c>
      <c r="AL8" s="40" t="str">
        <f>IFERROR(__xludf.DUMMYFUNCTION("if(AND(AM8=FALSE,AN8=FALSE),,if(AM8=AN8,JOIN("""",""Static: "",AM8),JOIN("""",""Min:  "",AM8, CHAR(10),""Max: "",AN8)))"),"")</f>
        <v/>
      </c>
      <c r="AM8" s="42" t="str">
        <f t="array" ref="AM8">_xlfn.XLOOKUP(B8,'Up Min'!A:A,'Up Min'!J:J,)</f>
        <v/>
      </c>
      <c r="AN8" s="42" t="str">
        <f t="array" ref="AN8">_xlfn.XLOOKUP(B8,'Up Max'!A:A,'Up Max'!J:J,)</f>
        <v/>
      </c>
      <c r="AO8" s="34" t="str">
        <f t="array" ref="AO8">CONCATENATE(_xlfn.XLOOKUP(B8,'Up Cells'!A:A,'Up Cells'!B:B,))</f>
        <v>6</v>
      </c>
      <c r="AP8" s="34" t="str">
        <f t="array" ref="AP8">CONCATENATE(_xlfn.XLOOKUP(B8,'Up Rarity'!A:A,'Up Rarity'!B:B,),CHAR(10),"-")</f>
        <v>Exotic
-</v>
      </c>
    </row>
    <row r="9">
      <c r="A9" s="62" t="str">
        <f t="array" ref="A9">_xlfn.XLOOKUP(B9,'Up Icon'!A:A,'Up Icon'!B:B,)</f>
        <v/>
      </c>
      <c r="B9" s="88" t="str">
        <f t="array" ref="B9">HYPERLINK(_xlfn.XLOOKUP('Up Names'!F6,'Up Wiki'!A:A,'Up Wiki'!B:B,),'Up Names'!F6)</f>
        <v>Fencing Construction</v>
      </c>
      <c r="C9" s="70" t="str">
        <f t="array" ref="C9">_xlfn.XLOOKUP(B9,'Up Desc'!A:A,'Up Desc'!B:B,)</f>
        <v>Fired plates arc lightning to each other, dealing shock damage to targets between them. Magazine size is increased.</v>
      </c>
      <c r="D9" s="52" t="str">
        <f t="array" ref="D9">_xlfn.XLOOKUP(B9,'Up Turbo'!A:A,'Up Turbo'!B:B,)</f>
        <v>Interval: [-0.02 - -0.03]</v>
      </c>
      <c r="E9" s="53" t="str">
        <f t="array" ref="E9">_xlfn.XLOOKUP(B9,'Up Stats'!A:A,'Up Stats'!B:B,)</f>
        <v>Interval</v>
      </c>
      <c r="F9" s="54" t="str">
        <f>IFERROR(__xludf.DUMMYFUNCTION("if(AND(G9=FALSE,H9=FALSE),,if(G9=H9,JOIN("""",""Static: "",G9),JOIN("""",""Min:  "",G9, CHAR(10),""Max: "",H9)))"),"Min:  0.3
Max: 0.4")</f>
        <v>Min:  0.3
Max: 0.4</v>
      </c>
      <c r="G9" s="64">
        <f t="array" ref="G9">_xlfn.XLOOKUP(B9,'Up Min'!A:A,'Up Min'!B:B,)</f>
        <v>0.3</v>
      </c>
      <c r="H9" s="65">
        <f t="array" ref="H9">_xlfn.XLOOKUP(B9,'Up Max'!A:A,'Up Max'!B:B,)</f>
        <v>0.4</v>
      </c>
      <c r="I9" s="53" t="str">
        <f t="array" ref="I9">_xlfn.XLOOKUP(B9,'Up Stats'!A:A,'Up Stats'!C:C,)</f>
        <v>Damage</v>
      </c>
      <c r="J9" s="54" t="str">
        <f>IFERROR(__xludf.DUMMYFUNCTION("if(AND(K9=FALSE,L9=FALSE),,if(K9=L9,JOIN("""",""Static: "",K9),JOIN("""",""Min:  "",K9, CHAR(10),""Max: "",L9)))"),"Min:  30
Max: 43")</f>
        <v>Min:  30
Max: 43</v>
      </c>
      <c r="K9" s="65">
        <f t="array" ref="K9">_xlfn.XLOOKUP(B9,'Up Min'!A:A,'Up Min'!C:C,)</f>
        <v>30</v>
      </c>
      <c r="L9" s="64">
        <f t="array" ref="L9">_xlfn.XLOOKUP(B9,'Up Max'!A:A,'Up Max'!C:C,)</f>
        <v>43</v>
      </c>
      <c r="M9" s="53" t="str">
        <f t="array" ref="M9">_xlfn.XLOOKUP(B9,'Up Stats'!A:A,'Up Stats'!D:D,)</f>
        <v>Range</v>
      </c>
      <c r="N9" s="54" t="str">
        <f>IFERROR(__xludf.DUMMYFUNCTION("if(AND(O9=FALSE,P9=FALSE),,if(O9=P9,JOIN("""",""Static: "",O9),JOIN("""",""Min:  "",O9, CHAR(10),""Max: "",P9)))"),"Min:  15
Max: 22")</f>
        <v>Min:  15
Max: 22</v>
      </c>
      <c r="O9" s="65">
        <f t="array" ref="O9">_xlfn.XLOOKUP(B9,'Up Min'!A:A,'Up Min'!D:D,)</f>
        <v>15</v>
      </c>
      <c r="P9" s="65">
        <f t="array" ref="P9">_xlfn.XLOOKUP(B9,'Up Max'!A:A,'Up Max'!D:D,)</f>
        <v>22</v>
      </c>
      <c r="Q9" s="57" t="str">
        <f t="array" ref="Q9">_xlfn.XLOOKUP(B9,'Up Stats'!A:A,'Up Stats'!E:E,)</f>
        <v>Magazine Size</v>
      </c>
      <c r="R9" s="54" t="str">
        <f>IFERROR(__xludf.DUMMYFUNCTION("if(AND(S9=FALSE,T9=FALSE),,if(S9=T9,JOIN("""",""Static: "",S9),JOIN("""",""Min:  "",S9, CHAR(10),""Max: "",T9)))"),"Static: 1")</f>
        <v>Static: 1</v>
      </c>
      <c r="S9" s="65">
        <f t="array" ref="S9">_xlfn.XLOOKUP(B9,'Up Min'!A:A,'Up Min'!E:E,)</f>
        <v>1</v>
      </c>
      <c r="T9" s="65">
        <f t="array" ref="T9">_xlfn.XLOOKUP(B9,'Up Max'!A:A,'Up Max'!E:E,)</f>
        <v>1</v>
      </c>
      <c r="U9" s="53" t="str">
        <f t="array" ref="U9">_xlfn.XLOOKUP(B9,'Up Stats'!A:A,'Up Stats'!F:F,)</f>
        <v/>
      </c>
      <c r="V9" s="54" t="str">
        <f>IFERROR(__xludf.DUMMYFUNCTION("if(AND(W9=FALSE,X9=FALSE),,if(W9=X9,JOIN("""",""Static: "",W9),JOIN("""",""Min:  "",W9, CHAR(10),""Max: "",X9)))"),"")</f>
        <v/>
      </c>
      <c r="W9" s="56" t="str">
        <f t="array" ref="W9">_xlfn.XLOOKUP(B9,'Up Min'!A:A,'Up Min'!F:F,)</f>
        <v/>
      </c>
      <c r="X9" s="56" t="str">
        <f t="array" ref="X9">_xlfn.XLOOKUP(B9,'Up Max'!A:A,'Up Max'!F:F,)</f>
        <v/>
      </c>
      <c r="Y9" s="57" t="str">
        <f t="array" ref="Y9">_xlfn.XLOOKUP(B9,'Up Stats'!A:A,'Up Stats'!G:G,)</f>
        <v/>
      </c>
      <c r="Z9" s="54" t="str">
        <f>IFERROR(__xludf.DUMMYFUNCTION("if(AND(AA9=FALSE,AB9=FALSE),,if(AA9=AB9,JOIN("""",""Static: "",AA9),JOIN("""",""Min:  "",AA9, CHAR(10),""Max: "",AB9)))"),"")</f>
        <v/>
      </c>
      <c r="AA9" s="55" t="str">
        <f t="array" ref="AA9">_xlfn.XLOOKUP(B9,'Up Min'!A:A,'Up Min'!G:G,)</f>
        <v/>
      </c>
      <c r="AB9" s="55" t="str">
        <f t="array" ref="AB9">_xlfn.XLOOKUP(B9,'Up Max'!A:A,'Up Max'!G:G,)</f>
        <v/>
      </c>
      <c r="AC9" s="57" t="str">
        <f t="array" ref="AC9">_xlfn.XLOOKUP(B9,'Up Stats'!A:A,'Up Stats'!H:H,)</f>
        <v/>
      </c>
      <c r="AD9" s="54" t="str">
        <f>IFERROR(__xludf.DUMMYFUNCTION("if(AND(AE9=FALSE,AF9=FALSE),,if(AE9=AF9,JOIN("""",""Static: "",AE9),JOIN("""",""Min:  "",AE9, CHAR(10),""Max: "",AF9)))"),"")</f>
        <v/>
      </c>
      <c r="AE9" s="55" t="str">
        <f t="array" ref="AE9">_xlfn.XLOOKUP(B9,'Up Min'!A:A,'Up Min'!H:H,)</f>
        <v/>
      </c>
      <c r="AF9" s="55" t="str">
        <f t="array" ref="AF9">_xlfn.XLOOKUP(B9,'Up Max'!A:A,'Up Max'!H:H,)</f>
        <v/>
      </c>
      <c r="AG9" s="57" t="str">
        <f t="array" ref="AG9">_xlfn.XLOOKUP(B9,'Up Stats'!A:A,'Up Stats'!I:I,)</f>
        <v/>
      </c>
      <c r="AH9" s="54" t="str">
        <f>IFERROR(__xludf.DUMMYFUNCTION("if(AND(AI9=FALSE,AJ9=FALSE),,if(AI9=AJ9,JOIN("""",""Static: "",AI9),JOIN("""",""Min:  "",AI9, CHAR(10),""Max: "",AJ9)))"),"")</f>
        <v/>
      </c>
      <c r="AI9" s="55" t="str">
        <f t="array" ref="AI9">_xlfn.XLOOKUP(B9,'Up Min'!A:A,'Up Min'!I:I,)</f>
        <v/>
      </c>
      <c r="AJ9" s="55" t="str">
        <f t="array" ref="AJ9">_xlfn.XLOOKUP(B9,'Up Max'!A:A,'Up Max'!I:I,)</f>
        <v/>
      </c>
      <c r="AK9" s="57" t="str">
        <f t="array" ref="AK9">_xlfn.XLOOKUP(B9,'Up Stats'!A:A,'Up Stats'!J:J,)</f>
        <v/>
      </c>
      <c r="AL9" s="54" t="str">
        <f>IFERROR(__xludf.DUMMYFUNCTION("if(AND(AM9=FALSE,AN9=FALSE),,if(AM9=AN9,JOIN("""",""Static: "",AM9),JOIN("""",""Min:  "",AM9, CHAR(10),""Max: "",AN9)))"),"")</f>
        <v/>
      </c>
      <c r="AM9" s="55" t="str">
        <f t="array" ref="AM9">_xlfn.XLOOKUP(B9,'Up Min'!A:A,'Up Min'!J:J,)</f>
        <v/>
      </c>
      <c r="AN9" s="55" t="str">
        <f t="array" ref="AN9">_xlfn.XLOOKUP(B9,'Up Max'!A:A,'Up Max'!J:J,)</f>
        <v/>
      </c>
      <c r="AO9" s="51" t="str">
        <f t="array" ref="AO9">CONCATENATE(_xlfn.XLOOKUP(B9,'Up Cells'!A:A,'Up Cells'!B:B,))</f>
        <v>5</v>
      </c>
      <c r="AP9" s="51" t="str">
        <f t="array" ref="AP9">CONCATENATE(_xlfn.XLOOKUP(B9,'Up Rarity'!A:A,'Up Rarity'!B:B,),CHAR(10),"-")</f>
        <v>Exotic
-</v>
      </c>
    </row>
    <row r="10">
      <c r="A10" s="75" t="str">
        <f t="array" ref="A10">_xlfn.XLOOKUP(B10,'Up Icon'!A:A,'Up Icon'!B:B,)</f>
        <v/>
      </c>
      <c r="B10" s="89" t="str">
        <f t="array" ref="B10">HYPERLINK(_xlfn.XLOOKUP('Up Names'!F7,'Up Wiki'!A:A,'Up Wiki'!B:B,),'Up Names'!F7)</f>
        <v>Becall</v>
      </c>
      <c r="C10" s="67" t="str">
        <f t="array" ref="C10">_xlfn.XLOOKUP(B10,'Up Desc'!A:A,'Up Desc'!B:B,)</f>
        <v>Plates create a bee explosion when recalled.</v>
      </c>
      <c r="D10" s="37" t="str">
        <f t="array" ref="D10">_xlfn.XLOOKUP(B10,'Up Turbo'!A:A,'Up Turbo'!B:B,)</f>
        <v>n/a</v>
      </c>
      <c r="E10" s="39" t="str">
        <f t="array" ref="E10">_xlfn.XLOOKUP(B10,'Up Stats'!A:A,'Up Stats'!B:B,)</f>
        <v>Explosion Size</v>
      </c>
      <c r="F10" s="40" t="str">
        <f>IFERROR(__xludf.DUMMYFUNCTION("if(AND(G10=FALSE,H10=FALSE),,if(G10=H10,JOIN("""",""Static: "",G10),JOIN("""",""Min:  "",G10, CHAR(10),""Max: "",H10)))"),"Static: 3")</f>
        <v>Static: 3</v>
      </c>
      <c r="G10" s="69">
        <f t="array" ref="G10">_xlfn.XLOOKUP(B10,'Up Min'!A:A,'Up Min'!B:B,)</f>
        <v>3</v>
      </c>
      <c r="H10" s="68">
        <f t="array" ref="H10">_xlfn.XLOOKUP(B10,'Up Max'!A:A,'Up Max'!B:B,)</f>
        <v>3</v>
      </c>
      <c r="I10" s="39" t="str">
        <f t="array" ref="I10">_xlfn.XLOOKUP(B10,'Up Stats'!A:A,'Up Stats'!C:C,)</f>
        <v/>
      </c>
      <c r="J10" s="40" t="str">
        <f>IFERROR(__xludf.DUMMYFUNCTION("if(AND(K10=FALSE,L10=FALSE),,if(K10=L10,JOIN("""",""Static: "",K10),JOIN("""",""Min:  "",K10, CHAR(10),""Max: "",L10)))"),"")</f>
        <v/>
      </c>
      <c r="K10" s="42" t="str">
        <f t="array" ref="K10">_xlfn.XLOOKUP(B10,'Up Min'!A:A,'Up Min'!C:C,)</f>
        <v/>
      </c>
      <c r="L10" s="42" t="str">
        <f t="array" ref="L10">_xlfn.XLOOKUP(B10,'Up Max'!A:A,'Up Max'!C:C,)</f>
        <v/>
      </c>
      <c r="M10" s="48" t="str">
        <f t="array" ref="M10">_xlfn.XLOOKUP(B10,'Up Stats'!A:A,'Up Stats'!D:D,)</f>
        <v/>
      </c>
      <c r="N10" s="40" t="str">
        <f>IFERROR(__xludf.DUMMYFUNCTION("if(AND(O10=FALSE,P10=FALSE),,if(O10=P10,JOIN("""",""Static: "",O10),JOIN("""",""Min:  "",O10, CHAR(10),""Max: "",P10)))"),"")</f>
        <v/>
      </c>
      <c r="O10" s="42" t="str">
        <f t="array" ref="O10">_xlfn.XLOOKUP(B10,'Up Min'!A:A,'Up Min'!D:D,)</f>
        <v/>
      </c>
      <c r="P10" s="42" t="str">
        <f t="array" ref="P10">_xlfn.XLOOKUP(B10,'Up Max'!A:A,'Up Max'!D:D,)</f>
        <v/>
      </c>
      <c r="Q10" s="48" t="str">
        <f t="array" ref="Q10">_xlfn.XLOOKUP(B10,'Up Stats'!A:A,'Up Stats'!E:E,)</f>
        <v/>
      </c>
      <c r="R10" s="40" t="str">
        <f>IFERROR(__xludf.DUMMYFUNCTION("if(AND(S10=FALSE,T10=FALSE),,if(S10=T10,JOIN("""",""Static: "",S10),JOIN("""",""Min:  "",S10, CHAR(10),""Max: "",T10)))"),"")</f>
        <v/>
      </c>
      <c r="S10" s="42" t="str">
        <f t="array" ref="S10">_xlfn.XLOOKUP(B10,'Up Min'!A:A,'Up Min'!E:E,)</f>
        <v/>
      </c>
      <c r="T10" s="42" t="str">
        <f t="array" ref="T10">_xlfn.XLOOKUP(B10,'Up Max'!A:A,'Up Max'!E:E,)</f>
        <v/>
      </c>
      <c r="U10" s="48" t="str">
        <f t="array" ref="U10">_xlfn.XLOOKUP(B10,'Up Stats'!A:A,'Up Stats'!F:F,)</f>
        <v/>
      </c>
      <c r="V10" s="40" t="str">
        <f>IFERROR(__xludf.DUMMYFUNCTION("if(AND(W10=FALSE,X10=FALSE),,if(W10=X10,JOIN("""",""Static: "",W10),JOIN("""",""Min:  "",W10, CHAR(10),""Max: "",X10)))"),"")</f>
        <v/>
      </c>
      <c r="W10" s="42" t="str">
        <f t="array" ref="W10">_xlfn.XLOOKUP(B10,'Up Min'!A:A,'Up Min'!F:F,)</f>
        <v/>
      </c>
      <c r="X10" s="42" t="str">
        <f t="array" ref="X10">_xlfn.XLOOKUP(B10,'Up Max'!A:A,'Up Max'!F:F,)</f>
        <v/>
      </c>
      <c r="Y10" s="48" t="str">
        <f t="array" ref="Y10">_xlfn.XLOOKUP(B10,'Up Stats'!A:A,'Up Stats'!G:G,)</f>
        <v/>
      </c>
      <c r="Z10" s="40" t="str">
        <f>IFERROR(__xludf.DUMMYFUNCTION("if(AND(AA10=FALSE,AB10=FALSE),,if(AA10=AB10,JOIN("""",""Static: "",AA10),JOIN("""",""Min:  "",AA10, CHAR(10),""Max: "",AB10)))"),"")</f>
        <v/>
      </c>
      <c r="AA10" s="42" t="str">
        <f t="array" ref="AA10">_xlfn.XLOOKUP(B10,'Up Min'!A:A,'Up Min'!G:G,)</f>
        <v/>
      </c>
      <c r="AB10" s="42" t="str">
        <f t="array" ref="AB10">_xlfn.XLOOKUP(B10,'Up Max'!A:A,'Up Max'!G:G,)</f>
        <v/>
      </c>
      <c r="AC10" s="48" t="str">
        <f t="array" ref="AC10">_xlfn.XLOOKUP(B10,'Up Stats'!A:A,'Up Stats'!H:H,)</f>
        <v/>
      </c>
      <c r="AD10" s="40" t="str">
        <f>IFERROR(__xludf.DUMMYFUNCTION("if(AND(AE10=FALSE,AF10=FALSE),,if(AE10=AF10,JOIN("""",""Static: "",AE10),JOIN("""",""Min:  "",AE10, CHAR(10),""Max: "",AF10)))"),"")</f>
        <v/>
      </c>
      <c r="AE10" s="42" t="str">
        <f t="array" ref="AE10">_xlfn.XLOOKUP(B10,'Up Min'!A:A,'Up Min'!H:H,)</f>
        <v/>
      </c>
      <c r="AF10" s="42" t="str">
        <f t="array" ref="AF10">_xlfn.XLOOKUP(B10,'Up Max'!A:A,'Up Max'!H:H,)</f>
        <v/>
      </c>
      <c r="AG10" s="48" t="str">
        <f t="array" ref="AG10">_xlfn.XLOOKUP(B10,'Up Stats'!A:A,'Up Stats'!I:I,)</f>
        <v/>
      </c>
      <c r="AH10" s="40" t="str">
        <f>IFERROR(__xludf.DUMMYFUNCTION("if(AND(AI10=FALSE,AJ10=FALSE),,if(AI10=AJ10,JOIN("""",""Static: "",AI10),JOIN("""",""Min:  "",AI10, CHAR(10),""Max: "",AJ10)))"),"")</f>
        <v/>
      </c>
      <c r="AI10" s="42" t="str">
        <f t="array" ref="AI10">_xlfn.XLOOKUP(B10,'Up Min'!A:A,'Up Min'!I:I,)</f>
        <v/>
      </c>
      <c r="AJ10" s="42" t="str">
        <f t="array" ref="AJ10">_xlfn.XLOOKUP(B10,'Up Max'!A:A,'Up Max'!I:I,)</f>
        <v/>
      </c>
      <c r="AK10" s="48" t="str">
        <f t="array" ref="AK10">_xlfn.XLOOKUP(B10,'Up Stats'!A:A,'Up Stats'!J:J,)</f>
        <v/>
      </c>
      <c r="AL10" s="40" t="str">
        <f>IFERROR(__xludf.DUMMYFUNCTION("if(AND(AM10=FALSE,AN10=FALSE),,if(AM10=AN10,JOIN("""",""Static: "",AM10),JOIN("""",""Min:  "",AM10, CHAR(10),""Max: "",AN10)))"),"")</f>
        <v/>
      </c>
      <c r="AM10" s="42" t="str">
        <f t="array" ref="AM10">_xlfn.XLOOKUP(B10,'Up Min'!A:A,'Up Min'!J:J,)</f>
        <v/>
      </c>
      <c r="AN10" s="42" t="str">
        <f t="array" ref="AN10">_xlfn.XLOOKUP(B10,'Up Max'!A:A,'Up Max'!J:J,)</f>
        <v/>
      </c>
      <c r="AO10" s="34" t="str">
        <f t="array" ref="AO10">CONCATENATE(_xlfn.XLOOKUP(B10,'Up Cells'!A:A,'Up Cells'!B:B,))</f>
        <v>4</v>
      </c>
      <c r="AP10" s="34" t="str">
        <f t="array" ref="AP10">CONCATENATE(_xlfn.XLOOKUP(B10,'Up Rarity'!A:A,'Up Rarity'!B:B,),CHAR(10),"-")</f>
        <v>Epic
-</v>
      </c>
    </row>
    <row r="11">
      <c r="A11" s="75" t="str">
        <f t="array" ref="A11">_xlfn.XLOOKUP(B11,'Up Icon'!A:A,'Up Icon'!B:B,)</f>
        <v/>
      </c>
      <c r="B11" s="88" t="str">
        <f t="array" ref="B11">HYPERLINK(_xlfn.XLOOKUP('Up Names'!F8,'Up Wiki'!A:A,'Up Wiki'!B:B,),'Up Names'!F8)</f>
        <v>Charge Recycling</v>
      </c>
      <c r="C11" s="70" t="str">
        <f t="array" ref="C11">_xlfn.XLOOKUP(B11,'Up Desc'!A:A,'Up Desc'!B:B,)</f>
        <v>Your movement ability is partially recharged when you electrocute a target with the Plate Launcher.</v>
      </c>
      <c r="D11" s="52" t="str">
        <f t="array" ref="D11">_xlfn.XLOOKUP(B11,'Up Turbo'!A:A,'Up Turbo'!B:B,)</f>
        <v>n/a</v>
      </c>
      <c r="E11" s="53" t="str">
        <f t="array" ref="E11">_xlfn.XLOOKUP(B11,'Up Stats'!A:A,'Up Stats'!B:B,)</f>
        <v>Charge</v>
      </c>
      <c r="F11" s="54" t="str">
        <f>IFERROR(__xludf.DUMMYFUNCTION("if(AND(G11=FALSE,H11=FALSE),,if(G11=H11,JOIN("""",""Static: "",G11),JOIN("""",""Min:  "",G11, CHAR(10),""Max: "",H11)))"),"Min:  1.50%
Max: 3.20%")</f>
        <v>Min:  1.50%
Max: 3.20%</v>
      </c>
      <c r="G11" s="71">
        <f t="array" ref="G11">_xlfn.XLOOKUP(B11,'Up Min'!A:A,'Up Min'!B:B,)</f>
        <v>0.015</v>
      </c>
      <c r="H11" s="71">
        <f t="array" ref="H11">_xlfn.XLOOKUP(B11,'Up Max'!A:A,'Up Max'!B:B,)</f>
        <v>0.032</v>
      </c>
      <c r="I11" s="53" t="str">
        <f t="array" ref="I11">_xlfn.XLOOKUP(B11,'Up Stats'!A:A,'Up Stats'!C:C,)</f>
        <v/>
      </c>
      <c r="J11" s="54" t="str">
        <f>IFERROR(__xludf.DUMMYFUNCTION("if(AND(K11=FALSE,L11=FALSE),,if(K11=L11,JOIN("""",""Static: "",K11),JOIN("""",""Min:  "",K11, CHAR(10),""Max: "",L11)))"),"")</f>
        <v/>
      </c>
      <c r="K11" s="73" t="str">
        <f t="array" ref="K11">_xlfn.XLOOKUP(B11,'Up Min'!A:A,'Up Min'!C:C,)</f>
        <v/>
      </c>
      <c r="L11" s="73" t="str">
        <f t="array" ref="L11">_xlfn.XLOOKUP(B11,'Up Max'!A:A,'Up Max'!C:C,)</f>
        <v/>
      </c>
      <c r="M11" s="57" t="str">
        <f t="array" ref="M11">_xlfn.XLOOKUP(B11,'Up Stats'!A:A,'Up Stats'!D:D,)</f>
        <v/>
      </c>
      <c r="N11" s="54" t="str">
        <f>IFERROR(__xludf.DUMMYFUNCTION("if(AND(O11=FALSE,P11=FALSE),,if(O11=P11,JOIN("""",""Static: "",O11),JOIN("""",""Min:  "",O11, CHAR(10),""Max: "",P11)))"),"")</f>
        <v/>
      </c>
      <c r="O11" s="55" t="str">
        <f t="array" ref="O11">_xlfn.XLOOKUP(B11,'Up Min'!A:A,'Up Min'!D:D,)</f>
        <v/>
      </c>
      <c r="P11" s="55" t="str">
        <f t="array" ref="P11">_xlfn.XLOOKUP(B11,'Up Max'!A:A,'Up Max'!D:D,)</f>
        <v/>
      </c>
      <c r="Q11" s="57" t="str">
        <f t="array" ref="Q11">_xlfn.XLOOKUP(B11,'Up Stats'!A:A,'Up Stats'!E:E,)</f>
        <v/>
      </c>
      <c r="R11" s="54" t="str">
        <f>IFERROR(__xludf.DUMMYFUNCTION("if(AND(S11=FALSE,T11=FALSE),,if(S11=T11,JOIN("""",""Static: "",S11),JOIN("""",""Min:  "",S11, CHAR(10),""Max: "",T11)))"),"")</f>
        <v/>
      </c>
      <c r="S11" s="55" t="str">
        <f t="array" ref="S11">_xlfn.XLOOKUP(B11,'Up Min'!A:A,'Up Min'!E:E,)</f>
        <v/>
      </c>
      <c r="T11" s="55" t="str">
        <f t="array" ref="T11">_xlfn.XLOOKUP(B11,'Up Max'!A:A,'Up Max'!E:E,)</f>
        <v/>
      </c>
      <c r="U11" s="57" t="str">
        <f t="array" ref="U11">_xlfn.XLOOKUP(B11,'Up Stats'!A:A,'Up Stats'!F:F,)</f>
        <v/>
      </c>
      <c r="V11" s="54" t="str">
        <f>IFERROR(__xludf.DUMMYFUNCTION("if(AND(W11=FALSE,X11=FALSE),,if(W11=X11,JOIN("""",""Static: "",W11),JOIN("""",""Min:  "",W11, CHAR(10),""Max: "",X11)))"),"")</f>
        <v/>
      </c>
      <c r="W11" s="55" t="str">
        <f t="array" ref="W11">_xlfn.XLOOKUP(B11,'Up Min'!A:A,'Up Min'!F:F,)</f>
        <v/>
      </c>
      <c r="X11" s="55" t="str">
        <f t="array" ref="X11">_xlfn.XLOOKUP(B11,'Up Max'!A:A,'Up Max'!F:F,)</f>
        <v/>
      </c>
      <c r="Y11" s="57" t="str">
        <f t="array" ref="Y11">_xlfn.XLOOKUP(B11,'Up Stats'!A:A,'Up Stats'!G:G,)</f>
        <v/>
      </c>
      <c r="Z11" s="54" t="str">
        <f>IFERROR(__xludf.DUMMYFUNCTION("if(AND(AA11=FALSE,AB11=FALSE),,if(AA11=AB11,JOIN("""",""Static: "",AA11),JOIN("""",""Min:  "",AA11, CHAR(10),""Max: "",AB11)))"),"")</f>
        <v/>
      </c>
      <c r="AA11" s="55" t="str">
        <f t="array" ref="AA11">_xlfn.XLOOKUP(B11,'Up Min'!A:A,'Up Min'!G:G,)</f>
        <v/>
      </c>
      <c r="AB11" s="55" t="str">
        <f t="array" ref="AB11">_xlfn.XLOOKUP(B11,'Up Max'!A:A,'Up Max'!G:G,)</f>
        <v/>
      </c>
      <c r="AC11" s="57" t="str">
        <f t="array" ref="AC11">_xlfn.XLOOKUP(B11,'Up Stats'!A:A,'Up Stats'!H:H,)</f>
        <v/>
      </c>
      <c r="AD11" s="54" t="str">
        <f>IFERROR(__xludf.DUMMYFUNCTION("if(AND(AE11=FALSE,AF11=FALSE),,if(AE11=AF11,JOIN("""",""Static: "",AE11),JOIN("""",""Min:  "",AE11, CHAR(10),""Max: "",AF11)))"),"")</f>
        <v/>
      </c>
      <c r="AE11" s="55" t="str">
        <f t="array" ref="AE11">_xlfn.XLOOKUP(B11,'Up Min'!A:A,'Up Min'!H:H,)</f>
        <v/>
      </c>
      <c r="AF11" s="55" t="str">
        <f t="array" ref="AF11">_xlfn.XLOOKUP(B11,'Up Max'!A:A,'Up Max'!H:H,)</f>
        <v/>
      </c>
      <c r="AG11" s="57" t="str">
        <f t="array" ref="AG11">_xlfn.XLOOKUP(B11,'Up Stats'!A:A,'Up Stats'!I:I,)</f>
        <v/>
      </c>
      <c r="AH11" s="54" t="str">
        <f>IFERROR(__xludf.DUMMYFUNCTION("if(AND(AI11=FALSE,AJ11=FALSE),,if(AI11=AJ11,JOIN("""",""Static: "",AI11),JOIN("""",""Min:  "",AI11, CHAR(10),""Max: "",AJ11)))"),"")</f>
        <v/>
      </c>
      <c r="AI11" s="55" t="str">
        <f t="array" ref="AI11">_xlfn.XLOOKUP(B11,'Up Min'!A:A,'Up Min'!I:I,)</f>
        <v/>
      </c>
      <c r="AJ11" s="55" t="str">
        <f t="array" ref="AJ11">_xlfn.XLOOKUP(B11,'Up Max'!A:A,'Up Max'!I:I,)</f>
        <v/>
      </c>
      <c r="AK11" s="57" t="str">
        <f t="array" ref="AK11">_xlfn.XLOOKUP(B11,'Up Stats'!A:A,'Up Stats'!J:J,)</f>
        <v/>
      </c>
      <c r="AL11" s="54" t="str">
        <f>IFERROR(__xludf.DUMMYFUNCTION("if(AND(AM11=FALSE,AN11=FALSE),,if(AM11=AN11,JOIN("""",""Static: "",AM11),JOIN("""",""Min:  "",AM11, CHAR(10),""Max: "",AN11)))"),"")</f>
        <v/>
      </c>
      <c r="AM11" s="55" t="str">
        <f t="array" ref="AM11">_xlfn.XLOOKUP(B11,'Up Min'!A:A,'Up Min'!J:J,)</f>
        <v/>
      </c>
      <c r="AN11" s="55" t="str">
        <f t="array" ref="AN11">_xlfn.XLOOKUP(B11,'Up Max'!A:A,'Up Max'!J:J,)</f>
        <v/>
      </c>
      <c r="AO11" s="51" t="str">
        <f t="array" ref="AO11">CONCATENATE(_xlfn.XLOOKUP(B11,'Up Cells'!A:A,'Up Cells'!B:B,))</f>
        <v>6</v>
      </c>
      <c r="AP11" s="51" t="str">
        <f t="array" ref="AP11">CONCATENATE(_xlfn.XLOOKUP(B11,'Up Rarity'!A:A,'Up Rarity'!B:B,),CHAR(10),"-")</f>
        <v>Epic
-</v>
      </c>
    </row>
    <row r="12">
      <c r="A12" s="75" t="str">
        <f t="array" ref="A12">_xlfn.XLOOKUP(B12,'Up Icon'!A:A,'Up Icon'!B:B,)</f>
        <v/>
      </c>
      <c r="B12" s="89" t="str">
        <f t="array" ref="B12">HYPERLINK(_xlfn.XLOOKUP('Up Names'!F9,'Up Wiki'!A:A,'Up Wiki'!B:B,),'Up Names'!F9)</f>
        <v>High Ground</v>
      </c>
      <c r="C12" s="37" t="str">
        <f t="array" ref="C12">_xlfn.XLOOKUP(B12,'Up Desc'!A:A,'Up Desc'!B:B,)</f>
        <v>While standing on one of your plates, gain damage resistance and all of your outgoing damage is increased.</v>
      </c>
      <c r="D12" s="37" t="str">
        <f t="array" ref="D12">_xlfn.XLOOKUP(B12,'Up Turbo'!A:A,'Up Turbo'!B:B,)</f>
        <v>n/a</v>
      </c>
      <c r="E12" s="39" t="str">
        <f t="array" ref="E12">_xlfn.XLOOKUP(B12,'Up Stats'!A:A,'Up Stats'!B:B,)</f>
        <v>Damage</v>
      </c>
      <c r="F12" s="40" t="str">
        <f>IFERROR(__xludf.DUMMYFUNCTION("if(AND(G12=FALSE,H12=FALSE),,if(G12=H12,JOIN("""",""Static: "",G12),JOIN("""",""Min:  "",G12, CHAR(10),""Max: "",H12)))"),"Min:  30%
Max: 50%")</f>
        <v>Min:  30%
Max: 50%</v>
      </c>
      <c r="G12" s="41">
        <f t="array" ref="G12">_xlfn.XLOOKUP(B12,'Up Min'!A:A,'Up Min'!B:B,)</f>
        <v>0.3</v>
      </c>
      <c r="H12" s="41">
        <f t="array" ref="H12">_xlfn.XLOOKUP(B12,'Up Max'!A:A,'Up Max'!B:B,)</f>
        <v>0.5</v>
      </c>
      <c r="I12" s="39" t="str">
        <f t="array" ref="I12">_xlfn.XLOOKUP(B12,'Up Stats'!A:A,'Up Stats'!C:C,)</f>
        <v>Damage Resistance</v>
      </c>
      <c r="J12" s="40" t="str">
        <f>IFERROR(__xludf.DUMMYFUNCTION("if(AND(K12=FALSE,L12=FALSE),,if(K12=L12,JOIN("""",""Static: "",K12),JOIN("""",""Min:  "",K12, CHAR(10),""Max: "",L12)))"),"Min:  60%
Max: 78%")</f>
        <v>Min:  60%
Max: 78%</v>
      </c>
      <c r="K12" s="41">
        <f t="array" ref="K12">_xlfn.XLOOKUP(B12,'Up Min'!A:A,'Up Min'!C:C,)</f>
        <v>0.6</v>
      </c>
      <c r="L12" s="41">
        <f t="array" ref="L12">_xlfn.XLOOKUP(B12,'Up Max'!A:A,'Up Max'!C:C,)</f>
        <v>0.78</v>
      </c>
      <c r="M12" s="39" t="str">
        <f t="array" ref="M12">_xlfn.XLOOKUP(B12,'Up Stats'!A:A,'Up Stats'!D:D,)</f>
        <v/>
      </c>
      <c r="N12" s="40" t="str">
        <f>IFERROR(__xludf.DUMMYFUNCTION("if(AND(O12=FALSE,P12=FALSE),,if(O12=P12,JOIN("""",""Static: "",O12),JOIN("""",""Min:  "",O12, CHAR(10),""Max: "",P12)))"),"")</f>
        <v/>
      </c>
      <c r="O12" s="74" t="str">
        <f t="array" ref="O12">_xlfn.XLOOKUP(B12,'Up Min'!A:A,'Up Min'!D:D,)</f>
        <v/>
      </c>
      <c r="P12" s="74" t="str">
        <f t="array" ref="P12">_xlfn.XLOOKUP(B12,'Up Max'!A:A,'Up Max'!D:D,)</f>
        <v/>
      </c>
      <c r="Q12" s="48" t="str">
        <f t="array" ref="Q12">_xlfn.XLOOKUP(B12,'Up Stats'!A:A,'Up Stats'!E:E,)</f>
        <v/>
      </c>
      <c r="R12" s="40" t="str">
        <f>IFERROR(__xludf.DUMMYFUNCTION("if(AND(S12=FALSE,T12=FALSE),,if(S12=T12,JOIN("""",""Static: "",S12),JOIN("""",""Min:  "",S12, CHAR(10),""Max: "",T12)))"),"")</f>
        <v/>
      </c>
      <c r="S12" s="42" t="str">
        <f t="array" ref="S12">_xlfn.XLOOKUP(B12,'Up Min'!A:A,'Up Min'!E:E,)</f>
        <v/>
      </c>
      <c r="T12" s="42" t="str">
        <f t="array" ref="T12">_xlfn.XLOOKUP(B12,'Up Max'!A:A,'Up Max'!E:E,)</f>
        <v/>
      </c>
      <c r="U12" s="48" t="str">
        <f t="array" ref="U12">_xlfn.XLOOKUP(B12,'Up Stats'!A:A,'Up Stats'!F:F,)</f>
        <v/>
      </c>
      <c r="V12" s="40" t="str">
        <f>IFERROR(__xludf.DUMMYFUNCTION("if(AND(W12=FALSE,X12=FALSE),,if(W12=X12,JOIN("""",""Static: "",W12),JOIN("""",""Min:  "",W12, CHAR(10),""Max: "",X12)))"),"")</f>
        <v/>
      </c>
      <c r="W12" s="42" t="str">
        <f t="array" ref="W12">_xlfn.XLOOKUP(B12,'Up Min'!A:A,'Up Min'!F:F,)</f>
        <v/>
      </c>
      <c r="X12" s="42" t="str">
        <f t="array" ref="X12">_xlfn.XLOOKUP(B12,'Up Max'!A:A,'Up Max'!F:F,)</f>
        <v/>
      </c>
      <c r="Y12" s="48" t="str">
        <f t="array" ref="Y12">_xlfn.XLOOKUP(B12,'Up Stats'!A:A,'Up Stats'!G:G,)</f>
        <v/>
      </c>
      <c r="Z12" s="40" t="str">
        <f>IFERROR(__xludf.DUMMYFUNCTION("if(AND(AA12=FALSE,AB12=FALSE),,if(AA12=AB12,JOIN("""",""Static: "",AA12),JOIN("""",""Min:  "",AA12, CHAR(10),""Max: "",AB12)))"),"")</f>
        <v/>
      </c>
      <c r="AA12" s="42" t="str">
        <f t="array" ref="AA12">_xlfn.XLOOKUP(B12,'Up Min'!A:A,'Up Min'!G:G,)</f>
        <v/>
      </c>
      <c r="AB12" s="42" t="str">
        <f t="array" ref="AB12">_xlfn.XLOOKUP(B12,'Up Max'!A:A,'Up Max'!G:G,)</f>
        <v/>
      </c>
      <c r="AC12" s="48" t="str">
        <f t="array" ref="AC12">_xlfn.XLOOKUP(B12,'Up Stats'!A:A,'Up Stats'!H:H,)</f>
        <v/>
      </c>
      <c r="AD12" s="40" t="str">
        <f>IFERROR(__xludf.DUMMYFUNCTION("if(AND(AE12=FALSE,AF12=FALSE),,if(AE12=AF12,JOIN("""",""Static: "",AE12),JOIN("""",""Min:  "",AE12, CHAR(10),""Max: "",AF12)))"),"")</f>
        <v/>
      </c>
      <c r="AE12" s="42" t="str">
        <f t="array" ref="AE12">_xlfn.XLOOKUP(B12,'Up Min'!A:A,'Up Min'!H:H,)</f>
        <v/>
      </c>
      <c r="AF12" s="42" t="str">
        <f t="array" ref="AF12">_xlfn.XLOOKUP(B12,'Up Max'!A:A,'Up Max'!H:H,)</f>
        <v/>
      </c>
      <c r="AG12" s="48" t="str">
        <f t="array" ref="AG12">_xlfn.XLOOKUP(B12,'Up Stats'!A:A,'Up Stats'!I:I,)</f>
        <v/>
      </c>
      <c r="AH12" s="40" t="str">
        <f>IFERROR(__xludf.DUMMYFUNCTION("if(AND(AI12=FALSE,AJ12=FALSE),,if(AI12=AJ12,JOIN("""",""Static: "",AI12),JOIN("""",""Min:  "",AI12, CHAR(10),""Max: "",AJ12)))"),"")</f>
        <v/>
      </c>
      <c r="AI12" s="42" t="str">
        <f t="array" ref="AI12">_xlfn.XLOOKUP(B12,'Up Min'!A:A,'Up Min'!I:I,)</f>
        <v/>
      </c>
      <c r="AJ12" s="42" t="str">
        <f t="array" ref="AJ12">_xlfn.XLOOKUP(B12,'Up Max'!A:A,'Up Max'!I:I,)</f>
        <v/>
      </c>
      <c r="AK12" s="48" t="str">
        <f t="array" ref="AK12">_xlfn.XLOOKUP(B12,'Up Stats'!A:A,'Up Stats'!J:J,)</f>
        <v/>
      </c>
      <c r="AL12" s="40" t="str">
        <f>IFERROR(__xludf.DUMMYFUNCTION("if(AND(AM12=FALSE,AN12=FALSE),,if(AM12=AN12,JOIN("""",""Static: "",AM12),JOIN("""",""Min:  "",AM12, CHAR(10),""Max: "",AN12)))"),"")</f>
        <v/>
      </c>
      <c r="AM12" s="42" t="str">
        <f t="array" ref="AM12">_xlfn.XLOOKUP(B12,'Up Min'!A:A,'Up Min'!J:J,)</f>
        <v/>
      </c>
      <c r="AN12" s="42" t="str">
        <f t="array" ref="AN12">_xlfn.XLOOKUP(B12,'Up Max'!A:A,'Up Max'!J:J,)</f>
        <v/>
      </c>
      <c r="AO12" s="34" t="str">
        <f t="array" ref="AO12">CONCATENATE(_xlfn.XLOOKUP(B12,'Up Cells'!A:A,'Up Cells'!B:B,))</f>
        <v>4</v>
      </c>
      <c r="AP12" s="34" t="str">
        <f t="array" ref="AP12">CONCATENATE(_xlfn.XLOOKUP(B12,'Up Rarity'!A:A,'Up Rarity'!B:B,),CHAR(10),"-")</f>
        <v>Epic
-</v>
      </c>
    </row>
    <row r="13">
      <c r="A13" s="75" t="str">
        <f t="array" ref="A13">_xlfn.XLOOKUP(B13,'Up Icon'!A:A,'Up Icon'!B:B,)</f>
        <v/>
      </c>
      <c r="B13" s="88" t="str">
        <f t="array" ref="B13">HYPERLINK(_xlfn.XLOOKUP('Up Names'!F10,'Up Wiki'!A:A,'Up Wiki'!B:B,),'Up Names'!F10)</f>
        <v>Improvised Explosives</v>
      </c>
      <c r="C13" s="70" t="str">
        <f t="array" ref="C13">_xlfn.XLOOKUP(B13,'Up Desc'!A:A,'Up Desc'!B:B,)</f>
        <v>Plates consume a grenade charge to detonate on impact.</v>
      </c>
      <c r="D13" s="52" t="str">
        <f t="array" ref="D13">_xlfn.XLOOKUP(B13,'Up Turbo'!A:A,'Up Turbo'!B:B,)</f>
        <v>n/a</v>
      </c>
      <c r="E13" s="53" t="str">
        <f t="array" ref="E13">_xlfn.XLOOKUP(B13,'Up Stats'!A:A,'Up Stats'!B:B,)</f>
        <v/>
      </c>
      <c r="F13" s="54" t="str">
        <f>IFERROR(__xludf.DUMMYFUNCTION("if(AND(G13=FALSE,H13=FALSE),,if(G13=H13,JOIN("""",""Static: "",G13),JOIN("""",""Min:  "",G13, CHAR(10),""Max: "",H13)))"),"")</f>
        <v/>
      </c>
      <c r="G13" s="72" t="str">
        <f t="array" ref="G13">_xlfn.XLOOKUP(B13,'Up Min'!A:A,'Up Min'!B:B,)</f>
        <v/>
      </c>
      <c r="H13" s="73" t="str">
        <f t="array" ref="H13">_xlfn.XLOOKUP(B13,'Up Max'!A:A,'Up Max'!B:B,)</f>
        <v/>
      </c>
      <c r="I13" s="53" t="str">
        <f t="array" ref="I13">_xlfn.XLOOKUP(B13,'Up Stats'!A:A,'Up Stats'!C:C,)</f>
        <v/>
      </c>
      <c r="J13" s="54" t="str">
        <f>IFERROR(__xludf.DUMMYFUNCTION("if(AND(K13=FALSE,L13=FALSE),,if(K13=L13,JOIN("""",""Static: "",K13),JOIN("""",""Min:  "",K13, CHAR(10),""Max: "",L13)))"),"")</f>
        <v/>
      </c>
      <c r="K13" s="72" t="str">
        <f t="array" ref="K13">_xlfn.XLOOKUP(B13,'Up Min'!A:A,'Up Min'!C:C,)</f>
        <v/>
      </c>
      <c r="L13" s="72" t="str">
        <f t="array" ref="L13">_xlfn.XLOOKUP(B13,'Up Max'!A:A,'Up Max'!C:C,)</f>
        <v/>
      </c>
      <c r="M13" s="57" t="str">
        <f t="array" ref="M13">_xlfn.XLOOKUP(B13,'Up Stats'!A:A,'Up Stats'!D:D,)</f>
        <v/>
      </c>
      <c r="N13" s="54" t="str">
        <f>IFERROR(__xludf.DUMMYFUNCTION("if(AND(O13=FALSE,P13=FALSE),,if(O13=P13,JOIN("""",""Static: "",O13),JOIN("""",""Min:  "",O13, CHAR(10),""Max: "",P13)))"),"")</f>
        <v/>
      </c>
      <c r="O13" s="55" t="str">
        <f t="array" ref="O13">_xlfn.XLOOKUP(B13,'Up Min'!A:A,'Up Min'!D:D,)</f>
        <v/>
      </c>
      <c r="P13" s="55" t="str">
        <f t="array" ref="P13">_xlfn.XLOOKUP(B13,'Up Max'!A:A,'Up Max'!D:D,)</f>
        <v/>
      </c>
      <c r="Q13" s="57" t="str">
        <f t="array" ref="Q13">_xlfn.XLOOKUP(B13,'Up Stats'!A:A,'Up Stats'!E:E,)</f>
        <v/>
      </c>
      <c r="R13" s="54" t="str">
        <f>IFERROR(__xludf.DUMMYFUNCTION("if(AND(S13=FALSE,T13=FALSE),,if(S13=T13,JOIN("""",""Static: "",S13),JOIN("""",""Min:  "",S13, CHAR(10),""Max: "",T13)))"),"")</f>
        <v/>
      </c>
      <c r="S13" s="55" t="str">
        <f t="array" ref="S13">_xlfn.XLOOKUP(B13,'Up Min'!A:A,'Up Min'!E:E,)</f>
        <v/>
      </c>
      <c r="T13" s="55" t="str">
        <f t="array" ref="T13">_xlfn.XLOOKUP(B13,'Up Max'!A:A,'Up Max'!E:E,)</f>
        <v/>
      </c>
      <c r="U13" s="57" t="str">
        <f t="array" ref="U13">_xlfn.XLOOKUP(B13,'Up Stats'!A:A,'Up Stats'!F:F,)</f>
        <v/>
      </c>
      <c r="V13" s="54" t="str">
        <f>IFERROR(__xludf.DUMMYFUNCTION("if(AND(W13=FALSE,X13=FALSE),,if(W13=X13,JOIN("""",""Static: "",W13),JOIN("""",""Min:  "",W13, CHAR(10),""Max: "",X13)))"),"")</f>
        <v/>
      </c>
      <c r="W13" s="55" t="str">
        <f t="array" ref="W13">_xlfn.XLOOKUP(B13,'Up Min'!A:A,'Up Min'!F:F,)</f>
        <v/>
      </c>
      <c r="X13" s="55" t="str">
        <f t="array" ref="X13">_xlfn.XLOOKUP(B13,'Up Max'!A:A,'Up Max'!F:F,)</f>
        <v/>
      </c>
      <c r="Y13" s="57" t="str">
        <f t="array" ref="Y13">_xlfn.XLOOKUP(B13,'Up Stats'!A:A,'Up Stats'!G:G,)</f>
        <v/>
      </c>
      <c r="Z13" s="54" t="str">
        <f>IFERROR(__xludf.DUMMYFUNCTION("if(AND(AA13=FALSE,AB13=FALSE),,if(AA13=AB13,JOIN("""",""Static: "",AA13),JOIN("""",""Min:  "",AA13, CHAR(10),""Max: "",AB13)))"),"")</f>
        <v/>
      </c>
      <c r="AA13" s="55" t="str">
        <f t="array" ref="AA13">_xlfn.XLOOKUP(B13,'Up Min'!A:A,'Up Min'!G:G,)</f>
        <v/>
      </c>
      <c r="AB13" s="55" t="str">
        <f t="array" ref="AB13">_xlfn.XLOOKUP(B13,'Up Max'!A:A,'Up Max'!G:G,)</f>
        <v/>
      </c>
      <c r="AC13" s="57" t="str">
        <f t="array" ref="AC13">_xlfn.XLOOKUP(B13,'Up Stats'!A:A,'Up Stats'!H:H,)</f>
        <v/>
      </c>
      <c r="AD13" s="54" t="str">
        <f>IFERROR(__xludf.DUMMYFUNCTION("if(AND(AE13=FALSE,AF13=FALSE),,if(AE13=AF13,JOIN("""",""Static: "",AE13),JOIN("""",""Min:  "",AE13, CHAR(10),""Max: "",AF13)))"),"")</f>
        <v/>
      </c>
      <c r="AE13" s="55" t="str">
        <f t="array" ref="AE13">_xlfn.XLOOKUP(B13,'Up Min'!A:A,'Up Min'!H:H,)</f>
        <v/>
      </c>
      <c r="AF13" s="55" t="str">
        <f t="array" ref="AF13">_xlfn.XLOOKUP(B13,'Up Max'!A:A,'Up Max'!H:H,)</f>
        <v/>
      </c>
      <c r="AG13" s="57" t="str">
        <f t="array" ref="AG13">_xlfn.XLOOKUP(B13,'Up Stats'!A:A,'Up Stats'!I:I,)</f>
        <v/>
      </c>
      <c r="AH13" s="54" t="str">
        <f>IFERROR(__xludf.DUMMYFUNCTION("if(AND(AI13=FALSE,AJ13=FALSE),,if(AI13=AJ13,JOIN("""",""Static: "",AI13),JOIN("""",""Min:  "",AI13, CHAR(10),""Max: "",AJ13)))"),"")</f>
        <v/>
      </c>
      <c r="AI13" s="55" t="str">
        <f t="array" ref="AI13">_xlfn.XLOOKUP(B13,'Up Min'!A:A,'Up Min'!I:I,)</f>
        <v/>
      </c>
      <c r="AJ13" s="55" t="str">
        <f t="array" ref="AJ13">_xlfn.XLOOKUP(B13,'Up Max'!A:A,'Up Max'!I:I,)</f>
        <v/>
      </c>
      <c r="AK13" s="57" t="str">
        <f t="array" ref="AK13">_xlfn.XLOOKUP(B13,'Up Stats'!A:A,'Up Stats'!J:J,)</f>
        <v/>
      </c>
      <c r="AL13" s="54" t="str">
        <f>IFERROR(__xludf.DUMMYFUNCTION("if(AND(AM13=FALSE,AN13=FALSE),,if(AM13=AN13,JOIN("""",""Static: "",AM13),JOIN("""",""Min:  "",AM13, CHAR(10),""Max: "",AN13)))"),"")</f>
        <v/>
      </c>
      <c r="AM13" s="55" t="str">
        <f t="array" ref="AM13">_xlfn.XLOOKUP(B13,'Up Min'!A:A,'Up Min'!J:J,)</f>
        <v/>
      </c>
      <c r="AN13" s="55" t="str">
        <f t="array" ref="AN13">_xlfn.XLOOKUP(B13,'Up Max'!A:A,'Up Max'!J:J,)</f>
        <v/>
      </c>
      <c r="AO13" s="51" t="str">
        <f t="array" ref="AO13">CONCATENATE(_xlfn.XLOOKUP(B13,'Up Cells'!A:A,'Up Cells'!B:B,))</f>
        <v>5</v>
      </c>
      <c r="AP13" s="51" t="str">
        <f t="array" ref="AP13">CONCATENATE(_xlfn.XLOOKUP(B13,'Up Rarity'!A:A,'Up Rarity'!B:B,),CHAR(10),"-")</f>
        <v>Epic
-</v>
      </c>
    </row>
    <row r="14">
      <c r="A14" s="75" t="str">
        <f t="array" ref="A14">_xlfn.XLOOKUP(B14,'Up Icon'!A:A,'Up Icon'!B:B,)</f>
        <v/>
      </c>
      <c r="B14" s="89" t="str">
        <f t="array" ref="B14">HYPERLINK(_xlfn.XLOOKUP('Up Names'!F11,'Up Wiki'!A:A,'Up Wiki'!B:B,),'Up Names'!F11)</f>
        <v>Impulse Redirection</v>
      </c>
      <c r="C14" s="67" t="str">
        <f t="array" ref="C14">_xlfn.XLOOKUP(B14,'Up Desc'!A:A,'Up Desc'!B:B,)</f>
        <v>Catching a plate while mid-air boosts you upward.</v>
      </c>
      <c r="D14" s="37" t="str">
        <f t="array" ref="D14">_xlfn.XLOOKUP(B14,'Up Turbo'!A:A,'Up Turbo'!B:B,)</f>
        <v>n/a</v>
      </c>
      <c r="E14" s="39" t="str">
        <f t="array" ref="E14">_xlfn.XLOOKUP(B14,'Up Stats'!A:A,'Up Stats'!B:B,)</f>
        <v>Force</v>
      </c>
      <c r="F14" s="40" t="str">
        <f>IFERROR(__xludf.DUMMYFUNCTION("if(AND(G14=FALSE,H14=FALSE),,if(G14=H14,JOIN("""",""Static: "",G14),JOIN("""",""Min:  "",G14, CHAR(10),""Max: "",H14)))"),"Min:  5
Max: 8.5")</f>
        <v>Min:  5
Max: 8.5</v>
      </c>
      <c r="G14" s="69">
        <f t="array" ref="G14">_xlfn.XLOOKUP(B14,'Up Min'!A:A,'Up Min'!B:B,)</f>
        <v>5</v>
      </c>
      <c r="H14" s="68">
        <f t="array" ref="H14">_xlfn.XLOOKUP(B14,'Up Max'!A:A,'Up Max'!B:B,)</f>
        <v>8.5</v>
      </c>
      <c r="I14" s="39" t="str">
        <f t="array" ref="I14">_xlfn.XLOOKUP(B14,'Up Stats'!A:A,'Up Stats'!C:C,)</f>
        <v/>
      </c>
      <c r="J14" s="40" t="str">
        <f>IFERROR(__xludf.DUMMYFUNCTION("if(AND(K14=FALSE,L14=FALSE),,if(K14=L14,JOIN("""",""Static: "",K14),JOIN("""",""Min:  "",K14, CHAR(10),""Max: "",L14)))"),"")</f>
        <v/>
      </c>
      <c r="K14" s="42" t="str">
        <f t="array" ref="K14">_xlfn.XLOOKUP(B14,'Up Min'!A:A,'Up Min'!C:C,)</f>
        <v/>
      </c>
      <c r="L14" s="42" t="str">
        <f t="array" ref="L14">_xlfn.XLOOKUP(B14,'Up Max'!A:A,'Up Max'!C:C,)</f>
        <v/>
      </c>
      <c r="M14" s="48" t="str">
        <f t="array" ref="M14">_xlfn.XLOOKUP(B14,'Up Stats'!A:A,'Up Stats'!D:D,)</f>
        <v/>
      </c>
      <c r="N14" s="40" t="str">
        <f>IFERROR(__xludf.DUMMYFUNCTION("if(AND(O14=FALSE,P14=FALSE),,if(O14=P14,JOIN("""",""Static: "",O14),JOIN("""",""Min:  "",O14, CHAR(10),""Max: "",P14)))"),"")</f>
        <v/>
      </c>
      <c r="O14" s="42" t="str">
        <f t="array" ref="O14">_xlfn.XLOOKUP(B14,'Up Min'!A:A,'Up Min'!D:D,)</f>
        <v/>
      </c>
      <c r="P14" s="42" t="str">
        <f t="array" ref="P14">_xlfn.XLOOKUP(B14,'Up Max'!A:A,'Up Max'!D:D,)</f>
        <v/>
      </c>
      <c r="Q14" s="48" t="str">
        <f t="array" ref="Q14">_xlfn.XLOOKUP(B14,'Up Stats'!A:A,'Up Stats'!E:E,)</f>
        <v/>
      </c>
      <c r="R14" s="40" t="str">
        <f>IFERROR(__xludf.DUMMYFUNCTION("if(AND(S14=FALSE,T14=FALSE),,if(S14=T14,JOIN("""",""Static: "",S14),JOIN("""",""Min:  "",S14, CHAR(10),""Max: "",T14)))"),"")</f>
        <v/>
      </c>
      <c r="S14" s="42" t="str">
        <f t="array" ref="S14">_xlfn.XLOOKUP(B14,'Up Min'!A:A,'Up Min'!E:E,)</f>
        <v/>
      </c>
      <c r="T14" s="42" t="str">
        <f t="array" ref="T14">_xlfn.XLOOKUP(B14,'Up Max'!A:A,'Up Max'!E:E,)</f>
        <v/>
      </c>
      <c r="U14" s="48" t="str">
        <f t="array" ref="U14">_xlfn.XLOOKUP(B14,'Up Stats'!A:A,'Up Stats'!F:F,)</f>
        <v/>
      </c>
      <c r="V14" s="40" t="str">
        <f>IFERROR(__xludf.DUMMYFUNCTION("if(AND(W14=FALSE,X14=FALSE),,if(W14=X14,JOIN("""",""Static: "",W14),JOIN("""",""Min:  "",W14, CHAR(10),""Max: "",X14)))"),"")</f>
        <v/>
      </c>
      <c r="W14" s="42" t="str">
        <f t="array" ref="W14">_xlfn.XLOOKUP(B14,'Up Min'!A:A,'Up Min'!F:F,)</f>
        <v/>
      </c>
      <c r="X14" s="42" t="str">
        <f t="array" ref="X14">_xlfn.XLOOKUP(B14,'Up Max'!A:A,'Up Max'!F:F,)</f>
        <v/>
      </c>
      <c r="Y14" s="48" t="str">
        <f t="array" ref="Y14">_xlfn.XLOOKUP(B14,'Up Stats'!A:A,'Up Stats'!G:G,)</f>
        <v/>
      </c>
      <c r="Z14" s="40" t="str">
        <f>IFERROR(__xludf.DUMMYFUNCTION("if(AND(AA14=FALSE,AB14=FALSE),,if(AA14=AB14,JOIN("""",""Static: "",AA14),JOIN("""",""Min:  "",AA14, CHAR(10),""Max: "",AB14)))"),"")</f>
        <v/>
      </c>
      <c r="AA14" s="42" t="str">
        <f t="array" ref="AA14">_xlfn.XLOOKUP(B14,'Up Min'!A:A,'Up Min'!G:G,)</f>
        <v/>
      </c>
      <c r="AB14" s="42" t="str">
        <f t="array" ref="AB14">_xlfn.XLOOKUP(B14,'Up Max'!A:A,'Up Max'!G:G,)</f>
        <v/>
      </c>
      <c r="AC14" s="48" t="str">
        <f t="array" ref="AC14">_xlfn.XLOOKUP(B14,'Up Stats'!A:A,'Up Stats'!H:H,)</f>
        <v/>
      </c>
      <c r="AD14" s="40" t="str">
        <f>IFERROR(__xludf.DUMMYFUNCTION("if(AND(AE14=FALSE,AF14=FALSE),,if(AE14=AF14,JOIN("""",""Static: "",AE14),JOIN("""",""Min:  "",AE14, CHAR(10),""Max: "",AF14)))"),"")</f>
        <v/>
      </c>
      <c r="AE14" s="42" t="str">
        <f t="array" ref="AE14">_xlfn.XLOOKUP(B14,'Up Min'!A:A,'Up Min'!H:H,)</f>
        <v/>
      </c>
      <c r="AF14" s="42" t="str">
        <f t="array" ref="AF14">_xlfn.XLOOKUP(B14,'Up Max'!A:A,'Up Max'!H:H,)</f>
        <v/>
      </c>
      <c r="AG14" s="48" t="str">
        <f t="array" ref="AG14">_xlfn.XLOOKUP(B14,'Up Stats'!A:A,'Up Stats'!I:I,)</f>
        <v/>
      </c>
      <c r="AH14" s="40" t="str">
        <f>IFERROR(__xludf.DUMMYFUNCTION("if(AND(AI14=FALSE,AJ14=FALSE),,if(AI14=AJ14,JOIN("""",""Static: "",AI14),JOIN("""",""Min:  "",AI14, CHAR(10),""Max: "",AJ14)))"),"")</f>
        <v/>
      </c>
      <c r="AI14" s="42" t="str">
        <f t="array" ref="AI14">_xlfn.XLOOKUP(B14,'Up Min'!A:A,'Up Min'!I:I,)</f>
        <v/>
      </c>
      <c r="AJ14" s="42" t="str">
        <f t="array" ref="AJ14">_xlfn.XLOOKUP(B14,'Up Max'!A:A,'Up Max'!I:I,)</f>
        <v/>
      </c>
      <c r="AK14" s="48" t="str">
        <f t="array" ref="AK14">_xlfn.XLOOKUP(B14,'Up Stats'!A:A,'Up Stats'!J:J,)</f>
        <v/>
      </c>
      <c r="AL14" s="40" t="str">
        <f>IFERROR(__xludf.DUMMYFUNCTION("if(AND(AM14=FALSE,AN14=FALSE),,if(AM14=AN14,JOIN("""",""Static: "",AM14),JOIN("""",""Min:  "",AM14, CHAR(10),""Max: "",AN14)))"),"")</f>
        <v/>
      </c>
      <c r="AM14" s="42" t="str">
        <f t="array" ref="AM14">_xlfn.XLOOKUP(B14,'Up Min'!A:A,'Up Min'!J:J,)</f>
        <v/>
      </c>
      <c r="AN14" s="42" t="str">
        <f t="array" ref="AN14">_xlfn.XLOOKUP(B14,'Up Max'!A:A,'Up Max'!J:J,)</f>
        <v/>
      </c>
      <c r="AO14" s="34" t="str">
        <f t="array" ref="AO14">CONCATENATE(_xlfn.XLOOKUP(B14,'Up Cells'!A:A,'Up Cells'!B:B,))</f>
        <v>3</v>
      </c>
      <c r="AP14" s="34" t="str">
        <f t="array" ref="AP14">CONCATENATE(_xlfn.XLOOKUP(B14,'Up Rarity'!A:A,'Up Rarity'!B:B,),CHAR(10),"-")</f>
        <v>Epic
-</v>
      </c>
    </row>
    <row r="15">
      <c r="A15" s="75" t="str">
        <f t="array" ref="A15">_xlfn.XLOOKUP(B15,'Up Icon'!A:A,'Up Icon'!B:B,)</f>
        <v/>
      </c>
      <c r="B15" s="88" t="str">
        <f t="array" ref="B15">HYPERLINK(_xlfn.XLOOKUP('Up Names'!F12,'Up Wiki'!A:A,'Up Wiki'!B:B,),'Up Names'!F12)</f>
        <v>Painter's Attachment</v>
      </c>
      <c r="C15" s="52" t="str">
        <f t="array" ref="C15">_xlfn.XLOOKUP(B15,'Up Desc'!A:A,'Up Desc'!B:B,)</f>
        <v>Firing a plate while you are corroded causes it to create an acid puddle on impact.</v>
      </c>
      <c r="D15" s="52" t="str">
        <f t="array" ref="D15">_xlfn.XLOOKUP(B15,'Up Turbo'!A:A,'Up Turbo'!B:B,)</f>
        <v>n/a</v>
      </c>
      <c r="E15" s="53" t="str">
        <f t="array" ref="E15">_xlfn.XLOOKUP(B15,'Up Stats'!A:A,'Up Stats'!B:B,)</f>
        <v>Size</v>
      </c>
      <c r="F15" s="54" t="str">
        <f>IFERROR(__xludf.DUMMYFUNCTION("if(AND(G15=FALSE,H15=FALSE),,if(G15=H15,JOIN("""",""Static: "",G15),JOIN("""",""Min:  "",G15, CHAR(10),""Max: "",H15)))"),"Min:  3
Max: 5")</f>
        <v>Min:  3
Max: 5</v>
      </c>
      <c r="G15" s="64">
        <f t="array" ref="G15">_xlfn.XLOOKUP(B15,'Up Min'!A:A,'Up Min'!B:B,)</f>
        <v>3</v>
      </c>
      <c r="H15" s="65">
        <f t="array" ref="H15">_xlfn.XLOOKUP(B15,'Up Max'!A:A,'Up Max'!B:B,)</f>
        <v>5</v>
      </c>
      <c r="I15" s="53" t="str">
        <f t="array" ref="I15">_xlfn.XLOOKUP(B15,'Up Stats'!A:A,'Up Stats'!C:C,)</f>
        <v>Duration</v>
      </c>
      <c r="J15" s="54" t="str">
        <f>IFERROR(__xludf.DUMMYFUNCTION("if(AND(K15=FALSE,L15=FALSE),,if(K15=L15,JOIN("""",""Static: "",K15),JOIN("""",""Min:  "",K15, CHAR(10),""Max: "",L15)))"),"Min:  2.5
Max: 5")</f>
        <v>Min:  2.5
Max: 5</v>
      </c>
      <c r="K15" s="65">
        <f t="array" ref="K15">_xlfn.XLOOKUP(B15,'Up Min'!A:A,'Up Min'!C:C,)</f>
        <v>2.5</v>
      </c>
      <c r="L15" s="64">
        <f t="array" ref="L15">_xlfn.XLOOKUP(B15,'Up Max'!A:A,'Up Max'!C:C,)</f>
        <v>5</v>
      </c>
      <c r="M15" s="53" t="str">
        <f t="array" ref="M15">_xlfn.XLOOKUP(B15,'Up Stats'!A:A,'Up Stats'!D:D,)</f>
        <v/>
      </c>
      <c r="N15" s="54" t="str">
        <f>IFERROR(__xludf.DUMMYFUNCTION("if(AND(O15=FALSE,P15=FALSE),,if(O15=P15,JOIN("""",""Static: "",O15),JOIN("""",""Min:  "",O15, CHAR(10),""Max: "",P15)))"),"")</f>
        <v/>
      </c>
      <c r="O15" s="55" t="str">
        <f t="array" ref="O15">_xlfn.XLOOKUP(B15,'Up Min'!A:A,'Up Min'!D:D,)</f>
        <v/>
      </c>
      <c r="P15" s="55" t="str">
        <f t="array" ref="P15">_xlfn.XLOOKUP(B15,'Up Max'!A:A,'Up Max'!D:D,)</f>
        <v/>
      </c>
      <c r="Q15" s="57" t="str">
        <f t="array" ref="Q15">_xlfn.XLOOKUP(B15,'Up Stats'!A:A,'Up Stats'!E:E,)</f>
        <v/>
      </c>
      <c r="R15" s="54" t="str">
        <f>IFERROR(__xludf.DUMMYFUNCTION("if(AND(S15=FALSE,T15=FALSE),,if(S15=T15,JOIN("""",""Static: "",S15),JOIN("""",""Min:  "",S15, CHAR(10),""Max: "",T15)))"),"")</f>
        <v/>
      </c>
      <c r="S15" s="55" t="str">
        <f t="array" ref="S15">_xlfn.XLOOKUP(B15,'Up Min'!A:A,'Up Min'!E:E,)</f>
        <v/>
      </c>
      <c r="T15" s="55" t="str">
        <f t="array" ref="T15">_xlfn.XLOOKUP(B15,'Up Max'!A:A,'Up Max'!E:E,)</f>
        <v/>
      </c>
      <c r="U15" s="57" t="str">
        <f t="array" ref="U15">_xlfn.XLOOKUP(B15,'Up Stats'!A:A,'Up Stats'!F:F,)</f>
        <v/>
      </c>
      <c r="V15" s="54" t="str">
        <f>IFERROR(__xludf.DUMMYFUNCTION("if(AND(W15=FALSE,X15=FALSE),,if(W15=X15,JOIN("""",""Static: "",W15),JOIN("""",""Min:  "",W15, CHAR(10),""Max: "",X15)))"),"")</f>
        <v/>
      </c>
      <c r="W15" s="55" t="str">
        <f t="array" ref="W15">_xlfn.XLOOKUP(B15,'Up Min'!A:A,'Up Min'!F:F,)</f>
        <v/>
      </c>
      <c r="X15" s="55" t="str">
        <f t="array" ref="X15">_xlfn.XLOOKUP(B15,'Up Max'!A:A,'Up Max'!F:F,)</f>
        <v/>
      </c>
      <c r="Y15" s="57" t="str">
        <f t="array" ref="Y15">_xlfn.XLOOKUP(B15,'Up Stats'!A:A,'Up Stats'!G:G,)</f>
        <v/>
      </c>
      <c r="Z15" s="54" t="str">
        <f>IFERROR(__xludf.DUMMYFUNCTION("if(AND(AA15=FALSE,AB15=FALSE),,if(AA15=AB15,JOIN("""",""Static: "",AA15),JOIN("""",""Min:  "",AA15, CHAR(10),""Max: "",AB15)))"),"")</f>
        <v/>
      </c>
      <c r="AA15" s="55" t="str">
        <f t="array" ref="AA15">_xlfn.XLOOKUP(B15,'Up Min'!A:A,'Up Min'!G:G,)</f>
        <v/>
      </c>
      <c r="AB15" s="55" t="str">
        <f t="array" ref="AB15">_xlfn.XLOOKUP(B15,'Up Max'!A:A,'Up Max'!G:G,)</f>
        <v/>
      </c>
      <c r="AC15" s="57" t="str">
        <f t="array" ref="AC15">_xlfn.XLOOKUP(B15,'Up Stats'!A:A,'Up Stats'!H:H,)</f>
        <v/>
      </c>
      <c r="AD15" s="54" t="str">
        <f>IFERROR(__xludf.DUMMYFUNCTION("if(AND(AE15=FALSE,AF15=FALSE),,if(AE15=AF15,JOIN("""",""Static: "",AE15),JOIN("""",""Min:  "",AE15, CHAR(10),""Max: "",AF15)))"),"")</f>
        <v/>
      </c>
      <c r="AE15" s="55" t="str">
        <f t="array" ref="AE15">_xlfn.XLOOKUP(B15,'Up Min'!A:A,'Up Min'!H:H,)</f>
        <v/>
      </c>
      <c r="AF15" s="55" t="str">
        <f t="array" ref="AF15">_xlfn.XLOOKUP(B15,'Up Max'!A:A,'Up Max'!H:H,)</f>
        <v/>
      </c>
      <c r="AG15" s="57" t="str">
        <f t="array" ref="AG15">_xlfn.XLOOKUP(B15,'Up Stats'!A:A,'Up Stats'!I:I,)</f>
        <v/>
      </c>
      <c r="AH15" s="54" t="str">
        <f>IFERROR(__xludf.DUMMYFUNCTION("if(AND(AI15=FALSE,AJ15=FALSE),,if(AI15=AJ15,JOIN("""",""Static: "",AI15),JOIN("""",""Min:  "",AI15, CHAR(10),""Max: "",AJ15)))"),"")</f>
        <v/>
      </c>
      <c r="AI15" s="55" t="str">
        <f t="array" ref="AI15">_xlfn.XLOOKUP(B15,'Up Min'!A:A,'Up Min'!I:I,)</f>
        <v/>
      </c>
      <c r="AJ15" s="55" t="str">
        <f t="array" ref="AJ15">_xlfn.XLOOKUP(B15,'Up Max'!A:A,'Up Max'!I:I,)</f>
        <v/>
      </c>
      <c r="AK15" s="57" t="str">
        <f t="array" ref="AK15">_xlfn.XLOOKUP(B15,'Up Stats'!A:A,'Up Stats'!J:J,)</f>
        <v/>
      </c>
      <c r="AL15" s="54" t="str">
        <f>IFERROR(__xludf.DUMMYFUNCTION("if(AND(AM15=FALSE,AN15=FALSE),,if(AM15=AN15,JOIN("""",""Static: "",AM15),JOIN("""",""Min:  "",AM15, CHAR(10),""Max: "",AN15)))"),"")</f>
        <v/>
      </c>
      <c r="AM15" s="55" t="str">
        <f t="array" ref="AM15">_xlfn.XLOOKUP(B15,'Up Min'!A:A,'Up Min'!J:J,)</f>
        <v/>
      </c>
      <c r="AN15" s="55" t="str">
        <f t="array" ref="AN15">_xlfn.XLOOKUP(B15,'Up Max'!A:A,'Up Max'!J:J,)</f>
        <v/>
      </c>
      <c r="AO15" s="51" t="str">
        <f t="array" ref="AO15">CONCATENATE(_xlfn.XLOOKUP(B15,'Up Cells'!A:A,'Up Cells'!B:B,))</f>
        <v>3</v>
      </c>
      <c r="AP15" s="51" t="str">
        <f t="array" ref="AP15">CONCATENATE(_xlfn.XLOOKUP(B15,'Up Rarity'!A:A,'Up Rarity'!B:B,),CHAR(10),"-")</f>
        <v>Epic
-</v>
      </c>
    </row>
    <row r="16">
      <c r="A16" s="75" t="str">
        <f t="array" ref="A16">_xlfn.XLOOKUP(B16,'Up Icon'!A:A,'Up Icon'!B:B,)</f>
        <v/>
      </c>
      <c r="B16" s="89" t="str">
        <f t="array" ref="B16">HYPERLINK(_xlfn.XLOOKUP('Up Names'!F13,'Up Wiki'!A:A,'Up Wiki'!B:B,),'Up Names'!F13)</f>
        <v>Salad Plates</v>
      </c>
      <c r="C16" s="67" t="str">
        <f t="array" ref="C16">_xlfn.XLOOKUP(B16,'Up Desc'!A:A,'Up Desc'!B:B,)</f>
        <v>Fire more plates at a faster rate. Plate size is reduced.</v>
      </c>
      <c r="D16" s="37" t="str">
        <f t="array" ref="D16">_xlfn.XLOOKUP(B16,'Up Turbo'!A:A,'Up Turbo'!B:B,)</f>
        <v>n/a</v>
      </c>
      <c r="E16" s="39" t="str">
        <f t="array" ref="E16">_xlfn.XLOOKUP(B16,'Up Stats'!A:A,'Up Stats'!B:B,)</f>
        <v>Fire Rate</v>
      </c>
      <c r="F16" s="40" t="str">
        <f>IFERROR(__xludf.DUMMYFUNCTION("if(AND(G16=FALSE,H16=FALSE),,if(G16=H16,JOIN("""",""Static: "",G16),JOIN("""",""Min:  "",G16, CHAR(10),""Max: "",H16)))"),"Static: 66.70%")</f>
        <v>Static: 66.70%</v>
      </c>
      <c r="G16" s="78">
        <f t="array" ref="G16">_xlfn.XLOOKUP(B16,'Up Min'!A:A,'Up Min'!B:B,)</f>
        <v>0.667</v>
      </c>
      <c r="H16" s="78">
        <f t="array" ref="H16">_xlfn.XLOOKUP(B16,'Up Max'!A:A,'Up Max'!B:B,)</f>
        <v>0.667</v>
      </c>
      <c r="I16" s="39" t="str">
        <f t="array" ref="I16">_xlfn.XLOOKUP(B16,'Up Stats'!A:A,'Up Stats'!C:C,)</f>
        <v>Magazine Size</v>
      </c>
      <c r="J16" s="40" t="str">
        <f>IFERROR(__xludf.DUMMYFUNCTION("if(AND(K16=FALSE,L16=FALSE),,if(K16=L16,JOIN("""",""Static: "",K16),JOIN("""",""Min:  "",K16, CHAR(10),""Max: "",L16)))"),"Static: 7")</f>
        <v>Static: 7</v>
      </c>
      <c r="K16" s="68">
        <f t="array" ref="K16">_xlfn.XLOOKUP(B16,'Up Min'!A:A,'Up Min'!C:C,)</f>
        <v>7</v>
      </c>
      <c r="L16" s="69">
        <f t="array" ref="L16">_xlfn.XLOOKUP(B16,'Up Max'!A:A,'Up Max'!C:C,)</f>
        <v>7</v>
      </c>
      <c r="M16" s="39" t="str">
        <f t="array" ref="M16">_xlfn.XLOOKUP(B16,'Up Stats'!A:A,'Up Stats'!D:D,)</f>
        <v>Horizontal Recoil</v>
      </c>
      <c r="N16" s="40" t="str">
        <f>IFERROR(__xludf.DUMMYFUNCTION("if(AND(O16=FALSE,P16=FALSE),,if(O16=P16,JOIN("""",""Static: "",O16),JOIN("""",""Min:  "",O16, CHAR(10),""Max: "",P16)))"),"Static: -30%")</f>
        <v>Static: -30%</v>
      </c>
      <c r="O16" s="41">
        <f t="array" ref="O16">_xlfn.XLOOKUP(B16,'Up Min'!A:A,'Up Min'!D:D,)</f>
        <v>-0.3</v>
      </c>
      <c r="P16" s="41">
        <f t="array" ref="P16">_xlfn.XLOOKUP(B16,'Up Max'!A:A,'Up Max'!D:D,)</f>
        <v>-0.3</v>
      </c>
      <c r="Q16" s="48" t="str">
        <f t="array" ref="Q16">_xlfn.XLOOKUP(B16,'Up Stats'!A:A,'Up Stats'!E:E,)</f>
        <v>Vertical Recoil</v>
      </c>
      <c r="R16" s="40" t="str">
        <f>IFERROR(__xludf.DUMMYFUNCTION("if(AND(S16=FALSE,T16=FALSE),,if(S16=T16,JOIN("""",""Static: "",S16),JOIN("""",""Min:  "",S16, CHAR(10),""Max: "",T16)))"),"Static: -40%")</f>
        <v>Static: -40%</v>
      </c>
      <c r="S16" s="41">
        <f t="array" ref="S16">_xlfn.XLOOKUP(B16,'Up Min'!A:A,'Up Min'!E:E,)</f>
        <v>-0.4</v>
      </c>
      <c r="T16" s="41">
        <f t="array" ref="T16">_xlfn.XLOOKUP(B16,'Up Max'!A:A,'Up Max'!E:E,)</f>
        <v>-0.4</v>
      </c>
      <c r="U16" s="39" t="str">
        <f t="array" ref="U16">_xlfn.XLOOKUP(B16,'Up Stats'!A:A,'Up Stats'!F:F,)</f>
        <v>Damage</v>
      </c>
      <c r="V16" s="40" t="str">
        <f>IFERROR(__xludf.DUMMYFUNCTION("if(AND(W16=FALSE,X16=FALSE),,if(W16=X16,JOIN("""",""Static: "",W16),JOIN("""",""Min:  "",W16, CHAR(10),""Max: "",X16)))"),"Static: -40%")</f>
        <v>Static: -40%</v>
      </c>
      <c r="W16" s="41">
        <f t="array" ref="W16">_xlfn.XLOOKUP(B16,'Up Min'!A:A,'Up Min'!F:F,)</f>
        <v>-0.4</v>
      </c>
      <c r="X16" s="41">
        <f t="array" ref="X16">_xlfn.XLOOKUP(B16,'Up Max'!A:A,'Up Max'!F:F,)</f>
        <v>-0.4</v>
      </c>
      <c r="Y16" s="39" t="str">
        <f t="array" ref="Y16">_xlfn.XLOOKUP(B16,'Up Stats'!A:A,'Up Stats'!G:G,)</f>
        <v>Catch Recoil</v>
      </c>
      <c r="Z16" s="40" t="str">
        <f>IFERROR(__xludf.DUMMYFUNCTION("if(AND(AA16=FALSE,AB16=FALSE),,if(AA16=AB16,JOIN("""",""Static: "",AA16),JOIN("""",""Min:  "",AA16, CHAR(10),""Max: "",AB16)))"),"Static: -35%")</f>
        <v>Static: -35%</v>
      </c>
      <c r="AA16" s="41">
        <f t="array" ref="AA16">_xlfn.XLOOKUP(B16,'Up Min'!A:A,'Up Min'!G:G,)</f>
        <v>-0.35</v>
      </c>
      <c r="AB16" s="41">
        <f t="array" ref="AB16">_xlfn.XLOOKUP(B16,'Up Max'!A:A,'Up Max'!G:G,)</f>
        <v>-0.35</v>
      </c>
      <c r="AC16" s="39" t="str">
        <f t="array" ref="AC16">_xlfn.XLOOKUP(B16,'Up Stats'!A:A,'Up Stats'!H:H,)</f>
        <v/>
      </c>
      <c r="AD16" s="40" t="str">
        <f>IFERROR(__xludf.DUMMYFUNCTION("if(AND(AE16=FALSE,AF16=FALSE),,if(AE16=AF16,JOIN("""",""Static: "",AE16),JOIN("""",""Min:  "",AE16, CHAR(10),""Max: "",AF16)))"),"")</f>
        <v/>
      </c>
      <c r="AE16" s="45" t="str">
        <f t="array" ref="AE16">_xlfn.XLOOKUP(B16,'Up Min'!A:A,'Up Min'!H:H,)</f>
        <v/>
      </c>
      <c r="AF16" s="45" t="str">
        <f t="array" ref="AF16">_xlfn.XLOOKUP(B16,'Up Max'!A:A,'Up Max'!H:H,)</f>
        <v/>
      </c>
      <c r="AG16" s="39" t="str">
        <f t="array" ref="AG16">_xlfn.XLOOKUP(B16,'Up Stats'!A:A,'Up Stats'!I:I,)</f>
        <v/>
      </c>
      <c r="AH16" s="40" t="str">
        <f>IFERROR(__xludf.DUMMYFUNCTION("if(AND(AI16=FALSE,AJ16=FALSE),,if(AI16=AJ16,JOIN("""",""Static: "",AI16),JOIN("""",""Min:  "",AI16, CHAR(10),""Max: "",AJ16)))"),"")</f>
        <v/>
      </c>
      <c r="AI16" s="45" t="str">
        <f t="array" ref="AI16">_xlfn.XLOOKUP(B16,'Up Min'!A:A,'Up Min'!I:I,)</f>
        <v/>
      </c>
      <c r="AJ16" s="45" t="str">
        <f t="array" ref="AJ16">_xlfn.XLOOKUP(B16,'Up Max'!A:A,'Up Max'!I:I,)</f>
        <v/>
      </c>
      <c r="AK16" s="39" t="str">
        <f t="array" ref="AK16">_xlfn.XLOOKUP(B16,'Up Stats'!A:A,'Up Stats'!J:J,)</f>
        <v/>
      </c>
      <c r="AL16" s="40" t="str">
        <f>IFERROR(__xludf.DUMMYFUNCTION("if(AND(AM16=FALSE,AN16=FALSE),,if(AM16=AN16,JOIN("""",""Static: "",AM16),JOIN("""",""Min:  "",AM16, CHAR(10),""Max: "",AN16)))"),"")</f>
        <v/>
      </c>
      <c r="AM16" s="45" t="str">
        <f t="array" ref="AM16">_xlfn.XLOOKUP(B16,'Up Min'!A:A,'Up Min'!J:J,)</f>
        <v/>
      </c>
      <c r="AN16" s="45" t="str">
        <f t="array" ref="AN16">_xlfn.XLOOKUP(B16,'Up Max'!A:A,'Up Max'!J:J,)</f>
        <v/>
      </c>
      <c r="AO16" s="34" t="str">
        <f t="array" ref="AO16">CONCATENATE(_xlfn.XLOOKUP(B16,'Up Cells'!A:A,'Up Cells'!B:B,))</f>
        <v>5</v>
      </c>
      <c r="AP16" s="34" t="str">
        <f t="array" ref="AP16">CONCATENATE(_xlfn.XLOOKUP(B16,'Up Rarity'!A:A,'Up Rarity'!B:B,),CHAR(10),"-")</f>
        <v>Epic
-</v>
      </c>
    </row>
    <row r="17">
      <c r="A17" s="75" t="str">
        <f t="array" ref="A17">_xlfn.XLOOKUP(B17,'Up Icon'!A:A,'Up Icon'!B:B,)</f>
        <v/>
      </c>
      <c r="B17" s="88" t="str">
        <f t="array" ref="B17">HYPERLINK(_xlfn.XLOOKUP('Up Names'!F14,'Up Wiki'!A:A,'Up Wiki'!B:B,),'Up Names'!F14)</f>
        <v>Shockwave</v>
      </c>
      <c r="C17" s="70" t="str">
        <f t="array" ref="C17">_xlfn.XLOOKUP(B17,'Up Desc'!A:A,'Up Desc'!B:B,)</f>
        <v>Plates create a shockwave on impact that pushes back enemies.</v>
      </c>
      <c r="D17" s="52" t="str">
        <f t="array" ref="D17">_xlfn.XLOOKUP(B17,'Up Turbo'!A:A,'Up Turbo'!B:B,)</f>
        <v>n/a</v>
      </c>
      <c r="E17" s="53" t="str">
        <f t="array" ref="E17">_xlfn.XLOOKUP(B17,'Up Stats'!A:A,'Up Stats'!B:B,)</f>
        <v>Size</v>
      </c>
      <c r="F17" s="54" t="str">
        <f>IFERROR(__xludf.DUMMYFUNCTION("if(AND(G17=FALSE,H17=FALSE),,if(G17=H17,JOIN("""",""Static: "",G17),JOIN("""",""Min:  "",G17, CHAR(10),""Max: "",H17)))"),"Min:  3
Max: 4")</f>
        <v>Min:  3
Max: 4</v>
      </c>
      <c r="G17" s="64">
        <f t="array" ref="G17">_xlfn.XLOOKUP(B17,'Up Min'!A:A,'Up Min'!B:B,)</f>
        <v>3</v>
      </c>
      <c r="H17" s="65">
        <f t="array" ref="H17">_xlfn.XLOOKUP(B17,'Up Max'!A:A,'Up Max'!B:B,)</f>
        <v>4</v>
      </c>
      <c r="I17" s="53" t="str">
        <f t="array" ref="I17">_xlfn.XLOOKUP(B17,'Up Stats'!A:A,'Up Stats'!C:C,)</f>
        <v>Force</v>
      </c>
      <c r="J17" s="54" t="str">
        <f>IFERROR(__xludf.DUMMYFUNCTION("if(AND(K17=FALSE,L17=FALSE),,if(K17=L17,JOIN("""",""Static: "",K17),JOIN("""",""Min:  "",K17, CHAR(10),""Max: "",L17)))"),"Min:  13.5
Max: 21")</f>
        <v>Min:  13.5
Max: 21</v>
      </c>
      <c r="K17" s="65">
        <f t="array" ref="K17">_xlfn.XLOOKUP(B17,'Up Min'!A:A,'Up Min'!C:C,)</f>
        <v>13.5</v>
      </c>
      <c r="L17" s="64">
        <f t="array" ref="L17">_xlfn.XLOOKUP(B17,'Up Max'!A:A,'Up Max'!C:C,)</f>
        <v>21</v>
      </c>
      <c r="M17" s="53" t="str">
        <f t="array" ref="M17">_xlfn.XLOOKUP(B17,'Up Stats'!A:A,'Up Stats'!D:D,)</f>
        <v/>
      </c>
      <c r="N17" s="54" t="str">
        <f>IFERROR(__xludf.DUMMYFUNCTION("if(AND(O17=FALSE,P17=FALSE),,if(O17=P17,JOIN("""",""Static: "",O17),JOIN("""",""Min:  "",O17, CHAR(10),""Max: "",P17)))"),"")</f>
        <v/>
      </c>
      <c r="O17" s="55" t="str">
        <f t="array" ref="O17">_xlfn.XLOOKUP(B17,'Up Min'!A:A,'Up Min'!D:D,)</f>
        <v/>
      </c>
      <c r="P17" s="55" t="str">
        <f t="array" ref="P17">_xlfn.XLOOKUP(B17,'Up Max'!A:A,'Up Max'!D:D,)</f>
        <v/>
      </c>
      <c r="Q17" s="57" t="str">
        <f t="array" ref="Q17">_xlfn.XLOOKUP(B17,'Up Stats'!A:A,'Up Stats'!E:E,)</f>
        <v/>
      </c>
      <c r="R17" s="54" t="str">
        <f>IFERROR(__xludf.DUMMYFUNCTION("if(AND(S17=FALSE,T17=FALSE),,if(S17=T17,JOIN("""",""Static: "",S17),JOIN("""",""Min:  "",S17, CHAR(10),""Max: "",T17)))"),"")</f>
        <v/>
      </c>
      <c r="S17" s="55" t="str">
        <f t="array" ref="S17">_xlfn.XLOOKUP(B17,'Up Min'!A:A,'Up Min'!E:E,)</f>
        <v/>
      </c>
      <c r="T17" s="55" t="str">
        <f t="array" ref="T17">_xlfn.XLOOKUP(B17,'Up Max'!A:A,'Up Max'!E:E,)</f>
        <v/>
      </c>
      <c r="U17" s="57" t="str">
        <f t="array" ref="U17">_xlfn.XLOOKUP(B17,'Up Stats'!A:A,'Up Stats'!F:F,)</f>
        <v/>
      </c>
      <c r="V17" s="54" t="str">
        <f>IFERROR(__xludf.DUMMYFUNCTION("if(AND(W17=FALSE,X17=FALSE),,if(W17=X17,JOIN("""",""Static: "",W17),JOIN("""",""Min:  "",W17, CHAR(10),""Max: "",X17)))"),"")</f>
        <v/>
      </c>
      <c r="W17" s="55" t="str">
        <f t="array" ref="W17">_xlfn.XLOOKUP(B17,'Up Min'!A:A,'Up Min'!F:F,)</f>
        <v/>
      </c>
      <c r="X17" s="55" t="str">
        <f t="array" ref="X17">_xlfn.XLOOKUP(B17,'Up Max'!A:A,'Up Max'!F:F,)</f>
        <v/>
      </c>
      <c r="Y17" s="57" t="str">
        <f t="array" ref="Y17">_xlfn.XLOOKUP(B17,'Up Stats'!A:A,'Up Stats'!G:G,)</f>
        <v/>
      </c>
      <c r="Z17" s="54" t="str">
        <f>IFERROR(__xludf.DUMMYFUNCTION("if(AND(AA17=FALSE,AB17=FALSE),,if(AA17=AB17,JOIN("""",""Static: "",AA17),JOIN("""",""Min:  "",AA17, CHAR(10),""Max: "",AB17)))"),"")</f>
        <v/>
      </c>
      <c r="AA17" s="55" t="str">
        <f t="array" ref="AA17">_xlfn.XLOOKUP(B17,'Up Min'!A:A,'Up Min'!G:G,)</f>
        <v/>
      </c>
      <c r="AB17" s="55" t="str">
        <f t="array" ref="AB17">_xlfn.XLOOKUP(B17,'Up Max'!A:A,'Up Max'!G:G,)</f>
        <v/>
      </c>
      <c r="AC17" s="57" t="str">
        <f t="array" ref="AC17">_xlfn.XLOOKUP(B17,'Up Stats'!A:A,'Up Stats'!H:H,)</f>
        <v/>
      </c>
      <c r="AD17" s="54" t="str">
        <f>IFERROR(__xludf.DUMMYFUNCTION("if(AND(AE17=FALSE,AF17=FALSE),,if(AE17=AF17,JOIN("""",""Static: "",AE17),JOIN("""",""Min:  "",AE17, CHAR(10),""Max: "",AF17)))"),"")</f>
        <v/>
      </c>
      <c r="AE17" s="55" t="str">
        <f t="array" ref="AE17">_xlfn.XLOOKUP(B17,'Up Min'!A:A,'Up Min'!H:H,)</f>
        <v/>
      </c>
      <c r="AF17" s="55" t="str">
        <f t="array" ref="AF17">_xlfn.XLOOKUP(B17,'Up Max'!A:A,'Up Max'!H:H,)</f>
        <v/>
      </c>
      <c r="AG17" s="57" t="str">
        <f t="array" ref="AG17">_xlfn.XLOOKUP(B17,'Up Stats'!A:A,'Up Stats'!I:I,)</f>
        <v/>
      </c>
      <c r="AH17" s="54" t="str">
        <f>IFERROR(__xludf.DUMMYFUNCTION("if(AND(AI17=FALSE,AJ17=FALSE),,if(AI17=AJ17,JOIN("""",""Static: "",AI17),JOIN("""",""Min:  "",AI17, CHAR(10),""Max: "",AJ17)))"),"")</f>
        <v/>
      </c>
      <c r="AI17" s="55" t="str">
        <f t="array" ref="AI17">_xlfn.XLOOKUP(B17,'Up Min'!A:A,'Up Min'!I:I,)</f>
        <v/>
      </c>
      <c r="AJ17" s="55" t="str">
        <f t="array" ref="AJ17">_xlfn.XLOOKUP(B17,'Up Max'!A:A,'Up Max'!I:I,)</f>
        <v/>
      </c>
      <c r="AK17" s="57" t="str">
        <f t="array" ref="AK17">_xlfn.XLOOKUP(B17,'Up Stats'!A:A,'Up Stats'!J:J,)</f>
        <v/>
      </c>
      <c r="AL17" s="54" t="str">
        <f>IFERROR(__xludf.DUMMYFUNCTION("if(AND(AM17=FALSE,AN17=FALSE),,if(AM17=AN17,JOIN("""",""Static: "",AM17),JOIN("""",""Min:  "",AM17, CHAR(10),""Max: "",AN17)))"),"")</f>
        <v/>
      </c>
      <c r="AM17" s="55" t="str">
        <f t="array" ref="AM17">_xlfn.XLOOKUP(B17,'Up Min'!A:A,'Up Min'!J:J,)</f>
        <v/>
      </c>
      <c r="AN17" s="55" t="str">
        <f t="array" ref="AN17">_xlfn.XLOOKUP(B17,'Up Max'!A:A,'Up Max'!J:J,)</f>
        <v/>
      </c>
      <c r="AO17" s="51" t="str">
        <f t="array" ref="AO17">CONCATENATE(_xlfn.XLOOKUP(B17,'Up Cells'!A:A,'Up Cells'!B:B,))</f>
        <v>5</v>
      </c>
      <c r="AP17" s="51" t="str">
        <f t="array" ref="AP17">CONCATENATE(_xlfn.XLOOKUP(B17,'Up Rarity'!A:A,'Up Rarity'!B:B,),CHAR(10),"-")</f>
        <v>Epic
-</v>
      </c>
    </row>
    <row r="18">
      <c r="A18" s="75" t="str">
        <f t="array" ref="A18">_xlfn.XLOOKUP(B18,'Up Icon'!A:A,'Up Icon'!B:B,)</f>
        <v/>
      </c>
      <c r="B18" s="89" t="str">
        <f t="array" ref="B18">HYPERLINK(_xlfn.XLOOKUP('Up Names'!F15,'Up Wiki'!A:A,'Up Wiki'!B:B,),'Up Names'!F15)</f>
        <v>Storage Surplus</v>
      </c>
      <c r="C18" s="67" t="str">
        <f t="array" ref="C18">_xlfn.XLOOKUP(B18,'Up Desc'!A:A,'Up Desc'!B:B,)</f>
        <v>Plate size is increased for each empty cell surrounding this one.</v>
      </c>
      <c r="D18" s="37" t="str">
        <f t="array" ref="D18">_xlfn.XLOOKUP(B18,'Up Turbo'!A:A,'Up Turbo'!B:B,)</f>
        <v>n/a</v>
      </c>
      <c r="E18" s="39" t="str">
        <f t="array" ref="E18">_xlfn.XLOOKUP(B18,'Up Stats'!A:A,'Up Stats'!B:B,)</f>
        <v>Size per Empty Cell</v>
      </c>
      <c r="F18" s="40" t="str">
        <f>IFERROR(__xludf.DUMMYFUNCTION("if(AND(G18=FALSE,H18=FALSE),,if(G18=H18,JOIN("""",""Static: "",G18),JOIN("""",""Min:  "",G18, CHAR(10),""Max: "",H18)))"),"Static: 0.1")</f>
        <v>Static: 0.1</v>
      </c>
      <c r="G18" s="69">
        <f t="array" ref="G18">_xlfn.XLOOKUP(B18,'Up Min'!A:A,'Up Min'!B:B,)</f>
        <v>0.1</v>
      </c>
      <c r="H18" s="68">
        <f t="array" ref="H18">_xlfn.XLOOKUP(B18,'Up Max'!A:A,'Up Max'!B:B,)</f>
        <v>0.1</v>
      </c>
      <c r="I18" s="39" t="str">
        <f t="array" ref="I18">_xlfn.XLOOKUP(B18,'Up Stats'!A:A,'Up Stats'!C:C,)</f>
        <v/>
      </c>
      <c r="J18" s="40" t="str">
        <f>IFERROR(__xludf.DUMMYFUNCTION("if(AND(K18=FALSE,L18=FALSE),,if(K18=L18,JOIN("""",""Static: "",K18),JOIN("""",""Min:  "",K18, CHAR(10),""Max: "",L18)))"),"")</f>
        <v/>
      </c>
      <c r="K18" s="45" t="str">
        <f t="array" ref="K18">_xlfn.XLOOKUP(B18,'Up Min'!A:A,'Up Min'!C:C,)</f>
        <v/>
      </c>
      <c r="L18" s="42" t="str">
        <f t="array" ref="L18">_xlfn.XLOOKUP(B18,'Up Max'!A:A,'Up Max'!C:C,)</f>
        <v/>
      </c>
      <c r="M18" s="39" t="str">
        <f t="array" ref="M18">_xlfn.XLOOKUP(B18,'Up Stats'!A:A,'Up Stats'!D:D,)</f>
        <v/>
      </c>
      <c r="N18" s="40" t="str">
        <f>IFERROR(__xludf.DUMMYFUNCTION("if(AND(O18=FALSE,P18=FALSE),,if(O18=P18,JOIN("""",""Static: "",O18),JOIN("""",""Min:  "",O18, CHAR(10),""Max: "",P18)))"),"")</f>
        <v/>
      </c>
      <c r="O18" s="42" t="str">
        <f t="array" ref="O18">_xlfn.XLOOKUP(B18,'Up Min'!A:A,'Up Min'!D:D,)</f>
        <v/>
      </c>
      <c r="P18" s="42" t="str">
        <f t="array" ref="P18">_xlfn.XLOOKUP(B18,'Up Max'!A:A,'Up Max'!D:D,)</f>
        <v/>
      </c>
      <c r="Q18" s="48" t="str">
        <f t="array" ref="Q18">_xlfn.XLOOKUP(B18,'Up Stats'!A:A,'Up Stats'!E:E,)</f>
        <v/>
      </c>
      <c r="R18" s="40" t="str">
        <f>IFERROR(__xludf.DUMMYFUNCTION("if(AND(S18=FALSE,T18=FALSE),,if(S18=T18,JOIN("""",""Static: "",S18),JOIN("""",""Min:  "",S18, CHAR(10),""Max: "",T18)))"),"")</f>
        <v/>
      </c>
      <c r="S18" s="42" t="str">
        <f t="array" ref="S18">_xlfn.XLOOKUP(B18,'Up Min'!A:A,'Up Min'!E:E,)</f>
        <v/>
      </c>
      <c r="T18" s="42" t="str">
        <f t="array" ref="T18">_xlfn.XLOOKUP(B18,'Up Max'!A:A,'Up Max'!E:E,)</f>
        <v/>
      </c>
      <c r="U18" s="48" t="str">
        <f t="array" ref="U18">_xlfn.XLOOKUP(B18,'Up Stats'!A:A,'Up Stats'!F:F,)</f>
        <v/>
      </c>
      <c r="V18" s="40" t="str">
        <f>IFERROR(__xludf.DUMMYFUNCTION("if(AND(W18=FALSE,X18=FALSE),,if(W18=X18,JOIN("""",""Static: "",W18),JOIN("""",""Min:  "",W18, CHAR(10),""Max: "",X18)))"),"")</f>
        <v/>
      </c>
      <c r="W18" s="42" t="str">
        <f t="array" ref="W18">_xlfn.XLOOKUP(B18,'Up Min'!A:A,'Up Min'!F:F,)</f>
        <v/>
      </c>
      <c r="X18" s="42" t="str">
        <f t="array" ref="X18">_xlfn.XLOOKUP(B18,'Up Max'!A:A,'Up Max'!F:F,)</f>
        <v/>
      </c>
      <c r="Y18" s="48" t="str">
        <f t="array" ref="Y18">_xlfn.XLOOKUP(B18,'Up Stats'!A:A,'Up Stats'!G:G,)</f>
        <v/>
      </c>
      <c r="Z18" s="40" t="str">
        <f>IFERROR(__xludf.DUMMYFUNCTION("if(AND(AA18=FALSE,AB18=FALSE),,if(AA18=AB18,JOIN("""",""Static: "",AA18),JOIN("""",""Min:  "",AA18, CHAR(10),""Max: "",AB18)))"),"")</f>
        <v/>
      </c>
      <c r="AA18" s="42" t="str">
        <f t="array" ref="AA18">_xlfn.XLOOKUP(B18,'Up Min'!A:A,'Up Min'!G:G,)</f>
        <v/>
      </c>
      <c r="AB18" s="42" t="str">
        <f t="array" ref="AB18">_xlfn.XLOOKUP(B18,'Up Max'!A:A,'Up Max'!G:G,)</f>
        <v/>
      </c>
      <c r="AC18" s="48" t="str">
        <f t="array" ref="AC18">_xlfn.XLOOKUP(B18,'Up Stats'!A:A,'Up Stats'!H:H,)</f>
        <v/>
      </c>
      <c r="AD18" s="40" t="str">
        <f>IFERROR(__xludf.DUMMYFUNCTION("if(AND(AE18=FALSE,AF18=FALSE),,if(AE18=AF18,JOIN("""",""Static: "",AE18),JOIN("""",""Min:  "",AE18, CHAR(10),""Max: "",AF18)))"),"")</f>
        <v/>
      </c>
      <c r="AE18" s="42" t="str">
        <f t="array" ref="AE18">_xlfn.XLOOKUP(B18,'Up Min'!A:A,'Up Min'!H:H,)</f>
        <v/>
      </c>
      <c r="AF18" s="42" t="str">
        <f t="array" ref="AF18">_xlfn.XLOOKUP(B18,'Up Max'!A:A,'Up Max'!H:H,)</f>
        <v/>
      </c>
      <c r="AG18" s="48" t="str">
        <f t="array" ref="AG18">_xlfn.XLOOKUP(B18,'Up Stats'!A:A,'Up Stats'!I:I,)</f>
        <v/>
      </c>
      <c r="AH18" s="40" t="str">
        <f>IFERROR(__xludf.DUMMYFUNCTION("if(AND(AI18=FALSE,AJ18=FALSE),,if(AI18=AJ18,JOIN("""",""Static: "",AI18),JOIN("""",""Min:  "",AI18, CHAR(10),""Max: "",AJ18)))"),"")</f>
        <v/>
      </c>
      <c r="AI18" s="42" t="str">
        <f t="array" ref="AI18">_xlfn.XLOOKUP(B18,'Up Min'!A:A,'Up Min'!I:I,)</f>
        <v/>
      </c>
      <c r="AJ18" s="42" t="str">
        <f t="array" ref="AJ18">_xlfn.XLOOKUP(B18,'Up Max'!A:A,'Up Max'!I:I,)</f>
        <v/>
      </c>
      <c r="AK18" s="48" t="str">
        <f t="array" ref="AK18">_xlfn.XLOOKUP(B18,'Up Stats'!A:A,'Up Stats'!J:J,)</f>
        <v/>
      </c>
      <c r="AL18" s="40" t="str">
        <f>IFERROR(__xludf.DUMMYFUNCTION("if(AND(AM18=FALSE,AN18=FALSE),,if(AM18=AN18,JOIN("""",""Static: "",AM18),JOIN("""",""Min:  "",AM18, CHAR(10),""Max: "",AN18)))"),"")</f>
        <v/>
      </c>
      <c r="AM18" s="42" t="str">
        <f t="array" ref="AM18">_xlfn.XLOOKUP(B18,'Up Min'!A:A,'Up Min'!J:J,)</f>
        <v/>
      </c>
      <c r="AN18" s="42" t="str">
        <f t="array" ref="AN18">_xlfn.XLOOKUP(B18,'Up Max'!A:A,'Up Max'!J:J,)</f>
        <v/>
      </c>
      <c r="AO18" s="34" t="str">
        <f t="array" ref="AO18">CONCATENATE(_xlfn.XLOOKUP(B18,'Up Cells'!A:A,'Up Cells'!B:B,))</f>
        <v>4</v>
      </c>
      <c r="AP18" s="34" t="str">
        <f t="array" ref="AP18">CONCATENATE(_xlfn.XLOOKUP(B18,'Up Rarity'!A:A,'Up Rarity'!B:B,),CHAR(10),"-")</f>
        <v>Epic
-</v>
      </c>
    </row>
    <row r="19">
      <c r="A19" s="83" t="str">
        <f t="array" ref="A19">_xlfn.XLOOKUP(B19,'Up Icon'!A:A,'Up Icon'!B:B,)</f>
        <v/>
      </c>
      <c r="B19" s="88" t="str">
        <f t="array" ref="B19">HYPERLINK(_xlfn.XLOOKUP('Up Names'!F16,'Up Wiki'!A:A,'Up Wiki'!B:B,),'Up Names'!F16)</f>
        <v>Aerodynamic Plates</v>
      </c>
      <c r="C19" s="52" t="str">
        <f t="array" ref="C19">_xlfn.XLOOKUP(B19,'Up Desc'!A:A,'Up Desc'!B:B,)</f>
        <v>Plates travel faster and can be fired more often.</v>
      </c>
      <c r="D19" s="52" t="str">
        <f t="array" ref="D19">_xlfn.XLOOKUP(B19,'Up Turbo'!A:A,'Up Turbo'!B:B,)</f>
        <v>n/a</v>
      </c>
      <c r="E19" s="53" t="str">
        <f t="array" ref="E19">_xlfn.XLOOKUP(B19,'Up Stats'!A:A,'Up Stats'!B:B,)</f>
        <v>Bullet Speed</v>
      </c>
      <c r="F19" s="54" t="str">
        <f>IFERROR(__xludf.DUMMYFUNCTION("if(AND(G19=FALSE,H19=FALSE),,if(G19=H19,JOIN("""",""Static: "",G19),JOIN("""",""Min:  "",G19, CHAR(10),""Max: "",H19)))"),"Static: 20%")</f>
        <v>Static: 20%</v>
      </c>
      <c r="G19" s="59">
        <f t="array" ref="G19">_xlfn.XLOOKUP(B19,'Up Min'!A:A,'Up Min'!B:B,)</f>
        <v>0.2</v>
      </c>
      <c r="H19" s="59">
        <f t="array" ref="H19">_xlfn.XLOOKUP(B19,'Up Max'!A:A,'Up Max'!B:B,)</f>
        <v>0.2</v>
      </c>
      <c r="I19" s="53" t="str">
        <f t="array" ref="I19">_xlfn.XLOOKUP(B19,'Up Stats'!A:A,'Up Stats'!C:C,)</f>
        <v>Fire Rate</v>
      </c>
      <c r="J19" s="54" t="str">
        <f>IFERROR(__xludf.DUMMYFUNCTION("if(AND(K19=FALSE,L19=FALSE),,if(K19=L19,JOIN("""",""Static: "",K19),JOIN("""",""Min:  "",K19, CHAR(10),""Max: "",L19)))"),"Static: 42.86%")</f>
        <v>Static: 42.86%</v>
      </c>
      <c r="K19" s="71">
        <f t="array" ref="K19">_xlfn.XLOOKUP(B19,'Up Min'!A:A,'Up Min'!C:C,)</f>
        <v>0.4286</v>
      </c>
      <c r="L19" s="71">
        <f t="array" ref="L19">_xlfn.XLOOKUP(B19,'Up Max'!A:A,'Up Max'!C:C,)</f>
        <v>0.4286</v>
      </c>
      <c r="M19" s="53" t="str">
        <f t="array" ref="M19">_xlfn.XLOOKUP(B19,'Up Stats'!A:A,'Up Stats'!D:D,)</f>
        <v/>
      </c>
      <c r="N19" s="54" t="str">
        <f>IFERROR(__xludf.DUMMYFUNCTION("if(AND(O19=FALSE,P19=FALSE),,if(O19=P19,JOIN("""",""Static: "",O19),JOIN("""",""Min:  "",O19, CHAR(10),""Max: "",P19)))"),"")</f>
        <v/>
      </c>
      <c r="O19" s="55" t="str">
        <f t="array" ref="O19">_xlfn.XLOOKUP(B19,'Up Min'!A:A,'Up Min'!D:D,)</f>
        <v/>
      </c>
      <c r="P19" s="55" t="str">
        <f t="array" ref="P19">_xlfn.XLOOKUP(B19,'Up Max'!A:A,'Up Max'!D:D,)</f>
        <v/>
      </c>
      <c r="Q19" s="57" t="str">
        <f t="array" ref="Q19">_xlfn.XLOOKUP(B19,'Up Stats'!A:A,'Up Stats'!E:E,)</f>
        <v/>
      </c>
      <c r="R19" s="54" t="str">
        <f>IFERROR(__xludf.DUMMYFUNCTION("if(AND(S19=FALSE,T19=FALSE),,if(S19=T19,JOIN("""",""Static: "",S19),JOIN("""",""Min:  "",S19, CHAR(10),""Max: "",T19)))"),"")</f>
        <v/>
      </c>
      <c r="S19" s="55" t="str">
        <f t="array" ref="S19">_xlfn.XLOOKUP(B19,'Up Min'!A:A,'Up Min'!E:E,)</f>
        <v/>
      </c>
      <c r="T19" s="55" t="str">
        <f t="array" ref="T19">_xlfn.XLOOKUP(B19,'Up Max'!A:A,'Up Max'!E:E,)</f>
        <v/>
      </c>
      <c r="U19" s="57" t="str">
        <f t="array" ref="U19">_xlfn.XLOOKUP(B19,'Up Stats'!A:A,'Up Stats'!F:F,)</f>
        <v/>
      </c>
      <c r="V19" s="54" t="str">
        <f>IFERROR(__xludf.DUMMYFUNCTION("if(AND(W19=FALSE,X19=FALSE),,if(W19=X19,JOIN("""",""Static: "",W19),JOIN("""",""Min:  "",W19, CHAR(10),""Max: "",X19)))"),"")</f>
        <v/>
      </c>
      <c r="W19" s="55" t="str">
        <f t="array" ref="W19">_xlfn.XLOOKUP(B19,'Up Min'!A:A,'Up Min'!F:F,)</f>
        <v/>
      </c>
      <c r="X19" s="55" t="str">
        <f t="array" ref="X19">_xlfn.XLOOKUP(B19,'Up Max'!A:A,'Up Max'!F:F,)</f>
        <v/>
      </c>
      <c r="Y19" s="57" t="str">
        <f t="array" ref="Y19">_xlfn.XLOOKUP(B19,'Up Stats'!A:A,'Up Stats'!G:G,)</f>
        <v/>
      </c>
      <c r="Z19" s="54" t="str">
        <f>IFERROR(__xludf.DUMMYFUNCTION("if(AND(AA19=FALSE,AB19=FALSE),,if(AA19=AB19,JOIN("""",""Static: "",AA19),JOIN("""",""Min:  "",AA19, CHAR(10),""Max: "",AB19)))"),"")</f>
        <v/>
      </c>
      <c r="AA19" s="55" t="str">
        <f t="array" ref="AA19">_xlfn.XLOOKUP(B19,'Up Min'!A:A,'Up Min'!G:G,)</f>
        <v/>
      </c>
      <c r="AB19" s="55" t="str">
        <f t="array" ref="AB19">_xlfn.XLOOKUP(B19,'Up Max'!A:A,'Up Max'!G:G,)</f>
        <v/>
      </c>
      <c r="AC19" s="57" t="str">
        <f t="array" ref="AC19">_xlfn.XLOOKUP(B19,'Up Stats'!A:A,'Up Stats'!H:H,)</f>
        <v/>
      </c>
      <c r="AD19" s="54" t="str">
        <f>IFERROR(__xludf.DUMMYFUNCTION("if(AND(AE19=FALSE,AF19=FALSE),,if(AE19=AF19,JOIN("""",""Static: "",AE19),JOIN("""",""Min:  "",AE19, CHAR(10),""Max: "",AF19)))"),"")</f>
        <v/>
      </c>
      <c r="AE19" s="55" t="str">
        <f t="array" ref="AE19">_xlfn.XLOOKUP(B19,'Up Min'!A:A,'Up Min'!H:H,)</f>
        <v/>
      </c>
      <c r="AF19" s="55" t="str">
        <f t="array" ref="AF19">_xlfn.XLOOKUP(B19,'Up Max'!A:A,'Up Max'!H:H,)</f>
        <v/>
      </c>
      <c r="AG19" s="57" t="str">
        <f t="array" ref="AG19">_xlfn.XLOOKUP(B19,'Up Stats'!A:A,'Up Stats'!I:I,)</f>
        <v/>
      </c>
      <c r="AH19" s="54" t="str">
        <f>IFERROR(__xludf.DUMMYFUNCTION("if(AND(AI19=FALSE,AJ19=FALSE),,if(AI19=AJ19,JOIN("""",""Static: "",AI19),JOIN("""",""Min:  "",AI19, CHAR(10),""Max: "",AJ19)))"),"")</f>
        <v/>
      </c>
      <c r="AI19" s="55" t="str">
        <f t="array" ref="AI19">_xlfn.XLOOKUP(B19,'Up Min'!A:A,'Up Min'!I:I,)</f>
        <v/>
      </c>
      <c r="AJ19" s="55" t="str">
        <f t="array" ref="AJ19">_xlfn.XLOOKUP(B19,'Up Max'!A:A,'Up Max'!I:I,)</f>
        <v/>
      </c>
      <c r="AK19" s="57" t="str">
        <f t="array" ref="AK19">_xlfn.XLOOKUP(B19,'Up Stats'!A:A,'Up Stats'!J:J,)</f>
        <v/>
      </c>
      <c r="AL19" s="54" t="str">
        <f>IFERROR(__xludf.DUMMYFUNCTION("if(AND(AM19=FALSE,AN19=FALSE),,if(AM19=AN19,JOIN("""",""Static: "",AM19),JOIN("""",""Min:  "",AM19, CHAR(10),""Max: "",AN19)))"),"")</f>
        <v/>
      </c>
      <c r="AM19" s="55" t="str">
        <f t="array" ref="AM19">_xlfn.XLOOKUP(B19,'Up Min'!A:A,'Up Min'!J:J,)</f>
        <v/>
      </c>
      <c r="AN19" s="55" t="str">
        <f t="array" ref="AN19">_xlfn.XLOOKUP(B19,'Up Max'!A:A,'Up Max'!J:J,)</f>
        <v/>
      </c>
      <c r="AO19" s="51" t="str">
        <f t="array" ref="AO19">CONCATENATE(_xlfn.XLOOKUP(B19,'Up Cells'!A:A,'Up Cells'!B:B,))</f>
        <v>4</v>
      </c>
      <c r="AP19" s="51" t="str">
        <f t="array" ref="AP19">CONCATENATE(_xlfn.XLOOKUP(B19,'Up Rarity'!A:A,'Up Rarity'!B:B,),CHAR(10),"-")</f>
        <v>Rare
-</v>
      </c>
    </row>
    <row r="20">
      <c r="A20" s="83" t="str">
        <f t="array" ref="A20">_xlfn.XLOOKUP(B20,'Up Icon'!A:A,'Up Icon'!B:B,)</f>
        <v/>
      </c>
      <c r="B20" s="89" t="str">
        <f t="array" ref="B20">HYPERLINK(_xlfn.XLOOKUP('Up Names'!F17,'Up Wiki'!A:A,'Up Wiki'!B:B,),'Up Names'!F17)</f>
        <v>Auto-Demolition</v>
      </c>
      <c r="C20" s="37" t="str">
        <f t="array" ref="C20">_xlfn.XLOOKUP(B20,'Up Desc'!A:A,'Up Desc'!B:B,)</f>
        <v>Plates automatically recall on impact.</v>
      </c>
      <c r="D20" s="37" t="str">
        <f t="array" ref="D20">_xlfn.XLOOKUP(B20,'Up Turbo'!A:A,'Up Turbo'!B:B,)</f>
        <v>n/a</v>
      </c>
      <c r="E20" s="48" t="str">
        <f t="array" ref="E20">_xlfn.XLOOKUP(B20,'Up Stats'!A:A,'Up Stats'!B:B,)</f>
        <v/>
      </c>
      <c r="F20" s="40" t="str">
        <f>IFERROR(__xludf.DUMMYFUNCTION("if(AND(G20=FALSE,H20=FALSE),,if(G20=H20,JOIN("""",""Static: "",G20),JOIN("""",""Min:  "",G20, CHAR(10),""Max: "",H20)))"),"")</f>
        <v/>
      </c>
      <c r="G20" s="42" t="str">
        <f t="array" ref="G20">_xlfn.XLOOKUP(B20,'Up Min'!A:A,'Up Min'!B:B,)</f>
        <v/>
      </c>
      <c r="H20" s="42" t="str">
        <f t="array" ref="H20">_xlfn.XLOOKUP(B20,'Up Max'!A:A,'Up Max'!B:B,)</f>
        <v/>
      </c>
      <c r="I20" s="48" t="str">
        <f t="array" ref="I20">_xlfn.XLOOKUP(B20,'Up Stats'!A:A,'Up Stats'!C:C,)</f>
        <v/>
      </c>
      <c r="J20" s="40" t="str">
        <f>IFERROR(__xludf.DUMMYFUNCTION("if(AND(K20=FALSE,L20=FALSE),,if(K20=L20,JOIN("""",""Static: "",K20),JOIN("""",""Min:  "",K20, CHAR(10),""Max: "",L20)))"),"")</f>
        <v/>
      </c>
      <c r="K20" s="42" t="str">
        <f t="array" ref="K20">_xlfn.XLOOKUP(B20,'Up Min'!A:A,'Up Min'!C:C,)</f>
        <v/>
      </c>
      <c r="L20" s="42" t="str">
        <f t="array" ref="L20">_xlfn.XLOOKUP(B20,'Up Max'!A:A,'Up Max'!C:C,)</f>
        <v/>
      </c>
      <c r="M20" s="48" t="str">
        <f t="array" ref="M20">_xlfn.XLOOKUP(B20,'Up Stats'!A:A,'Up Stats'!D:D,)</f>
        <v/>
      </c>
      <c r="N20" s="40" t="str">
        <f>IFERROR(__xludf.DUMMYFUNCTION("if(AND(O20=FALSE,P20=FALSE),,if(O20=P20,JOIN("""",""Static: "",O20),JOIN("""",""Min:  "",O20, CHAR(10),""Max: "",P20)))"),"")</f>
        <v/>
      </c>
      <c r="O20" s="42" t="str">
        <f t="array" ref="O20">_xlfn.XLOOKUP(B20,'Up Min'!A:A,'Up Min'!D:D,)</f>
        <v/>
      </c>
      <c r="P20" s="42" t="str">
        <f t="array" ref="P20">_xlfn.XLOOKUP(B20,'Up Max'!A:A,'Up Max'!D:D,)</f>
        <v/>
      </c>
      <c r="Q20" s="48" t="str">
        <f t="array" ref="Q20">_xlfn.XLOOKUP(B20,'Up Stats'!A:A,'Up Stats'!E:E,)</f>
        <v/>
      </c>
      <c r="R20" s="40" t="str">
        <f>IFERROR(__xludf.DUMMYFUNCTION("if(AND(S20=FALSE,T20=FALSE),,if(S20=T20,JOIN("""",""Static: "",S20),JOIN("""",""Min:  "",S20, CHAR(10),""Max: "",T20)))"),"")</f>
        <v/>
      </c>
      <c r="S20" s="42" t="str">
        <f t="array" ref="S20">_xlfn.XLOOKUP(B20,'Up Min'!A:A,'Up Min'!E:E,)</f>
        <v/>
      </c>
      <c r="T20" s="42" t="str">
        <f t="array" ref="T20">_xlfn.XLOOKUP(B20,'Up Max'!A:A,'Up Max'!E:E,)</f>
        <v/>
      </c>
      <c r="U20" s="48" t="str">
        <f t="array" ref="U20">_xlfn.XLOOKUP(B20,'Up Stats'!A:A,'Up Stats'!F:F,)</f>
        <v/>
      </c>
      <c r="V20" s="40" t="str">
        <f>IFERROR(__xludf.DUMMYFUNCTION("if(AND(W20=FALSE,X20=FALSE),,if(W20=X20,JOIN("""",""Static: "",W20),JOIN("""",""Min:  "",W20, CHAR(10),""Max: "",X20)))"),"")</f>
        <v/>
      </c>
      <c r="W20" s="42" t="str">
        <f t="array" ref="W20">_xlfn.XLOOKUP(B20,'Up Min'!A:A,'Up Min'!F:F,)</f>
        <v/>
      </c>
      <c r="X20" s="42" t="str">
        <f t="array" ref="X20">_xlfn.XLOOKUP(B20,'Up Max'!A:A,'Up Max'!F:F,)</f>
        <v/>
      </c>
      <c r="Y20" s="48" t="str">
        <f t="array" ref="Y20">_xlfn.XLOOKUP(B20,'Up Stats'!A:A,'Up Stats'!G:G,)</f>
        <v/>
      </c>
      <c r="Z20" s="40" t="str">
        <f>IFERROR(__xludf.DUMMYFUNCTION("if(AND(AA20=FALSE,AB20=FALSE),,if(AA20=AB20,JOIN("""",""Static: "",AA20),JOIN("""",""Min:  "",AA20, CHAR(10),""Max: "",AB20)))"),"")</f>
        <v/>
      </c>
      <c r="AA20" s="42" t="str">
        <f t="array" ref="AA20">_xlfn.XLOOKUP(B20,'Up Min'!A:A,'Up Min'!G:G,)</f>
        <v/>
      </c>
      <c r="AB20" s="42" t="str">
        <f t="array" ref="AB20">_xlfn.XLOOKUP(B20,'Up Max'!A:A,'Up Max'!G:G,)</f>
        <v/>
      </c>
      <c r="AC20" s="48" t="str">
        <f t="array" ref="AC20">_xlfn.XLOOKUP(B20,'Up Stats'!A:A,'Up Stats'!H:H,)</f>
        <v/>
      </c>
      <c r="AD20" s="40" t="str">
        <f>IFERROR(__xludf.DUMMYFUNCTION("if(AND(AE20=FALSE,AF20=FALSE),,if(AE20=AF20,JOIN("""",""Static: "",AE20),JOIN("""",""Min:  "",AE20, CHAR(10),""Max: "",AF20)))"),"")</f>
        <v/>
      </c>
      <c r="AE20" s="42" t="str">
        <f t="array" ref="AE20">_xlfn.XLOOKUP(B20,'Up Min'!A:A,'Up Min'!H:H,)</f>
        <v/>
      </c>
      <c r="AF20" s="42" t="str">
        <f t="array" ref="AF20">_xlfn.XLOOKUP(B20,'Up Max'!A:A,'Up Max'!H:H,)</f>
        <v/>
      </c>
      <c r="AG20" s="48" t="str">
        <f t="array" ref="AG20">_xlfn.XLOOKUP(B20,'Up Stats'!A:A,'Up Stats'!I:I,)</f>
        <v/>
      </c>
      <c r="AH20" s="40" t="str">
        <f>IFERROR(__xludf.DUMMYFUNCTION("if(AND(AI20=FALSE,AJ20=FALSE),,if(AI20=AJ20,JOIN("""",""Static: "",AI20),JOIN("""",""Min:  "",AI20, CHAR(10),""Max: "",AJ20)))"),"")</f>
        <v/>
      </c>
      <c r="AI20" s="42" t="str">
        <f t="array" ref="AI20">_xlfn.XLOOKUP(B20,'Up Min'!A:A,'Up Min'!I:I,)</f>
        <v/>
      </c>
      <c r="AJ20" s="42" t="str">
        <f t="array" ref="AJ20">_xlfn.XLOOKUP(B20,'Up Max'!A:A,'Up Max'!I:I,)</f>
        <v/>
      </c>
      <c r="AK20" s="48" t="str">
        <f t="array" ref="AK20">_xlfn.XLOOKUP(B20,'Up Stats'!A:A,'Up Stats'!J:J,)</f>
        <v/>
      </c>
      <c r="AL20" s="40" t="str">
        <f>IFERROR(__xludf.DUMMYFUNCTION("if(AND(AM20=FALSE,AN20=FALSE),,if(AM20=AN20,JOIN("""",""Static: "",AM20),JOIN("""",""Min:  "",AM20, CHAR(10),""Max: "",AN20)))"),"")</f>
        <v/>
      </c>
      <c r="AM20" s="42" t="str">
        <f t="array" ref="AM20">_xlfn.XLOOKUP(B20,'Up Min'!A:A,'Up Min'!J:J,)</f>
        <v/>
      </c>
      <c r="AN20" s="42" t="str">
        <f t="array" ref="AN20">_xlfn.XLOOKUP(B20,'Up Max'!A:A,'Up Max'!J:J,)</f>
        <v/>
      </c>
      <c r="AO20" s="34" t="str">
        <f t="array" ref="AO20">CONCATENATE(_xlfn.XLOOKUP(B20,'Up Cells'!A:A,'Up Cells'!B:B,))</f>
        <v>4</v>
      </c>
      <c r="AP20" s="34" t="str">
        <f t="array" ref="AP20">CONCATENATE(_xlfn.XLOOKUP(B20,'Up Rarity'!A:A,'Up Rarity'!B:B,),CHAR(10),"-")</f>
        <v>Rare
-</v>
      </c>
    </row>
    <row r="21">
      <c r="A21" s="83" t="str">
        <f t="array" ref="A21">_xlfn.XLOOKUP(B21,'Up Icon'!A:A,'Up Icon'!B:B,)</f>
        <v/>
      </c>
      <c r="B21" s="88" t="str">
        <f t="array" ref="B21">HYPERLINK(_xlfn.XLOOKUP('Up Names'!F18,'Up Wiki'!A:A,'Up Wiki'!B:B,),'Up Names'!F18)</f>
        <v>Bouncy Plates</v>
      </c>
      <c r="C21" s="52" t="str">
        <f t="array" ref="C21">_xlfn.XLOOKUP(B21,'Up Desc'!A:A,'Up Desc'!B:B,)</f>
        <v>Plates bounce. Damage increases with each bounce.</v>
      </c>
      <c r="D21" s="52" t="str">
        <f t="array" ref="D21">_xlfn.XLOOKUP(B21,'Up Turbo'!A:A,'Up Turbo'!B:B,)</f>
        <v>n/a</v>
      </c>
      <c r="E21" s="53" t="str">
        <f t="array" ref="E21">_xlfn.XLOOKUP(B21,'Up Stats'!A:A,'Up Stats'!B:B,)</f>
        <v>Bounces</v>
      </c>
      <c r="F21" s="54" t="str">
        <f>IFERROR(__xludf.DUMMYFUNCTION("if(AND(G21=FALSE,H21=FALSE),,if(G21=H21,JOIN("""",""Static: "",G21),JOIN("""",""Min:  "",G21, CHAR(10),""Max: "",H21)))"),"Min:  1
Max: 2")</f>
        <v>Min:  1
Max: 2</v>
      </c>
      <c r="G21" s="64">
        <f t="array" ref="G21">_xlfn.XLOOKUP(B21,'Up Min'!A:A,'Up Min'!B:B,)</f>
        <v>1</v>
      </c>
      <c r="H21" s="65">
        <f t="array" ref="H21">_xlfn.XLOOKUP(B21,'Up Max'!A:A,'Up Max'!B:B,)</f>
        <v>2</v>
      </c>
      <c r="I21" s="53" t="str">
        <f t="array" ref="I21">_xlfn.XLOOKUP(B21,'Up Stats'!A:A,'Up Stats'!C:C,)</f>
        <v>Damage</v>
      </c>
      <c r="J21" s="54" t="str">
        <f>IFERROR(__xludf.DUMMYFUNCTION("if(AND(K21=FALSE,L21=FALSE),,if(K21=L21,JOIN("""",""Static: "",K21),JOIN("""",""Min:  "",K21, CHAR(10),""Max: "",L21)))"),"Min:  10
Max: 20")</f>
        <v>Min:  10
Max: 20</v>
      </c>
      <c r="K21" s="65">
        <f t="array" ref="K21">_xlfn.XLOOKUP(B21,'Up Min'!A:A,'Up Min'!C:C,)</f>
        <v>10</v>
      </c>
      <c r="L21" s="64">
        <f t="array" ref="L21">_xlfn.XLOOKUP(B21,'Up Max'!A:A,'Up Max'!C:C,)</f>
        <v>20</v>
      </c>
      <c r="M21" s="53" t="str">
        <f t="array" ref="M21">_xlfn.XLOOKUP(B21,'Up Stats'!A:A,'Up Stats'!D:D,)</f>
        <v/>
      </c>
      <c r="N21" s="54" t="str">
        <f>IFERROR(__xludf.DUMMYFUNCTION("if(AND(O21=FALSE,P21=FALSE),,if(O21=P21,JOIN("""",""Static: "",O21),JOIN("""",""Min:  "",O21, CHAR(10),""Max: "",P21)))"),"")</f>
        <v/>
      </c>
      <c r="O21" s="55" t="str">
        <f t="array" ref="O21">_xlfn.XLOOKUP(B21,'Up Min'!A:A,'Up Min'!D:D,)</f>
        <v/>
      </c>
      <c r="P21" s="55" t="str">
        <f t="array" ref="P21">_xlfn.XLOOKUP(B21,'Up Max'!A:A,'Up Max'!D:D,)</f>
        <v/>
      </c>
      <c r="Q21" s="57" t="str">
        <f t="array" ref="Q21">_xlfn.XLOOKUP(B21,'Up Stats'!A:A,'Up Stats'!E:E,)</f>
        <v/>
      </c>
      <c r="R21" s="54" t="str">
        <f>IFERROR(__xludf.DUMMYFUNCTION("if(AND(S21=FALSE,T21=FALSE),,if(S21=T21,JOIN("""",""Static: "",S21),JOIN("""",""Min:  "",S21, CHAR(10),""Max: "",T21)))"),"")</f>
        <v/>
      </c>
      <c r="S21" s="55" t="str">
        <f t="array" ref="S21">_xlfn.XLOOKUP(B21,'Up Min'!A:A,'Up Min'!E:E,)</f>
        <v/>
      </c>
      <c r="T21" s="55" t="str">
        <f t="array" ref="T21">_xlfn.XLOOKUP(B21,'Up Max'!A:A,'Up Max'!E:E,)</f>
        <v/>
      </c>
      <c r="U21" s="57" t="str">
        <f t="array" ref="U21">_xlfn.XLOOKUP(B21,'Up Stats'!A:A,'Up Stats'!F:F,)</f>
        <v/>
      </c>
      <c r="V21" s="54" t="str">
        <f>IFERROR(__xludf.DUMMYFUNCTION("if(AND(W21=FALSE,X21=FALSE),,if(W21=X21,JOIN("""",""Static: "",W21),JOIN("""",""Min:  "",W21, CHAR(10),""Max: "",X21)))"),"")</f>
        <v/>
      </c>
      <c r="W21" s="55" t="str">
        <f t="array" ref="W21">_xlfn.XLOOKUP(B21,'Up Min'!A:A,'Up Min'!F:F,)</f>
        <v/>
      </c>
      <c r="X21" s="55" t="str">
        <f t="array" ref="X21">_xlfn.XLOOKUP(B21,'Up Max'!A:A,'Up Max'!F:F,)</f>
        <v/>
      </c>
      <c r="Y21" s="57" t="str">
        <f t="array" ref="Y21">_xlfn.XLOOKUP(B21,'Up Stats'!A:A,'Up Stats'!G:G,)</f>
        <v/>
      </c>
      <c r="Z21" s="54" t="str">
        <f>IFERROR(__xludf.DUMMYFUNCTION("if(AND(AA21=FALSE,AB21=FALSE),,if(AA21=AB21,JOIN("""",""Static: "",AA21),JOIN("""",""Min:  "",AA21, CHAR(10),""Max: "",AB21)))"),"")</f>
        <v/>
      </c>
      <c r="AA21" s="55" t="str">
        <f t="array" ref="AA21">_xlfn.XLOOKUP(B21,'Up Min'!A:A,'Up Min'!G:G,)</f>
        <v/>
      </c>
      <c r="AB21" s="55" t="str">
        <f t="array" ref="AB21">_xlfn.XLOOKUP(B21,'Up Max'!A:A,'Up Max'!G:G,)</f>
        <v/>
      </c>
      <c r="AC21" s="57" t="str">
        <f t="array" ref="AC21">_xlfn.XLOOKUP(B21,'Up Stats'!A:A,'Up Stats'!H:H,)</f>
        <v/>
      </c>
      <c r="AD21" s="54" t="str">
        <f>IFERROR(__xludf.DUMMYFUNCTION("if(AND(AE21=FALSE,AF21=FALSE),,if(AE21=AF21,JOIN("""",""Static: "",AE21),JOIN("""",""Min:  "",AE21, CHAR(10),""Max: "",AF21)))"),"")</f>
        <v/>
      </c>
      <c r="AE21" s="55" t="str">
        <f t="array" ref="AE21">_xlfn.XLOOKUP(B21,'Up Min'!A:A,'Up Min'!H:H,)</f>
        <v/>
      </c>
      <c r="AF21" s="55" t="str">
        <f t="array" ref="AF21">_xlfn.XLOOKUP(B21,'Up Max'!A:A,'Up Max'!H:H,)</f>
        <v/>
      </c>
      <c r="AG21" s="57" t="str">
        <f t="array" ref="AG21">_xlfn.XLOOKUP(B21,'Up Stats'!A:A,'Up Stats'!I:I,)</f>
        <v/>
      </c>
      <c r="AH21" s="54" t="str">
        <f>IFERROR(__xludf.DUMMYFUNCTION("if(AND(AI21=FALSE,AJ21=FALSE),,if(AI21=AJ21,JOIN("""",""Static: "",AI21),JOIN("""",""Min:  "",AI21, CHAR(10),""Max: "",AJ21)))"),"")</f>
        <v/>
      </c>
      <c r="AI21" s="55" t="str">
        <f t="array" ref="AI21">_xlfn.XLOOKUP(B21,'Up Min'!A:A,'Up Min'!I:I,)</f>
        <v/>
      </c>
      <c r="AJ21" s="55" t="str">
        <f t="array" ref="AJ21">_xlfn.XLOOKUP(B21,'Up Max'!A:A,'Up Max'!I:I,)</f>
        <v/>
      </c>
      <c r="AK21" s="57" t="str">
        <f t="array" ref="AK21">_xlfn.XLOOKUP(B21,'Up Stats'!A:A,'Up Stats'!J:J,)</f>
        <v/>
      </c>
      <c r="AL21" s="54" t="str">
        <f>IFERROR(__xludf.DUMMYFUNCTION("if(AND(AM21=FALSE,AN21=FALSE),,if(AM21=AN21,JOIN("""",""Static: "",AM21),JOIN("""",""Min:  "",AM21, CHAR(10),""Max: "",AN21)))"),"")</f>
        <v/>
      </c>
      <c r="AM21" s="55" t="str">
        <f t="array" ref="AM21">_xlfn.XLOOKUP(B21,'Up Min'!A:A,'Up Min'!J:J,)</f>
        <v/>
      </c>
      <c r="AN21" s="55" t="str">
        <f t="array" ref="AN21">_xlfn.XLOOKUP(B21,'Up Max'!A:A,'Up Max'!J:J,)</f>
        <v/>
      </c>
      <c r="AO21" s="51" t="str">
        <f t="array" ref="AO21">CONCATENATE(_xlfn.XLOOKUP(B21,'Up Cells'!A:A,'Up Cells'!B:B,))</f>
        <v>5</v>
      </c>
      <c r="AP21" s="51" t="str">
        <f t="array" ref="AP21">CONCATENATE(_xlfn.XLOOKUP(B21,'Up Rarity'!A:A,'Up Rarity'!B:B,),CHAR(10),"-")</f>
        <v>Rare
-</v>
      </c>
    </row>
    <row r="22">
      <c r="A22" s="83" t="str">
        <f t="array" ref="A22">_xlfn.XLOOKUP(B22,'Up Icon'!A:A,'Up Icon'!B:B,)</f>
        <v/>
      </c>
      <c r="B22" s="89" t="str">
        <f t="array" ref="B22">HYPERLINK(_xlfn.XLOOKUP('Up Names'!F19,'Up Wiki'!A:A,'Up Wiki'!B:B,),'Up Names'!F19)</f>
        <v>Decay Plates</v>
      </c>
      <c r="C22" s="67" t="str">
        <f t="array" ref="C22">_xlfn.XLOOKUP(B22,'Up Desc'!A:A,'Up Desc'!B:B,)</f>
        <v>Plates apply decay.</v>
      </c>
      <c r="D22" s="37" t="str">
        <f t="array" ref="D22">_xlfn.XLOOKUP(B22,'Up Turbo'!A:A,'Up Turbo'!B:B,)</f>
        <v>n/a</v>
      </c>
      <c r="E22" s="39" t="str">
        <f t="array" ref="E22">_xlfn.XLOOKUP(B22,'Up Stats'!A:A,'Up Stats'!B:B,)</f>
        <v>Element</v>
      </c>
      <c r="F22" s="40" t="str">
        <f>IFERROR(__xludf.DUMMYFUNCTION("if(AND(G22=FALSE,H22=FALSE),,if(G22=H22,JOIN("""",""Static: "",G22),JOIN("""",""Min:  "",G22, CHAR(10),""Max: "",H22)))"),"Static: 10")</f>
        <v>Static: 10</v>
      </c>
      <c r="G22" s="69">
        <f t="array" ref="G22">_xlfn.XLOOKUP(B22,'Up Min'!A:A,'Up Min'!B:B,)</f>
        <v>10</v>
      </c>
      <c r="H22" s="68">
        <f t="array" ref="H22">_xlfn.XLOOKUP(B22,'Up Max'!A:A,'Up Max'!B:B,)</f>
        <v>10</v>
      </c>
      <c r="I22" s="39" t="str">
        <f t="array" ref="I22">_xlfn.XLOOKUP(B22,'Up Stats'!A:A,'Up Stats'!C:C,)</f>
        <v/>
      </c>
      <c r="J22" s="40" t="str">
        <f>IFERROR(__xludf.DUMMYFUNCTION("if(AND(K22=FALSE,L22=FALSE),,if(K22=L22,JOIN("""",""Static: "",K22),JOIN("""",""Min:  "",K22, CHAR(10),""Max: "",L22)))"),"")</f>
        <v/>
      </c>
      <c r="K22" s="85" t="str">
        <f t="array" ref="K22">_xlfn.XLOOKUP(B22,'Up Min'!A:A,'Up Min'!C:C,)</f>
        <v/>
      </c>
      <c r="L22" s="74" t="str">
        <f t="array" ref="L22">_xlfn.XLOOKUP(B22,'Up Max'!A:A,'Up Max'!C:C,)</f>
        <v/>
      </c>
      <c r="M22" s="48" t="str">
        <f t="array" ref="M22">_xlfn.XLOOKUP(B22,'Up Stats'!A:A,'Up Stats'!D:D,)</f>
        <v/>
      </c>
      <c r="N22" s="40" t="str">
        <f>IFERROR(__xludf.DUMMYFUNCTION("if(AND(O22=FALSE,P22=FALSE),,if(O22=P22,JOIN("""",""Static: "",O22),JOIN("""",""Min:  "",O22, CHAR(10),""Max: "",P22)))"),"")</f>
        <v/>
      </c>
      <c r="O22" s="42" t="str">
        <f t="array" ref="O22">_xlfn.XLOOKUP(B22,'Up Min'!A:A,'Up Min'!D:D,)</f>
        <v/>
      </c>
      <c r="P22" s="42" t="str">
        <f t="array" ref="P22">_xlfn.XLOOKUP(B22,'Up Max'!A:A,'Up Max'!D:D,)</f>
        <v/>
      </c>
      <c r="Q22" s="48" t="str">
        <f t="array" ref="Q22">_xlfn.XLOOKUP(B22,'Up Stats'!A:A,'Up Stats'!E:E,)</f>
        <v/>
      </c>
      <c r="R22" s="40" t="str">
        <f>IFERROR(__xludf.DUMMYFUNCTION("if(AND(S22=FALSE,T22=FALSE),,if(S22=T22,JOIN("""",""Static: "",S22),JOIN("""",""Min:  "",S22, CHAR(10),""Max: "",T22)))"),"")</f>
        <v/>
      </c>
      <c r="S22" s="42" t="str">
        <f t="array" ref="S22">_xlfn.XLOOKUP(B22,'Up Min'!A:A,'Up Min'!E:E,)</f>
        <v/>
      </c>
      <c r="T22" s="42" t="str">
        <f t="array" ref="T22">_xlfn.XLOOKUP(B22,'Up Max'!A:A,'Up Max'!E:E,)</f>
        <v/>
      </c>
      <c r="U22" s="48" t="str">
        <f t="array" ref="U22">_xlfn.XLOOKUP(B22,'Up Stats'!A:A,'Up Stats'!F:F,)</f>
        <v/>
      </c>
      <c r="V22" s="40" t="str">
        <f>IFERROR(__xludf.DUMMYFUNCTION("if(AND(W22=FALSE,X22=FALSE),,if(W22=X22,JOIN("""",""Static: "",W22),JOIN("""",""Min:  "",W22, CHAR(10),""Max: "",X22)))"),"")</f>
        <v/>
      </c>
      <c r="W22" s="42" t="str">
        <f t="array" ref="W22">_xlfn.XLOOKUP(B22,'Up Min'!A:A,'Up Min'!F:F,)</f>
        <v/>
      </c>
      <c r="X22" s="42" t="str">
        <f t="array" ref="X22">_xlfn.XLOOKUP(B22,'Up Max'!A:A,'Up Max'!F:F,)</f>
        <v/>
      </c>
      <c r="Y22" s="48" t="str">
        <f t="array" ref="Y22">_xlfn.XLOOKUP(B22,'Up Stats'!A:A,'Up Stats'!G:G,)</f>
        <v/>
      </c>
      <c r="Z22" s="40" t="str">
        <f>IFERROR(__xludf.DUMMYFUNCTION("if(AND(AA22=FALSE,AB22=FALSE),,if(AA22=AB22,JOIN("""",""Static: "",AA22),JOIN("""",""Min:  "",AA22, CHAR(10),""Max: "",AB22)))"),"")</f>
        <v/>
      </c>
      <c r="AA22" s="42" t="str">
        <f t="array" ref="AA22">_xlfn.XLOOKUP(B22,'Up Min'!A:A,'Up Min'!G:G,)</f>
        <v/>
      </c>
      <c r="AB22" s="42" t="str">
        <f t="array" ref="AB22">_xlfn.XLOOKUP(B22,'Up Max'!A:A,'Up Max'!G:G,)</f>
        <v/>
      </c>
      <c r="AC22" s="48" t="str">
        <f t="array" ref="AC22">_xlfn.XLOOKUP(B22,'Up Stats'!A:A,'Up Stats'!H:H,)</f>
        <v/>
      </c>
      <c r="AD22" s="40" t="str">
        <f>IFERROR(__xludf.DUMMYFUNCTION("if(AND(AE22=FALSE,AF22=FALSE),,if(AE22=AF22,JOIN("""",""Static: "",AE22),JOIN("""",""Min:  "",AE22, CHAR(10),""Max: "",AF22)))"),"")</f>
        <v/>
      </c>
      <c r="AE22" s="42" t="str">
        <f t="array" ref="AE22">_xlfn.XLOOKUP(B22,'Up Min'!A:A,'Up Min'!H:H,)</f>
        <v/>
      </c>
      <c r="AF22" s="42" t="str">
        <f t="array" ref="AF22">_xlfn.XLOOKUP(B22,'Up Max'!A:A,'Up Max'!H:H,)</f>
        <v/>
      </c>
      <c r="AG22" s="48" t="str">
        <f t="array" ref="AG22">_xlfn.XLOOKUP(B22,'Up Stats'!A:A,'Up Stats'!I:I,)</f>
        <v/>
      </c>
      <c r="AH22" s="40" t="str">
        <f>IFERROR(__xludf.DUMMYFUNCTION("if(AND(AI22=FALSE,AJ22=FALSE),,if(AI22=AJ22,JOIN("""",""Static: "",AI22),JOIN("""",""Min:  "",AI22, CHAR(10),""Max: "",AJ22)))"),"")</f>
        <v/>
      </c>
      <c r="AI22" s="42" t="str">
        <f t="array" ref="AI22">_xlfn.XLOOKUP(B22,'Up Min'!A:A,'Up Min'!I:I,)</f>
        <v/>
      </c>
      <c r="AJ22" s="42" t="str">
        <f t="array" ref="AJ22">_xlfn.XLOOKUP(B22,'Up Max'!A:A,'Up Max'!I:I,)</f>
        <v/>
      </c>
      <c r="AK22" s="48" t="str">
        <f t="array" ref="AK22">_xlfn.XLOOKUP(B22,'Up Stats'!A:A,'Up Stats'!J:J,)</f>
        <v/>
      </c>
      <c r="AL22" s="40" t="str">
        <f>IFERROR(__xludf.DUMMYFUNCTION("if(AND(AM22=FALSE,AN22=FALSE),,if(AM22=AN22,JOIN("""",""Static: "",AM22),JOIN("""",""Min:  "",AM22, CHAR(10),""Max: "",AN22)))"),"")</f>
        <v/>
      </c>
      <c r="AM22" s="42" t="str">
        <f t="array" ref="AM22">_xlfn.XLOOKUP(B22,'Up Min'!A:A,'Up Min'!J:J,)</f>
        <v/>
      </c>
      <c r="AN22" s="42" t="str">
        <f t="array" ref="AN22">_xlfn.XLOOKUP(B22,'Up Max'!A:A,'Up Max'!J:J,)</f>
        <v/>
      </c>
      <c r="AO22" s="34" t="str">
        <f t="array" ref="AO22">CONCATENATE(_xlfn.XLOOKUP(B22,'Up Cells'!A:A,'Up Cells'!B:B,))</f>
        <v>4</v>
      </c>
      <c r="AP22" s="34" t="str">
        <f t="array" ref="AP22">CONCATENATE(_xlfn.XLOOKUP(B22,'Up Rarity'!A:A,'Up Rarity'!B:B,),CHAR(10),"-")</f>
        <v>Rare
-</v>
      </c>
    </row>
    <row r="23">
      <c r="A23" s="83" t="str">
        <f t="array" ref="A23">_xlfn.XLOOKUP(B23,'Up Icon'!A:A,'Up Icon'!B:B,)</f>
        <v/>
      </c>
      <c r="B23" s="88" t="str">
        <f t="array" ref="B23">HYPERLINK(_xlfn.XLOOKUP('Up Names'!F20,'Up Wiki'!A:A,'Up Wiki'!B:B,),'Up Names'!F20)</f>
        <v>Electrified Plates</v>
      </c>
      <c r="C23" s="52" t="str">
        <f t="array" ref="C23">_xlfn.XLOOKUP(B23,'Up Desc'!A:A,'Up Desc'!B:B,)</f>
        <v>Plates apply shock.</v>
      </c>
      <c r="D23" s="52" t="str">
        <f t="array" ref="D23">_xlfn.XLOOKUP(B23,'Up Turbo'!A:A,'Up Turbo'!B:B,)</f>
        <v>n/a</v>
      </c>
      <c r="E23" s="53" t="str">
        <f t="array" ref="E23">_xlfn.XLOOKUP(B23,'Up Stats'!A:A,'Up Stats'!B:B,)</f>
        <v>Element</v>
      </c>
      <c r="F23" s="54" t="str">
        <f>IFERROR(__xludf.DUMMYFUNCTION("if(AND(G23=FALSE,H23=FALSE),,if(G23=H23,JOIN("""",""Static: "",G23),JOIN("""",""Min:  "",G23, CHAR(10),""Max: "",H23)))"),"Static: 10")</f>
        <v>Static: 10</v>
      </c>
      <c r="G23" s="64">
        <f t="array" ref="G23">_xlfn.XLOOKUP(B23,'Up Min'!A:A,'Up Min'!B:B,)</f>
        <v>10</v>
      </c>
      <c r="H23" s="65">
        <f t="array" ref="H23">_xlfn.XLOOKUP(B23,'Up Max'!A:A,'Up Max'!B:B,)</f>
        <v>10</v>
      </c>
      <c r="I23" s="53" t="str">
        <f t="array" ref="I23">_xlfn.XLOOKUP(B23,'Up Stats'!A:A,'Up Stats'!C:C,)</f>
        <v/>
      </c>
      <c r="J23" s="54" t="str">
        <f>IFERROR(__xludf.DUMMYFUNCTION("if(AND(K23=FALSE,L23=FALSE),,if(K23=L23,JOIN("""",""Static: "",K23),JOIN("""",""Min:  "",K23, CHAR(10),""Max: "",L23)))"),"")</f>
        <v/>
      </c>
      <c r="K23" s="55" t="str">
        <f t="array" ref="K23">_xlfn.XLOOKUP(B23,'Up Min'!A:A,'Up Min'!C:C,)</f>
        <v/>
      </c>
      <c r="L23" s="55" t="str">
        <f t="array" ref="L23">_xlfn.XLOOKUP(B23,'Up Max'!A:A,'Up Max'!C:C,)</f>
        <v/>
      </c>
      <c r="M23" s="57" t="str">
        <f t="array" ref="M23">_xlfn.XLOOKUP(B23,'Up Stats'!A:A,'Up Stats'!D:D,)</f>
        <v/>
      </c>
      <c r="N23" s="54" t="str">
        <f>IFERROR(__xludf.DUMMYFUNCTION("if(AND(O23=FALSE,P23=FALSE),,if(O23=P23,JOIN("""",""Static: "",O23),JOIN("""",""Min:  "",O23, CHAR(10),""Max: "",P23)))"),"")</f>
        <v/>
      </c>
      <c r="O23" s="55" t="str">
        <f t="array" ref="O23">_xlfn.XLOOKUP(B23,'Up Min'!A:A,'Up Min'!D:D,)</f>
        <v/>
      </c>
      <c r="P23" s="55" t="str">
        <f t="array" ref="P23">_xlfn.XLOOKUP(B23,'Up Max'!A:A,'Up Max'!D:D,)</f>
        <v/>
      </c>
      <c r="Q23" s="57" t="str">
        <f t="array" ref="Q23">_xlfn.XLOOKUP(B23,'Up Stats'!A:A,'Up Stats'!E:E,)</f>
        <v/>
      </c>
      <c r="R23" s="54" t="str">
        <f>IFERROR(__xludf.DUMMYFUNCTION("if(AND(S23=FALSE,T23=FALSE),,if(S23=T23,JOIN("""",""Static: "",S23),JOIN("""",""Min:  "",S23, CHAR(10),""Max: "",T23)))"),"")</f>
        <v/>
      </c>
      <c r="S23" s="55" t="str">
        <f t="array" ref="S23">_xlfn.XLOOKUP(B23,'Up Min'!A:A,'Up Min'!E:E,)</f>
        <v/>
      </c>
      <c r="T23" s="55" t="str">
        <f t="array" ref="T23">_xlfn.XLOOKUP(B23,'Up Max'!A:A,'Up Max'!E:E,)</f>
        <v/>
      </c>
      <c r="U23" s="57" t="str">
        <f t="array" ref="U23">_xlfn.XLOOKUP(B23,'Up Stats'!A:A,'Up Stats'!F:F,)</f>
        <v/>
      </c>
      <c r="V23" s="54" t="str">
        <f>IFERROR(__xludf.DUMMYFUNCTION("if(AND(W23=FALSE,X23=FALSE),,if(W23=X23,JOIN("""",""Static: "",W23),JOIN("""",""Min:  "",W23, CHAR(10),""Max: "",X23)))"),"")</f>
        <v/>
      </c>
      <c r="W23" s="55" t="str">
        <f t="array" ref="W23">_xlfn.XLOOKUP(B23,'Up Min'!A:A,'Up Min'!F:F,)</f>
        <v/>
      </c>
      <c r="X23" s="55" t="str">
        <f t="array" ref="X23">_xlfn.XLOOKUP(B23,'Up Max'!A:A,'Up Max'!F:F,)</f>
        <v/>
      </c>
      <c r="Y23" s="57" t="str">
        <f t="array" ref="Y23">_xlfn.XLOOKUP(B23,'Up Stats'!A:A,'Up Stats'!G:G,)</f>
        <v/>
      </c>
      <c r="Z23" s="54" t="str">
        <f>IFERROR(__xludf.DUMMYFUNCTION("if(AND(AA23=FALSE,AB23=FALSE),,if(AA23=AB23,JOIN("""",""Static: "",AA23),JOIN("""",""Min:  "",AA23, CHAR(10),""Max: "",AB23)))"),"")</f>
        <v/>
      </c>
      <c r="AA23" s="55" t="str">
        <f t="array" ref="AA23">_xlfn.XLOOKUP(B23,'Up Min'!A:A,'Up Min'!G:G,)</f>
        <v/>
      </c>
      <c r="AB23" s="55" t="str">
        <f t="array" ref="AB23">_xlfn.XLOOKUP(B23,'Up Max'!A:A,'Up Max'!G:G,)</f>
        <v/>
      </c>
      <c r="AC23" s="57" t="str">
        <f t="array" ref="AC23">_xlfn.XLOOKUP(B23,'Up Stats'!A:A,'Up Stats'!H:H,)</f>
        <v/>
      </c>
      <c r="AD23" s="54" t="str">
        <f>IFERROR(__xludf.DUMMYFUNCTION("if(AND(AE23=FALSE,AF23=FALSE),,if(AE23=AF23,JOIN("""",""Static: "",AE23),JOIN("""",""Min:  "",AE23, CHAR(10),""Max: "",AF23)))"),"")</f>
        <v/>
      </c>
      <c r="AE23" s="55" t="str">
        <f t="array" ref="AE23">_xlfn.XLOOKUP(B23,'Up Min'!A:A,'Up Min'!H:H,)</f>
        <v/>
      </c>
      <c r="AF23" s="55" t="str">
        <f t="array" ref="AF23">_xlfn.XLOOKUP(B23,'Up Max'!A:A,'Up Max'!H:H,)</f>
        <v/>
      </c>
      <c r="AG23" s="57" t="str">
        <f t="array" ref="AG23">_xlfn.XLOOKUP(B23,'Up Stats'!A:A,'Up Stats'!I:I,)</f>
        <v/>
      </c>
      <c r="AH23" s="54" t="str">
        <f>IFERROR(__xludf.DUMMYFUNCTION("if(AND(AI23=FALSE,AJ23=FALSE),,if(AI23=AJ23,JOIN("""",""Static: "",AI23),JOIN("""",""Min:  "",AI23, CHAR(10),""Max: "",AJ23)))"),"")</f>
        <v/>
      </c>
      <c r="AI23" s="55" t="str">
        <f t="array" ref="AI23">_xlfn.XLOOKUP(B23,'Up Min'!A:A,'Up Min'!I:I,)</f>
        <v/>
      </c>
      <c r="AJ23" s="55" t="str">
        <f t="array" ref="AJ23">_xlfn.XLOOKUP(B23,'Up Max'!A:A,'Up Max'!I:I,)</f>
        <v/>
      </c>
      <c r="AK23" s="57" t="str">
        <f t="array" ref="AK23">_xlfn.XLOOKUP(B23,'Up Stats'!A:A,'Up Stats'!J:J,)</f>
        <v/>
      </c>
      <c r="AL23" s="54" t="str">
        <f>IFERROR(__xludf.DUMMYFUNCTION("if(AND(AM23=FALSE,AN23=FALSE),,if(AM23=AN23,JOIN("""",""Static: "",AM23),JOIN("""",""Min:  "",AM23, CHAR(10),""Max: "",AN23)))"),"")</f>
        <v/>
      </c>
      <c r="AM23" s="55" t="str">
        <f t="array" ref="AM23">_xlfn.XLOOKUP(B23,'Up Min'!A:A,'Up Min'!J:J,)</f>
        <v/>
      </c>
      <c r="AN23" s="55" t="str">
        <f t="array" ref="AN23">_xlfn.XLOOKUP(B23,'Up Max'!A:A,'Up Max'!J:J,)</f>
        <v/>
      </c>
      <c r="AO23" s="51" t="str">
        <f t="array" ref="AO23">CONCATENATE(_xlfn.XLOOKUP(B23,'Up Cells'!A:A,'Up Cells'!B:B,))</f>
        <v>4</v>
      </c>
      <c r="AP23" s="51" t="str">
        <f t="array" ref="AP23">CONCATENATE(_xlfn.XLOOKUP(B23,'Up Rarity'!A:A,'Up Rarity'!B:B,),CHAR(10),"-")</f>
        <v>Rare
-</v>
      </c>
    </row>
    <row r="24">
      <c r="A24" s="83" t="str">
        <f t="array" ref="A24">_xlfn.XLOOKUP(B24,'Up Icon'!A:A,'Up Icon'!B:B,)</f>
        <v/>
      </c>
      <c r="B24" s="89" t="str">
        <f t="array" ref="B24">HYPERLINK(_xlfn.XLOOKUP('Up Names'!F21,'Up Wiki'!A:A,'Up Wiki'!B:B,),'Up Names'!F21)</f>
        <v>Nice Catch</v>
      </c>
      <c r="C24" s="37" t="str">
        <f t="array" ref="C24">_xlfn.XLOOKUP(B24,'Up Desc'!A:A,'Up Desc'!B:B,)</f>
        <v>Damage is increased and you move faster while holding the Plate Launcher, but you take damage when catching a plate.</v>
      </c>
      <c r="D24" s="37" t="str">
        <f t="array" ref="D24">_xlfn.XLOOKUP(B24,'Up Turbo'!A:A,'Up Turbo'!B:B,)</f>
        <v>n/a</v>
      </c>
      <c r="E24" s="39" t="str">
        <f t="array" ref="E24">_xlfn.XLOOKUP(B24,'Up Stats'!A:A,'Up Stats'!B:B,)</f>
        <v>Damage</v>
      </c>
      <c r="F24" s="40" t="str">
        <f>IFERROR(__xludf.DUMMYFUNCTION("if(AND(G24=FALSE,H24=FALSE),,if(G24=H24,JOIN("""",""Static: "",G24),JOIN("""",""Min:  "",G24, CHAR(10),""Max: "",H24)))"),"Min:  20%
Max: 30%")</f>
        <v>Min:  20%
Max: 30%</v>
      </c>
      <c r="G24" s="41">
        <f t="array" ref="G24">_xlfn.XLOOKUP(B24,'Up Min'!A:A,'Up Min'!B:B,)</f>
        <v>0.2</v>
      </c>
      <c r="H24" s="41">
        <f t="array" ref="H24">_xlfn.XLOOKUP(B24,'Up Max'!A:A,'Up Max'!B:B,)</f>
        <v>0.3</v>
      </c>
      <c r="I24" s="39" t="str">
        <f t="array" ref="I24">_xlfn.XLOOKUP(B24,'Up Stats'!A:A,'Up Stats'!C:C,)</f>
        <v>Damage on Catch</v>
      </c>
      <c r="J24" s="40" t="str">
        <f>IFERROR(__xludf.DUMMYFUNCTION("if(AND(K24=FALSE,L24=FALSE),,if(K24=L24,JOIN("""",""Static: "",K24),JOIN("""",""Min:  "",K24, CHAR(10),""Max: "",L24)))"),"Min:  1
Max: 2")</f>
        <v>Min:  1
Max: 2</v>
      </c>
      <c r="K24" s="69">
        <f t="array" ref="K24">_xlfn.XLOOKUP(B24,'Up Min'!A:A,'Up Min'!C:C,)</f>
        <v>1</v>
      </c>
      <c r="L24" s="69">
        <f t="array" ref="L24">_xlfn.XLOOKUP(B24,'Up Max'!A:A,'Up Max'!C:C,)</f>
        <v>2</v>
      </c>
      <c r="M24" s="39" t="str">
        <f t="array" ref="M24">_xlfn.XLOOKUP(B24,'Up Stats'!A:A,'Up Stats'!D:D,)</f>
        <v>Speed</v>
      </c>
      <c r="N24" s="40" t="str">
        <f>IFERROR(__xludf.DUMMYFUNCTION("if(AND(O24=FALSE,P24=FALSE),,if(O24=P24,JOIN("""",""Static: "",O24),JOIN("""",""Min:  "",O24, CHAR(10),""Max: "",P24)))"),"Min:  1
Max: 1.61")</f>
        <v>Min:  1
Max: 1.61</v>
      </c>
      <c r="O24" s="68">
        <f t="array" ref="O24">_xlfn.XLOOKUP(B24,'Up Min'!A:A,'Up Min'!D:D,)</f>
        <v>1</v>
      </c>
      <c r="P24" s="69">
        <f t="array" ref="P24">_xlfn.XLOOKUP(B24,'Up Max'!A:A,'Up Max'!D:D,)</f>
        <v>1.61</v>
      </c>
      <c r="Q24" s="48" t="str">
        <f t="array" ref="Q24">_xlfn.XLOOKUP(B24,'Up Stats'!A:A,'Up Stats'!E:E,)</f>
        <v/>
      </c>
      <c r="R24" s="40" t="str">
        <f>IFERROR(__xludf.DUMMYFUNCTION("if(AND(S24=FALSE,T24=FALSE),,if(S24=T24,JOIN("""",""Static: "",S24),JOIN("""",""Min:  "",S24, CHAR(10),""Max: "",T24)))"),"")</f>
        <v/>
      </c>
      <c r="S24" s="85" t="str">
        <f t="array" ref="S24">_xlfn.XLOOKUP(B24,'Up Min'!A:A,'Up Min'!E:E,)</f>
        <v/>
      </c>
      <c r="T24" s="85" t="str">
        <f t="array" ref="T24">_xlfn.XLOOKUP(B24,'Up Max'!A:A,'Up Max'!E:E,)</f>
        <v/>
      </c>
      <c r="U24" s="48" t="str">
        <f t="array" ref="U24">_xlfn.XLOOKUP(B24,'Up Stats'!A:A,'Up Stats'!F:F,)</f>
        <v/>
      </c>
      <c r="V24" s="40" t="str">
        <f>IFERROR(__xludf.DUMMYFUNCTION("if(AND(W24=FALSE,X24=FALSE),,if(W24=X24,JOIN("""",""Static: "",W24),JOIN("""",""Min:  "",W24, CHAR(10),""Max: "",X24)))"),"")</f>
        <v/>
      </c>
      <c r="W24" s="74" t="str">
        <f t="array" ref="W24">_xlfn.XLOOKUP(B24,'Up Min'!A:A,'Up Min'!F:F,)</f>
        <v/>
      </c>
      <c r="X24" s="74" t="str">
        <f t="array" ref="X24">_xlfn.XLOOKUP(B24,'Up Max'!A:A,'Up Max'!F:F,)</f>
        <v/>
      </c>
      <c r="Y24" s="48" t="str">
        <f t="array" ref="Y24">_xlfn.XLOOKUP(B24,'Up Stats'!A:A,'Up Stats'!G:G,)</f>
        <v/>
      </c>
      <c r="Z24" s="40" t="str">
        <f>IFERROR(__xludf.DUMMYFUNCTION("if(AND(AA24=FALSE,AB24=FALSE),,if(AA24=AB24,JOIN("""",""Static: "",AA24),JOIN("""",""Min:  "",AA24, CHAR(10),""Max: "",AB24)))"),"")</f>
        <v/>
      </c>
      <c r="AA24" s="42" t="str">
        <f t="array" ref="AA24">_xlfn.XLOOKUP(B24,'Up Min'!A:A,'Up Min'!G:G,)</f>
        <v/>
      </c>
      <c r="AB24" s="42" t="str">
        <f t="array" ref="AB24">_xlfn.XLOOKUP(B24,'Up Max'!A:A,'Up Max'!G:G,)</f>
        <v/>
      </c>
      <c r="AC24" s="48" t="str">
        <f t="array" ref="AC24">_xlfn.XLOOKUP(B24,'Up Stats'!A:A,'Up Stats'!H:H,)</f>
        <v/>
      </c>
      <c r="AD24" s="40" t="str">
        <f>IFERROR(__xludf.DUMMYFUNCTION("if(AND(AE24=FALSE,AF24=FALSE),,if(AE24=AF24,JOIN("""",""Static: "",AE24),JOIN("""",""Min:  "",AE24, CHAR(10),""Max: "",AF24)))"),"")</f>
        <v/>
      </c>
      <c r="AE24" s="42" t="str">
        <f t="array" ref="AE24">_xlfn.XLOOKUP(B24,'Up Min'!A:A,'Up Min'!H:H,)</f>
        <v/>
      </c>
      <c r="AF24" s="42" t="str">
        <f t="array" ref="AF24">_xlfn.XLOOKUP(B24,'Up Max'!A:A,'Up Max'!H:H,)</f>
        <v/>
      </c>
      <c r="AG24" s="48" t="str">
        <f t="array" ref="AG24">_xlfn.XLOOKUP(B24,'Up Stats'!A:A,'Up Stats'!I:I,)</f>
        <v/>
      </c>
      <c r="AH24" s="40" t="str">
        <f>IFERROR(__xludf.DUMMYFUNCTION("if(AND(AI24=FALSE,AJ24=FALSE),,if(AI24=AJ24,JOIN("""",""Static: "",AI24),JOIN("""",""Min:  "",AI24, CHAR(10),""Max: "",AJ24)))"),"")</f>
        <v/>
      </c>
      <c r="AI24" s="42" t="str">
        <f t="array" ref="AI24">_xlfn.XLOOKUP(B24,'Up Min'!A:A,'Up Min'!I:I,)</f>
        <v/>
      </c>
      <c r="AJ24" s="42" t="str">
        <f t="array" ref="AJ24">_xlfn.XLOOKUP(B24,'Up Max'!A:A,'Up Max'!I:I,)</f>
        <v/>
      </c>
      <c r="AK24" s="48" t="str">
        <f t="array" ref="AK24">_xlfn.XLOOKUP(B24,'Up Stats'!A:A,'Up Stats'!J:J,)</f>
        <v/>
      </c>
      <c r="AL24" s="40" t="str">
        <f>IFERROR(__xludf.DUMMYFUNCTION("if(AND(AM24=FALSE,AN24=FALSE),,if(AM24=AN24,JOIN("""",""Static: "",AM24),JOIN("""",""Min:  "",AM24, CHAR(10),""Max: "",AN24)))"),"")</f>
        <v/>
      </c>
      <c r="AM24" s="42" t="str">
        <f t="array" ref="AM24">_xlfn.XLOOKUP(B24,'Up Min'!A:A,'Up Min'!J:J,)</f>
        <v/>
      </c>
      <c r="AN24" s="42" t="str">
        <f t="array" ref="AN24">_xlfn.XLOOKUP(B24,'Up Max'!A:A,'Up Max'!J:J,)</f>
        <v/>
      </c>
      <c r="AO24" s="34" t="str">
        <f t="array" ref="AO24">CONCATENATE(_xlfn.XLOOKUP(B24,'Up Cells'!A:A,'Up Cells'!B:B,))</f>
        <v>4</v>
      </c>
      <c r="AP24" s="34" t="str">
        <f t="array" ref="AP24">CONCATENATE(_xlfn.XLOOKUP(B24,'Up Rarity'!A:A,'Up Rarity'!B:B,),CHAR(10),"-")</f>
        <v>Rare
-</v>
      </c>
    </row>
    <row r="25">
      <c r="A25" s="83" t="str">
        <f t="array" ref="A25">_xlfn.XLOOKUP(B25,'Up Icon'!A:A,'Up Icon'!B:B,)</f>
        <v/>
      </c>
      <c r="B25" s="88" t="str">
        <f t="array" ref="B25">HYPERLINK(_xlfn.XLOOKUP('Up Names'!F22,'Up Wiki'!A:A,'Up Wiki'!B:B,),'Up Names'!F22)</f>
        <v>Pole Alignment</v>
      </c>
      <c r="C25" s="52" t="str">
        <f t="array" ref="C25">_xlfn.XLOOKUP(B25,'Up Desc'!A:A,'Up Desc'!B:B,)</f>
        <v>Plates recall faster.</v>
      </c>
      <c r="D25" s="52" t="str">
        <f t="array" ref="D25">_xlfn.XLOOKUP(B25,'Up Turbo'!A:A,'Up Turbo'!B:B,)</f>
        <v>n/a</v>
      </c>
      <c r="E25" s="53" t="str">
        <f t="array" ref="E25">_xlfn.XLOOKUP(B25,'Up Stats'!A:A,'Up Stats'!B:B,)</f>
        <v>Recall Speed</v>
      </c>
      <c r="F25" s="54" t="str">
        <f>IFERROR(__xludf.DUMMYFUNCTION("if(AND(G25=FALSE,H25=FALSE),,if(G25=H25,JOIN("""",""Static: "",G25),JOIN("""",""Min:  "",G25, CHAR(10),""Max: "",H25)))"),"Min:  20%
Max: 34%")</f>
        <v>Min:  20%
Max: 34%</v>
      </c>
      <c r="G25" s="59">
        <f t="array" ref="G25">_xlfn.XLOOKUP(B25,'Up Min'!A:A,'Up Min'!B:B,)</f>
        <v>0.2</v>
      </c>
      <c r="H25" s="59">
        <f t="array" ref="H25">_xlfn.XLOOKUP(B25,'Up Max'!A:A,'Up Max'!B:B,)</f>
        <v>0.34</v>
      </c>
      <c r="I25" s="53" t="str">
        <f t="array" ref="I25">_xlfn.XLOOKUP(B25,'Up Stats'!A:A,'Up Stats'!C:C,)</f>
        <v/>
      </c>
      <c r="J25" s="54" t="str">
        <f>IFERROR(__xludf.DUMMYFUNCTION("if(AND(K25=FALSE,L25=FALSE),,if(K25=L25,JOIN("""",""Static: "",K25),JOIN("""",""Min:  "",K25, CHAR(10),""Max: "",L25)))"),"")</f>
        <v/>
      </c>
      <c r="K25" s="55" t="str">
        <f t="array" ref="K25">_xlfn.XLOOKUP(B25,'Up Min'!A:A,'Up Min'!C:C,)</f>
        <v/>
      </c>
      <c r="L25" s="55" t="str">
        <f t="array" ref="L25">_xlfn.XLOOKUP(B25,'Up Max'!A:A,'Up Max'!C:C,)</f>
        <v/>
      </c>
      <c r="M25" s="57" t="str">
        <f t="array" ref="M25">_xlfn.XLOOKUP(B25,'Up Stats'!A:A,'Up Stats'!D:D,)</f>
        <v/>
      </c>
      <c r="N25" s="54" t="str">
        <f>IFERROR(__xludf.DUMMYFUNCTION("if(AND(O25=FALSE,P25=FALSE),,if(O25=P25,JOIN("""",""Static: "",O25),JOIN("""",""Min:  "",O25, CHAR(10),""Max: "",P25)))"),"")</f>
        <v/>
      </c>
      <c r="O25" s="55" t="str">
        <f t="array" ref="O25">_xlfn.XLOOKUP(B25,'Up Min'!A:A,'Up Min'!D:D,)</f>
        <v/>
      </c>
      <c r="P25" s="55" t="str">
        <f t="array" ref="P25">_xlfn.XLOOKUP(B25,'Up Max'!A:A,'Up Max'!D:D,)</f>
        <v/>
      </c>
      <c r="Q25" s="57" t="str">
        <f t="array" ref="Q25">_xlfn.XLOOKUP(B25,'Up Stats'!A:A,'Up Stats'!E:E,)</f>
        <v/>
      </c>
      <c r="R25" s="54" t="str">
        <f>IFERROR(__xludf.DUMMYFUNCTION("if(AND(S25=FALSE,T25=FALSE),,if(S25=T25,JOIN("""",""Static: "",S25),JOIN("""",""Min:  "",S25, CHAR(10),""Max: "",T25)))"),"")</f>
        <v/>
      </c>
      <c r="S25" s="55" t="str">
        <f t="array" ref="S25">_xlfn.XLOOKUP(B25,'Up Min'!A:A,'Up Min'!E:E,)</f>
        <v/>
      </c>
      <c r="T25" s="55" t="str">
        <f t="array" ref="T25">_xlfn.XLOOKUP(B25,'Up Max'!A:A,'Up Max'!E:E,)</f>
        <v/>
      </c>
      <c r="U25" s="57" t="str">
        <f t="array" ref="U25">_xlfn.XLOOKUP(B25,'Up Stats'!A:A,'Up Stats'!F:F,)</f>
        <v/>
      </c>
      <c r="V25" s="54" t="str">
        <f>IFERROR(__xludf.DUMMYFUNCTION("if(AND(W25=FALSE,X25=FALSE),,if(W25=X25,JOIN("""",""Static: "",W25),JOIN("""",""Min:  "",W25, CHAR(10),""Max: "",X25)))"),"")</f>
        <v/>
      </c>
      <c r="W25" s="55" t="str">
        <f t="array" ref="W25">_xlfn.XLOOKUP(B25,'Up Min'!A:A,'Up Min'!F:F,)</f>
        <v/>
      </c>
      <c r="X25" s="55" t="str">
        <f t="array" ref="X25">_xlfn.XLOOKUP(B25,'Up Max'!A:A,'Up Max'!F:F,)</f>
        <v/>
      </c>
      <c r="Y25" s="57" t="str">
        <f t="array" ref="Y25">_xlfn.XLOOKUP(B25,'Up Stats'!A:A,'Up Stats'!G:G,)</f>
        <v/>
      </c>
      <c r="Z25" s="54" t="str">
        <f>IFERROR(__xludf.DUMMYFUNCTION("if(AND(AA25=FALSE,AB25=FALSE),,if(AA25=AB25,JOIN("""",""Static: "",AA25),JOIN("""",""Min:  "",AA25, CHAR(10),""Max: "",AB25)))"),"")</f>
        <v/>
      </c>
      <c r="AA25" s="55" t="str">
        <f t="array" ref="AA25">_xlfn.XLOOKUP(B25,'Up Min'!A:A,'Up Min'!G:G,)</f>
        <v/>
      </c>
      <c r="AB25" s="55" t="str">
        <f t="array" ref="AB25">_xlfn.XLOOKUP(B25,'Up Max'!A:A,'Up Max'!G:G,)</f>
        <v/>
      </c>
      <c r="AC25" s="57" t="str">
        <f t="array" ref="AC25">_xlfn.XLOOKUP(B25,'Up Stats'!A:A,'Up Stats'!H:H,)</f>
        <v/>
      </c>
      <c r="AD25" s="54" t="str">
        <f>IFERROR(__xludf.DUMMYFUNCTION("if(AND(AE25=FALSE,AF25=FALSE),,if(AE25=AF25,JOIN("""",""Static: "",AE25),JOIN("""",""Min:  "",AE25, CHAR(10),""Max: "",AF25)))"),"")</f>
        <v/>
      </c>
      <c r="AE25" s="55" t="str">
        <f t="array" ref="AE25">_xlfn.XLOOKUP(B25,'Up Min'!A:A,'Up Min'!H:H,)</f>
        <v/>
      </c>
      <c r="AF25" s="55" t="str">
        <f t="array" ref="AF25">_xlfn.XLOOKUP(B25,'Up Max'!A:A,'Up Max'!H:H,)</f>
        <v/>
      </c>
      <c r="AG25" s="57" t="str">
        <f t="array" ref="AG25">_xlfn.XLOOKUP(B25,'Up Stats'!A:A,'Up Stats'!I:I,)</f>
        <v/>
      </c>
      <c r="AH25" s="54" t="str">
        <f>IFERROR(__xludf.DUMMYFUNCTION("if(AND(AI25=FALSE,AJ25=FALSE),,if(AI25=AJ25,JOIN("""",""Static: "",AI25),JOIN("""",""Min:  "",AI25, CHAR(10),""Max: "",AJ25)))"),"")</f>
        <v/>
      </c>
      <c r="AI25" s="55" t="str">
        <f t="array" ref="AI25">_xlfn.XLOOKUP(B25,'Up Min'!A:A,'Up Min'!I:I,)</f>
        <v/>
      </c>
      <c r="AJ25" s="55" t="str">
        <f t="array" ref="AJ25">_xlfn.XLOOKUP(B25,'Up Max'!A:A,'Up Max'!I:I,)</f>
        <v/>
      </c>
      <c r="AK25" s="57" t="str">
        <f t="array" ref="AK25">_xlfn.XLOOKUP(B25,'Up Stats'!A:A,'Up Stats'!J:J,)</f>
        <v/>
      </c>
      <c r="AL25" s="54" t="str">
        <f>IFERROR(__xludf.DUMMYFUNCTION("if(AND(AM25=FALSE,AN25=FALSE),,if(AM25=AN25,JOIN("""",""Static: "",AM25),JOIN("""",""Min:  "",AM25, CHAR(10),""Max: "",AN25)))"),"")</f>
        <v/>
      </c>
      <c r="AM25" s="55" t="str">
        <f t="array" ref="AM25">_xlfn.XLOOKUP(B25,'Up Min'!A:A,'Up Min'!J:J,)</f>
        <v/>
      </c>
      <c r="AN25" s="55" t="str">
        <f t="array" ref="AN25">_xlfn.XLOOKUP(B25,'Up Max'!A:A,'Up Max'!J:J,)</f>
        <v/>
      </c>
      <c r="AO25" s="51" t="str">
        <f t="array" ref="AO25">CONCATENATE(_xlfn.XLOOKUP(B25,'Up Cells'!A:A,'Up Cells'!B:B,))</f>
        <v>3</v>
      </c>
      <c r="AP25" s="51" t="str">
        <f t="array" ref="AP25">CONCATENATE(_xlfn.XLOOKUP(B25,'Up Rarity'!A:A,'Up Rarity'!B:B,),CHAR(10),"-")</f>
        <v>Rare
-</v>
      </c>
    </row>
    <row r="26">
      <c r="A26" s="83" t="str">
        <f t="array" ref="A26">_xlfn.XLOOKUP(B26,'Up Icon'!A:A,'Up Icon'!B:B,)</f>
        <v/>
      </c>
      <c r="B26" s="89" t="str">
        <f t="array" ref="B26">HYPERLINK(_xlfn.XLOOKUP('Up Names'!F23,'Up Wiki'!A:A,'Up Wiki'!B:B,),'Up Names'!F23)</f>
        <v>Power Recall</v>
      </c>
      <c r="C26" s="37" t="str">
        <f t="array" ref="C26">_xlfn.XLOOKUP(B26,'Up Desc'!A:A,'Up Desc'!B:B,)</f>
        <v>Plate damage is greatly increased while returning to the gun and after bouncing.</v>
      </c>
      <c r="D26" s="37" t="str">
        <f t="array" ref="D26">_xlfn.XLOOKUP(B26,'Up Turbo'!A:A,'Up Turbo'!B:B,)</f>
        <v>n/a</v>
      </c>
      <c r="E26" s="39" t="str">
        <f t="array" ref="E26">_xlfn.XLOOKUP(B26,'Up Stats'!A:A,'Up Stats'!B:B,)</f>
        <v>Damage</v>
      </c>
      <c r="F26" s="40" t="str">
        <f>IFERROR(__xludf.DUMMYFUNCTION("if(AND(G26=FALSE,H26=FALSE),,if(G26=H26,JOIN("""",""Static: "",G26),JOIN("""",""Min:  "",G26, CHAR(10),""Max: "",H26)))"),"Min:  80%
Max: 125%")</f>
        <v>Min:  80%
Max: 125%</v>
      </c>
      <c r="G26" s="41">
        <f t="array" ref="G26">_xlfn.XLOOKUP(B26,'Up Min'!A:A,'Up Min'!B:B,)</f>
        <v>0.8</v>
      </c>
      <c r="H26" s="41">
        <f t="array" ref="H26">_xlfn.XLOOKUP(B26,'Up Max'!A:A,'Up Max'!B:B,)</f>
        <v>1.25</v>
      </c>
      <c r="I26" s="39" t="str">
        <f t="array" ref="I26">_xlfn.XLOOKUP(B26,'Up Stats'!A:A,'Up Stats'!C:C,)</f>
        <v/>
      </c>
      <c r="J26" s="40" t="str">
        <f>IFERROR(__xludf.DUMMYFUNCTION("if(AND(K26=FALSE,L26=FALSE),,if(K26=L26,JOIN("""",""Static: "",K26),JOIN("""",""Min:  "",K26, CHAR(10),""Max: "",L26)))"),"")</f>
        <v/>
      </c>
      <c r="K26" s="42" t="str">
        <f t="array" ref="K26">_xlfn.XLOOKUP(B26,'Up Min'!A:A,'Up Min'!C:C,)</f>
        <v/>
      </c>
      <c r="L26" s="42" t="str">
        <f t="array" ref="L26">_xlfn.XLOOKUP(B26,'Up Max'!A:A,'Up Max'!C:C,)</f>
        <v/>
      </c>
      <c r="M26" s="48" t="str">
        <f t="array" ref="M26">_xlfn.XLOOKUP(B26,'Up Stats'!A:A,'Up Stats'!D:D,)</f>
        <v/>
      </c>
      <c r="N26" s="40" t="str">
        <f>IFERROR(__xludf.DUMMYFUNCTION("if(AND(O26=FALSE,P26=FALSE),,if(O26=P26,JOIN("""",""Static: "",O26),JOIN("""",""Min:  "",O26, CHAR(10),""Max: "",P26)))"),"")</f>
        <v/>
      </c>
      <c r="O26" s="42" t="str">
        <f t="array" ref="O26">_xlfn.XLOOKUP(B26,'Up Min'!A:A,'Up Min'!D:D,)</f>
        <v/>
      </c>
      <c r="P26" s="42" t="str">
        <f t="array" ref="P26">_xlfn.XLOOKUP(B26,'Up Max'!A:A,'Up Max'!D:D,)</f>
        <v/>
      </c>
      <c r="Q26" s="48" t="str">
        <f t="array" ref="Q26">_xlfn.XLOOKUP(B26,'Up Stats'!A:A,'Up Stats'!E:E,)</f>
        <v/>
      </c>
      <c r="R26" s="40" t="str">
        <f>IFERROR(__xludf.DUMMYFUNCTION("if(AND(S26=FALSE,T26=FALSE),,if(S26=T26,JOIN("""",""Static: "",S26),JOIN("""",""Min:  "",S26, CHAR(10),""Max: "",T26)))"),"")</f>
        <v/>
      </c>
      <c r="S26" s="42" t="str">
        <f t="array" ref="S26">_xlfn.XLOOKUP(B26,'Up Min'!A:A,'Up Min'!E:E,)</f>
        <v/>
      </c>
      <c r="T26" s="42" t="str">
        <f t="array" ref="T26">_xlfn.XLOOKUP(B26,'Up Max'!A:A,'Up Max'!E:E,)</f>
        <v/>
      </c>
      <c r="U26" s="48" t="str">
        <f t="array" ref="U26">_xlfn.XLOOKUP(B26,'Up Stats'!A:A,'Up Stats'!F:F,)</f>
        <v/>
      </c>
      <c r="V26" s="40" t="str">
        <f>IFERROR(__xludf.DUMMYFUNCTION("if(AND(W26=FALSE,X26=FALSE),,if(W26=X26,JOIN("""",""Static: "",W26),JOIN("""",""Min:  "",W26, CHAR(10),""Max: "",X26)))"),"")</f>
        <v/>
      </c>
      <c r="W26" s="42" t="str">
        <f t="array" ref="W26">_xlfn.XLOOKUP(B26,'Up Min'!A:A,'Up Min'!F:F,)</f>
        <v/>
      </c>
      <c r="X26" s="42" t="str">
        <f t="array" ref="X26">_xlfn.XLOOKUP(B26,'Up Max'!A:A,'Up Max'!F:F,)</f>
        <v/>
      </c>
      <c r="Y26" s="48" t="str">
        <f t="array" ref="Y26">_xlfn.XLOOKUP(B26,'Up Stats'!A:A,'Up Stats'!G:G,)</f>
        <v/>
      </c>
      <c r="Z26" s="40" t="str">
        <f>IFERROR(__xludf.DUMMYFUNCTION("if(AND(AA26=FALSE,AB26=FALSE),,if(AA26=AB26,JOIN("""",""Static: "",AA26),JOIN("""",""Min:  "",AA26, CHAR(10),""Max: "",AB26)))"),"")</f>
        <v/>
      </c>
      <c r="AA26" s="42" t="str">
        <f t="array" ref="AA26">_xlfn.XLOOKUP(B26,'Up Min'!A:A,'Up Min'!G:G,)</f>
        <v/>
      </c>
      <c r="AB26" s="42" t="str">
        <f t="array" ref="AB26">_xlfn.XLOOKUP(B26,'Up Max'!A:A,'Up Max'!G:G,)</f>
        <v/>
      </c>
      <c r="AC26" s="48" t="str">
        <f t="array" ref="AC26">_xlfn.XLOOKUP(B26,'Up Stats'!A:A,'Up Stats'!H:H,)</f>
        <v/>
      </c>
      <c r="AD26" s="40" t="str">
        <f>IFERROR(__xludf.DUMMYFUNCTION("if(AND(AE26=FALSE,AF26=FALSE),,if(AE26=AF26,JOIN("""",""Static: "",AE26),JOIN("""",""Min:  "",AE26, CHAR(10),""Max: "",AF26)))"),"")</f>
        <v/>
      </c>
      <c r="AE26" s="42" t="str">
        <f t="array" ref="AE26">_xlfn.XLOOKUP(B26,'Up Min'!A:A,'Up Min'!H:H,)</f>
        <v/>
      </c>
      <c r="AF26" s="42" t="str">
        <f t="array" ref="AF26">_xlfn.XLOOKUP(B26,'Up Max'!A:A,'Up Max'!H:H,)</f>
        <v/>
      </c>
      <c r="AG26" s="48" t="str">
        <f t="array" ref="AG26">_xlfn.XLOOKUP(B26,'Up Stats'!A:A,'Up Stats'!I:I,)</f>
        <v/>
      </c>
      <c r="AH26" s="40" t="str">
        <f>IFERROR(__xludf.DUMMYFUNCTION("if(AND(AI26=FALSE,AJ26=FALSE),,if(AI26=AJ26,JOIN("""",""Static: "",AI26),JOIN("""",""Min:  "",AI26, CHAR(10),""Max: "",AJ26)))"),"")</f>
        <v/>
      </c>
      <c r="AI26" s="42" t="str">
        <f t="array" ref="AI26">_xlfn.XLOOKUP(B26,'Up Min'!A:A,'Up Min'!I:I,)</f>
        <v/>
      </c>
      <c r="AJ26" s="42" t="str">
        <f t="array" ref="AJ26">_xlfn.XLOOKUP(B26,'Up Max'!A:A,'Up Max'!I:I,)</f>
        <v/>
      </c>
      <c r="AK26" s="48" t="str">
        <f t="array" ref="AK26">_xlfn.XLOOKUP(B26,'Up Stats'!A:A,'Up Stats'!J:J,)</f>
        <v/>
      </c>
      <c r="AL26" s="40" t="str">
        <f>IFERROR(__xludf.DUMMYFUNCTION("if(AND(AM26=FALSE,AN26=FALSE),,if(AM26=AN26,JOIN("""",""Static: "",AM26),JOIN("""",""Min:  "",AM26, CHAR(10),""Max: "",AN26)))"),"")</f>
        <v/>
      </c>
      <c r="AM26" s="42" t="str">
        <f t="array" ref="AM26">_xlfn.XLOOKUP(B26,'Up Min'!A:A,'Up Min'!J:J,)</f>
        <v/>
      </c>
      <c r="AN26" s="42" t="str">
        <f t="array" ref="AN26">_xlfn.XLOOKUP(B26,'Up Max'!A:A,'Up Max'!J:J,)</f>
        <v/>
      </c>
      <c r="AO26" s="34" t="str">
        <f t="array" ref="AO26">CONCATENATE(_xlfn.XLOOKUP(B26,'Up Cells'!A:A,'Up Cells'!B:B,))</f>
        <v>6</v>
      </c>
      <c r="AP26" s="34" t="str">
        <f t="array" ref="AP26">CONCATENATE(_xlfn.XLOOKUP(B26,'Up Rarity'!A:A,'Up Rarity'!B:B,),CHAR(10),"-")</f>
        <v>Rare
-</v>
      </c>
    </row>
    <row r="27">
      <c r="A27" s="83" t="str">
        <f t="array" ref="A27">_xlfn.XLOOKUP(B27,'Up Icon'!A:A,'Up Icon'!B:B,)</f>
        <v/>
      </c>
      <c r="B27" s="88" t="str">
        <f t="array" ref="B27">HYPERLINK(_xlfn.XLOOKUP('Up Names'!F24,'Up Wiki'!A:A,'Up Wiki'!B:B,),'Up Names'!F24)</f>
        <v>Rail Tuning</v>
      </c>
      <c r="C27" s="70" t="str">
        <f t="array" ref="C27">_xlfn.XLOOKUP(B27,'Up Desc'!A:A,'Up Desc'!B:B,)</f>
        <v>Plates are fired at higher speeds.</v>
      </c>
      <c r="D27" s="52" t="str">
        <f t="array" ref="D27">_xlfn.XLOOKUP(B27,'Up Turbo'!A:A,'Up Turbo'!B:B,)</f>
        <v>n/a</v>
      </c>
      <c r="E27" s="53" t="str">
        <f t="array" ref="E27">_xlfn.XLOOKUP(B27,'Up Stats'!A:A,'Up Stats'!B:B,)</f>
        <v>Bullet Speed</v>
      </c>
      <c r="F27" s="54" t="str">
        <f>IFERROR(__xludf.DUMMYFUNCTION("if(AND(G27=FALSE,H27=FALSE),,if(G27=H27,JOIN("""",""Static: "",G27),JOIN("""",""Min:  "",G27, CHAR(10),""Max: "",H27)))"),"Min:  86%
Max: 125%")</f>
        <v>Min:  86%
Max: 125%</v>
      </c>
      <c r="G27" s="59">
        <f t="array" ref="G27">_xlfn.XLOOKUP(B27,'Up Min'!A:A,'Up Min'!B:B,)</f>
        <v>0.86</v>
      </c>
      <c r="H27" s="59">
        <f t="array" ref="H27">_xlfn.XLOOKUP(B27,'Up Max'!A:A,'Up Max'!B:B,)</f>
        <v>1.25</v>
      </c>
      <c r="I27" s="53" t="str">
        <f t="array" ref="I27">_xlfn.XLOOKUP(B27,'Up Stats'!A:A,'Up Stats'!C:C,)</f>
        <v/>
      </c>
      <c r="J27" s="54" t="str">
        <f>IFERROR(__xludf.DUMMYFUNCTION("if(AND(K27=FALSE,L27=FALSE),,if(K27=L27,JOIN("""",""Static: "",K27),JOIN("""",""Min:  "",K27, CHAR(10),""Max: "",L27)))"),"")</f>
        <v/>
      </c>
      <c r="K27" s="55" t="str">
        <f t="array" ref="K27">_xlfn.XLOOKUP(B27,'Up Min'!A:A,'Up Min'!C:C,)</f>
        <v/>
      </c>
      <c r="L27" s="55" t="str">
        <f t="array" ref="L27">_xlfn.XLOOKUP(B27,'Up Max'!A:A,'Up Max'!C:C,)</f>
        <v/>
      </c>
      <c r="M27" s="57" t="str">
        <f t="array" ref="M27">_xlfn.XLOOKUP(B27,'Up Stats'!A:A,'Up Stats'!D:D,)</f>
        <v/>
      </c>
      <c r="N27" s="54" t="str">
        <f>IFERROR(__xludf.DUMMYFUNCTION("if(AND(O27=FALSE,P27=FALSE),,if(O27=P27,JOIN("""",""Static: "",O27),JOIN("""",""Min:  "",O27, CHAR(10),""Max: "",P27)))"),"")</f>
        <v/>
      </c>
      <c r="O27" s="55" t="str">
        <f t="array" ref="O27">_xlfn.XLOOKUP(B27,'Up Min'!A:A,'Up Min'!D:D,)</f>
        <v/>
      </c>
      <c r="P27" s="55" t="str">
        <f t="array" ref="P27">_xlfn.XLOOKUP(B27,'Up Max'!A:A,'Up Max'!D:D,)</f>
        <v/>
      </c>
      <c r="Q27" s="57" t="str">
        <f t="array" ref="Q27">_xlfn.XLOOKUP(B27,'Up Stats'!A:A,'Up Stats'!E:E,)</f>
        <v/>
      </c>
      <c r="R27" s="54" t="str">
        <f>IFERROR(__xludf.DUMMYFUNCTION("if(AND(S27=FALSE,T27=FALSE),,if(S27=T27,JOIN("""",""Static: "",S27),JOIN("""",""Min:  "",S27, CHAR(10),""Max: "",T27)))"),"")</f>
        <v/>
      </c>
      <c r="S27" s="55" t="str">
        <f t="array" ref="S27">_xlfn.XLOOKUP(B27,'Up Min'!A:A,'Up Min'!E:E,)</f>
        <v/>
      </c>
      <c r="T27" s="55" t="str">
        <f t="array" ref="T27">_xlfn.XLOOKUP(B27,'Up Max'!A:A,'Up Max'!E:E,)</f>
        <v/>
      </c>
      <c r="U27" s="57" t="str">
        <f t="array" ref="U27">_xlfn.XLOOKUP(B27,'Up Stats'!A:A,'Up Stats'!F:F,)</f>
        <v/>
      </c>
      <c r="V27" s="54" t="str">
        <f>IFERROR(__xludf.DUMMYFUNCTION("if(AND(W27=FALSE,X27=FALSE),,if(W27=X27,JOIN("""",""Static: "",W27),JOIN("""",""Min:  "",W27, CHAR(10),""Max: "",X27)))"),"")</f>
        <v/>
      </c>
      <c r="W27" s="55" t="str">
        <f t="array" ref="W27">_xlfn.XLOOKUP(B27,'Up Min'!A:A,'Up Min'!F:F,)</f>
        <v/>
      </c>
      <c r="X27" s="55" t="str">
        <f t="array" ref="X27">_xlfn.XLOOKUP(B27,'Up Max'!A:A,'Up Max'!F:F,)</f>
        <v/>
      </c>
      <c r="Y27" s="57" t="str">
        <f t="array" ref="Y27">_xlfn.XLOOKUP(B27,'Up Stats'!A:A,'Up Stats'!G:G,)</f>
        <v/>
      </c>
      <c r="Z27" s="54" t="str">
        <f>IFERROR(__xludf.DUMMYFUNCTION("if(AND(AA27=FALSE,AB27=FALSE),,if(AA27=AB27,JOIN("""",""Static: "",AA27),JOIN("""",""Min:  "",AA27, CHAR(10),""Max: "",AB27)))"),"")</f>
        <v/>
      </c>
      <c r="AA27" s="55" t="str">
        <f t="array" ref="AA27">_xlfn.XLOOKUP(B27,'Up Min'!A:A,'Up Min'!G:G,)</f>
        <v/>
      </c>
      <c r="AB27" s="55" t="str">
        <f t="array" ref="AB27">_xlfn.XLOOKUP(B27,'Up Max'!A:A,'Up Max'!G:G,)</f>
        <v/>
      </c>
      <c r="AC27" s="57" t="str">
        <f t="array" ref="AC27">_xlfn.XLOOKUP(B27,'Up Stats'!A:A,'Up Stats'!H:H,)</f>
        <v/>
      </c>
      <c r="AD27" s="54" t="str">
        <f>IFERROR(__xludf.DUMMYFUNCTION("if(AND(AE27=FALSE,AF27=FALSE),,if(AE27=AF27,JOIN("""",""Static: "",AE27),JOIN("""",""Min:  "",AE27, CHAR(10),""Max: "",AF27)))"),"")</f>
        <v/>
      </c>
      <c r="AE27" s="55" t="str">
        <f t="array" ref="AE27">_xlfn.XLOOKUP(B27,'Up Min'!A:A,'Up Min'!H:H,)</f>
        <v/>
      </c>
      <c r="AF27" s="55" t="str">
        <f t="array" ref="AF27">_xlfn.XLOOKUP(B27,'Up Max'!A:A,'Up Max'!H:H,)</f>
        <v/>
      </c>
      <c r="AG27" s="57" t="str">
        <f t="array" ref="AG27">_xlfn.XLOOKUP(B27,'Up Stats'!A:A,'Up Stats'!I:I,)</f>
        <v/>
      </c>
      <c r="AH27" s="54" t="str">
        <f>IFERROR(__xludf.DUMMYFUNCTION("if(AND(AI27=FALSE,AJ27=FALSE),,if(AI27=AJ27,JOIN("""",""Static: "",AI27),JOIN("""",""Min:  "",AI27, CHAR(10),""Max: "",AJ27)))"),"")</f>
        <v/>
      </c>
      <c r="AI27" s="55" t="str">
        <f t="array" ref="AI27">_xlfn.XLOOKUP(B27,'Up Min'!A:A,'Up Min'!I:I,)</f>
        <v/>
      </c>
      <c r="AJ27" s="55" t="str">
        <f t="array" ref="AJ27">_xlfn.XLOOKUP(B27,'Up Max'!A:A,'Up Max'!I:I,)</f>
        <v/>
      </c>
      <c r="AK27" s="57" t="str">
        <f t="array" ref="AK27">_xlfn.XLOOKUP(B27,'Up Stats'!A:A,'Up Stats'!J:J,)</f>
        <v/>
      </c>
      <c r="AL27" s="54" t="str">
        <f>IFERROR(__xludf.DUMMYFUNCTION("if(AND(AM27=FALSE,AN27=FALSE),,if(AM27=AN27,JOIN("""",""Static: "",AM27),JOIN("""",""Min:  "",AM27, CHAR(10),""Max: "",AN27)))"),"")</f>
        <v/>
      </c>
      <c r="AM27" s="55" t="str">
        <f t="array" ref="AM27">_xlfn.XLOOKUP(B27,'Up Min'!A:A,'Up Min'!J:J,)</f>
        <v/>
      </c>
      <c r="AN27" s="55" t="str">
        <f t="array" ref="AN27">_xlfn.XLOOKUP(B27,'Up Max'!A:A,'Up Max'!J:J,)</f>
        <v/>
      </c>
      <c r="AO27" s="51" t="str">
        <f t="array" ref="AO27">CONCATENATE(_xlfn.XLOOKUP(B27,'Up Cells'!A:A,'Up Cells'!B:B,))</f>
        <v>4</v>
      </c>
      <c r="AP27" s="51" t="str">
        <f t="array" ref="AP27">CONCATENATE(_xlfn.XLOOKUP(B27,'Up Rarity'!A:A,'Up Rarity'!B:B,),CHAR(10),"-")</f>
        <v>Rare
-</v>
      </c>
    </row>
    <row r="28">
      <c r="A28" s="83" t="str">
        <f t="array" ref="A28">_xlfn.XLOOKUP(B28,'Up Icon'!A:A,'Up Icon'!B:B,)</f>
        <v/>
      </c>
      <c r="B28" s="89" t="str">
        <f t="array" ref="B28">HYPERLINK(_xlfn.XLOOKUP('Up Names'!F25,'Up Wiki'!A:A,'Up Wiki'!B:B,),'Up Names'!F25)</f>
        <v>Shish Kebab</v>
      </c>
      <c r="C28" s="37" t="str">
        <f t="array" ref="C28">_xlfn.XLOOKUP(B28,'Up Desc'!A:A,'Up Desc'!B:B,)</f>
        <v>Plates pierce through targets.</v>
      </c>
      <c r="D28" s="37" t="str">
        <f t="array" ref="D28">_xlfn.XLOOKUP(B28,'Up Turbo'!A:A,'Up Turbo'!B:B,)</f>
        <v>n/a</v>
      </c>
      <c r="E28" s="39" t="str">
        <f t="array" ref="E28">_xlfn.XLOOKUP(B28,'Up Stats'!A:A,'Up Stats'!B:B,)</f>
        <v>Max Hits</v>
      </c>
      <c r="F28" s="40" t="str">
        <f>IFERROR(__xludf.DUMMYFUNCTION("if(AND(G28=FALSE,H28=FALSE),,if(G28=H28,JOIN("""",""Static: "",G28),JOIN("""",""Min:  "",G28, CHAR(10),""Max: "",H28)))"),"Min:  20
Max: 50")</f>
        <v>Min:  20
Max: 50</v>
      </c>
      <c r="G28" s="69">
        <f t="array" ref="G28">_xlfn.XLOOKUP(B28,'Up Min'!A:A,'Up Min'!B:B,)</f>
        <v>20</v>
      </c>
      <c r="H28" s="68">
        <f t="array" ref="H28">_xlfn.XLOOKUP(B28,'Up Max'!A:A,'Up Max'!B:B,)</f>
        <v>50</v>
      </c>
      <c r="I28" s="39" t="str">
        <f t="array" ref="I28">_xlfn.XLOOKUP(B28,'Up Stats'!A:A,'Up Stats'!C:C,)</f>
        <v>Speed On Hit</v>
      </c>
      <c r="J28" s="40" t="str">
        <f>IFERROR(__xludf.DUMMYFUNCTION("if(AND(K28=FALSE,L28=FALSE),,if(K28=L28,JOIN("""",""Static: "",K28),JOIN("""",""Min:  "",K28, CHAR(10),""Max: "",L28)))"),"Min:  -14%
Max: -8%")</f>
        <v>Min:  -14%
Max: -8%</v>
      </c>
      <c r="K28" s="41">
        <f t="array" ref="K28">_xlfn.XLOOKUP(B28,'Up Min'!A:A,'Up Min'!C:C,)</f>
        <v>-0.14</v>
      </c>
      <c r="L28" s="41">
        <f t="array" ref="L28">_xlfn.XLOOKUP(B28,'Up Max'!A:A,'Up Max'!C:C,)</f>
        <v>-0.08</v>
      </c>
      <c r="M28" s="39" t="str">
        <f t="array" ref="M28">_xlfn.XLOOKUP(B28,'Up Stats'!A:A,'Up Stats'!D:D,)</f>
        <v>Bullet Gravity</v>
      </c>
      <c r="N28" s="40" t="str">
        <f>IFERROR(__xludf.DUMMYFUNCTION("if(AND(O28=FALSE,P28=FALSE),,if(O28=P28,JOIN("""",""Static: "",O28),JOIN("""",""Min:  "",O28, CHAR(10),""Max: "",P28)))"),"Static: 1.2")</f>
        <v>Static: 1.2</v>
      </c>
      <c r="O28" s="68">
        <f t="array" ref="O28">_xlfn.XLOOKUP(B28,'Up Min'!A:A,'Up Min'!D:D,)</f>
        <v>1.2</v>
      </c>
      <c r="P28" s="69">
        <f t="array" ref="P28">_xlfn.XLOOKUP(B28,'Up Max'!A:A,'Up Max'!D:D,)</f>
        <v>1.2</v>
      </c>
      <c r="Q28" s="48" t="str">
        <f t="array" ref="Q28">_xlfn.XLOOKUP(B28,'Up Stats'!A:A,'Up Stats'!E:E,)</f>
        <v/>
      </c>
      <c r="R28" s="40" t="str">
        <f>IFERROR(__xludf.DUMMYFUNCTION("if(AND(S28=FALSE,T28=FALSE),,if(S28=T28,JOIN("""",""Static: "",S28),JOIN("""",""Min:  "",S28, CHAR(10),""Max: "",T28)))"),"")</f>
        <v/>
      </c>
      <c r="S28" s="45" t="str">
        <f t="array" ref="S28">_xlfn.XLOOKUP(B28,'Up Min'!A:A,'Up Min'!E:E,)</f>
        <v/>
      </c>
      <c r="T28" s="42" t="str">
        <f t="array" ref="T28">_xlfn.XLOOKUP(B28,'Up Max'!A:A,'Up Max'!E:E,)</f>
        <v/>
      </c>
      <c r="U28" s="48" t="str">
        <f t="array" ref="U28">_xlfn.XLOOKUP(B28,'Up Stats'!A:A,'Up Stats'!F:F,)</f>
        <v/>
      </c>
      <c r="V28" s="40" t="str">
        <f>IFERROR(__xludf.DUMMYFUNCTION("if(AND(W28=FALSE,X28=FALSE),,if(W28=X28,JOIN("""",""Static: "",W28),JOIN("""",""Min:  "",W28, CHAR(10),""Max: "",X28)))"),"")</f>
        <v/>
      </c>
      <c r="W28" s="42" t="str">
        <f t="array" ref="W28">_xlfn.XLOOKUP(B28,'Up Min'!A:A,'Up Min'!F:F,)</f>
        <v/>
      </c>
      <c r="X28" s="42" t="str">
        <f t="array" ref="X28">_xlfn.XLOOKUP(B28,'Up Max'!A:A,'Up Max'!F:F,)</f>
        <v/>
      </c>
      <c r="Y28" s="48" t="str">
        <f t="array" ref="Y28">_xlfn.XLOOKUP(B28,'Up Stats'!A:A,'Up Stats'!G:G,)</f>
        <v/>
      </c>
      <c r="Z28" s="40" t="str">
        <f>IFERROR(__xludf.DUMMYFUNCTION("if(AND(AA28=FALSE,AB28=FALSE),,if(AA28=AB28,JOIN("""",""Static: "",AA28),JOIN("""",""Min:  "",AA28, CHAR(10),""Max: "",AB28)))"),"")</f>
        <v/>
      </c>
      <c r="AA28" s="42" t="str">
        <f t="array" ref="AA28">_xlfn.XLOOKUP(B28,'Up Min'!A:A,'Up Min'!G:G,)</f>
        <v/>
      </c>
      <c r="AB28" s="42" t="str">
        <f t="array" ref="AB28">_xlfn.XLOOKUP(B28,'Up Max'!A:A,'Up Max'!G:G,)</f>
        <v/>
      </c>
      <c r="AC28" s="48" t="str">
        <f t="array" ref="AC28">_xlfn.XLOOKUP(B28,'Up Stats'!A:A,'Up Stats'!H:H,)</f>
        <v/>
      </c>
      <c r="AD28" s="40" t="str">
        <f>IFERROR(__xludf.DUMMYFUNCTION("if(AND(AE28=FALSE,AF28=FALSE),,if(AE28=AF28,JOIN("""",""Static: "",AE28),JOIN("""",""Min:  "",AE28, CHAR(10),""Max: "",AF28)))"),"")</f>
        <v/>
      </c>
      <c r="AE28" s="42" t="str">
        <f t="array" ref="AE28">_xlfn.XLOOKUP(B28,'Up Min'!A:A,'Up Min'!H:H,)</f>
        <v/>
      </c>
      <c r="AF28" s="42" t="str">
        <f t="array" ref="AF28">_xlfn.XLOOKUP(B28,'Up Max'!A:A,'Up Max'!H:H,)</f>
        <v/>
      </c>
      <c r="AG28" s="48" t="str">
        <f t="array" ref="AG28">_xlfn.XLOOKUP(B28,'Up Stats'!A:A,'Up Stats'!I:I,)</f>
        <v/>
      </c>
      <c r="AH28" s="40" t="str">
        <f>IFERROR(__xludf.DUMMYFUNCTION("if(AND(AI28=FALSE,AJ28=FALSE),,if(AI28=AJ28,JOIN("""",""Static: "",AI28),JOIN("""",""Min:  "",AI28, CHAR(10),""Max: "",AJ28)))"),"")</f>
        <v/>
      </c>
      <c r="AI28" s="42" t="str">
        <f t="array" ref="AI28">_xlfn.XLOOKUP(B28,'Up Min'!A:A,'Up Min'!I:I,)</f>
        <v/>
      </c>
      <c r="AJ28" s="42" t="str">
        <f t="array" ref="AJ28">_xlfn.XLOOKUP(B28,'Up Max'!A:A,'Up Max'!I:I,)</f>
        <v/>
      </c>
      <c r="AK28" s="48" t="str">
        <f t="array" ref="AK28">_xlfn.XLOOKUP(B28,'Up Stats'!A:A,'Up Stats'!J:J,)</f>
        <v/>
      </c>
      <c r="AL28" s="40" t="str">
        <f>IFERROR(__xludf.DUMMYFUNCTION("if(AND(AM28=FALSE,AN28=FALSE),,if(AM28=AN28,JOIN("""",""Static: "",AM28),JOIN("""",""Min:  "",AM28, CHAR(10),""Max: "",AN28)))"),"")</f>
        <v/>
      </c>
      <c r="AM28" s="42" t="str">
        <f t="array" ref="AM28">_xlfn.XLOOKUP(B28,'Up Min'!A:A,'Up Min'!J:J,)</f>
        <v/>
      </c>
      <c r="AN28" s="42" t="str">
        <f t="array" ref="AN28">_xlfn.XLOOKUP(B28,'Up Max'!A:A,'Up Max'!J:J,)</f>
        <v/>
      </c>
      <c r="AO28" s="34" t="str">
        <f t="array" ref="AO28">CONCATENATE(_xlfn.XLOOKUP(B28,'Up Cells'!A:A,'Up Cells'!B:B,))</f>
        <v>6</v>
      </c>
      <c r="AP28" s="34" t="str">
        <f t="array" ref="AP28">CONCATENATE(_xlfn.XLOOKUP(B28,'Up Rarity'!A:A,'Up Rarity'!B:B,),CHAR(10),"-")</f>
        <v>Rare
-</v>
      </c>
    </row>
    <row r="29">
      <c r="A29" s="83" t="str">
        <f t="array" ref="A29">_xlfn.XLOOKUP(B29,'Up Icon'!A:A,'Up Icon'!B:B,)</f>
        <v/>
      </c>
      <c r="B29" s="88" t="str">
        <f t="array" ref="B29">HYPERLINK(_xlfn.XLOOKUP('Up Names'!F26,'Up Wiki'!A:A,'Up Wiki'!B:B,),'Up Names'!F26)</f>
        <v>Simple Inertia</v>
      </c>
      <c r="C29" s="52" t="str">
        <f t="array" ref="C29">_xlfn.XLOOKUP(B29,'Up Desc'!A:A,'Up Desc'!B:B,)</f>
        <v>Plate damage is increased the further they travel.</v>
      </c>
      <c r="D29" s="52" t="str">
        <f t="array" ref="D29">_xlfn.XLOOKUP(B29,'Up Turbo'!A:A,'Up Turbo'!B:B,)</f>
        <v>n/a</v>
      </c>
      <c r="E29" s="53" t="str">
        <f t="array" ref="E29">_xlfn.XLOOKUP(B29,'Up Stats'!A:A,'Up Stats'!B:B,)</f>
        <v>Falloff Start</v>
      </c>
      <c r="F29" s="54" t="str">
        <f>IFERROR(__xludf.DUMMYFUNCTION("if(AND(G29=FALSE,H29=FALSE),,if(G29=H29,JOIN("""",""Static: "",G29),JOIN("""",""Min:  "",G29, CHAR(10),""Max: "",H29)))"),"Static: 40")</f>
        <v>Static: 40</v>
      </c>
      <c r="G29" s="64">
        <f t="array" ref="G29">_xlfn.XLOOKUP(B29,'Up Min'!A:A,'Up Min'!B:B,)</f>
        <v>40</v>
      </c>
      <c r="H29" s="65">
        <f t="array" ref="H29">_xlfn.XLOOKUP(B29,'Up Max'!A:A,'Up Max'!B:B,)</f>
        <v>40</v>
      </c>
      <c r="I29" s="53" t="str">
        <f t="array" ref="I29">_xlfn.XLOOKUP(B29,'Up Stats'!A:A,'Up Stats'!C:C,)</f>
        <v>Falloff End</v>
      </c>
      <c r="J29" s="54" t="str">
        <f>IFERROR(__xludf.DUMMYFUNCTION("if(AND(K29=FALSE,L29=FALSE),,if(K29=L29,JOIN("""",""Static: "",K29),JOIN("""",""Min:  "",K29, CHAR(10),""Max: "",L29)))"),"Static: 150")</f>
        <v>Static: 150</v>
      </c>
      <c r="K29" s="64">
        <f t="array" ref="K29">_xlfn.XLOOKUP(B29,'Up Min'!A:A,'Up Min'!C:C,)</f>
        <v>150</v>
      </c>
      <c r="L29" s="64">
        <f t="array" ref="L29">_xlfn.XLOOKUP(B29,'Up Max'!A:A,'Up Max'!C:C,)</f>
        <v>150</v>
      </c>
      <c r="M29" s="53" t="str">
        <f t="array" ref="M29">_xlfn.XLOOKUP(B29,'Up Stats'!A:A,'Up Stats'!D:D,)</f>
        <v>Falloff Damage</v>
      </c>
      <c r="N29" s="54" t="str">
        <f>IFERROR(__xludf.DUMMYFUNCTION("if(AND(O29=FALSE,P29=FALSE),,if(O29=P29,JOIN("""",""Static: "",O29),JOIN("""",""Min:  "",O29, CHAR(10),""Max: "",P29)))"),"Static: 3")</f>
        <v>Static: 3</v>
      </c>
      <c r="O29" s="65">
        <f t="array" ref="O29">_xlfn.XLOOKUP(B29,'Up Min'!A:A,'Up Min'!D:D,)</f>
        <v>3</v>
      </c>
      <c r="P29" s="64">
        <f t="array" ref="P29">_xlfn.XLOOKUP(B29,'Up Max'!A:A,'Up Max'!D:D,)</f>
        <v>3</v>
      </c>
      <c r="Q29" s="57" t="str">
        <f t="array" ref="Q29">_xlfn.XLOOKUP(B29,'Up Stats'!A:A,'Up Stats'!E:E,)</f>
        <v/>
      </c>
      <c r="R29" s="54" t="str">
        <f>IFERROR(__xludf.DUMMYFUNCTION("if(AND(S29=FALSE,T29=FALSE),,if(S29=T29,JOIN("""",""Static: "",S29),JOIN("""",""Min:  "",S29, CHAR(10),""Max: "",T29)))"),"")</f>
        <v/>
      </c>
      <c r="S29" s="56" t="str">
        <f t="array" ref="S29">_xlfn.XLOOKUP(B29,'Up Min'!A:A,'Up Min'!E:E,)</f>
        <v/>
      </c>
      <c r="T29" s="55" t="str">
        <f t="array" ref="T29">_xlfn.XLOOKUP(B29,'Up Max'!A:A,'Up Max'!E:E,)</f>
        <v/>
      </c>
      <c r="U29" s="57" t="str">
        <f t="array" ref="U29">_xlfn.XLOOKUP(B29,'Up Stats'!A:A,'Up Stats'!F:F,)</f>
        <v/>
      </c>
      <c r="V29" s="54" t="str">
        <f>IFERROR(__xludf.DUMMYFUNCTION("if(AND(W29=FALSE,X29=FALSE),,if(W29=X29,JOIN("""",""Static: "",W29),JOIN("""",""Min:  "",W29, CHAR(10),""Max: "",X29)))"),"")</f>
        <v/>
      </c>
      <c r="W29" s="55" t="str">
        <f t="array" ref="W29">_xlfn.XLOOKUP(B29,'Up Min'!A:A,'Up Min'!F:F,)</f>
        <v/>
      </c>
      <c r="X29" s="55" t="str">
        <f t="array" ref="X29">_xlfn.XLOOKUP(B29,'Up Max'!A:A,'Up Max'!F:F,)</f>
        <v/>
      </c>
      <c r="Y29" s="57" t="str">
        <f t="array" ref="Y29">_xlfn.XLOOKUP(B29,'Up Stats'!A:A,'Up Stats'!G:G,)</f>
        <v/>
      </c>
      <c r="Z29" s="54" t="str">
        <f>IFERROR(__xludf.DUMMYFUNCTION("if(AND(AA29=FALSE,AB29=FALSE),,if(AA29=AB29,JOIN("""",""Static: "",AA29),JOIN("""",""Min:  "",AA29, CHAR(10),""Max: "",AB29)))"),"")</f>
        <v/>
      </c>
      <c r="AA29" s="55" t="str">
        <f t="array" ref="AA29">_xlfn.XLOOKUP(B29,'Up Min'!A:A,'Up Min'!G:G,)</f>
        <v/>
      </c>
      <c r="AB29" s="55" t="str">
        <f t="array" ref="AB29">_xlfn.XLOOKUP(B29,'Up Max'!A:A,'Up Max'!G:G,)</f>
        <v/>
      </c>
      <c r="AC29" s="57" t="str">
        <f t="array" ref="AC29">_xlfn.XLOOKUP(B29,'Up Stats'!A:A,'Up Stats'!H:H,)</f>
        <v/>
      </c>
      <c r="AD29" s="54" t="str">
        <f>IFERROR(__xludf.DUMMYFUNCTION("if(AND(AE29=FALSE,AF29=FALSE),,if(AE29=AF29,JOIN("""",""Static: "",AE29),JOIN("""",""Min:  "",AE29, CHAR(10),""Max: "",AF29)))"),"")</f>
        <v/>
      </c>
      <c r="AE29" s="55" t="str">
        <f t="array" ref="AE29">_xlfn.XLOOKUP(B29,'Up Min'!A:A,'Up Min'!H:H,)</f>
        <v/>
      </c>
      <c r="AF29" s="55" t="str">
        <f t="array" ref="AF29">_xlfn.XLOOKUP(B29,'Up Max'!A:A,'Up Max'!H:H,)</f>
        <v/>
      </c>
      <c r="AG29" s="57" t="str">
        <f t="array" ref="AG29">_xlfn.XLOOKUP(B29,'Up Stats'!A:A,'Up Stats'!I:I,)</f>
        <v/>
      </c>
      <c r="AH29" s="54" t="str">
        <f>IFERROR(__xludf.DUMMYFUNCTION("if(AND(AI29=FALSE,AJ29=FALSE),,if(AI29=AJ29,JOIN("""",""Static: "",AI29),JOIN("""",""Min:  "",AI29, CHAR(10),""Max: "",AJ29)))"),"")</f>
        <v/>
      </c>
      <c r="AI29" s="55" t="str">
        <f t="array" ref="AI29">_xlfn.XLOOKUP(B29,'Up Min'!A:A,'Up Min'!I:I,)</f>
        <v/>
      </c>
      <c r="AJ29" s="55" t="str">
        <f t="array" ref="AJ29">_xlfn.XLOOKUP(B29,'Up Max'!A:A,'Up Max'!I:I,)</f>
        <v/>
      </c>
      <c r="AK29" s="57" t="str">
        <f t="array" ref="AK29">_xlfn.XLOOKUP(B29,'Up Stats'!A:A,'Up Stats'!J:J,)</f>
        <v/>
      </c>
      <c r="AL29" s="54" t="str">
        <f>IFERROR(__xludf.DUMMYFUNCTION("if(AND(AM29=FALSE,AN29=FALSE),,if(AM29=AN29,JOIN("""",""Static: "",AM29),JOIN("""",""Min:  "",AM29, CHAR(10),""Max: "",AN29)))"),"")</f>
        <v/>
      </c>
      <c r="AM29" s="55" t="str">
        <f t="array" ref="AM29">_xlfn.XLOOKUP(B29,'Up Min'!A:A,'Up Min'!J:J,)</f>
        <v/>
      </c>
      <c r="AN29" s="55" t="str">
        <f t="array" ref="AN29">_xlfn.XLOOKUP(B29,'Up Max'!A:A,'Up Max'!J:J,)</f>
        <v/>
      </c>
      <c r="AO29" s="51" t="str">
        <f t="array" ref="AO29">CONCATENATE(_xlfn.XLOOKUP(B29,'Up Cells'!A:A,'Up Cells'!B:B,))</f>
        <v>4</v>
      </c>
      <c r="AP29" s="51" t="str">
        <f t="array" ref="AP29">CONCATENATE(_xlfn.XLOOKUP(B29,'Up Rarity'!A:A,'Up Rarity'!B:B,),CHAR(10),"-")</f>
        <v>Rare
-</v>
      </c>
    </row>
    <row r="30">
      <c r="A30" s="83" t="str">
        <f t="array" ref="A30">_xlfn.XLOOKUP(B30,'Up Icon'!A:A,'Up Icon'!B:B,)</f>
        <v/>
      </c>
      <c r="B30" s="89" t="str">
        <f t="array" ref="B30">HYPERLINK(_xlfn.XLOOKUP('Up Names'!F27,'Up Wiki'!A:A,'Up Wiki'!B:B,),'Up Names'!F27)</f>
        <v>Slap Job</v>
      </c>
      <c r="C30" s="67" t="str">
        <f t="array" ref="C30">_xlfn.XLOOKUP(B30,'Up Desc'!A:A,'Up Desc'!B:B,)</f>
        <v>Damage is increased, but so is spread.</v>
      </c>
      <c r="D30" s="37" t="str">
        <f t="array" ref="D30">_xlfn.XLOOKUP(B30,'Up Turbo'!A:A,'Up Turbo'!B:B,)</f>
        <v>n/a</v>
      </c>
      <c r="E30" s="39" t="str">
        <f t="array" ref="E30">_xlfn.XLOOKUP(B30,'Up Stats'!A:A,'Up Stats'!B:B,)</f>
        <v>Damage</v>
      </c>
      <c r="F30" s="40" t="str">
        <f>IFERROR(__xludf.DUMMYFUNCTION("if(AND(G30=FALSE,H30=FALSE),,if(G30=H30,JOIN("""",""Static: "",G30),JOIN("""",""Min:  "",G30, CHAR(10),""Max: "",H30)))"),"Min:  35%
Max: 45%")</f>
        <v>Min:  35%
Max: 45%</v>
      </c>
      <c r="G30" s="41">
        <f t="array" ref="G30">_xlfn.XLOOKUP(B30,'Up Min'!A:A,'Up Min'!B:B,)</f>
        <v>0.35</v>
      </c>
      <c r="H30" s="41">
        <f t="array" ref="H30">_xlfn.XLOOKUP(B30,'Up Max'!A:A,'Up Max'!B:B,)</f>
        <v>0.45</v>
      </c>
      <c r="I30" s="39" t="str">
        <f t="array" ref="I30">_xlfn.XLOOKUP(B30,'Up Stats'!A:A,'Up Stats'!C:C,)</f>
        <v>Horizontal Spread</v>
      </c>
      <c r="J30" s="40" t="str">
        <f>IFERROR(__xludf.DUMMYFUNCTION("if(AND(K30=FALSE,L30=FALSE),,if(K30=L30,JOIN("""",""Static: "",K30),JOIN("""",""Min:  "",K30, CHAR(10),""Max: "",L30)))"),"Min:  10
Max: 20")</f>
        <v>Min:  10
Max: 20</v>
      </c>
      <c r="K30" s="68">
        <f t="array" ref="K30">_xlfn.XLOOKUP(B30,'Up Min'!A:A,'Up Min'!C:C,)</f>
        <v>10</v>
      </c>
      <c r="L30" s="69">
        <f t="array" ref="L30">_xlfn.XLOOKUP(B30,'Up Max'!A:A,'Up Max'!C:C,)</f>
        <v>20</v>
      </c>
      <c r="M30" s="39" t="str">
        <f t="array" ref="M30">_xlfn.XLOOKUP(B30,'Up Stats'!A:A,'Up Stats'!D:D,)</f>
        <v>Vertical Spread</v>
      </c>
      <c r="N30" s="40" t="str">
        <f>IFERROR(__xludf.DUMMYFUNCTION("if(AND(O30=FALSE,P30=FALSE),,if(O30=P30,JOIN("""",""Static: "",O30),JOIN("""",""Min:  "",O30, CHAR(10),""Max: "",P30)))"),"Min:  10
Max: 20")</f>
        <v>Min:  10
Max: 20</v>
      </c>
      <c r="O30" s="68">
        <f t="array" ref="O30">_xlfn.XLOOKUP(B30,'Up Min'!A:A,'Up Min'!D:D,)</f>
        <v>10</v>
      </c>
      <c r="P30" s="68">
        <f t="array" ref="P30">_xlfn.XLOOKUP(B30,'Up Max'!A:A,'Up Max'!D:D,)</f>
        <v>20</v>
      </c>
      <c r="Q30" s="48" t="str">
        <f t="array" ref="Q30">_xlfn.XLOOKUP(B30,'Up Stats'!A:A,'Up Stats'!E:E,)</f>
        <v/>
      </c>
      <c r="R30" s="40" t="str">
        <f>IFERROR(__xludf.DUMMYFUNCTION("if(AND(S30=FALSE,T30=FALSE),,if(S30=T30,JOIN("""",""Static: "",S30),JOIN("""",""Min:  "",S30, CHAR(10),""Max: "",T30)))"),"")</f>
        <v/>
      </c>
      <c r="S30" s="45" t="str">
        <f t="array" ref="S30">_xlfn.XLOOKUP(B30,'Up Min'!A:A,'Up Min'!E:E,)</f>
        <v/>
      </c>
      <c r="T30" s="42" t="str">
        <f t="array" ref="T30">_xlfn.XLOOKUP(B30,'Up Max'!A:A,'Up Max'!E:E,)</f>
        <v/>
      </c>
      <c r="U30" s="48" t="str">
        <f t="array" ref="U30">_xlfn.XLOOKUP(B30,'Up Stats'!A:A,'Up Stats'!F:F,)</f>
        <v/>
      </c>
      <c r="V30" s="40" t="str">
        <f>IFERROR(__xludf.DUMMYFUNCTION("if(AND(W30=FALSE,X30=FALSE),,if(W30=X30,JOIN("""",""Static: "",W30),JOIN("""",""Min:  "",W30, CHAR(10),""Max: "",X30)))"),"")</f>
        <v/>
      </c>
      <c r="W30" s="42" t="str">
        <f t="array" ref="W30">_xlfn.XLOOKUP(B30,'Up Min'!A:A,'Up Min'!F:F,)</f>
        <v/>
      </c>
      <c r="X30" s="42" t="str">
        <f t="array" ref="X30">_xlfn.XLOOKUP(B30,'Up Max'!A:A,'Up Max'!F:F,)</f>
        <v/>
      </c>
      <c r="Y30" s="48" t="str">
        <f t="array" ref="Y30">_xlfn.XLOOKUP(B30,'Up Stats'!A:A,'Up Stats'!G:G,)</f>
        <v/>
      </c>
      <c r="Z30" s="40" t="str">
        <f>IFERROR(__xludf.DUMMYFUNCTION("if(AND(AA30=FALSE,AB30=FALSE),,if(AA30=AB30,JOIN("""",""Static: "",AA30),JOIN("""",""Min:  "",AA30, CHAR(10),""Max: "",AB30)))"),"")</f>
        <v/>
      </c>
      <c r="AA30" s="42" t="str">
        <f t="array" ref="AA30">_xlfn.XLOOKUP(B30,'Up Min'!A:A,'Up Min'!G:G,)</f>
        <v/>
      </c>
      <c r="AB30" s="42" t="str">
        <f t="array" ref="AB30">_xlfn.XLOOKUP(B30,'Up Max'!A:A,'Up Max'!G:G,)</f>
        <v/>
      </c>
      <c r="AC30" s="48" t="str">
        <f t="array" ref="AC30">_xlfn.XLOOKUP(B30,'Up Stats'!A:A,'Up Stats'!H:H,)</f>
        <v/>
      </c>
      <c r="AD30" s="40" t="str">
        <f>IFERROR(__xludf.DUMMYFUNCTION("if(AND(AE30=FALSE,AF30=FALSE),,if(AE30=AF30,JOIN("""",""Static: "",AE30),JOIN("""",""Min:  "",AE30, CHAR(10),""Max: "",AF30)))"),"")</f>
        <v/>
      </c>
      <c r="AE30" s="42" t="str">
        <f t="array" ref="AE30">_xlfn.XLOOKUP(B30,'Up Min'!A:A,'Up Min'!H:H,)</f>
        <v/>
      </c>
      <c r="AF30" s="42" t="str">
        <f t="array" ref="AF30">_xlfn.XLOOKUP(B30,'Up Max'!A:A,'Up Max'!H:H,)</f>
        <v/>
      </c>
      <c r="AG30" s="48" t="str">
        <f t="array" ref="AG30">_xlfn.XLOOKUP(B30,'Up Stats'!A:A,'Up Stats'!I:I,)</f>
        <v/>
      </c>
      <c r="AH30" s="40" t="str">
        <f>IFERROR(__xludf.DUMMYFUNCTION("if(AND(AI30=FALSE,AJ30=FALSE),,if(AI30=AJ30,JOIN("""",""Static: "",AI30),JOIN("""",""Min:  "",AI30, CHAR(10),""Max: "",AJ30)))"),"")</f>
        <v/>
      </c>
      <c r="AI30" s="42" t="str">
        <f t="array" ref="AI30">_xlfn.XLOOKUP(B30,'Up Min'!A:A,'Up Min'!I:I,)</f>
        <v/>
      </c>
      <c r="AJ30" s="42" t="str">
        <f t="array" ref="AJ30">_xlfn.XLOOKUP(B30,'Up Max'!A:A,'Up Max'!I:I,)</f>
        <v/>
      </c>
      <c r="AK30" s="48" t="str">
        <f t="array" ref="AK30">_xlfn.XLOOKUP(B30,'Up Stats'!A:A,'Up Stats'!J:J,)</f>
        <v/>
      </c>
      <c r="AL30" s="40" t="str">
        <f>IFERROR(__xludf.DUMMYFUNCTION("if(AND(AM30=FALSE,AN30=FALSE),,if(AM30=AN30,JOIN("""",""Static: "",AM30),JOIN("""",""Min:  "",AM30, CHAR(10),""Max: "",AN30)))"),"")</f>
        <v/>
      </c>
      <c r="AM30" s="42" t="str">
        <f t="array" ref="AM30">_xlfn.XLOOKUP(B30,'Up Min'!A:A,'Up Min'!J:J,)</f>
        <v/>
      </c>
      <c r="AN30" s="42" t="str">
        <f t="array" ref="AN30">_xlfn.XLOOKUP(B30,'Up Max'!A:A,'Up Max'!J:J,)</f>
        <v/>
      </c>
      <c r="AO30" s="34" t="str">
        <f t="array" ref="AO30">CONCATENATE(_xlfn.XLOOKUP(B30,'Up Cells'!A:A,'Up Cells'!B:B,))</f>
        <v>4</v>
      </c>
      <c r="AP30" s="34" t="str">
        <f t="array" ref="AP30">CONCATENATE(_xlfn.XLOOKUP(B30,'Up Rarity'!A:A,'Up Rarity'!B:B,),CHAR(10),"-")</f>
        <v>Rare
-</v>
      </c>
    </row>
    <row r="31">
      <c r="A31" s="83" t="str">
        <f t="array" ref="A31">_xlfn.XLOOKUP(B31,'Up Icon'!A:A,'Up Icon'!B:B,)</f>
        <v/>
      </c>
      <c r="B31" s="88" t="str">
        <f t="array" ref="B31">HYPERLINK(_xlfn.XLOOKUP('Up Names'!F28,'Up Wiki'!A:A,'Up Wiki'!B:B,),'Up Names'!F28)</f>
        <v>Tungsten Cube</v>
      </c>
      <c r="C31" s="52" t="str">
        <f t="array" ref="C31">_xlfn.XLOOKUP(B31,'Up Desc'!A:A,'Up Desc'!B:B,)</f>
        <v>Plates travel slower and fall much faster, but their size is greatly increased.</v>
      </c>
      <c r="D31" s="52" t="str">
        <f t="array" ref="D31">_xlfn.XLOOKUP(B31,'Up Turbo'!A:A,'Up Turbo'!B:B,)</f>
        <v>n/a</v>
      </c>
      <c r="E31" s="53" t="str">
        <f t="array" ref="E31">_xlfn.XLOOKUP(B31,'Up Stats'!A:A,'Up Stats'!B:B,)</f>
        <v>Bullet Gravity</v>
      </c>
      <c r="F31" s="54" t="str">
        <f>IFERROR(__xludf.DUMMYFUNCTION("if(AND(G31=FALSE,H31=FALSE),,if(G31=H31,JOIN("""",""Static: "",G31),JOIN("""",""Min:  "",G31, CHAR(10),""Max: "",H31)))"),"Min:  4.4
Max: 5.2")</f>
        <v>Min:  4.4
Max: 5.2</v>
      </c>
      <c r="G31" s="64">
        <f t="array" ref="G31">_xlfn.XLOOKUP(B31,'Up Min'!A:A,'Up Min'!B:B,)</f>
        <v>4.4</v>
      </c>
      <c r="H31" s="65">
        <f t="array" ref="H31">_xlfn.XLOOKUP(B31,'Up Max'!A:A,'Up Max'!B:B,)</f>
        <v>5.2</v>
      </c>
      <c r="I31" s="53" t="str">
        <f t="array" ref="I31">_xlfn.XLOOKUP(B31,'Up Stats'!A:A,'Up Stats'!C:C,)</f>
        <v>Bullet Speed</v>
      </c>
      <c r="J31" s="54" t="str">
        <f>IFERROR(__xludf.DUMMYFUNCTION("if(AND(K31=FALSE,L31=FALSE),,if(K31=L31,JOIN("""",""Static: "",K31),JOIN("""",""Min:  "",K31, CHAR(10),""Max: "",L31)))"),"Min:  -80%
Max: -74%")</f>
        <v>Min:  -80%
Max: -74%</v>
      </c>
      <c r="K31" s="59">
        <f t="array" ref="K31">_xlfn.XLOOKUP(B31,'Up Min'!A:A,'Up Min'!C:C,)</f>
        <v>-0.8</v>
      </c>
      <c r="L31" s="59">
        <f t="array" ref="L31">_xlfn.XLOOKUP(B31,'Up Max'!A:A,'Up Max'!C:C,)</f>
        <v>-0.74</v>
      </c>
      <c r="M31" s="53" t="str">
        <f t="array" ref="M31">_xlfn.XLOOKUP(B31,'Up Stats'!A:A,'Up Stats'!D:D,)</f>
        <v/>
      </c>
      <c r="N31" s="54" t="str">
        <f>IFERROR(__xludf.DUMMYFUNCTION("if(AND(O31=FALSE,P31=FALSE),,if(O31=P31,JOIN("""",""Static: "",O31),JOIN("""",""Min:  "",O31, CHAR(10),""Max: "",P31)))"),"")</f>
        <v/>
      </c>
      <c r="O31" s="56" t="str">
        <f t="array" ref="O31">_xlfn.XLOOKUP(B31,'Up Min'!A:A,'Up Min'!D:D,)</f>
        <v/>
      </c>
      <c r="P31" s="55" t="str">
        <f t="array" ref="P31">_xlfn.XLOOKUP(B31,'Up Max'!A:A,'Up Max'!D:D,)</f>
        <v/>
      </c>
      <c r="Q31" s="57" t="str">
        <f t="array" ref="Q31">_xlfn.XLOOKUP(B31,'Up Stats'!A:A,'Up Stats'!E:E,)</f>
        <v/>
      </c>
      <c r="R31" s="54" t="str">
        <f>IFERROR(__xludf.DUMMYFUNCTION("if(AND(S31=FALSE,T31=FALSE),,if(S31=T31,JOIN("""",""Static: "",S31),JOIN("""",""Min:  "",S31, CHAR(10),""Max: "",T31)))"),"")</f>
        <v/>
      </c>
      <c r="S31" s="56" t="str">
        <f t="array" ref="S31">_xlfn.XLOOKUP(B31,'Up Min'!A:A,'Up Min'!E:E,)</f>
        <v/>
      </c>
      <c r="T31" s="55" t="str">
        <f t="array" ref="T31">_xlfn.XLOOKUP(B31,'Up Max'!A:A,'Up Max'!E:E,)</f>
        <v/>
      </c>
      <c r="U31" s="57" t="str">
        <f t="array" ref="U31">_xlfn.XLOOKUP(B31,'Up Stats'!A:A,'Up Stats'!F:F,)</f>
        <v/>
      </c>
      <c r="V31" s="54" t="str">
        <f>IFERROR(__xludf.DUMMYFUNCTION("if(AND(W31=FALSE,X31=FALSE),,if(W31=X31,JOIN("""",""Static: "",W31),JOIN("""",""Min:  "",W31, CHAR(10),""Max: "",X31)))"),"")</f>
        <v/>
      </c>
      <c r="W31" s="55" t="str">
        <f t="array" ref="W31">_xlfn.XLOOKUP(B31,'Up Min'!A:A,'Up Min'!F:F,)</f>
        <v/>
      </c>
      <c r="X31" s="55" t="str">
        <f t="array" ref="X31">_xlfn.XLOOKUP(B31,'Up Max'!A:A,'Up Max'!F:F,)</f>
        <v/>
      </c>
      <c r="Y31" s="57" t="str">
        <f t="array" ref="Y31">_xlfn.XLOOKUP(B31,'Up Stats'!A:A,'Up Stats'!G:G,)</f>
        <v/>
      </c>
      <c r="Z31" s="54" t="str">
        <f>IFERROR(__xludf.DUMMYFUNCTION("if(AND(AA31=FALSE,AB31=FALSE),,if(AA31=AB31,JOIN("""",""Static: "",AA31),JOIN("""",""Min:  "",AA31, CHAR(10),""Max: "",AB31)))"),"")</f>
        <v/>
      </c>
      <c r="AA31" s="55" t="str">
        <f t="array" ref="AA31">_xlfn.XLOOKUP(B31,'Up Min'!A:A,'Up Min'!G:G,)</f>
        <v/>
      </c>
      <c r="AB31" s="55" t="str">
        <f t="array" ref="AB31">_xlfn.XLOOKUP(B31,'Up Max'!A:A,'Up Max'!G:G,)</f>
        <v/>
      </c>
      <c r="AC31" s="57" t="str">
        <f t="array" ref="AC31">_xlfn.XLOOKUP(B31,'Up Stats'!A:A,'Up Stats'!H:H,)</f>
        <v/>
      </c>
      <c r="AD31" s="54" t="str">
        <f>IFERROR(__xludf.DUMMYFUNCTION("if(AND(AE31=FALSE,AF31=FALSE),,if(AE31=AF31,JOIN("""",""Static: "",AE31),JOIN("""",""Min:  "",AE31, CHAR(10),""Max: "",AF31)))"),"")</f>
        <v/>
      </c>
      <c r="AE31" s="55" t="str">
        <f t="array" ref="AE31">_xlfn.XLOOKUP(B31,'Up Min'!A:A,'Up Min'!H:H,)</f>
        <v/>
      </c>
      <c r="AF31" s="55" t="str">
        <f t="array" ref="AF31">_xlfn.XLOOKUP(B31,'Up Max'!A:A,'Up Max'!H:H,)</f>
        <v/>
      </c>
      <c r="AG31" s="57" t="str">
        <f t="array" ref="AG31">_xlfn.XLOOKUP(B31,'Up Stats'!A:A,'Up Stats'!I:I,)</f>
        <v/>
      </c>
      <c r="AH31" s="54" t="str">
        <f>IFERROR(__xludf.DUMMYFUNCTION("if(AND(AI31=FALSE,AJ31=FALSE),,if(AI31=AJ31,JOIN("""",""Static: "",AI31),JOIN("""",""Min:  "",AI31, CHAR(10),""Max: "",AJ31)))"),"")</f>
        <v/>
      </c>
      <c r="AI31" s="55" t="str">
        <f t="array" ref="AI31">_xlfn.XLOOKUP(B31,'Up Min'!A:A,'Up Min'!I:I,)</f>
        <v/>
      </c>
      <c r="AJ31" s="55" t="str">
        <f t="array" ref="AJ31">_xlfn.XLOOKUP(B31,'Up Max'!A:A,'Up Max'!I:I,)</f>
        <v/>
      </c>
      <c r="AK31" s="57" t="str">
        <f t="array" ref="AK31">_xlfn.XLOOKUP(B31,'Up Stats'!A:A,'Up Stats'!J:J,)</f>
        <v/>
      </c>
      <c r="AL31" s="54" t="str">
        <f>IFERROR(__xludf.DUMMYFUNCTION("if(AND(AM31=FALSE,AN31=FALSE),,if(AM31=AN31,JOIN("""",""Static: "",AM31),JOIN("""",""Min:  "",AM31, CHAR(10),""Max: "",AN31)))"),"")</f>
        <v/>
      </c>
      <c r="AM31" s="55" t="str">
        <f t="array" ref="AM31">_xlfn.XLOOKUP(B31,'Up Min'!A:A,'Up Min'!J:J,)</f>
        <v/>
      </c>
      <c r="AN31" s="55" t="str">
        <f t="array" ref="AN31">_xlfn.XLOOKUP(B31,'Up Max'!A:A,'Up Max'!J:J,)</f>
        <v/>
      </c>
      <c r="AO31" s="51" t="str">
        <f t="array" ref="AO31">CONCATENATE(_xlfn.XLOOKUP(B31,'Up Cells'!A:A,'Up Cells'!B:B,))</f>
        <v>4</v>
      </c>
      <c r="AP31" s="51" t="str">
        <f t="array" ref="AP31">CONCATENATE(_xlfn.XLOOKUP(B31,'Up Rarity'!A:A,'Up Rarity'!B:B,),CHAR(10),"-")</f>
        <v>Rare
-</v>
      </c>
    </row>
    <row r="32">
      <c r="A32" s="83" t="str">
        <f t="array" ref="A32">_xlfn.XLOOKUP(B32,'Up Icon'!A:A,'Up Icon'!B:B,)</f>
        <v/>
      </c>
      <c r="B32" s="89" t="str">
        <f t="array" ref="B32">HYPERLINK(_xlfn.XLOOKUP('Up Names'!F29,'Up Wiki'!A:A,'Up Wiki'!B:B,),'Up Names'!F29)</f>
        <v>Weight Rebalanced</v>
      </c>
      <c r="C32" s="37" t="str">
        <f t="array" ref="C32">_xlfn.XLOOKUP(B32,'Up Desc'!A:A,'Up Desc'!B:B,)</f>
        <v>Plates travel slower and deal more damage.</v>
      </c>
      <c r="D32" s="37" t="str">
        <f t="array" ref="D32">_xlfn.XLOOKUP(B32,'Up Turbo'!A:A,'Up Turbo'!B:B,)</f>
        <v>n/a</v>
      </c>
      <c r="E32" s="39" t="str">
        <f t="array" ref="E32">_xlfn.XLOOKUP(B32,'Up Stats'!A:A,'Up Stats'!B:B,)</f>
        <v>Damage</v>
      </c>
      <c r="F32" s="40" t="str">
        <f>IFERROR(__xludf.DUMMYFUNCTION("if(AND(G32=FALSE,H32=FALSE),,if(G32=H32,JOIN("""",""Static: "",G32),JOIN("""",""Min:  "",G32, CHAR(10),""Max: "",H32)))"),"Static: 30%")</f>
        <v>Static: 30%</v>
      </c>
      <c r="G32" s="41">
        <f t="array" ref="G32">_xlfn.XLOOKUP(B32,'Up Min'!A:A,'Up Min'!B:B,)</f>
        <v>0.3</v>
      </c>
      <c r="H32" s="41">
        <f t="array" ref="H32">_xlfn.XLOOKUP(B32,'Up Max'!A:A,'Up Max'!B:B,)</f>
        <v>0.3</v>
      </c>
      <c r="I32" s="39" t="str">
        <f t="array" ref="I32">_xlfn.XLOOKUP(B32,'Up Stats'!A:A,'Up Stats'!C:C,)</f>
        <v>Bullet Speed</v>
      </c>
      <c r="J32" s="40" t="str">
        <f>IFERROR(__xludf.DUMMYFUNCTION("if(AND(K32=FALSE,L32=FALSE),,if(K32=L32,JOIN("""",""Static: "",K32),JOIN("""",""Min:  "",K32, CHAR(10),""Max: "",L32)))"),"Static: -40%")</f>
        <v>Static: -40%</v>
      </c>
      <c r="K32" s="41">
        <f t="array" ref="K32">_xlfn.XLOOKUP(B32,'Up Min'!A:A,'Up Min'!C:C,)</f>
        <v>-0.4</v>
      </c>
      <c r="L32" s="41">
        <f t="array" ref="L32">_xlfn.XLOOKUP(B32,'Up Max'!A:A,'Up Max'!C:C,)</f>
        <v>-0.4</v>
      </c>
      <c r="M32" s="39" t="str">
        <f t="array" ref="M32">_xlfn.XLOOKUP(B32,'Up Stats'!A:A,'Up Stats'!D:D,)</f>
        <v/>
      </c>
      <c r="N32" s="40" t="str">
        <f>IFERROR(__xludf.DUMMYFUNCTION("if(AND(O32=FALSE,P32=FALSE),,if(O32=P32,JOIN("""",""Static: "",O32),JOIN("""",""Min:  "",O32, CHAR(10),""Max: "",P32)))"),"")</f>
        <v/>
      </c>
      <c r="O32" s="42" t="str">
        <f t="array" ref="O32">_xlfn.XLOOKUP(B32,'Up Min'!A:A,'Up Min'!D:D,)</f>
        <v/>
      </c>
      <c r="P32" s="42" t="str">
        <f t="array" ref="P32">_xlfn.XLOOKUP(B32,'Up Max'!A:A,'Up Max'!D:D,)</f>
        <v/>
      </c>
      <c r="Q32" s="48" t="str">
        <f t="array" ref="Q32">_xlfn.XLOOKUP(B32,'Up Stats'!A:A,'Up Stats'!E:E,)</f>
        <v/>
      </c>
      <c r="R32" s="40" t="str">
        <f>IFERROR(__xludf.DUMMYFUNCTION("if(AND(S32=FALSE,T32=FALSE),,if(S32=T32,JOIN("""",""Static: "",S32),JOIN("""",""Min:  "",S32, CHAR(10),""Max: "",T32)))"),"")</f>
        <v/>
      </c>
      <c r="S32" s="42" t="str">
        <f t="array" ref="S32">_xlfn.XLOOKUP(B32,'Up Min'!A:A,'Up Min'!E:E,)</f>
        <v/>
      </c>
      <c r="T32" s="42" t="str">
        <f t="array" ref="T32">_xlfn.XLOOKUP(B32,'Up Max'!A:A,'Up Max'!E:E,)</f>
        <v/>
      </c>
      <c r="U32" s="48" t="str">
        <f t="array" ref="U32">_xlfn.XLOOKUP(B32,'Up Stats'!A:A,'Up Stats'!F:F,)</f>
        <v/>
      </c>
      <c r="V32" s="40" t="str">
        <f>IFERROR(__xludf.DUMMYFUNCTION("if(AND(W32=FALSE,X32=FALSE),,if(W32=X32,JOIN("""",""Static: "",W32),JOIN("""",""Min:  "",W32, CHAR(10),""Max: "",X32)))"),"")</f>
        <v/>
      </c>
      <c r="W32" s="42" t="str">
        <f t="array" ref="W32">_xlfn.XLOOKUP(B32,'Up Min'!A:A,'Up Min'!F:F,)</f>
        <v/>
      </c>
      <c r="X32" s="42" t="str">
        <f t="array" ref="X32">_xlfn.XLOOKUP(B32,'Up Max'!A:A,'Up Max'!F:F,)</f>
        <v/>
      </c>
      <c r="Y32" s="48" t="str">
        <f t="array" ref="Y32">_xlfn.XLOOKUP(B32,'Up Stats'!A:A,'Up Stats'!G:G,)</f>
        <v/>
      </c>
      <c r="Z32" s="40" t="str">
        <f>IFERROR(__xludf.DUMMYFUNCTION("if(AND(AA32=FALSE,AB32=FALSE),,if(AA32=AB32,JOIN("""",""Static: "",AA32),JOIN("""",""Min:  "",AA32, CHAR(10),""Max: "",AB32)))"),"")</f>
        <v/>
      </c>
      <c r="AA32" s="42" t="str">
        <f t="array" ref="AA32">_xlfn.XLOOKUP(B32,'Up Min'!A:A,'Up Min'!G:G,)</f>
        <v/>
      </c>
      <c r="AB32" s="42" t="str">
        <f t="array" ref="AB32">_xlfn.XLOOKUP(B32,'Up Max'!A:A,'Up Max'!G:G,)</f>
        <v/>
      </c>
      <c r="AC32" s="48" t="str">
        <f t="array" ref="AC32">_xlfn.XLOOKUP(B32,'Up Stats'!A:A,'Up Stats'!H:H,)</f>
        <v/>
      </c>
      <c r="AD32" s="40" t="str">
        <f>IFERROR(__xludf.DUMMYFUNCTION("if(AND(AE32=FALSE,AF32=FALSE),,if(AE32=AF32,JOIN("""",""Static: "",AE32),JOIN("""",""Min:  "",AE32, CHAR(10),""Max: "",AF32)))"),"")</f>
        <v/>
      </c>
      <c r="AE32" s="42" t="str">
        <f t="array" ref="AE32">_xlfn.XLOOKUP(B32,'Up Min'!A:A,'Up Min'!H:H,)</f>
        <v/>
      </c>
      <c r="AF32" s="42" t="str">
        <f t="array" ref="AF32">_xlfn.XLOOKUP(B32,'Up Max'!A:A,'Up Max'!H:H,)</f>
        <v/>
      </c>
      <c r="AG32" s="48" t="str">
        <f t="array" ref="AG32">_xlfn.XLOOKUP(B32,'Up Stats'!A:A,'Up Stats'!I:I,)</f>
        <v/>
      </c>
      <c r="AH32" s="40" t="str">
        <f>IFERROR(__xludf.DUMMYFUNCTION("if(AND(AI32=FALSE,AJ32=FALSE),,if(AI32=AJ32,JOIN("""",""Static: "",AI32),JOIN("""",""Min:  "",AI32, CHAR(10),""Max: "",AJ32)))"),"")</f>
        <v/>
      </c>
      <c r="AI32" s="42" t="str">
        <f t="array" ref="AI32">_xlfn.XLOOKUP(B32,'Up Min'!A:A,'Up Min'!I:I,)</f>
        <v/>
      </c>
      <c r="AJ32" s="42" t="str">
        <f t="array" ref="AJ32">_xlfn.XLOOKUP(B32,'Up Max'!A:A,'Up Max'!I:I,)</f>
        <v/>
      </c>
      <c r="AK32" s="48" t="str">
        <f t="array" ref="AK32">_xlfn.XLOOKUP(B32,'Up Stats'!A:A,'Up Stats'!J:J,)</f>
        <v/>
      </c>
      <c r="AL32" s="40" t="str">
        <f>IFERROR(__xludf.DUMMYFUNCTION("if(AND(AM32=FALSE,AN32=FALSE),,if(AM32=AN32,JOIN("""",""Static: "",AM32),JOIN("""",""Min:  "",AM32, CHAR(10),""Max: "",AN32)))"),"")</f>
        <v/>
      </c>
      <c r="AM32" s="42" t="str">
        <f t="array" ref="AM32">_xlfn.XLOOKUP(B32,'Up Min'!A:A,'Up Min'!J:J,)</f>
        <v/>
      </c>
      <c r="AN32" s="42" t="str">
        <f t="array" ref="AN32">_xlfn.XLOOKUP(B32,'Up Max'!A:A,'Up Max'!J:J,)</f>
        <v/>
      </c>
      <c r="AO32" s="34" t="str">
        <f t="array" ref="AO32">CONCATENATE(_xlfn.XLOOKUP(B32,'Up Cells'!A:A,'Up Cells'!B:B,))</f>
        <v>4</v>
      </c>
      <c r="AP32" s="34" t="str">
        <f t="array" ref="AP32">CONCATENATE(_xlfn.XLOOKUP(B32,'Up Rarity'!A:A,'Up Rarity'!B:B,),CHAR(10),"-")</f>
        <v>Rare
-</v>
      </c>
    </row>
    <row r="33">
      <c r="A33" s="84" t="str">
        <f t="array" ref="A33">_xlfn.XLOOKUP(B33,'Up Icon'!A:A,'Up Icon'!B:B,)</f>
        <v/>
      </c>
      <c r="B33" s="88" t="str">
        <f t="array" ref="B33">HYPERLINK(_xlfn.XLOOKUP('Up Names'!F30,'Up Wiki'!A:A,'Up Wiki'!B:B,),'Up Names'!F30)</f>
        <v>Double A</v>
      </c>
      <c r="C33" s="52" t="str">
        <f t="array" ref="C33">_xlfn.XLOOKUP(B33,'Up Desc'!A:A,'Up Desc'!B:B,)</f>
        <v>Plate Launcher battery capacity is increased.</v>
      </c>
      <c r="D33" s="52" t="str">
        <f t="array" ref="D33">_xlfn.XLOOKUP(B33,'Up Turbo'!A:A,'Up Turbo'!B:B,)</f>
        <v>n/a</v>
      </c>
      <c r="E33" s="53" t="str">
        <f t="array" ref="E33">_xlfn.XLOOKUP(B33,'Up Stats'!A:A,'Up Stats'!B:B,)</f>
        <v>Battery Capacity</v>
      </c>
      <c r="F33" s="54" t="str">
        <f>IFERROR(__xludf.DUMMYFUNCTION("if(AND(G33=FALSE,H33=FALSE),,if(G33=H33,JOIN("""",""Static: "",G33),JOIN("""",""Min:  "",G33, CHAR(10),""Max: "",H33)))"),"Min:  10
Max: 20")</f>
        <v>Min:  10
Max: 20</v>
      </c>
      <c r="G33" s="64">
        <f t="array" ref="G33">_xlfn.XLOOKUP(B33,'Up Min'!A:A,'Up Min'!B:B,)</f>
        <v>10</v>
      </c>
      <c r="H33" s="65">
        <f t="array" ref="H33">_xlfn.XLOOKUP(B33,'Up Max'!A:A,'Up Max'!B:B,)</f>
        <v>20</v>
      </c>
      <c r="I33" s="53" t="str">
        <f t="array" ref="I33">_xlfn.XLOOKUP(B33,'Up Stats'!A:A,'Up Stats'!C:C,)</f>
        <v/>
      </c>
      <c r="J33" s="54" t="str">
        <f>IFERROR(__xludf.DUMMYFUNCTION("if(AND(K33=FALSE,L33=FALSE),,if(K33=L33,JOIN("""",""Static: "",K33),JOIN("""",""Min:  "",K33, CHAR(10),""Max: "",L33)))"),"")</f>
        <v/>
      </c>
      <c r="K33" s="55" t="str">
        <f t="array" ref="K33">_xlfn.XLOOKUP(B33,'Up Min'!A:A,'Up Min'!C:C,)</f>
        <v/>
      </c>
      <c r="L33" s="55" t="str">
        <f t="array" ref="L33">_xlfn.XLOOKUP(B33,'Up Max'!A:A,'Up Max'!C:C,)</f>
        <v/>
      </c>
      <c r="M33" s="57" t="str">
        <f t="array" ref="M33">_xlfn.XLOOKUP(B33,'Up Stats'!A:A,'Up Stats'!D:D,)</f>
        <v/>
      </c>
      <c r="N33" s="54" t="str">
        <f>IFERROR(__xludf.DUMMYFUNCTION("if(AND(O33=FALSE,P33=FALSE),,if(O33=P33,JOIN("""",""Static: "",O33),JOIN("""",""Min:  "",O33, CHAR(10),""Max: "",P33)))"),"")</f>
        <v/>
      </c>
      <c r="O33" s="55" t="str">
        <f t="array" ref="O33">_xlfn.XLOOKUP(B33,'Up Min'!A:A,'Up Min'!D:D,)</f>
        <v/>
      </c>
      <c r="P33" s="55" t="str">
        <f t="array" ref="P33">_xlfn.XLOOKUP(B33,'Up Max'!A:A,'Up Max'!D:D,)</f>
        <v/>
      </c>
      <c r="Q33" s="57" t="str">
        <f t="array" ref="Q33">_xlfn.XLOOKUP(B33,'Up Stats'!A:A,'Up Stats'!E:E,)</f>
        <v/>
      </c>
      <c r="R33" s="54" t="str">
        <f>IFERROR(__xludf.DUMMYFUNCTION("if(AND(S33=FALSE,T33=FALSE),,if(S33=T33,JOIN("""",""Static: "",S33),JOIN("""",""Min:  "",S33, CHAR(10),""Max: "",T33)))"),"")</f>
        <v/>
      </c>
      <c r="S33" s="55" t="str">
        <f t="array" ref="S33">_xlfn.XLOOKUP(B33,'Up Min'!A:A,'Up Min'!E:E,)</f>
        <v/>
      </c>
      <c r="T33" s="55" t="str">
        <f t="array" ref="T33">_xlfn.XLOOKUP(B33,'Up Max'!A:A,'Up Max'!E:E,)</f>
        <v/>
      </c>
      <c r="U33" s="57" t="str">
        <f t="array" ref="U33">_xlfn.XLOOKUP(B33,'Up Stats'!A:A,'Up Stats'!F:F,)</f>
        <v/>
      </c>
      <c r="V33" s="54" t="str">
        <f>IFERROR(__xludf.DUMMYFUNCTION("if(AND(W33=FALSE,X33=FALSE),,if(W33=X33,JOIN("""",""Static: "",W33),JOIN("""",""Min:  "",W33, CHAR(10),""Max: "",X33)))"),"")</f>
        <v/>
      </c>
      <c r="W33" s="55" t="str">
        <f t="array" ref="W33">_xlfn.XLOOKUP(B33,'Up Min'!A:A,'Up Min'!F:F,)</f>
        <v/>
      </c>
      <c r="X33" s="55" t="str">
        <f t="array" ref="X33">_xlfn.XLOOKUP(B33,'Up Max'!A:A,'Up Max'!F:F,)</f>
        <v/>
      </c>
      <c r="Y33" s="57" t="str">
        <f t="array" ref="Y33">_xlfn.XLOOKUP(B33,'Up Stats'!A:A,'Up Stats'!G:G,)</f>
        <v/>
      </c>
      <c r="Z33" s="54" t="str">
        <f>IFERROR(__xludf.DUMMYFUNCTION("if(AND(AA33=FALSE,AB33=FALSE),,if(AA33=AB33,JOIN("""",""Static: "",AA33),JOIN("""",""Min:  "",AA33, CHAR(10),""Max: "",AB33)))"),"")</f>
        <v/>
      </c>
      <c r="AA33" s="55" t="str">
        <f t="array" ref="AA33">_xlfn.XLOOKUP(B33,'Up Min'!A:A,'Up Min'!G:G,)</f>
        <v/>
      </c>
      <c r="AB33" s="55" t="str">
        <f t="array" ref="AB33">_xlfn.XLOOKUP(B33,'Up Max'!A:A,'Up Max'!G:G,)</f>
        <v/>
      </c>
      <c r="AC33" s="57" t="str">
        <f t="array" ref="AC33">_xlfn.XLOOKUP(B33,'Up Stats'!A:A,'Up Stats'!H:H,)</f>
        <v/>
      </c>
      <c r="AD33" s="54" t="str">
        <f>IFERROR(__xludf.DUMMYFUNCTION("if(AND(AE33=FALSE,AF33=FALSE),,if(AE33=AF33,JOIN("""",""Static: "",AE33),JOIN("""",""Min:  "",AE33, CHAR(10),""Max: "",AF33)))"),"")</f>
        <v/>
      </c>
      <c r="AE33" s="55" t="str">
        <f t="array" ref="AE33">_xlfn.XLOOKUP(B33,'Up Min'!A:A,'Up Min'!H:H,)</f>
        <v/>
      </c>
      <c r="AF33" s="55" t="str">
        <f t="array" ref="AF33">_xlfn.XLOOKUP(B33,'Up Max'!A:A,'Up Max'!H:H,)</f>
        <v/>
      </c>
      <c r="AG33" s="57" t="str">
        <f t="array" ref="AG33">_xlfn.XLOOKUP(B33,'Up Stats'!A:A,'Up Stats'!I:I,)</f>
        <v/>
      </c>
      <c r="AH33" s="54" t="str">
        <f>IFERROR(__xludf.DUMMYFUNCTION("if(AND(AI33=FALSE,AJ33=FALSE),,if(AI33=AJ33,JOIN("""",""Static: "",AI33),JOIN("""",""Min:  "",AI33, CHAR(10),""Max: "",AJ33)))"),"")</f>
        <v/>
      </c>
      <c r="AI33" s="55" t="str">
        <f t="array" ref="AI33">_xlfn.XLOOKUP(B33,'Up Min'!A:A,'Up Min'!I:I,)</f>
        <v/>
      </c>
      <c r="AJ33" s="55" t="str">
        <f t="array" ref="AJ33">_xlfn.XLOOKUP(B33,'Up Max'!A:A,'Up Max'!I:I,)</f>
        <v/>
      </c>
      <c r="AK33" s="57" t="str">
        <f t="array" ref="AK33">_xlfn.XLOOKUP(B33,'Up Stats'!A:A,'Up Stats'!J:J,)</f>
        <v/>
      </c>
      <c r="AL33" s="54" t="str">
        <f>IFERROR(__xludf.DUMMYFUNCTION("if(AND(AM33=FALSE,AN33=FALSE),,if(AM33=AN33,JOIN("""",""Static: "",AM33),JOIN("""",""Min:  "",AM33, CHAR(10),""Max: "",AN33)))"),"")</f>
        <v/>
      </c>
      <c r="AM33" s="55" t="str">
        <f t="array" ref="AM33">_xlfn.XLOOKUP(B33,'Up Min'!A:A,'Up Min'!J:J,)</f>
        <v/>
      </c>
      <c r="AN33" s="55" t="str">
        <f t="array" ref="AN33">_xlfn.XLOOKUP(B33,'Up Max'!A:A,'Up Max'!J:J,)</f>
        <v/>
      </c>
      <c r="AO33" s="51" t="str">
        <f t="array" ref="AO33">CONCATENATE(_xlfn.XLOOKUP(B33,'Up Cells'!A:A,'Up Cells'!B:B,))</f>
        <v>3</v>
      </c>
      <c r="AP33" s="51" t="str">
        <f t="array" ref="AP33">CONCATENATE(_xlfn.XLOOKUP(B33,'Up Rarity'!A:A,'Up Rarity'!B:B,),CHAR(10),"-")</f>
        <v>Standard
-</v>
      </c>
    </row>
    <row r="34">
      <c r="A34" s="84" t="str">
        <f t="array" ref="A34">_xlfn.XLOOKUP(B34,'Up Icon'!A:A,'Up Icon'!B:B,)</f>
        <v/>
      </c>
      <c r="B34" s="89" t="str">
        <f t="array" ref="B34">HYPERLINK(_xlfn.XLOOKUP('Up Names'!F31,'Up Wiki'!A:A,'Up Wiki'!B:B,),'Up Names'!F31)</f>
        <v>Sharper Edges</v>
      </c>
      <c r="C34" s="37" t="str">
        <f t="array" ref="C34">_xlfn.XLOOKUP(B34,'Up Desc'!A:A,'Up Desc'!B:B,)</f>
        <v>Damage is increased.</v>
      </c>
      <c r="D34" s="37" t="str">
        <f t="array" ref="D34">_xlfn.XLOOKUP(B34,'Up Turbo'!A:A,'Up Turbo'!B:B,)</f>
        <v>n/a</v>
      </c>
      <c r="E34" s="39" t="str">
        <f t="array" ref="E34">_xlfn.XLOOKUP(B34,'Up Stats'!A:A,'Up Stats'!B:B,)</f>
        <v>Damage</v>
      </c>
      <c r="F34" s="40" t="str">
        <f>IFERROR(__xludf.DUMMYFUNCTION("if(AND(G34=FALSE,H34=FALSE),,if(G34=H34,JOIN("""",""Static: "",G34),JOIN("""",""Min:  "",G34, CHAR(10),""Max: "",H34)))"),"Min:  8%
Max: 12%")</f>
        <v>Min:  8%
Max: 12%</v>
      </c>
      <c r="G34" s="41">
        <f t="array" ref="G34">_xlfn.XLOOKUP(B34,'Up Min'!A:A,'Up Min'!B:B,)</f>
        <v>0.08</v>
      </c>
      <c r="H34" s="41">
        <f t="array" ref="H34">_xlfn.XLOOKUP(B34,'Up Max'!A:A,'Up Max'!B:B,)</f>
        <v>0.12</v>
      </c>
      <c r="I34" s="39" t="str">
        <f t="array" ref="I34">_xlfn.XLOOKUP(B34,'Up Stats'!A:A,'Up Stats'!C:C,)</f>
        <v/>
      </c>
      <c r="J34" s="40" t="str">
        <f>IFERROR(__xludf.DUMMYFUNCTION("if(AND(K34=FALSE,L34=FALSE),,if(K34=L34,JOIN("""",""Static: "",K34),JOIN("""",""Min:  "",K34, CHAR(10),""Max: "",L34)))"),"")</f>
        <v/>
      </c>
      <c r="K34" s="42" t="str">
        <f t="array" ref="K34">_xlfn.XLOOKUP(B34,'Up Min'!A:A,'Up Min'!C:C,)</f>
        <v/>
      </c>
      <c r="L34" s="42" t="str">
        <f t="array" ref="L34">_xlfn.XLOOKUP(B34,'Up Max'!A:A,'Up Max'!C:C,)</f>
        <v/>
      </c>
      <c r="M34" s="48" t="str">
        <f t="array" ref="M34">_xlfn.XLOOKUP(B34,'Up Stats'!A:A,'Up Stats'!D:D,)</f>
        <v/>
      </c>
      <c r="N34" s="40" t="str">
        <f>IFERROR(__xludf.DUMMYFUNCTION("if(AND(O34=FALSE,P34=FALSE),,if(O34=P34,JOIN("""",""Static: "",O34),JOIN("""",""Min:  "",O34, CHAR(10),""Max: "",P34)))"),"")</f>
        <v/>
      </c>
      <c r="O34" s="42" t="str">
        <f t="array" ref="O34">_xlfn.XLOOKUP(B34,'Up Min'!A:A,'Up Min'!D:D,)</f>
        <v/>
      </c>
      <c r="P34" s="42" t="str">
        <f t="array" ref="P34">_xlfn.XLOOKUP(B34,'Up Max'!A:A,'Up Max'!D:D,)</f>
        <v/>
      </c>
      <c r="Q34" s="48" t="str">
        <f t="array" ref="Q34">_xlfn.XLOOKUP(B34,'Up Stats'!A:A,'Up Stats'!E:E,)</f>
        <v/>
      </c>
      <c r="R34" s="40" t="str">
        <f>IFERROR(__xludf.DUMMYFUNCTION("if(AND(S34=FALSE,T34=FALSE),,if(S34=T34,JOIN("""",""Static: "",S34),JOIN("""",""Min:  "",S34, CHAR(10),""Max: "",T34)))"),"")</f>
        <v/>
      </c>
      <c r="S34" s="42" t="str">
        <f t="array" ref="S34">_xlfn.XLOOKUP(B34,'Up Min'!A:A,'Up Min'!E:E,)</f>
        <v/>
      </c>
      <c r="T34" s="42" t="str">
        <f t="array" ref="T34">_xlfn.XLOOKUP(B34,'Up Max'!A:A,'Up Max'!E:E,)</f>
        <v/>
      </c>
      <c r="U34" s="48" t="str">
        <f t="array" ref="U34">_xlfn.XLOOKUP(B34,'Up Stats'!A:A,'Up Stats'!F:F,)</f>
        <v/>
      </c>
      <c r="V34" s="40" t="str">
        <f>IFERROR(__xludf.DUMMYFUNCTION("if(AND(W34=FALSE,X34=FALSE),,if(W34=X34,JOIN("""",""Static: "",W34),JOIN("""",""Min:  "",W34, CHAR(10),""Max: "",X34)))"),"")</f>
        <v/>
      </c>
      <c r="W34" s="42" t="str">
        <f t="array" ref="W34">_xlfn.XLOOKUP(B34,'Up Min'!A:A,'Up Min'!F:F,)</f>
        <v/>
      </c>
      <c r="X34" s="42" t="str">
        <f t="array" ref="X34">_xlfn.XLOOKUP(B34,'Up Max'!A:A,'Up Max'!F:F,)</f>
        <v/>
      </c>
      <c r="Y34" s="48" t="str">
        <f t="array" ref="Y34">_xlfn.XLOOKUP(B34,'Up Stats'!A:A,'Up Stats'!G:G,)</f>
        <v/>
      </c>
      <c r="Z34" s="40" t="str">
        <f>IFERROR(__xludf.DUMMYFUNCTION("if(AND(AA34=FALSE,AB34=FALSE),,if(AA34=AB34,JOIN("""",""Static: "",AA34),JOIN("""",""Min:  "",AA34, CHAR(10),""Max: "",AB34)))"),"")</f>
        <v/>
      </c>
      <c r="AA34" s="42" t="str">
        <f t="array" ref="AA34">_xlfn.XLOOKUP(B34,'Up Min'!A:A,'Up Min'!G:G,)</f>
        <v/>
      </c>
      <c r="AB34" s="42" t="str">
        <f t="array" ref="AB34">_xlfn.XLOOKUP(B34,'Up Max'!A:A,'Up Max'!G:G,)</f>
        <v/>
      </c>
      <c r="AC34" s="48" t="str">
        <f t="array" ref="AC34">_xlfn.XLOOKUP(B34,'Up Stats'!A:A,'Up Stats'!H:H,)</f>
        <v/>
      </c>
      <c r="AD34" s="40" t="str">
        <f>IFERROR(__xludf.DUMMYFUNCTION("if(AND(AE34=FALSE,AF34=FALSE),,if(AE34=AF34,JOIN("""",""Static: "",AE34),JOIN("""",""Min:  "",AE34, CHAR(10),""Max: "",AF34)))"),"")</f>
        <v/>
      </c>
      <c r="AE34" s="42" t="str">
        <f t="array" ref="AE34">_xlfn.XLOOKUP(B34,'Up Min'!A:A,'Up Min'!H:H,)</f>
        <v/>
      </c>
      <c r="AF34" s="42" t="str">
        <f t="array" ref="AF34">_xlfn.XLOOKUP(B34,'Up Max'!A:A,'Up Max'!H:H,)</f>
        <v/>
      </c>
      <c r="AG34" s="48" t="str">
        <f t="array" ref="AG34">_xlfn.XLOOKUP(B34,'Up Stats'!A:A,'Up Stats'!I:I,)</f>
        <v/>
      </c>
      <c r="AH34" s="40" t="str">
        <f>IFERROR(__xludf.DUMMYFUNCTION("if(AND(AI34=FALSE,AJ34=FALSE),,if(AI34=AJ34,JOIN("""",""Static: "",AI34),JOIN("""",""Min:  "",AI34, CHAR(10),""Max: "",AJ34)))"),"")</f>
        <v/>
      </c>
      <c r="AI34" s="42" t="str">
        <f t="array" ref="AI34">_xlfn.XLOOKUP(B34,'Up Min'!A:A,'Up Min'!I:I,)</f>
        <v/>
      </c>
      <c r="AJ34" s="42" t="str">
        <f t="array" ref="AJ34">_xlfn.XLOOKUP(B34,'Up Max'!A:A,'Up Max'!I:I,)</f>
        <v/>
      </c>
      <c r="AK34" s="48" t="str">
        <f t="array" ref="AK34">_xlfn.XLOOKUP(B34,'Up Stats'!A:A,'Up Stats'!J:J,)</f>
        <v/>
      </c>
      <c r="AL34" s="40" t="str">
        <f>IFERROR(__xludf.DUMMYFUNCTION("if(AND(AM34=FALSE,AN34=FALSE),,if(AM34=AN34,JOIN("""",""Static: "",AM34),JOIN("""",""Min:  "",AM34, CHAR(10),""Max: "",AN34)))"),"")</f>
        <v/>
      </c>
      <c r="AM34" s="42" t="str">
        <f t="array" ref="AM34">_xlfn.XLOOKUP(B34,'Up Min'!A:A,'Up Min'!J:J,)</f>
        <v/>
      </c>
      <c r="AN34" s="42" t="str">
        <f t="array" ref="AN34">_xlfn.XLOOKUP(B34,'Up Max'!A:A,'Up Max'!J:J,)</f>
        <v/>
      </c>
      <c r="AO34" s="34" t="str">
        <f t="array" ref="AO34">CONCATENATE(_xlfn.XLOOKUP(B34,'Up Cells'!A:A,'Up Cells'!B:B,))</f>
        <v>6</v>
      </c>
      <c r="AP34" s="34" t="str">
        <f t="array" ref="AP34">CONCATENATE(_xlfn.XLOOKUP(B34,'Up Rarity'!A:A,'Up Rarity'!B:B,),CHAR(10),"-")</f>
        <v>Standard
-</v>
      </c>
    </row>
    <row r="35">
      <c r="A35" s="86" t="str">
        <f t="array" ref="A35">_xlfn.XLOOKUP(B35,'Up Icon'!A:A,'Up Icon'!B:B,)</f>
        <v/>
      </c>
      <c r="B35" s="61" t="str">
        <f t="array" ref="B35">HYPERLINK(_xlfn.XLOOKUP('Up Names'!F35,'Up Wiki'!A:A,'Up Wiki'!B:B,),'Up Names'!F35)</f>
        <v/>
      </c>
      <c r="C35" s="52" t="str">
        <f t="array" ref="C35">_xlfn.XLOOKUP(B35,'Up Desc'!A:A,'Up Desc'!B:B,)</f>
        <v/>
      </c>
      <c r="D35" s="52" t="str">
        <f t="array" ref="D35">_xlfn.XLOOKUP(B35,'Up Turbo'!A:A,'Up Turbo'!B:B,)</f>
        <v/>
      </c>
      <c r="E35" s="53" t="str">
        <f t="array" ref="E35">_xlfn.XLOOKUP(B35,'Up Stats'!A:A,'Up Stats'!B:B,)</f>
        <v/>
      </c>
      <c r="F35" s="54" t="str">
        <f>IFERROR(__xludf.DUMMYFUNCTION("if(AND(G35=FALSE,H35=FALSE),,if(G35=H35,JOIN("""",""Static: "",G35),JOIN("""",""Min:  "",G35, CHAR(10),""Max: "",H35)))"),"")</f>
        <v/>
      </c>
      <c r="G35" s="55" t="str">
        <f t="array" ref="G35">_xlfn.XLOOKUP(B35,'Up Min'!A:A,'Up Min'!B:B,)</f>
        <v/>
      </c>
      <c r="H35" s="56" t="str">
        <f t="array" ref="H35">_xlfn.XLOOKUP(B35,'Up Max'!A:A,'Up Max'!B:B,)</f>
        <v/>
      </c>
      <c r="I35" s="53" t="str">
        <f t="array" ref="I35">_xlfn.XLOOKUP(B35,'Up Stats'!A:A,'Up Stats'!C:C,)</f>
        <v/>
      </c>
      <c r="J35" s="54" t="str">
        <f>IFERROR(__xludf.DUMMYFUNCTION("if(AND(K35=FALSE,L35=FALSE),,if(K35=L35,JOIN("""",""Static: "",K35),JOIN("""",""Min:  "",K35, CHAR(10),""Max: "",L35)))"),"")</f>
        <v/>
      </c>
      <c r="K35" s="55" t="str">
        <f t="array" ref="K35">_xlfn.XLOOKUP(B35,'Up Min'!A:A,'Up Min'!C:C,)</f>
        <v/>
      </c>
      <c r="L35" s="55" t="str">
        <f t="array" ref="L35">_xlfn.XLOOKUP(B35,'Up Max'!A:A,'Up Max'!C:C,)</f>
        <v/>
      </c>
      <c r="M35" s="57" t="str">
        <f t="array" ref="M35">_xlfn.XLOOKUP(B35,'Up Stats'!A:A,'Up Stats'!D:D,)</f>
        <v/>
      </c>
      <c r="N35" s="54" t="str">
        <f>IFERROR(__xludf.DUMMYFUNCTION("if(AND(O35=FALSE,P35=FALSE),,if(O35=P35,JOIN("""",""Static: "",O35),JOIN("""",""Min:  "",O35, CHAR(10),""Max: "",P35)))"),"")</f>
        <v/>
      </c>
      <c r="O35" s="55" t="str">
        <f t="array" ref="O35">_xlfn.XLOOKUP(B35,'Up Min'!A:A,'Up Min'!D:D,)</f>
        <v/>
      </c>
      <c r="P35" s="55" t="str">
        <f t="array" ref="P35">_xlfn.XLOOKUP(B35,'Up Max'!A:A,'Up Max'!D:D,)</f>
        <v/>
      </c>
      <c r="Q35" s="57" t="str">
        <f t="array" ref="Q35">_xlfn.XLOOKUP(B35,'Up Stats'!A:A,'Up Stats'!E:E,)</f>
        <v/>
      </c>
      <c r="R35" s="54" t="str">
        <f>IFERROR(__xludf.DUMMYFUNCTION("if(AND(S35=FALSE,T35=FALSE),,if(S35=T35,JOIN("""",""Static: "",S35),JOIN("""",""Min:  "",S35, CHAR(10),""Max: "",T35)))"),"")</f>
        <v/>
      </c>
      <c r="S35" s="55" t="str">
        <f t="array" ref="S35">_xlfn.XLOOKUP(B35,'Up Min'!A:A,'Up Min'!E:E,)</f>
        <v/>
      </c>
      <c r="T35" s="55" t="str">
        <f t="array" ref="T35">_xlfn.XLOOKUP(B35,'Up Max'!A:A,'Up Max'!E:E,)</f>
        <v/>
      </c>
      <c r="U35" s="57" t="str">
        <f t="array" ref="U35">_xlfn.XLOOKUP(B35,'Up Stats'!A:A,'Up Stats'!F:F,)</f>
        <v/>
      </c>
      <c r="V35" s="54" t="str">
        <f>IFERROR(__xludf.DUMMYFUNCTION("if(AND(W35=FALSE,X35=FALSE),,if(W35=X35,JOIN("""",""Static: "",W35),JOIN("""",""Min:  "",W35, CHAR(10),""Max: "",X35)))"),"")</f>
        <v/>
      </c>
      <c r="W35" s="55" t="str">
        <f t="array" ref="W35">_xlfn.XLOOKUP(B35,'Up Min'!A:A,'Up Min'!F:F,)</f>
        <v/>
      </c>
      <c r="X35" s="55" t="str">
        <f t="array" ref="X35">_xlfn.XLOOKUP(B35,'Up Max'!A:A,'Up Max'!F:F,)</f>
        <v/>
      </c>
      <c r="Y35" s="57" t="str">
        <f t="array" ref="Y35">_xlfn.XLOOKUP(B35,'Up Stats'!A:A,'Up Stats'!G:G,)</f>
        <v/>
      </c>
      <c r="Z35" s="54" t="str">
        <f>IFERROR(__xludf.DUMMYFUNCTION("if(AND(AA35=FALSE,AB35=FALSE),,if(AA35=AB35,JOIN("""",""Static: "",AA35),JOIN("""",""Min:  "",AA35, CHAR(10),""Max: "",AB35)))"),"")</f>
        <v/>
      </c>
      <c r="AA35" s="55" t="str">
        <f t="array" ref="AA35">_xlfn.XLOOKUP(B35,'Up Min'!A:A,'Up Min'!G:G,)</f>
        <v/>
      </c>
      <c r="AB35" s="55" t="str">
        <f t="array" ref="AB35">_xlfn.XLOOKUP(B35,'Up Max'!A:A,'Up Max'!G:G,)</f>
        <v/>
      </c>
      <c r="AC35" s="57" t="str">
        <f t="array" ref="AC35">_xlfn.XLOOKUP(B35,'Up Stats'!A:A,'Up Stats'!H:H,)</f>
        <v/>
      </c>
      <c r="AD35" s="54" t="str">
        <f>IFERROR(__xludf.DUMMYFUNCTION("if(AND(AE35=FALSE,AF35=FALSE),,if(AE35=AF35,JOIN("""",""Static: "",AE35),JOIN("""",""Min:  "",AE35, CHAR(10),""Max: "",AF35)))"),"")</f>
        <v/>
      </c>
      <c r="AE35" s="55" t="str">
        <f t="array" ref="AE35">_xlfn.XLOOKUP(B35,'Up Min'!A:A,'Up Min'!H:H,)</f>
        <v/>
      </c>
      <c r="AF35" s="55" t="str">
        <f t="array" ref="AF35">_xlfn.XLOOKUP(B35,'Up Max'!A:A,'Up Max'!H:H,)</f>
        <v/>
      </c>
      <c r="AG35" s="57" t="str">
        <f t="array" ref="AG35">_xlfn.XLOOKUP(B35,'Up Stats'!A:A,'Up Stats'!I:I,)</f>
        <v/>
      </c>
      <c r="AH35" s="54" t="str">
        <f>IFERROR(__xludf.DUMMYFUNCTION("if(AND(AI35=FALSE,AJ35=FALSE),,if(AI35=AJ35,JOIN("""",""Static: "",AI35),JOIN("""",""Min:  "",AI35, CHAR(10),""Max: "",AJ35)))"),"")</f>
        <v/>
      </c>
      <c r="AI35" s="55" t="str">
        <f t="array" ref="AI35">_xlfn.XLOOKUP(B35,'Up Min'!A:A,'Up Min'!I:I,)</f>
        <v/>
      </c>
      <c r="AJ35" s="55" t="str">
        <f t="array" ref="AJ35">_xlfn.XLOOKUP(B35,'Up Max'!A:A,'Up Max'!I:I,)</f>
        <v/>
      </c>
      <c r="AK35" s="57" t="str">
        <f t="array" ref="AK35">_xlfn.XLOOKUP(B35,'Up Stats'!A:A,'Up Stats'!J:J,)</f>
        <v/>
      </c>
      <c r="AL35" s="54" t="str">
        <f>IFERROR(__xludf.DUMMYFUNCTION("if(AND(AM35=FALSE,AN35=FALSE),,if(AM35=AN35,JOIN("""",""Static: "",AM35),JOIN("""",""Min:  "",AM35, CHAR(10),""Max: "",AN35)))"),"")</f>
        <v/>
      </c>
      <c r="AM35" s="55" t="str">
        <f t="array" ref="AM35">_xlfn.XLOOKUP(B35,'Up Min'!A:A,'Up Min'!J:J,)</f>
        <v/>
      </c>
      <c r="AN35" s="55" t="str">
        <f t="array" ref="AN35">_xlfn.XLOOKUP(B35,'Up Max'!A:A,'Up Max'!J:J,)</f>
        <v/>
      </c>
      <c r="AO35" s="51" t="str">
        <f t="array" ref="AO35">CONCATENATE(_xlfn.XLOOKUP(B35,'Up Cells'!A:A,'Up Cells'!B:B,))</f>
        <v/>
      </c>
      <c r="AP35" s="51" t="str">
        <f t="array" ref="AP35">CONCATENATE(_xlfn.XLOOKUP(B35,'Up Rarity'!A:A,'Up Rarity'!B:B,),CHAR(10),"-")</f>
        <v>
-</v>
      </c>
    </row>
    <row r="36">
      <c r="A36" s="87" t="str">
        <f t="array" ref="A36">_xlfn.XLOOKUP(B36,'Up Icon'!A:A,'Up Icon'!B:B,)</f>
        <v/>
      </c>
      <c r="B36" s="58" t="str">
        <f t="array" ref="B36">HYPERLINK(_xlfn.XLOOKUP('Up Names'!F36,'Up Wiki'!A:A,'Up Wiki'!B:B,),'Up Names'!F36)</f>
        <v/>
      </c>
      <c r="C36" s="37" t="str">
        <f t="array" ref="C36">_xlfn.XLOOKUP(B36,'Up Desc'!A:A,'Up Desc'!B:B,)</f>
        <v/>
      </c>
      <c r="D36" s="37" t="str">
        <f t="array" ref="D36">_xlfn.XLOOKUP(B36,'Up Turbo'!A:A,'Up Turbo'!B:B,)</f>
        <v/>
      </c>
      <c r="E36" s="39" t="str">
        <f t="array" ref="E36">_xlfn.XLOOKUP(B36,'Up Stats'!A:A,'Up Stats'!B:B,)</f>
        <v/>
      </c>
      <c r="F36" s="40" t="str">
        <f>IFERROR(__xludf.DUMMYFUNCTION("if(AND(G36=FALSE,H36=FALSE),,if(G36=H36,JOIN("""",""Static: "",G36),JOIN("""",""Min:  "",G36, CHAR(10),""Max: "",H36)))"),"")</f>
        <v/>
      </c>
      <c r="G36" s="42" t="str">
        <f t="array" ref="G36">_xlfn.XLOOKUP(B36,'Up Min'!A:A,'Up Min'!B:B,)</f>
        <v/>
      </c>
      <c r="H36" s="45" t="str">
        <f t="array" ref="H36">_xlfn.XLOOKUP(B36,'Up Max'!A:A,'Up Max'!B:B,)</f>
        <v/>
      </c>
      <c r="I36" s="39" t="str">
        <f t="array" ref="I36">_xlfn.XLOOKUP(B36,'Up Stats'!A:A,'Up Stats'!C:C,)</f>
        <v/>
      </c>
      <c r="J36" s="40" t="str">
        <f>IFERROR(__xludf.DUMMYFUNCTION("if(AND(K36=FALSE,L36=FALSE),,if(K36=L36,JOIN("""",""Static: "",K36),JOIN("""",""Min:  "",K36, CHAR(10),""Max: "",L36)))"),"")</f>
        <v/>
      </c>
      <c r="K36" s="42" t="str">
        <f t="array" ref="K36">_xlfn.XLOOKUP(B36,'Up Min'!A:A,'Up Min'!C:C,)</f>
        <v/>
      </c>
      <c r="L36" s="42" t="str">
        <f t="array" ref="L36">_xlfn.XLOOKUP(B36,'Up Max'!A:A,'Up Max'!C:C,)</f>
        <v/>
      </c>
      <c r="M36" s="48" t="str">
        <f t="array" ref="M36">_xlfn.XLOOKUP(B36,'Up Stats'!A:A,'Up Stats'!D:D,)</f>
        <v/>
      </c>
      <c r="N36" s="40" t="str">
        <f>IFERROR(__xludf.DUMMYFUNCTION("if(AND(O36=FALSE,P36=FALSE),,if(O36=P36,JOIN("""",""Static: "",O36),JOIN("""",""Min:  "",O36, CHAR(10),""Max: "",P36)))"),"")</f>
        <v/>
      </c>
      <c r="O36" s="42" t="str">
        <f t="array" ref="O36">_xlfn.XLOOKUP(B36,'Up Min'!A:A,'Up Min'!D:D,)</f>
        <v/>
      </c>
      <c r="P36" s="42" t="str">
        <f t="array" ref="P36">_xlfn.XLOOKUP(B36,'Up Max'!A:A,'Up Max'!D:D,)</f>
        <v/>
      </c>
      <c r="Q36" s="48" t="str">
        <f t="array" ref="Q36">_xlfn.XLOOKUP(B36,'Up Stats'!A:A,'Up Stats'!E:E,)</f>
        <v/>
      </c>
      <c r="R36" s="40" t="str">
        <f>IFERROR(__xludf.DUMMYFUNCTION("if(AND(S36=FALSE,T36=FALSE),,if(S36=T36,JOIN("""",""Static: "",S36),JOIN("""",""Min:  "",S36, CHAR(10),""Max: "",T36)))"),"")</f>
        <v/>
      </c>
      <c r="S36" s="42" t="str">
        <f t="array" ref="S36">_xlfn.XLOOKUP(B36,'Up Min'!A:A,'Up Min'!E:E,)</f>
        <v/>
      </c>
      <c r="T36" s="42" t="str">
        <f t="array" ref="T36">_xlfn.XLOOKUP(B36,'Up Max'!A:A,'Up Max'!E:E,)</f>
        <v/>
      </c>
      <c r="U36" s="48" t="str">
        <f t="array" ref="U36">_xlfn.XLOOKUP(B36,'Up Stats'!A:A,'Up Stats'!F:F,)</f>
        <v/>
      </c>
      <c r="V36" s="40" t="str">
        <f>IFERROR(__xludf.DUMMYFUNCTION("if(AND(W36=FALSE,X36=FALSE),,if(W36=X36,JOIN("""",""Static: "",W36),JOIN("""",""Min:  "",W36, CHAR(10),""Max: "",X36)))"),"")</f>
        <v/>
      </c>
      <c r="W36" s="42" t="str">
        <f t="array" ref="W36">_xlfn.XLOOKUP(B36,'Up Min'!A:A,'Up Min'!F:F,)</f>
        <v/>
      </c>
      <c r="X36" s="42" t="str">
        <f t="array" ref="X36">_xlfn.XLOOKUP(B36,'Up Max'!A:A,'Up Max'!F:F,)</f>
        <v/>
      </c>
      <c r="Y36" s="48" t="str">
        <f t="array" ref="Y36">_xlfn.XLOOKUP(B36,'Up Stats'!A:A,'Up Stats'!G:G,)</f>
        <v/>
      </c>
      <c r="Z36" s="40" t="str">
        <f>IFERROR(__xludf.DUMMYFUNCTION("if(AND(AA36=FALSE,AB36=FALSE),,if(AA36=AB36,JOIN("""",""Static: "",AA36),JOIN("""",""Min:  "",AA36, CHAR(10),""Max: "",AB36)))"),"")</f>
        <v/>
      </c>
      <c r="AA36" s="42" t="str">
        <f t="array" ref="AA36">_xlfn.XLOOKUP(B36,'Up Min'!A:A,'Up Min'!G:G,)</f>
        <v/>
      </c>
      <c r="AB36" s="42" t="str">
        <f t="array" ref="AB36">_xlfn.XLOOKUP(B36,'Up Max'!A:A,'Up Max'!G:G,)</f>
        <v/>
      </c>
      <c r="AC36" s="48" t="str">
        <f t="array" ref="AC36">_xlfn.XLOOKUP(B36,'Up Stats'!A:A,'Up Stats'!H:H,)</f>
        <v/>
      </c>
      <c r="AD36" s="40" t="str">
        <f>IFERROR(__xludf.DUMMYFUNCTION("if(AND(AE36=FALSE,AF36=FALSE),,if(AE36=AF36,JOIN("""",""Static: "",AE36),JOIN("""",""Min:  "",AE36, CHAR(10),""Max: "",AF36)))"),"")</f>
        <v/>
      </c>
      <c r="AE36" s="42" t="str">
        <f t="array" ref="AE36">_xlfn.XLOOKUP(B36,'Up Min'!A:A,'Up Min'!H:H,)</f>
        <v/>
      </c>
      <c r="AF36" s="42" t="str">
        <f t="array" ref="AF36">_xlfn.XLOOKUP(B36,'Up Max'!A:A,'Up Max'!H:H,)</f>
        <v/>
      </c>
      <c r="AG36" s="48" t="str">
        <f t="array" ref="AG36">_xlfn.XLOOKUP(B36,'Up Stats'!A:A,'Up Stats'!I:I,)</f>
        <v/>
      </c>
      <c r="AH36" s="40" t="str">
        <f>IFERROR(__xludf.DUMMYFUNCTION("if(AND(AI36=FALSE,AJ36=FALSE),,if(AI36=AJ36,JOIN("""",""Static: "",AI36),JOIN("""",""Min:  "",AI36, CHAR(10),""Max: "",AJ36)))"),"")</f>
        <v/>
      </c>
      <c r="AI36" s="42" t="str">
        <f t="array" ref="AI36">_xlfn.XLOOKUP(B36,'Up Min'!A:A,'Up Min'!I:I,)</f>
        <v/>
      </c>
      <c r="AJ36" s="42" t="str">
        <f t="array" ref="AJ36">_xlfn.XLOOKUP(B36,'Up Max'!A:A,'Up Max'!I:I,)</f>
        <v/>
      </c>
      <c r="AK36" s="48" t="str">
        <f t="array" ref="AK36">_xlfn.XLOOKUP(B36,'Up Stats'!A:A,'Up Stats'!J:J,)</f>
        <v/>
      </c>
      <c r="AL36" s="40" t="str">
        <f>IFERROR(__xludf.DUMMYFUNCTION("if(AND(AM36=FALSE,AN36=FALSE),,if(AM36=AN36,JOIN("""",""Static: "",AM36),JOIN("""",""Min:  "",AM36, CHAR(10),""Max: "",AN36)))"),"")</f>
        <v/>
      </c>
      <c r="AM36" s="42" t="str">
        <f t="array" ref="AM36">_xlfn.XLOOKUP(B36,'Up Min'!A:A,'Up Min'!J:J,)</f>
        <v/>
      </c>
      <c r="AN36" s="42" t="str">
        <f t="array" ref="AN36">_xlfn.XLOOKUP(B36,'Up Max'!A:A,'Up Max'!J:J,)</f>
        <v/>
      </c>
      <c r="AO36" s="34" t="str">
        <f t="array" ref="AO36">CONCATENATE(_xlfn.XLOOKUP(B36,'Up Cells'!A:A,'Up Cells'!B:B,))</f>
        <v/>
      </c>
      <c r="AP36" s="34" t="str">
        <f t="array" ref="AP36">CONCATENATE(_xlfn.XLOOKUP(B36,'Up Rarity'!A:A,'Up Rarity'!B:B,),CHAR(10),"-")</f>
        <v>
-</v>
      </c>
    </row>
    <row r="37">
      <c r="A37" s="86" t="str">
        <f t="array" ref="A37">_xlfn.XLOOKUP(B37,'Up Icon'!A:A,'Up Icon'!B:B,)</f>
        <v/>
      </c>
      <c r="B37" s="61" t="str">
        <f t="array" ref="B37">HYPERLINK(_xlfn.XLOOKUP('Up Names'!F37,'Up Wiki'!A:A,'Up Wiki'!B:B,),'Up Names'!F37)</f>
        <v/>
      </c>
      <c r="C37" s="52" t="str">
        <f t="array" ref="C37">_xlfn.XLOOKUP(B37,'Up Desc'!A:A,'Up Desc'!B:B,)</f>
        <v/>
      </c>
      <c r="D37" s="52" t="str">
        <f t="array" ref="D37">_xlfn.XLOOKUP(B37,'Up Turbo'!A:A,'Up Turbo'!B:B,)</f>
        <v/>
      </c>
      <c r="E37" s="53" t="str">
        <f t="array" ref="E37">_xlfn.XLOOKUP(B37,'Up Stats'!A:A,'Up Stats'!B:B,)</f>
        <v/>
      </c>
      <c r="F37" s="54" t="str">
        <f>IFERROR(__xludf.DUMMYFUNCTION("if(AND(G37=FALSE,H37=FALSE),,if(G37=H37,JOIN("""",""Static: "",G37),JOIN("""",""Min:  "",G37, CHAR(10),""Max: "",H37)))"),"")</f>
        <v/>
      </c>
      <c r="G37" s="55" t="str">
        <f t="array" ref="G37">_xlfn.XLOOKUP(B37,'Up Min'!A:A,'Up Min'!B:B,)</f>
        <v/>
      </c>
      <c r="H37" s="56" t="str">
        <f t="array" ref="H37">_xlfn.XLOOKUP(B37,'Up Max'!A:A,'Up Max'!B:B,)</f>
        <v/>
      </c>
      <c r="I37" s="53" t="str">
        <f t="array" ref="I37">_xlfn.XLOOKUP(B37,'Up Stats'!A:A,'Up Stats'!C:C,)</f>
        <v/>
      </c>
      <c r="J37" s="54" t="str">
        <f>IFERROR(__xludf.DUMMYFUNCTION("if(AND(K37=FALSE,L37=FALSE),,if(K37=L37,JOIN("""",""Static: "",K37),JOIN("""",""Min:  "",K37, CHAR(10),""Max: "",L37)))"),"")</f>
        <v/>
      </c>
      <c r="K37" s="55" t="str">
        <f t="array" ref="K37">_xlfn.XLOOKUP(B37,'Up Min'!A:A,'Up Min'!C:C,)</f>
        <v/>
      </c>
      <c r="L37" s="55" t="str">
        <f t="array" ref="L37">_xlfn.XLOOKUP(B37,'Up Max'!A:A,'Up Max'!C:C,)</f>
        <v/>
      </c>
      <c r="M37" s="57" t="str">
        <f t="array" ref="M37">_xlfn.XLOOKUP(B37,'Up Stats'!A:A,'Up Stats'!D:D,)</f>
        <v/>
      </c>
      <c r="N37" s="54" t="str">
        <f>IFERROR(__xludf.DUMMYFUNCTION("if(AND(O37=FALSE,P37=FALSE),,if(O37=P37,JOIN("""",""Static: "",O37),JOIN("""",""Min:  "",O37, CHAR(10),""Max: "",P37)))"),"")</f>
        <v/>
      </c>
      <c r="O37" s="55" t="str">
        <f t="array" ref="O37">_xlfn.XLOOKUP(B37,'Up Min'!A:A,'Up Min'!D:D,)</f>
        <v/>
      </c>
      <c r="P37" s="55" t="str">
        <f t="array" ref="P37">_xlfn.XLOOKUP(B37,'Up Max'!A:A,'Up Max'!D:D,)</f>
        <v/>
      </c>
      <c r="Q37" s="57" t="str">
        <f t="array" ref="Q37">_xlfn.XLOOKUP(B37,'Up Stats'!A:A,'Up Stats'!E:E,)</f>
        <v/>
      </c>
      <c r="R37" s="54" t="str">
        <f>IFERROR(__xludf.DUMMYFUNCTION("if(AND(S37=FALSE,T37=FALSE),,if(S37=T37,JOIN("""",""Static: "",S37),JOIN("""",""Min:  "",S37, CHAR(10),""Max: "",T37)))"),"")</f>
        <v/>
      </c>
      <c r="S37" s="55" t="str">
        <f t="array" ref="S37">_xlfn.XLOOKUP(B37,'Up Min'!A:A,'Up Min'!E:E,)</f>
        <v/>
      </c>
      <c r="T37" s="55" t="str">
        <f t="array" ref="T37">_xlfn.XLOOKUP(B37,'Up Max'!A:A,'Up Max'!E:E,)</f>
        <v/>
      </c>
      <c r="U37" s="57" t="str">
        <f t="array" ref="U37">_xlfn.XLOOKUP(B37,'Up Stats'!A:A,'Up Stats'!F:F,)</f>
        <v/>
      </c>
      <c r="V37" s="54" t="str">
        <f>IFERROR(__xludf.DUMMYFUNCTION("if(AND(W37=FALSE,X37=FALSE),,if(W37=X37,JOIN("""",""Static: "",W37),JOIN("""",""Min:  "",W37, CHAR(10),""Max: "",X37)))"),"")</f>
        <v/>
      </c>
      <c r="W37" s="55" t="str">
        <f t="array" ref="W37">_xlfn.XLOOKUP(B37,'Up Min'!A:A,'Up Min'!F:F,)</f>
        <v/>
      </c>
      <c r="X37" s="55" t="str">
        <f t="array" ref="X37">_xlfn.XLOOKUP(B37,'Up Max'!A:A,'Up Max'!F:F,)</f>
        <v/>
      </c>
      <c r="Y37" s="57" t="str">
        <f t="array" ref="Y37">_xlfn.XLOOKUP(B37,'Up Stats'!A:A,'Up Stats'!G:G,)</f>
        <v/>
      </c>
      <c r="Z37" s="54" t="str">
        <f>IFERROR(__xludf.DUMMYFUNCTION("if(AND(AA37=FALSE,AB37=FALSE),,if(AA37=AB37,JOIN("""",""Static: "",AA37),JOIN("""",""Min:  "",AA37, CHAR(10),""Max: "",AB37)))"),"")</f>
        <v/>
      </c>
      <c r="AA37" s="55" t="str">
        <f t="array" ref="AA37">_xlfn.XLOOKUP(B37,'Up Min'!A:A,'Up Min'!G:G,)</f>
        <v/>
      </c>
      <c r="AB37" s="55" t="str">
        <f t="array" ref="AB37">_xlfn.XLOOKUP(B37,'Up Max'!A:A,'Up Max'!G:G,)</f>
        <v/>
      </c>
      <c r="AC37" s="57" t="str">
        <f t="array" ref="AC37">_xlfn.XLOOKUP(B37,'Up Stats'!A:A,'Up Stats'!H:H,)</f>
        <v/>
      </c>
      <c r="AD37" s="54" t="str">
        <f>IFERROR(__xludf.DUMMYFUNCTION("if(AND(AE37=FALSE,AF37=FALSE),,if(AE37=AF37,JOIN("""",""Static: "",AE37),JOIN("""",""Min:  "",AE37, CHAR(10),""Max: "",AF37)))"),"")</f>
        <v/>
      </c>
      <c r="AE37" s="55" t="str">
        <f t="array" ref="AE37">_xlfn.XLOOKUP(B37,'Up Min'!A:A,'Up Min'!H:H,)</f>
        <v/>
      </c>
      <c r="AF37" s="55" t="str">
        <f t="array" ref="AF37">_xlfn.XLOOKUP(B37,'Up Max'!A:A,'Up Max'!H:H,)</f>
        <v/>
      </c>
      <c r="AG37" s="57" t="str">
        <f t="array" ref="AG37">_xlfn.XLOOKUP(B37,'Up Stats'!A:A,'Up Stats'!I:I,)</f>
        <v/>
      </c>
      <c r="AH37" s="54" t="str">
        <f>IFERROR(__xludf.DUMMYFUNCTION("if(AND(AI37=FALSE,AJ37=FALSE),,if(AI37=AJ37,JOIN("""",""Static: "",AI37),JOIN("""",""Min:  "",AI37, CHAR(10),""Max: "",AJ37)))"),"")</f>
        <v/>
      </c>
      <c r="AI37" s="55" t="str">
        <f t="array" ref="AI37">_xlfn.XLOOKUP(B37,'Up Min'!A:A,'Up Min'!I:I,)</f>
        <v/>
      </c>
      <c r="AJ37" s="55" t="str">
        <f t="array" ref="AJ37">_xlfn.XLOOKUP(B37,'Up Max'!A:A,'Up Max'!I:I,)</f>
        <v/>
      </c>
      <c r="AK37" s="57" t="str">
        <f t="array" ref="AK37">_xlfn.XLOOKUP(B37,'Up Stats'!A:A,'Up Stats'!J:J,)</f>
        <v/>
      </c>
      <c r="AL37" s="54" t="str">
        <f>IFERROR(__xludf.DUMMYFUNCTION("if(AND(AM37=FALSE,AN37=FALSE),,if(AM37=AN37,JOIN("""",""Static: "",AM37),JOIN("""",""Min:  "",AM37, CHAR(10),""Max: "",AN37)))"),"")</f>
        <v/>
      </c>
      <c r="AM37" s="55" t="str">
        <f t="array" ref="AM37">_xlfn.XLOOKUP(B37,'Up Min'!A:A,'Up Min'!J:J,)</f>
        <v/>
      </c>
      <c r="AN37" s="55" t="str">
        <f t="array" ref="AN37">_xlfn.XLOOKUP(B37,'Up Max'!A:A,'Up Max'!J:J,)</f>
        <v/>
      </c>
      <c r="AO37" s="51" t="str">
        <f t="array" ref="AO37">CONCATENATE(_xlfn.XLOOKUP(B37,'Up Cells'!A:A,'Up Cells'!B:B,))</f>
        <v/>
      </c>
      <c r="AP37" s="51" t="str">
        <f t="array" ref="AP37">CONCATENATE(_xlfn.XLOOKUP(B37,'Up Rarity'!A:A,'Up Rarity'!B:B,),CHAR(10),"-")</f>
        <v>
-</v>
      </c>
    </row>
    <row r="38">
      <c r="A38" s="87" t="str">
        <f t="array" ref="A38">_xlfn.XLOOKUP(B38,'Up Icon'!A:A,'Up Icon'!B:B,)</f>
        <v/>
      </c>
      <c r="B38" s="58" t="str">
        <f t="array" ref="B38">HYPERLINK(_xlfn.XLOOKUP('Up Names'!F38,'Up Wiki'!A:A,'Up Wiki'!B:B,),'Up Names'!F38)</f>
        <v/>
      </c>
      <c r="C38" s="37" t="str">
        <f t="array" ref="C38">_xlfn.XLOOKUP(B38,'Up Desc'!A:A,'Up Desc'!B:B,)</f>
        <v/>
      </c>
      <c r="D38" s="37" t="str">
        <f t="array" ref="D38">_xlfn.XLOOKUP(B38,'Up Turbo'!A:A,'Up Turbo'!B:B,)</f>
        <v/>
      </c>
      <c r="E38" s="39" t="str">
        <f t="array" ref="E38">_xlfn.XLOOKUP(B38,'Up Stats'!A:A,'Up Stats'!B:B,)</f>
        <v/>
      </c>
      <c r="F38" s="40" t="str">
        <f>IFERROR(__xludf.DUMMYFUNCTION("if(AND(G38=FALSE,H38=FALSE),,if(G38=H38,JOIN("""",""Static: "",G38),JOIN("""",""Min:  "",G38, CHAR(10),""Max: "",H38)))"),"")</f>
        <v/>
      </c>
      <c r="G38" s="42" t="str">
        <f t="array" ref="G38">_xlfn.XLOOKUP(B38,'Up Min'!A:A,'Up Min'!B:B,)</f>
        <v/>
      </c>
      <c r="H38" s="45" t="str">
        <f t="array" ref="H38">_xlfn.XLOOKUP(B38,'Up Max'!A:A,'Up Max'!B:B,)</f>
        <v/>
      </c>
      <c r="I38" s="39" t="str">
        <f t="array" ref="I38">_xlfn.XLOOKUP(B38,'Up Stats'!A:A,'Up Stats'!C:C,)</f>
        <v/>
      </c>
      <c r="J38" s="40" t="str">
        <f>IFERROR(__xludf.DUMMYFUNCTION("if(AND(K38=FALSE,L38=FALSE),,if(K38=L38,JOIN("""",""Static: "",K38),JOIN("""",""Min:  "",K38, CHAR(10),""Max: "",L38)))"),"")</f>
        <v/>
      </c>
      <c r="K38" s="42" t="str">
        <f t="array" ref="K38">_xlfn.XLOOKUP(B38,'Up Min'!A:A,'Up Min'!C:C,)</f>
        <v/>
      </c>
      <c r="L38" s="42" t="str">
        <f t="array" ref="L38">_xlfn.XLOOKUP(B38,'Up Max'!A:A,'Up Max'!C:C,)</f>
        <v/>
      </c>
      <c r="M38" s="48" t="str">
        <f t="array" ref="M38">_xlfn.XLOOKUP(B38,'Up Stats'!A:A,'Up Stats'!D:D,)</f>
        <v/>
      </c>
      <c r="N38" s="40" t="str">
        <f>IFERROR(__xludf.DUMMYFUNCTION("if(AND(O38=FALSE,P38=FALSE),,if(O38=P38,JOIN("""",""Static: "",O38),JOIN("""",""Min:  "",O38, CHAR(10),""Max: "",P38)))"),"")</f>
        <v/>
      </c>
      <c r="O38" s="42" t="str">
        <f t="array" ref="O38">_xlfn.XLOOKUP(B38,'Up Min'!A:A,'Up Min'!D:D,)</f>
        <v/>
      </c>
      <c r="P38" s="42" t="str">
        <f t="array" ref="P38">_xlfn.XLOOKUP(B38,'Up Max'!A:A,'Up Max'!D:D,)</f>
        <v/>
      </c>
      <c r="Q38" s="48" t="str">
        <f t="array" ref="Q38">_xlfn.XLOOKUP(B38,'Up Stats'!A:A,'Up Stats'!E:E,)</f>
        <v/>
      </c>
      <c r="R38" s="40" t="str">
        <f>IFERROR(__xludf.DUMMYFUNCTION("if(AND(S38=FALSE,T38=FALSE),,if(S38=T38,JOIN("""",""Static: "",S38),JOIN("""",""Min:  "",S38, CHAR(10),""Max: "",T38)))"),"")</f>
        <v/>
      </c>
      <c r="S38" s="42" t="str">
        <f t="array" ref="S38">_xlfn.XLOOKUP(B38,'Up Min'!A:A,'Up Min'!E:E,)</f>
        <v/>
      </c>
      <c r="T38" s="42" t="str">
        <f t="array" ref="T38">_xlfn.XLOOKUP(B38,'Up Max'!A:A,'Up Max'!E:E,)</f>
        <v/>
      </c>
      <c r="U38" s="48" t="str">
        <f t="array" ref="U38">_xlfn.XLOOKUP(B38,'Up Stats'!A:A,'Up Stats'!F:F,)</f>
        <v/>
      </c>
      <c r="V38" s="40" t="str">
        <f>IFERROR(__xludf.DUMMYFUNCTION("if(AND(W38=FALSE,X38=FALSE),,if(W38=X38,JOIN("""",""Static: "",W38),JOIN("""",""Min:  "",W38, CHAR(10),""Max: "",X38)))"),"")</f>
        <v/>
      </c>
      <c r="W38" s="42" t="str">
        <f t="array" ref="W38">_xlfn.XLOOKUP(B38,'Up Min'!A:A,'Up Min'!F:F,)</f>
        <v/>
      </c>
      <c r="X38" s="42" t="str">
        <f t="array" ref="X38">_xlfn.XLOOKUP(B38,'Up Max'!A:A,'Up Max'!F:F,)</f>
        <v/>
      </c>
      <c r="Y38" s="48" t="str">
        <f t="array" ref="Y38">_xlfn.XLOOKUP(B38,'Up Stats'!A:A,'Up Stats'!G:G,)</f>
        <v/>
      </c>
      <c r="Z38" s="40" t="str">
        <f>IFERROR(__xludf.DUMMYFUNCTION("if(AND(AA38=FALSE,AB38=FALSE),,if(AA38=AB38,JOIN("""",""Static: "",AA38),JOIN("""",""Min:  "",AA38, CHAR(10),""Max: "",AB38)))"),"")</f>
        <v/>
      </c>
      <c r="AA38" s="42" t="str">
        <f t="array" ref="AA38">_xlfn.XLOOKUP(B38,'Up Min'!A:A,'Up Min'!G:G,)</f>
        <v/>
      </c>
      <c r="AB38" s="42" t="str">
        <f t="array" ref="AB38">_xlfn.XLOOKUP(B38,'Up Max'!A:A,'Up Max'!G:G,)</f>
        <v/>
      </c>
      <c r="AC38" s="48" t="str">
        <f t="array" ref="AC38">_xlfn.XLOOKUP(B38,'Up Stats'!A:A,'Up Stats'!H:H,)</f>
        <v/>
      </c>
      <c r="AD38" s="40" t="str">
        <f>IFERROR(__xludf.DUMMYFUNCTION("if(AND(AE38=FALSE,AF38=FALSE),,if(AE38=AF38,JOIN("""",""Static: "",AE38),JOIN("""",""Min:  "",AE38, CHAR(10),""Max: "",AF38)))"),"")</f>
        <v/>
      </c>
      <c r="AE38" s="42" t="str">
        <f t="array" ref="AE38">_xlfn.XLOOKUP(B38,'Up Min'!A:A,'Up Min'!H:H,)</f>
        <v/>
      </c>
      <c r="AF38" s="42" t="str">
        <f t="array" ref="AF38">_xlfn.XLOOKUP(B38,'Up Max'!A:A,'Up Max'!H:H,)</f>
        <v/>
      </c>
      <c r="AG38" s="48" t="str">
        <f t="array" ref="AG38">_xlfn.XLOOKUP(B38,'Up Stats'!A:A,'Up Stats'!I:I,)</f>
        <v/>
      </c>
      <c r="AH38" s="40" t="str">
        <f>IFERROR(__xludf.DUMMYFUNCTION("if(AND(AI38=FALSE,AJ38=FALSE),,if(AI38=AJ38,JOIN("""",""Static: "",AI38),JOIN("""",""Min:  "",AI38, CHAR(10),""Max: "",AJ38)))"),"")</f>
        <v/>
      </c>
      <c r="AI38" s="42" t="str">
        <f t="array" ref="AI38">_xlfn.XLOOKUP(B38,'Up Min'!A:A,'Up Min'!I:I,)</f>
        <v/>
      </c>
      <c r="AJ38" s="42" t="str">
        <f t="array" ref="AJ38">_xlfn.XLOOKUP(B38,'Up Max'!A:A,'Up Max'!I:I,)</f>
        <v/>
      </c>
      <c r="AK38" s="48" t="str">
        <f t="array" ref="AK38">_xlfn.XLOOKUP(B38,'Up Stats'!A:A,'Up Stats'!J:J,)</f>
        <v/>
      </c>
      <c r="AL38" s="40" t="str">
        <f>IFERROR(__xludf.DUMMYFUNCTION("if(AND(AM38=FALSE,AN38=FALSE),,if(AM38=AN38,JOIN("""",""Static: "",AM38),JOIN("""",""Min:  "",AM38, CHAR(10),""Max: "",AN38)))"),"")</f>
        <v/>
      </c>
      <c r="AM38" s="42" t="str">
        <f t="array" ref="AM38">_xlfn.XLOOKUP(B38,'Up Min'!A:A,'Up Min'!J:J,)</f>
        <v/>
      </c>
      <c r="AN38" s="42" t="str">
        <f t="array" ref="AN38">_xlfn.XLOOKUP(B38,'Up Max'!A:A,'Up Max'!J:J,)</f>
        <v/>
      </c>
      <c r="AO38" s="34" t="str">
        <f t="array" ref="AO38">CONCATENATE(_xlfn.XLOOKUP(B38,'Up Cells'!A:A,'Up Cells'!B:B,))</f>
        <v/>
      </c>
      <c r="AP38" s="34" t="str">
        <f t="array" ref="AP38">CONCATENATE(_xlfn.XLOOKUP(B38,'Up Rarity'!A:A,'Up Rarity'!B:B,),CHAR(10),"-")</f>
        <v>
-</v>
      </c>
    </row>
    <row r="39">
      <c r="A39" s="86" t="str">
        <f t="array" ref="A39">_xlfn.XLOOKUP(B39,'Up Icon'!A:A,'Up Icon'!B:B,)</f>
        <v/>
      </c>
      <c r="B39" s="61" t="str">
        <f t="array" ref="B39">HYPERLINK(_xlfn.XLOOKUP('Up Names'!F39,'Up Wiki'!A:A,'Up Wiki'!B:B,),'Up Names'!F39)</f>
        <v/>
      </c>
      <c r="C39" s="52" t="str">
        <f t="array" ref="C39">_xlfn.XLOOKUP(B39,'Up Desc'!A:A,'Up Desc'!B:B,)</f>
        <v/>
      </c>
      <c r="D39" s="52" t="str">
        <f t="array" ref="D39">_xlfn.XLOOKUP(B39,'Up Turbo'!A:A,'Up Turbo'!B:B,)</f>
        <v/>
      </c>
      <c r="E39" s="53" t="str">
        <f t="array" ref="E39">_xlfn.XLOOKUP(B39,'Up Stats'!A:A,'Up Stats'!B:B,)</f>
        <v/>
      </c>
      <c r="F39" s="54" t="str">
        <f>IFERROR(__xludf.DUMMYFUNCTION("if(AND(G39=FALSE,H39=FALSE),,if(G39=H39,JOIN("""",""Static: "",G39),JOIN("""",""Min:  "",G39, CHAR(10),""Max: "",H39)))"),"")</f>
        <v/>
      </c>
      <c r="G39" s="55" t="str">
        <f t="array" ref="G39">_xlfn.XLOOKUP(B39,'Up Min'!A:A,'Up Min'!B:B,)</f>
        <v/>
      </c>
      <c r="H39" s="56" t="str">
        <f t="array" ref="H39">_xlfn.XLOOKUP(B39,'Up Max'!A:A,'Up Max'!B:B,)</f>
        <v/>
      </c>
      <c r="I39" s="53" t="str">
        <f t="array" ref="I39">_xlfn.XLOOKUP(B39,'Up Stats'!A:A,'Up Stats'!C:C,)</f>
        <v/>
      </c>
      <c r="J39" s="54" t="str">
        <f>IFERROR(__xludf.DUMMYFUNCTION("if(AND(K39=FALSE,L39=FALSE),,if(K39=L39,JOIN("""",""Static: "",K39),JOIN("""",""Min:  "",K39, CHAR(10),""Max: "",L39)))"),"")</f>
        <v/>
      </c>
      <c r="K39" s="55" t="str">
        <f t="array" ref="K39">_xlfn.XLOOKUP(B39,'Up Min'!A:A,'Up Min'!C:C,)</f>
        <v/>
      </c>
      <c r="L39" s="55" t="str">
        <f t="array" ref="L39">_xlfn.XLOOKUP(B39,'Up Max'!A:A,'Up Max'!C:C,)</f>
        <v/>
      </c>
      <c r="M39" s="57" t="str">
        <f t="array" ref="M39">_xlfn.XLOOKUP(B39,'Up Stats'!A:A,'Up Stats'!D:D,)</f>
        <v/>
      </c>
      <c r="N39" s="54" t="str">
        <f>IFERROR(__xludf.DUMMYFUNCTION("if(AND(O39=FALSE,P39=FALSE),,if(O39=P39,JOIN("""",""Static: "",O39),JOIN("""",""Min:  "",O39, CHAR(10),""Max: "",P39)))"),"")</f>
        <v/>
      </c>
      <c r="O39" s="55" t="str">
        <f t="array" ref="O39">_xlfn.XLOOKUP(B39,'Up Min'!A:A,'Up Min'!D:D,)</f>
        <v/>
      </c>
      <c r="P39" s="55" t="str">
        <f t="array" ref="P39">_xlfn.XLOOKUP(B39,'Up Max'!A:A,'Up Max'!D:D,)</f>
        <v/>
      </c>
      <c r="Q39" s="57" t="str">
        <f t="array" ref="Q39">_xlfn.XLOOKUP(B39,'Up Stats'!A:A,'Up Stats'!E:E,)</f>
        <v/>
      </c>
      <c r="R39" s="54" t="str">
        <f>IFERROR(__xludf.DUMMYFUNCTION("if(AND(S39=FALSE,T39=FALSE),,if(S39=T39,JOIN("""",""Static: "",S39),JOIN("""",""Min:  "",S39, CHAR(10),""Max: "",T39)))"),"")</f>
        <v/>
      </c>
      <c r="S39" s="55" t="str">
        <f t="array" ref="S39">_xlfn.XLOOKUP(B39,'Up Min'!A:A,'Up Min'!E:E,)</f>
        <v/>
      </c>
      <c r="T39" s="55" t="str">
        <f t="array" ref="T39">_xlfn.XLOOKUP(B39,'Up Max'!A:A,'Up Max'!E:E,)</f>
        <v/>
      </c>
      <c r="U39" s="57" t="str">
        <f t="array" ref="U39">_xlfn.XLOOKUP(B39,'Up Stats'!A:A,'Up Stats'!F:F,)</f>
        <v/>
      </c>
      <c r="V39" s="54" t="str">
        <f>IFERROR(__xludf.DUMMYFUNCTION("if(AND(W39=FALSE,X39=FALSE),,if(W39=X39,JOIN("""",""Static: "",W39),JOIN("""",""Min:  "",W39, CHAR(10),""Max: "",X39)))"),"")</f>
        <v/>
      </c>
      <c r="W39" s="55" t="str">
        <f t="array" ref="W39">_xlfn.XLOOKUP(B39,'Up Min'!A:A,'Up Min'!F:F,)</f>
        <v/>
      </c>
      <c r="X39" s="55" t="str">
        <f t="array" ref="X39">_xlfn.XLOOKUP(B39,'Up Max'!A:A,'Up Max'!F:F,)</f>
        <v/>
      </c>
      <c r="Y39" s="57" t="str">
        <f t="array" ref="Y39">_xlfn.XLOOKUP(B39,'Up Stats'!A:A,'Up Stats'!G:G,)</f>
        <v/>
      </c>
      <c r="Z39" s="54" t="str">
        <f>IFERROR(__xludf.DUMMYFUNCTION("if(AND(AA39=FALSE,AB39=FALSE),,if(AA39=AB39,JOIN("""",""Static: "",AA39),JOIN("""",""Min:  "",AA39, CHAR(10),""Max: "",AB39)))"),"")</f>
        <v/>
      </c>
      <c r="AA39" s="55" t="str">
        <f t="array" ref="AA39">_xlfn.XLOOKUP(B39,'Up Min'!A:A,'Up Min'!G:G,)</f>
        <v/>
      </c>
      <c r="AB39" s="55" t="str">
        <f t="array" ref="AB39">_xlfn.XLOOKUP(B39,'Up Max'!A:A,'Up Max'!G:G,)</f>
        <v/>
      </c>
      <c r="AC39" s="57" t="str">
        <f t="array" ref="AC39">_xlfn.XLOOKUP(B39,'Up Stats'!A:A,'Up Stats'!H:H,)</f>
        <v/>
      </c>
      <c r="AD39" s="54" t="str">
        <f>IFERROR(__xludf.DUMMYFUNCTION("if(AND(AE39=FALSE,AF39=FALSE),,if(AE39=AF39,JOIN("""",""Static: "",AE39),JOIN("""",""Min:  "",AE39, CHAR(10),""Max: "",AF39)))"),"")</f>
        <v/>
      </c>
      <c r="AE39" s="55" t="str">
        <f t="array" ref="AE39">_xlfn.XLOOKUP(B39,'Up Min'!A:A,'Up Min'!H:H,)</f>
        <v/>
      </c>
      <c r="AF39" s="55" t="str">
        <f t="array" ref="AF39">_xlfn.XLOOKUP(B39,'Up Max'!A:A,'Up Max'!H:H,)</f>
        <v/>
      </c>
      <c r="AG39" s="57" t="str">
        <f t="array" ref="AG39">_xlfn.XLOOKUP(B39,'Up Stats'!A:A,'Up Stats'!I:I,)</f>
        <v/>
      </c>
      <c r="AH39" s="54" t="str">
        <f>IFERROR(__xludf.DUMMYFUNCTION("if(AND(AI39=FALSE,AJ39=FALSE),,if(AI39=AJ39,JOIN("""",""Static: "",AI39),JOIN("""",""Min:  "",AI39, CHAR(10),""Max: "",AJ39)))"),"")</f>
        <v/>
      </c>
      <c r="AI39" s="55" t="str">
        <f t="array" ref="AI39">_xlfn.XLOOKUP(B39,'Up Min'!A:A,'Up Min'!I:I,)</f>
        <v/>
      </c>
      <c r="AJ39" s="55" t="str">
        <f t="array" ref="AJ39">_xlfn.XLOOKUP(B39,'Up Max'!A:A,'Up Max'!I:I,)</f>
        <v/>
      </c>
      <c r="AK39" s="57" t="str">
        <f t="array" ref="AK39">_xlfn.XLOOKUP(B39,'Up Stats'!A:A,'Up Stats'!J:J,)</f>
        <v/>
      </c>
      <c r="AL39" s="54" t="str">
        <f>IFERROR(__xludf.DUMMYFUNCTION("if(AND(AM39=FALSE,AN39=FALSE),,if(AM39=AN39,JOIN("""",""Static: "",AM39),JOIN("""",""Min:  "",AM39, CHAR(10),""Max: "",AN39)))"),"")</f>
        <v/>
      </c>
      <c r="AM39" s="55" t="str">
        <f t="array" ref="AM39">_xlfn.XLOOKUP(B39,'Up Min'!A:A,'Up Min'!J:J,)</f>
        <v/>
      </c>
      <c r="AN39" s="55" t="str">
        <f t="array" ref="AN39">_xlfn.XLOOKUP(B39,'Up Max'!A:A,'Up Max'!J:J,)</f>
        <v/>
      </c>
      <c r="AO39" s="51" t="str">
        <f t="array" ref="AO39">CONCATENATE(_xlfn.XLOOKUP(B39,'Up Cells'!A:A,'Up Cells'!B:B,))</f>
        <v/>
      </c>
      <c r="AP39" s="51" t="str">
        <f t="array" ref="AP39">CONCATENATE(_xlfn.XLOOKUP(B39,'Up Rarity'!A:A,'Up Rarity'!B:B,),CHAR(10),"-")</f>
        <v>
-</v>
      </c>
    </row>
    <row r="40">
      <c r="A40" s="87" t="str">
        <f t="array" ref="A40">_xlfn.XLOOKUP(B40,'Up Icon'!A:A,'Up Icon'!B:B,)</f>
        <v/>
      </c>
      <c r="B40" s="58" t="str">
        <f t="array" ref="B40">HYPERLINK(_xlfn.XLOOKUP('Up Names'!F40,'Up Wiki'!A:A,'Up Wiki'!B:B,),'Up Names'!F40)</f>
        <v/>
      </c>
      <c r="C40" s="37" t="str">
        <f t="array" ref="C40">_xlfn.XLOOKUP(B40,'Up Desc'!A:A,'Up Desc'!B:B,)</f>
        <v/>
      </c>
      <c r="D40" s="37" t="str">
        <f t="array" ref="D40">_xlfn.XLOOKUP(B40,'Up Turbo'!A:A,'Up Turbo'!B:B,)</f>
        <v/>
      </c>
      <c r="E40" s="39" t="str">
        <f t="array" ref="E40">_xlfn.XLOOKUP(B40,'Up Stats'!A:A,'Up Stats'!B:B,)</f>
        <v/>
      </c>
      <c r="F40" s="40" t="str">
        <f>IFERROR(__xludf.DUMMYFUNCTION("if(AND(G40=FALSE,H40=FALSE),,if(G40=H40,JOIN("""",""Static: "",G40),JOIN("""",""Min:  "",G40, CHAR(10),""Max: "",H40)))"),"")</f>
        <v/>
      </c>
      <c r="G40" s="42" t="str">
        <f t="array" ref="G40">_xlfn.XLOOKUP(B40,'Up Min'!A:A,'Up Min'!B:B,)</f>
        <v/>
      </c>
      <c r="H40" s="45" t="str">
        <f t="array" ref="H40">_xlfn.XLOOKUP(B40,'Up Max'!A:A,'Up Max'!B:B,)</f>
        <v/>
      </c>
      <c r="I40" s="39" t="str">
        <f t="array" ref="I40">_xlfn.XLOOKUP(B40,'Up Stats'!A:A,'Up Stats'!C:C,)</f>
        <v/>
      </c>
      <c r="J40" s="40" t="str">
        <f>IFERROR(__xludf.DUMMYFUNCTION("if(AND(K40=FALSE,L40=FALSE),,if(K40=L40,JOIN("""",""Static: "",K40),JOIN("""",""Min:  "",K40, CHAR(10),""Max: "",L40)))"),"")</f>
        <v/>
      </c>
      <c r="K40" s="42" t="str">
        <f t="array" ref="K40">_xlfn.XLOOKUP(B40,'Up Min'!A:A,'Up Min'!C:C,)</f>
        <v/>
      </c>
      <c r="L40" s="42" t="str">
        <f t="array" ref="L40">_xlfn.XLOOKUP(B40,'Up Max'!A:A,'Up Max'!C:C,)</f>
        <v/>
      </c>
      <c r="M40" s="48" t="str">
        <f t="array" ref="M40">_xlfn.XLOOKUP(B40,'Up Stats'!A:A,'Up Stats'!D:D,)</f>
        <v/>
      </c>
      <c r="N40" s="40" t="str">
        <f>IFERROR(__xludf.DUMMYFUNCTION("if(AND(O40=FALSE,P40=FALSE),,if(O40=P40,JOIN("""",""Static: "",O40),JOIN("""",""Min:  "",O40, CHAR(10),""Max: "",P40)))"),"")</f>
        <v/>
      </c>
      <c r="O40" s="42" t="str">
        <f t="array" ref="O40">_xlfn.XLOOKUP(B40,'Up Min'!A:A,'Up Min'!D:D,)</f>
        <v/>
      </c>
      <c r="P40" s="42" t="str">
        <f t="array" ref="P40">_xlfn.XLOOKUP(B40,'Up Max'!A:A,'Up Max'!D:D,)</f>
        <v/>
      </c>
      <c r="Q40" s="48" t="str">
        <f t="array" ref="Q40">_xlfn.XLOOKUP(B40,'Up Stats'!A:A,'Up Stats'!E:E,)</f>
        <v/>
      </c>
      <c r="R40" s="40" t="str">
        <f>IFERROR(__xludf.DUMMYFUNCTION("if(AND(S40=FALSE,T40=FALSE),,if(S40=T40,JOIN("""",""Static: "",S40),JOIN("""",""Min:  "",S40, CHAR(10),""Max: "",T40)))"),"")</f>
        <v/>
      </c>
      <c r="S40" s="42" t="str">
        <f t="array" ref="S40">_xlfn.XLOOKUP(B40,'Up Min'!A:A,'Up Min'!E:E,)</f>
        <v/>
      </c>
      <c r="T40" s="42" t="str">
        <f t="array" ref="T40">_xlfn.XLOOKUP(B40,'Up Max'!A:A,'Up Max'!E:E,)</f>
        <v/>
      </c>
      <c r="U40" s="48" t="str">
        <f t="array" ref="U40">_xlfn.XLOOKUP(B40,'Up Stats'!A:A,'Up Stats'!F:F,)</f>
        <v/>
      </c>
      <c r="V40" s="40" t="str">
        <f>IFERROR(__xludf.DUMMYFUNCTION("if(AND(W40=FALSE,X40=FALSE),,if(W40=X40,JOIN("""",""Static: "",W40),JOIN("""",""Min:  "",W40, CHAR(10),""Max: "",X40)))"),"")</f>
        <v/>
      </c>
      <c r="W40" s="42" t="str">
        <f t="array" ref="W40">_xlfn.XLOOKUP(B40,'Up Min'!A:A,'Up Min'!F:F,)</f>
        <v/>
      </c>
      <c r="X40" s="42" t="str">
        <f t="array" ref="X40">_xlfn.XLOOKUP(B40,'Up Max'!A:A,'Up Max'!F:F,)</f>
        <v/>
      </c>
      <c r="Y40" s="48" t="str">
        <f t="array" ref="Y40">_xlfn.XLOOKUP(B40,'Up Stats'!A:A,'Up Stats'!G:G,)</f>
        <v/>
      </c>
      <c r="Z40" s="40" t="str">
        <f>IFERROR(__xludf.DUMMYFUNCTION("if(AND(AA40=FALSE,AB40=FALSE),,if(AA40=AB40,JOIN("""",""Static: "",AA40),JOIN("""",""Min:  "",AA40, CHAR(10),""Max: "",AB40)))"),"")</f>
        <v/>
      </c>
      <c r="AA40" s="42" t="str">
        <f t="array" ref="AA40">_xlfn.XLOOKUP(B40,'Up Min'!A:A,'Up Min'!G:G,)</f>
        <v/>
      </c>
      <c r="AB40" s="42" t="str">
        <f t="array" ref="AB40">_xlfn.XLOOKUP(B40,'Up Max'!A:A,'Up Max'!G:G,)</f>
        <v/>
      </c>
      <c r="AC40" s="48" t="str">
        <f t="array" ref="AC40">_xlfn.XLOOKUP(B40,'Up Stats'!A:A,'Up Stats'!H:H,)</f>
        <v/>
      </c>
      <c r="AD40" s="40" t="str">
        <f>IFERROR(__xludf.DUMMYFUNCTION("if(AND(AE40=FALSE,AF40=FALSE),,if(AE40=AF40,JOIN("""",""Static: "",AE40),JOIN("""",""Min:  "",AE40, CHAR(10),""Max: "",AF40)))"),"")</f>
        <v/>
      </c>
      <c r="AE40" s="42" t="str">
        <f t="array" ref="AE40">_xlfn.XLOOKUP(B40,'Up Min'!A:A,'Up Min'!H:H,)</f>
        <v/>
      </c>
      <c r="AF40" s="42" t="str">
        <f t="array" ref="AF40">_xlfn.XLOOKUP(B40,'Up Max'!A:A,'Up Max'!H:H,)</f>
        <v/>
      </c>
      <c r="AG40" s="48" t="str">
        <f t="array" ref="AG40">_xlfn.XLOOKUP(B40,'Up Stats'!A:A,'Up Stats'!I:I,)</f>
        <v/>
      </c>
      <c r="AH40" s="40" t="str">
        <f>IFERROR(__xludf.DUMMYFUNCTION("if(AND(AI40=FALSE,AJ40=FALSE),,if(AI40=AJ40,JOIN("""",""Static: "",AI40),JOIN("""",""Min:  "",AI40, CHAR(10),""Max: "",AJ40)))"),"")</f>
        <v/>
      </c>
      <c r="AI40" s="42" t="str">
        <f t="array" ref="AI40">_xlfn.XLOOKUP(B40,'Up Min'!A:A,'Up Min'!I:I,)</f>
        <v/>
      </c>
      <c r="AJ40" s="42" t="str">
        <f t="array" ref="AJ40">_xlfn.XLOOKUP(B40,'Up Max'!A:A,'Up Max'!I:I,)</f>
        <v/>
      </c>
      <c r="AK40" s="48" t="str">
        <f t="array" ref="AK40">_xlfn.XLOOKUP(B40,'Up Stats'!A:A,'Up Stats'!J:J,)</f>
        <v/>
      </c>
      <c r="AL40" s="40" t="str">
        <f>IFERROR(__xludf.DUMMYFUNCTION("if(AND(AM40=FALSE,AN40=FALSE),,if(AM40=AN40,JOIN("""",""Static: "",AM40),JOIN("""",""Min:  "",AM40, CHAR(10),""Max: "",AN40)))"),"")</f>
        <v/>
      </c>
      <c r="AM40" s="42" t="str">
        <f t="array" ref="AM40">_xlfn.XLOOKUP(B40,'Up Min'!A:A,'Up Min'!J:J,)</f>
        <v/>
      </c>
      <c r="AN40" s="42" t="str">
        <f t="array" ref="AN40">_xlfn.XLOOKUP(B40,'Up Max'!A:A,'Up Max'!J:J,)</f>
        <v/>
      </c>
      <c r="AO40" s="34" t="str">
        <f t="array" ref="AO40">CONCATENATE(_xlfn.XLOOKUP(B40,'Up Cells'!A:A,'Up Cells'!B:B,))</f>
        <v/>
      </c>
      <c r="AP40" s="34" t="str">
        <f t="array" ref="AP40">CONCATENATE(_xlfn.XLOOKUP(B40,'Up Rarity'!A:A,'Up Rarity'!B:B,),CHAR(10),"-")</f>
        <v>
-</v>
      </c>
    </row>
    <row r="41">
      <c r="A41" s="86" t="str">
        <f t="array" ref="A41">_xlfn.XLOOKUP(B41,'Up Icon'!A:A,'Up Icon'!B:B,)</f>
        <v/>
      </c>
      <c r="B41" s="61" t="str">
        <f t="array" ref="B41">HYPERLINK(_xlfn.XLOOKUP('Up Names'!F41,'Up Wiki'!A:A,'Up Wiki'!B:B,),'Up Names'!F41)</f>
        <v/>
      </c>
      <c r="C41" s="52" t="str">
        <f t="array" ref="C41">_xlfn.XLOOKUP(B41,'Up Desc'!A:A,'Up Desc'!B:B,)</f>
        <v/>
      </c>
      <c r="D41" s="52" t="str">
        <f t="array" ref="D41">_xlfn.XLOOKUP(B41,'Up Turbo'!A:A,'Up Turbo'!B:B,)</f>
        <v/>
      </c>
      <c r="E41" s="53" t="str">
        <f t="array" ref="E41">_xlfn.XLOOKUP(B41,'Up Stats'!A:A,'Up Stats'!B:B,)</f>
        <v/>
      </c>
      <c r="F41" s="54" t="str">
        <f>IFERROR(__xludf.DUMMYFUNCTION("if(AND(G41=FALSE,H41=FALSE),,if(G41=H41,JOIN("""",""Static: "",G41),JOIN("""",""Min:  "",G41, CHAR(10),""Max: "",H41)))"),"")</f>
        <v/>
      </c>
      <c r="G41" s="55" t="str">
        <f t="array" ref="G41">_xlfn.XLOOKUP(B41,'Up Min'!A:A,'Up Min'!B:B,)</f>
        <v/>
      </c>
      <c r="H41" s="56" t="str">
        <f t="array" ref="H41">_xlfn.XLOOKUP(B41,'Up Max'!A:A,'Up Max'!B:B,)</f>
        <v/>
      </c>
      <c r="I41" s="53" t="str">
        <f t="array" ref="I41">_xlfn.XLOOKUP(B41,'Up Stats'!A:A,'Up Stats'!C:C,)</f>
        <v/>
      </c>
      <c r="J41" s="54" t="str">
        <f>IFERROR(__xludf.DUMMYFUNCTION("if(AND(K41=FALSE,L41=FALSE),,if(K41=L41,JOIN("""",""Static: "",K41),JOIN("""",""Min:  "",K41, CHAR(10),""Max: "",L41)))"),"")</f>
        <v/>
      </c>
      <c r="K41" s="55" t="str">
        <f t="array" ref="K41">_xlfn.XLOOKUP(B41,'Up Min'!A:A,'Up Min'!C:C,)</f>
        <v/>
      </c>
      <c r="L41" s="55" t="str">
        <f t="array" ref="L41">_xlfn.XLOOKUP(B41,'Up Max'!A:A,'Up Max'!C:C,)</f>
        <v/>
      </c>
      <c r="M41" s="57" t="str">
        <f t="array" ref="M41">_xlfn.XLOOKUP(B41,'Up Stats'!A:A,'Up Stats'!D:D,)</f>
        <v/>
      </c>
      <c r="N41" s="54" t="str">
        <f>IFERROR(__xludf.DUMMYFUNCTION("if(AND(O41=FALSE,P41=FALSE),,if(O41=P41,JOIN("""",""Static: "",O41),JOIN("""",""Min:  "",O41, CHAR(10),""Max: "",P41)))"),"")</f>
        <v/>
      </c>
      <c r="O41" s="55" t="str">
        <f t="array" ref="O41">_xlfn.XLOOKUP(B41,'Up Min'!A:A,'Up Min'!D:D,)</f>
        <v/>
      </c>
      <c r="P41" s="55" t="str">
        <f t="array" ref="P41">_xlfn.XLOOKUP(B41,'Up Max'!A:A,'Up Max'!D:D,)</f>
        <v/>
      </c>
      <c r="Q41" s="57" t="str">
        <f t="array" ref="Q41">_xlfn.XLOOKUP(B41,'Up Stats'!A:A,'Up Stats'!E:E,)</f>
        <v/>
      </c>
      <c r="R41" s="54" t="str">
        <f>IFERROR(__xludf.DUMMYFUNCTION("if(AND(S41=FALSE,T41=FALSE),,if(S41=T41,JOIN("""",""Static: "",S41),JOIN("""",""Min:  "",S41, CHAR(10),""Max: "",T41)))"),"")</f>
        <v/>
      </c>
      <c r="S41" s="55" t="str">
        <f t="array" ref="S41">_xlfn.XLOOKUP(B41,'Up Min'!A:A,'Up Min'!E:E,)</f>
        <v/>
      </c>
      <c r="T41" s="55" t="str">
        <f t="array" ref="T41">_xlfn.XLOOKUP(B41,'Up Max'!A:A,'Up Max'!E:E,)</f>
        <v/>
      </c>
      <c r="U41" s="57" t="str">
        <f t="array" ref="U41">_xlfn.XLOOKUP(B41,'Up Stats'!A:A,'Up Stats'!F:F,)</f>
        <v/>
      </c>
      <c r="V41" s="54" t="str">
        <f>IFERROR(__xludf.DUMMYFUNCTION("if(AND(W41=FALSE,X41=FALSE),,if(W41=X41,JOIN("""",""Static: "",W41),JOIN("""",""Min:  "",W41, CHAR(10),""Max: "",X41)))"),"")</f>
        <v/>
      </c>
      <c r="W41" s="55" t="str">
        <f t="array" ref="W41">_xlfn.XLOOKUP(B41,'Up Min'!A:A,'Up Min'!F:F,)</f>
        <v/>
      </c>
      <c r="X41" s="55" t="str">
        <f t="array" ref="X41">_xlfn.XLOOKUP(B41,'Up Max'!A:A,'Up Max'!F:F,)</f>
        <v/>
      </c>
      <c r="Y41" s="57" t="str">
        <f t="array" ref="Y41">_xlfn.XLOOKUP(B41,'Up Stats'!A:A,'Up Stats'!G:G,)</f>
        <v/>
      </c>
      <c r="Z41" s="54" t="str">
        <f>IFERROR(__xludf.DUMMYFUNCTION("if(AND(AA41=FALSE,AB41=FALSE),,if(AA41=AB41,JOIN("""",""Static: "",AA41),JOIN("""",""Min:  "",AA41, CHAR(10),""Max: "",AB41)))"),"")</f>
        <v/>
      </c>
      <c r="AA41" s="55" t="str">
        <f t="array" ref="AA41">_xlfn.XLOOKUP(B41,'Up Min'!A:A,'Up Min'!G:G,)</f>
        <v/>
      </c>
      <c r="AB41" s="55" t="str">
        <f t="array" ref="AB41">_xlfn.XLOOKUP(B41,'Up Max'!A:A,'Up Max'!G:G,)</f>
        <v/>
      </c>
      <c r="AC41" s="57" t="str">
        <f t="array" ref="AC41">_xlfn.XLOOKUP(B41,'Up Stats'!A:A,'Up Stats'!H:H,)</f>
        <v/>
      </c>
      <c r="AD41" s="54" t="str">
        <f>IFERROR(__xludf.DUMMYFUNCTION("if(AND(AE41=FALSE,AF41=FALSE),,if(AE41=AF41,JOIN("""",""Static: "",AE41),JOIN("""",""Min:  "",AE41, CHAR(10),""Max: "",AF41)))"),"")</f>
        <v/>
      </c>
      <c r="AE41" s="55" t="str">
        <f t="array" ref="AE41">_xlfn.XLOOKUP(B41,'Up Min'!A:A,'Up Min'!H:H,)</f>
        <v/>
      </c>
      <c r="AF41" s="55" t="str">
        <f t="array" ref="AF41">_xlfn.XLOOKUP(B41,'Up Max'!A:A,'Up Max'!H:H,)</f>
        <v/>
      </c>
      <c r="AG41" s="57" t="str">
        <f t="array" ref="AG41">_xlfn.XLOOKUP(B41,'Up Stats'!A:A,'Up Stats'!I:I,)</f>
        <v/>
      </c>
      <c r="AH41" s="54" t="str">
        <f>IFERROR(__xludf.DUMMYFUNCTION("if(AND(AI41=FALSE,AJ41=FALSE),,if(AI41=AJ41,JOIN("""",""Static: "",AI41),JOIN("""",""Min:  "",AI41, CHAR(10),""Max: "",AJ41)))"),"")</f>
        <v/>
      </c>
      <c r="AI41" s="55" t="str">
        <f t="array" ref="AI41">_xlfn.XLOOKUP(B41,'Up Min'!A:A,'Up Min'!I:I,)</f>
        <v/>
      </c>
      <c r="AJ41" s="55" t="str">
        <f t="array" ref="AJ41">_xlfn.XLOOKUP(B41,'Up Max'!A:A,'Up Max'!I:I,)</f>
        <v/>
      </c>
      <c r="AK41" s="57" t="str">
        <f t="array" ref="AK41">_xlfn.XLOOKUP(B41,'Up Stats'!A:A,'Up Stats'!J:J,)</f>
        <v/>
      </c>
      <c r="AL41" s="54" t="str">
        <f>IFERROR(__xludf.DUMMYFUNCTION("if(AND(AM41=FALSE,AN41=FALSE),,if(AM41=AN41,JOIN("""",""Static: "",AM41),JOIN("""",""Min:  "",AM41, CHAR(10),""Max: "",AN41)))"),"")</f>
        <v/>
      </c>
      <c r="AM41" s="55" t="str">
        <f t="array" ref="AM41">_xlfn.XLOOKUP(B41,'Up Min'!A:A,'Up Min'!J:J,)</f>
        <v/>
      </c>
      <c r="AN41" s="55" t="str">
        <f t="array" ref="AN41">_xlfn.XLOOKUP(B41,'Up Max'!A:A,'Up Max'!J:J,)</f>
        <v/>
      </c>
      <c r="AO41" s="51" t="str">
        <f t="array" ref="AO41">CONCATENATE(_xlfn.XLOOKUP(B41,'Up Cells'!A:A,'Up Cells'!B:B,))</f>
        <v/>
      </c>
      <c r="AP41" s="51" t="str">
        <f t="array" ref="AP41">CONCATENATE(_xlfn.XLOOKUP(B41,'Up Rarity'!A:A,'Up Rarity'!B:B,),CHAR(10),"-")</f>
        <v>
-</v>
      </c>
    </row>
    <row r="42">
      <c r="A42" s="87" t="str">
        <f t="array" ref="A42">_xlfn.XLOOKUP(B42,'Up Icon'!A:A,'Up Icon'!B:B,)</f>
        <v/>
      </c>
      <c r="B42" s="58" t="str">
        <f t="array" ref="B42">HYPERLINK(_xlfn.XLOOKUP('Up Names'!F42,'Up Wiki'!A:A,'Up Wiki'!B:B,),'Up Names'!F42)</f>
        <v/>
      </c>
      <c r="C42" s="37" t="str">
        <f t="array" ref="C42">_xlfn.XLOOKUP(B42,'Up Desc'!A:A,'Up Desc'!B:B,)</f>
        <v/>
      </c>
      <c r="D42" s="37" t="str">
        <f t="array" ref="D42">_xlfn.XLOOKUP(B42,'Up Turbo'!A:A,'Up Turbo'!B:B,)</f>
        <v/>
      </c>
      <c r="E42" s="39" t="str">
        <f t="array" ref="E42">_xlfn.XLOOKUP(B42,'Up Stats'!A:A,'Up Stats'!B:B,)</f>
        <v/>
      </c>
      <c r="F42" s="40" t="str">
        <f>IFERROR(__xludf.DUMMYFUNCTION("if(AND(G42=FALSE,H42=FALSE),,if(G42=H42,JOIN("""",""Static: "",G42),JOIN("""",""Min:  "",G42, CHAR(10),""Max: "",H42)))"),"")</f>
        <v/>
      </c>
      <c r="G42" s="42" t="str">
        <f t="array" ref="G42">_xlfn.XLOOKUP(B42,'Up Min'!A:A,'Up Min'!B:B,)</f>
        <v/>
      </c>
      <c r="H42" s="45" t="str">
        <f t="array" ref="H42">_xlfn.XLOOKUP(B42,'Up Max'!A:A,'Up Max'!B:B,)</f>
        <v/>
      </c>
      <c r="I42" s="39" t="str">
        <f t="array" ref="I42">_xlfn.XLOOKUP(B42,'Up Stats'!A:A,'Up Stats'!C:C,)</f>
        <v/>
      </c>
      <c r="J42" s="40" t="str">
        <f>IFERROR(__xludf.DUMMYFUNCTION("if(AND(K42=FALSE,L42=FALSE),,if(K42=L42,JOIN("""",""Static: "",K42),JOIN("""",""Min:  "",K42, CHAR(10),""Max: "",L42)))"),"")</f>
        <v/>
      </c>
      <c r="K42" s="42" t="str">
        <f t="array" ref="K42">_xlfn.XLOOKUP(B42,'Up Min'!A:A,'Up Min'!C:C,)</f>
        <v/>
      </c>
      <c r="L42" s="42" t="str">
        <f t="array" ref="L42">_xlfn.XLOOKUP(B42,'Up Max'!A:A,'Up Max'!C:C,)</f>
        <v/>
      </c>
      <c r="M42" s="48" t="str">
        <f t="array" ref="M42">_xlfn.XLOOKUP(B42,'Up Stats'!A:A,'Up Stats'!D:D,)</f>
        <v/>
      </c>
      <c r="N42" s="40" t="str">
        <f>IFERROR(__xludf.DUMMYFUNCTION("if(AND(O42=FALSE,P42=FALSE),,if(O42=P42,JOIN("""",""Static: "",O42),JOIN("""",""Min:  "",O42, CHAR(10),""Max: "",P42)))"),"")</f>
        <v/>
      </c>
      <c r="O42" s="42" t="str">
        <f t="array" ref="O42">_xlfn.XLOOKUP(B42,'Up Min'!A:A,'Up Min'!D:D,)</f>
        <v/>
      </c>
      <c r="P42" s="42" t="str">
        <f t="array" ref="P42">_xlfn.XLOOKUP(B42,'Up Max'!A:A,'Up Max'!D:D,)</f>
        <v/>
      </c>
      <c r="Q42" s="48" t="str">
        <f t="array" ref="Q42">_xlfn.XLOOKUP(B42,'Up Stats'!A:A,'Up Stats'!E:E,)</f>
        <v/>
      </c>
      <c r="R42" s="40" t="str">
        <f>IFERROR(__xludf.DUMMYFUNCTION("if(AND(S42=FALSE,T42=FALSE),,if(S42=T42,JOIN("""",""Static: "",S42),JOIN("""",""Min:  "",S42, CHAR(10),""Max: "",T42)))"),"")</f>
        <v/>
      </c>
      <c r="S42" s="42" t="str">
        <f t="array" ref="S42">_xlfn.XLOOKUP(B42,'Up Min'!A:A,'Up Min'!E:E,)</f>
        <v/>
      </c>
      <c r="T42" s="42" t="str">
        <f t="array" ref="T42">_xlfn.XLOOKUP(B42,'Up Max'!A:A,'Up Max'!E:E,)</f>
        <v/>
      </c>
      <c r="U42" s="48" t="str">
        <f t="array" ref="U42">_xlfn.XLOOKUP(B42,'Up Stats'!A:A,'Up Stats'!F:F,)</f>
        <v/>
      </c>
      <c r="V42" s="40" t="str">
        <f>IFERROR(__xludf.DUMMYFUNCTION("if(AND(W42=FALSE,X42=FALSE),,if(W42=X42,JOIN("""",""Static: "",W42),JOIN("""",""Min:  "",W42, CHAR(10),""Max: "",X42)))"),"")</f>
        <v/>
      </c>
      <c r="W42" s="42" t="str">
        <f t="array" ref="W42">_xlfn.XLOOKUP(B42,'Up Min'!A:A,'Up Min'!F:F,)</f>
        <v/>
      </c>
      <c r="X42" s="42" t="str">
        <f t="array" ref="X42">_xlfn.XLOOKUP(B42,'Up Max'!A:A,'Up Max'!F:F,)</f>
        <v/>
      </c>
      <c r="Y42" s="48" t="str">
        <f t="array" ref="Y42">_xlfn.XLOOKUP(B42,'Up Stats'!A:A,'Up Stats'!G:G,)</f>
        <v/>
      </c>
      <c r="Z42" s="40" t="str">
        <f>IFERROR(__xludf.DUMMYFUNCTION("if(AND(AA42=FALSE,AB42=FALSE),,if(AA42=AB42,JOIN("""",""Static: "",AA42),JOIN("""",""Min:  "",AA42, CHAR(10),""Max: "",AB42)))"),"")</f>
        <v/>
      </c>
      <c r="AA42" s="42" t="str">
        <f t="array" ref="AA42">_xlfn.XLOOKUP(B42,'Up Min'!A:A,'Up Min'!G:G,)</f>
        <v/>
      </c>
      <c r="AB42" s="42" t="str">
        <f t="array" ref="AB42">_xlfn.XLOOKUP(B42,'Up Max'!A:A,'Up Max'!G:G,)</f>
        <v/>
      </c>
      <c r="AC42" s="48" t="str">
        <f t="array" ref="AC42">_xlfn.XLOOKUP(B42,'Up Stats'!A:A,'Up Stats'!H:H,)</f>
        <v/>
      </c>
      <c r="AD42" s="40" t="str">
        <f>IFERROR(__xludf.DUMMYFUNCTION("if(AND(AE42=FALSE,AF42=FALSE),,if(AE42=AF42,JOIN("""",""Static: "",AE42),JOIN("""",""Min:  "",AE42, CHAR(10),""Max: "",AF42)))"),"")</f>
        <v/>
      </c>
      <c r="AE42" s="42" t="str">
        <f t="array" ref="AE42">_xlfn.XLOOKUP(B42,'Up Min'!A:A,'Up Min'!H:H,)</f>
        <v/>
      </c>
      <c r="AF42" s="42" t="str">
        <f t="array" ref="AF42">_xlfn.XLOOKUP(B42,'Up Max'!A:A,'Up Max'!H:H,)</f>
        <v/>
      </c>
      <c r="AG42" s="48" t="str">
        <f t="array" ref="AG42">_xlfn.XLOOKUP(B42,'Up Stats'!A:A,'Up Stats'!I:I,)</f>
        <v/>
      </c>
      <c r="AH42" s="40" t="str">
        <f>IFERROR(__xludf.DUMMYFUNCTION("if(AND(AI42=FALSE,AJ42=FALSE),,if(AI42=AJ42,JOIN("""",""Static: "",AI42),JOIN("""",""Min:  "",AI42, CHAR(10),""Max: "",AJ42)))"),"")</f>
        <v/>
      </c>
      <c r="AI42" s="42" t="str">
        <f t="array" ref="AI42">_xlfn.XLOOKUP(B42,'Up Min'!A:A,'Up Min'!I:I,)</f>
        <v/>
      </c>
      <c r="AJ42" s="42" t="str">
        <f t="array" ref="AJ42">_xlfn.XLOOKUP(B42,'Up Max'!A:A,'Up Max'!I:I,)</f>
        <v/>
      </c>
      <c r="AK42" s="48" t="str">
        <f t="array" ref="AK42">_xlfn.XLOOKUP(B42,'Up Stats'!A:A,'Up Stats'!J:J,)</f>
        <v/>
      </c>
      <c r="AL42" s="40" t="str">
        <f>IFERROR(__xludf.DUMMYFUNCTION("if(AND(AM42=FALSE,AN42=FALSE),,if(AM42=AN42,JOIN("""",""Static: "",AM42),JOIN("""",""Min:  "",AM42, CHAR(10),""Max: "",AN42)))"),"")</f>
        <v/>
      </c>
      <c r="AM42" s="42" t="str">
        <f t="array" ref="AM42">_xlfn.XLOOKUP(B42,'Up Min'!A:A,'Up Min'!J:J,)</f>
        <v/>
      </c>
      <c r="AN42" s="42" t="str">
        <f t="array" ref="AN42">_xlfn.XLOOKUP(B42,'Up Max'!A:A,'Up Max'!J:J,)</f>
        <v/>
      </c>
      <c r="AO42" s="34" t="str">
        <f t="array" ref="AO42">CONCATENATE(_xlfn.XLOOKUP(B42,'Up Cells'!A:A,'Up Cells'!B:B,))</f>
        <v/>
      </c>
      <c r="AP42" s="34" t="str">
        <f t="array" ref="AP42">CONCATENATE(_xlfn.XLOOKUP(B42,'Up Rarity'!A:A,'Up Rarity'!B:B,),CHAR(10),"-")</f>
        <v>
-</v>
      </c>
    </row>
    <row r="43">
      <c r="A43" s="86" t="str">
        <f t="array" ref="A43">_xlfn.XLOOKUP(B43,'Up Icon'!A:A,'Up Icon'!B:B,)</f>
        <v/>
      </c>
      <c r="B43" s="61" t="str">
        <f t="array" ref="B43">HYPERLINK(_xlfn.XLOOKUP('Up Names'!F43,'Up Wiki'!A:A,'Up Wiki'!B:B,),'Up Names'!F43)</f>
        <v/>
      </c>
      <c r="C43" s="52" t="str">
        <f t="array" ref="C43">_xlfn.XLOOKUP(B43,'Up Desc'!A:A,'Up Desc'!B:B,)</f>
        <v/>
      </c>
      <c r="D43" s="52" t="str">
        <f t="array" ref="D43">_xlfn.XLOOKUP(B43,'Up Turbo'!A:A,'Up Turbo'!B:B,)</f>
        <v/>
      </c>
      <c r="E43" s="53" t="str">
        <f t="array" ref="E43">_xlfn.XLOOKUP(B43,'Up Stats'!A:A,'Up Stats'!B:B,)</f>
        <v/>
      </c>
      <c r="F43" s="54" t="str">
        <f>IFERROR(__xludf.DUMMYFUNCTION("if(AND(G43=FALSE,H43=FALSE),,if(G43=H43,JOIN("""",""Static: "",G43),JOIN("""",""Min:  "",G43, CHAR(10),""Max: "",H43)))"),"")</f>
        <v/>
      </c>
      <c r="G43" s="55" t="str">
        <f t="array" ref="G43">_xlfn.XLOOKUP(B43,'Up Min'!A:A,'Up Min'!B:B,)</f>
        <v/>
      </c>
      <c r="H43" s="56" t="str">
        <f t="array" ref="H43">_xlfn.XLOOKUP(B43,'Up Max'!A:A,'Up Max'!B:B,)</f>
        <v/>
      </c>
      <c r="I43" s="53" t="str">
        <f t="array" ref="I43">_xlfn.XLOOKUP(B43,'Up Stats'!A:A,'Up Stats'!C:C,)</f>
        <v/>
      </c>
      <c r="J43" s="54" t="str">
        <f>IFERROR(__xludf.DUMMYFUNCTION("if(AND(K43=FALSE,L43=FALSE),,if(K43=L43,JOIN("""",""Static: "",K43),JOIN("""",""Min:  "",K43, CHAR(10),""Max: "",L43)))"),"")</f>
        <v/>
      </c>
      <c r="K43" s="55" t="str">
        <f t="array" ref="K43">_xlfn.XLOOKUP(B43,'Up Min'!A:A,'Up Min'!C:C,)</f>
        <v/>
      </c>
      <c r="L43" s="55" t="str">
        <f t="array" ref="L43">_xlfn.XLOOKUP(B43,'Up Max'!A:A,'Up Max'!C:C,)</f>
        <v/>
      </c>
      <c r="M43" s="57" t="str">
        <f t="array" ref="M43">_xlfn.XLOOKUP(B43,'Up Stats'!A:A,'Up Stats'!D:D,)</f>
        <v/>
      </c>
      <c r="N43" s="54" t="str">
        <f>IFERROR(__xludf.DUMMYFUNCTION("if(AND(O43=FALSE,P43=FALSE),,if(O43=P43,JOIN("""",""Static: "",O43),JOIN("""",""Min:  "",O43, CHAR(10),""Max: "",P43)))"),"")</f>
        <v/>
      </c>
      <c r="O43" s="55" t="str">
        <f t="array" ref="O43">_xlfn.XLOOKUP(B43,'Up Min'!A:A,'Up Min'!D:D,)</f>
        <v/>
      </c>
      <c r="P43" s="55" t="str">
        <f t="array" ref="P43">_xlfn.XLOOKUP(B43,'Up Max'!A:A,'Up Max'!D:D,)</f>
        <v/>
      </c>
      <c r="Q43" s="57" t="str">
        <f t="array" ref="Q43">_xlfn.XLOOKUP(B43,'Up Stats'!A:A,'Up Stats'!E:E,)</f>
        <v/>
      </c>
      <c r="R43" s="54" t="str">
        <f>IFERROR(__xludf.DUMMYFUNCTION("if(AND(S43=FALSE,T43=FALSE),,if(S43=T43,JOIN("""",""Static: "",S43),JOIN("""",""Min:  "",S43, CHAR(10),""Max: "",T43)))"),"")</f>
        <v/>
      </c>
      <c r="S43" s="55" t="str">
        <f t="array" ref="S43">_xlfn.XLOOKUP(B43,'Up Min'!A:A,'Up Min'!E:E,)</f>
        <v/>
      </c>
      <c r="T43" s="55" t="str">
        <f t="array" ref="T43">_xlfn.XLOOKUP(B43,'Up Max'!A:A,'Up Max'!E:E,)</f>
        <v/>
      </c>
      <c r="U43" s="57" t="str">
        <f t="array" ref="U43">_xlfn.XLOOKUP(B43,'Up Stats'!A:A,'Up Stats'!F:F,)</f>
        <v/>
      </c>
      <c r="V43" s="54" t="str">
        <f>IFERROR(__xludf.DUMMYFUNCTION("if(AND(W43=FALSE,X43=FALSE),,if(W43=X43,JOIN("""",""Static: "",W43),JOIN("""",""Min:  "",W43, CHAR(10),""Max: "",X43)))"),"")</f>
        <v/>
      </c>
      <c r="W43" s="55" t="str">
        <f t="array" ref="W43">_xlfn.XLOOKUP(B43,'Up Min'!A:A,'Up Min'!F:F,)</f>
        <v/>
      </c>
      <c r="X43" s="55" t="str">
        <f t="array" ref="X43">_xlfn.XLOOKUP(B43,'Up Max'!A:A,'Up Max'!F:F,)</f>
        <v/>
      </c>
      <c r="Y43" s="57" t="str">
        <f t="array" ref="Y43">_xlfn.XLOOKUP(B43,'Up Stats'!A:A,'Up Stats'!G:G,)</f>
        <v/>
      </c>
      <c r="Z43" s="54" t="str">
        <f>IFERROR(__xludf.DUMMYFUNCTION("if(AND(AA43=FALSE,AB43=FALSE),,if(AA43=AB43,JOIN("""",""Static: "",AA43),JOIN("""",""Min:  "",AA43, CHAR(10),""Max: "",AB43)))"),"")</f>
        <v/>
      </c>
      <c r="AA43" s="55" t="str">
        <f t="array" ref="AA43">_xlfn.XLOOKUP(B43,'Up Min'!A:A,'Up Min'!G:G,)</f>
        <v/>
      </c>
      <c r="AB43" s="55" t="str">
        <f t="array" ref="AB43">_xlfn.XLOOKUP(B43,'Up Max'!A:A,'Up Max'!G:G,)</f>
        <v/>
      </c>
      <c r="AC43" s="57" t="str">
        <f t="array" ref="AC43">_xlfn.XLOOKUP(B43,'Up Stats'!A:A,'Up Stats'!H:H,)</f>
        <v/>
      </c>
      <c r="AD43" s="54" t="str">
        <f>IFERROR(__xludf.DUMMYFUNCTION("if(AND(AE43=FALSE,AF43=FALSE),,if(AE43=AF43,JOIN("""",""Static: "",AE43),JOIN("""",""Min:  "",AE43, CHAR(10),""Max: "",AF43)))"),"")</f>
        <v/>
      </c>
      <c r="AE43" s="55" t="str">
        <f t="array" ref="AE43">_xlfn.XLOOKUP(B43,'Up Min'!A:A,'Up Min'!H:H,)</f>
        <v/>
      </c>
      <c r="AF43" s="55" t="str">
        <f t="array" ref="AF43">_xlfn.XLOOKUP(B43,'Up Max'!A:A,'Up Max'!H:H,)</f>
        <v/>
      </c>
      <c r="AG43" s="57" t="str">
        <f t="array" ref="AG43">_xlfn.XLOOKUP(B43,'Up Stats'!A:A,'Up Stats'!I:I,)</f>
        <v/>
      </c>
      <c r="AH43" s="54" t="str">
        <f>IFERROR(__xludf.DUMMYFUNCTION("if(AND(AI43=FALSE,AJ43=FALSE),,if(AI43=AJ43,JOIN("""",""Static: "",AI43),JOIN("""",""Min:  "",AI43, CHAR(10),""Max: "",AJ43)))"),"")</f>
        <v/>
      </c>
      <c r="AI43" s="55" t="str">
        <f t="array" ref="AI43">_xlfn.XLOOKUP(B43,'Up Min'!A:A,'Up Min'!I:I,)</f>
        <v/>
      </c>
      <c r="AJ43" s="55" t="str">
        <f t="array" ref="AJ43">_xlfn.XLOOKUP(B43,'Up Max'!A:A,'Up Max'!I:I,)</f>
        <v/>
      </c>
      <c r="AK43" s="57" t="str">
        <f t="array" ref="AK43">_xlfn.XLOOKUP(B43,'Up Stats'!A:A,'Up Stats'!J:J,)</f>
        <v/>
      </c>
      <c r="AL43" s="54" t="str">
        <f>IFERROR(__xludf.DUMMYFUNCTION("if(AND(AM43=FALSE,AN43=FALSE),,if(AM43=AN43,JOIN("""",""Static: "",AM43),JOIN("""",""Min:  "",AM43, CHAR(10),""Max: "",AN43)))"),"")</f>
        <v/>
      </c>
      <c r="AM43" s="55" t="str">
        <f t="array" ref="AM43">_xlfn.XLOOKUP(B43,'Up Min'!A:A,'Up Min'!J:J,)</f>
        <v/>
      </c>
      <c r="AN43" s="55" t="str">
        <f t="array" ref="AN43">_xlfn.XLOOKUP(B43,'Up Max'!A:A,'Up Max'!J:J,)</f>
        <v/>
      </c>
      <c r="AO43" s="51" t="str">
        <f t="array" ref="AO43">CONCATENATE(_xlfn.XLOOKUP(B43,'Up Cells'!A:A,'Up Cells'!B:B,))</f>
        <v/>
      </c>
      <c r="AP43" s="51" t="str">
        <f t="array" ref="AP43">CONCATENATE(_xlfn.XLOOKUP(B43,'Up Rarity'!A:A,'Up Rarity'!B:B,),CHAR(10),"-")</f>
        <v>
-</v>
      </c>
    </row>
    <row r="44">
      <c r="A44" s="87" t="str">
        <f t="array" ref="A44">_xlfn.XLOOKUP(B44,'Up Icon'!A:A,'Up Icon'!B:B,)</f>
        <v/>
      </c>
      <c r="B44" s="58" t="str">
        <f t="array" ref="B44">HYPERLINK(_xlfn.XLOOKUP('Up Names'!F44,'Up Wiki'!A:A,'Up Wiki'!B:B,),'Up Names'!F44)</f>
        <v/>
      </c>
      <c r="C44" s="37" t="str">
        <f t="array" ref="C44">_xlfn.XLOOKUP(B44,'Up Desc'!A:A,'Up Desc'!B:B,)</f>
        <v/>
      </c>
      <c r="D44" s="37" t="str">
        <f t="array" ref="D44">_xlfn.XLOOKUP(B44,'Up Turbo'!A:A,'Up Turbo'!B:B,)</f>
        <v/>
      </c>
      <c r="E44" s="39" t="str">
        <f t="array" ref="E44">_xlfn.XLOOKUP(B44,'Up Stats'!A:A,'Up Stats'!B:B,)</f>
        <v/>
      </c>
      <c r="F44" s="40" t="str">
        <f>IFERROR(__xludf.DUMMYFUNCTION("if(AND(G44=FALSE,H44=FALSE),,if(G44=H44,JOIN("""",""Static: "",G44),JOIN("""",""Min:  "",G44, CHAR(10),""Max: "",H44)))"),"")</f>
        <v/>
      </c>
      <c r="G44" s="42" t="str">
        <f t="array" ref="G44">_xlfn.XLOOKUP(B44,'Up Min'!A:A,'Up Min'!B:B,)</f>
        <v/>
      </c>
      <c r="H44" s="45" t="str">
        <f t="array" ref="H44">_xlfn.XLOOKUP(B44,'Up Max'!A:A,'Up Max'!B:B,)</f>
        <v/>
      </c>
      <c r="I44" s="39" t="str">
        <f t="array" ref="I44">_xlfn.XLOOKUP(B44,'Up Stats'!A:A,'Up Stats'!C:C,)</f>
        <v/>
      </c>
      <c r="J44" s="40" t="str">
        <f>IFERROR(__xludf.DUMMYFUNCTION("if(AND(K44=FALSE,L44=FALSE),,if(K44=L44,JOIN("""",""Static: "",K44),JOIN("""",""Min:  "",K44, CHAR(10),""Max: "",L44)))"),"")</f>
        <v/>
      </c>
      <c r="K44" s="42" t="str">
        <f t="array" ref="K44">_xlfn.XLOOKUP(B44,'Up Min'!A:A,'Up Min'!C:C,)</f>
        <v/>
      </c>
      <c r="L44" s="42" t="str">
        <f t="array" ref="L44">_xlfn.XLOOKUP(B44,'Up Max'!A:A,'Up Max'!C:C,)</f>
        <v/>
      </c>
      <c r="M44" s="48" t="str">
        <f t="array" ref="M44">_xlfn.XLOOKUP(B44,'Up Stats'!A:A,'Up Stats'!D:D,)</f>
        <v/>
      </c>
      <c r="N44" s="40" t="str">
        <f>IFERROR(__xludf.DUMMYFUNCTION("if(AND(O44=FALSE,P44=FALSE),,if(O44=P44,JOIN("""",""Static: "",O44),JOIN("""",""Min:  "",O44, CHAR(10),""Max: "",P44)))"),"")</f>
        <v/>
      </c>
      <c r="O44" s="42" t="str">
        <f t="array" ref="O44">_xlfn.XLOOKUP(B44,'Up Min'!A:A,'Up Min'!D:D,)</f>
        <v/>
      </c>
      <c r="P44" s="42" t="str">
        <f t="array" ref="P44">_xlfn.XLOOKUP(B44,'Up Max'!A:A,'Up Max'!D:D,)</f>
        <v/>
      </c>
      <c r="Q44" s="48" t="str">
        <f t="array" ref="Q44">_xlfn.XLOOKUP(B44,'Up Stats'!A:A,'Up Stats'!E:E,)</f>
        <v/>
      </c>
      <c r="R44" s="40" t="str">
        <f>IFERROR(__xludf.DUMMYFUNCTION("if(AND(S44=FALSE,T44=FALSE),,if(S44=T44,JOIN("""",""Static: "",S44),JOIN("""",""Min:  "",S44, CHAR(10),""Max: "",T44)))"),"")</f>
        <v/>
      </c>
      <c r="S44" s="42" t="str">
        <f t="array" ref="S44">_xlfn.XLOOKUP(B44,'Up Min'!A:A,'Up Min'!E:E,)</f>
        <v/>
      </c>
      <c r="T44" s="42" t="str">
        <f t="array" ref="T44">_xlfn.XLOOKUP(B44,'Up Max'!A:A,'Up Max'!E:E,)</f>
        <v/>
      </c>
      <c r="U44" s="48" t="str">
        <f t="array" ref="U44">_xlfn.XLOOKUP(B44,'Up Stats'!A:A,'Up Stats'!F:F,)</f>
        <v/>
      </c>
      <c r="V44" s="40" t="str">
        <f>IFERROR(__xludf.DUMMYFUNCTION("if(AND(W44=FALSE,X44=FALSE),,if(W44=X44,JOIN("""",""Static: "",W44),JOIN("""",""Min:  "",W44, CHAR(10),""Max: "",X44)))"),"")</f>
        <v/>
      </c>
      <c r="W44" s="42" t="str">
        <f t="array" ref="W44">_xlfn.XLOOKUP(B44,'Up Min'!A:A,'Up Min'!F:F,)</f>
        <v/>
      </c>
      <c r="X44" s="42" t="str">
        <f t="array" ref="X44">_xlfn.XLOOKUP(B44,'Up Max'!A:A,'Up Max'!F:F,)</f>
        <v/>
      </c>
      <c r="Y44" s="48" t="str">
        <f t="array" ref="Y44">_xlfn.XLOOKUP(B44,'Up Stats'!A:A,'Up Stats'!G:G,)</f>
        <v/>
      </c>
      <c r="Z44" s="40" t="str">
        <f>IFERROR(__xludf.DUMMYFUNCTION("if(AND(AA44=FALSE,AB44=FALSE),,if(AA44=AB44,JOIN("""",""Static: "",AA44),JOIN("""",""Min:  "",AA44, CHAR(10),""Max: "",AB44)))"),"")</f>
        <v/>
      </c>
      <c r="AA44" s="42" t="str">
        <f t="array" ref="AA44">_xlfn.XLOOKUP(B44,'Up Min'!A:A,'Up Min'!G:G,)</f>
        <v/>
      </c>
      <c r="AB44" s="42" t="str">
        <f t="array" ref="AB44">_xlfn.XLOOKUP(B44,'Up Max'!A:A,'Up Max'!G:G,)</f>
        <v/>
      </c>
      <c r="AC44" s="48" t="str">
        <f t="array" ref="AC44">_xlfn.XLOOKUP(B44,'Up Stats'!A:A,'Up Stats'!H:H,)</f>
        <v/>
      </c>
      <c r="AD44" s="40" t="str">
        <f>IFERROR(__xludf.DUMMYFUNCTION("if(AND(AE44=FALSE,AF44=FALSE),,if(AE44=AF44,JOIN("""",""Static: "",AE44),JOIN("""",""Min:  "",AE44, CHAR(10),""Max: "",AF44)))"),"")</f>
        <v/>
      </c>
      <c r="AE44" s="42" t="str">
        <f t="array" ref="AE44">_xlfn.XLOOKUP(B44,'Up Min'!A:A,'Up Min'!H:H,)</f>
        <v/>
      </c>
      <c r="AF44" s="42" t="str">
        <f t="array" ref="AF44">_xlfn.XLOOKUP(B44,'Up Max'!A:A,'Up Max'!H:H,)</f>
        <v/>
      </c>
      <c r="AG44" s="48" t="str">
        <f t="array" ref="AG44">_xlfn.XLOOKUP(B44,'Up Stats'!A:A,'Up Stats'!I:I,)</f>
        <v/>
      </c>
      <c r="AH44" s="40" t="str">
        <f>IFERROR(__xludf.DUMMYFUNCTION("if(AND(AI44=FALSE,AJ44=FALSE),,if(AI44=AJ44,JOIN("""",""Static: "",AI44),JOIN("""",""Min:  "",AI44, CHAR(10),""Max: "",AJ44)))"),"")</f>
        <v/>
      </c>
      <c r="AI44" s="42" t="str">
        <f t="array" ref="AI44">_xlfn.XLOOKUP(B44,'Up Min'!A:A,'Up Min'!I:I,)</f>
        <v/>
      </c>
      <c r="AJ44" s="42" t="str">
        <f t="array" ref="AJ44">_xlfn.XLOOKUP(B44,'Up Max'!A:A,'Up Max'!I:I,)</f>
        <v/>
      </c>
      <c r="AK44" s="48" t="str">
        <f t="array" ref="AK44">_xlfn.XLOOKUP(B44,'Up Stats'!A:A,'Up Stats'!J:J,)</f>
        <v/>
      </c>
      <c r="AL44" s="40" t="str">
        <f>IFERROR(__xludf.DUMMYFUNCTION("if(AND(AM44=FALSE,AN44=FALSE),,if(AM44=AN44,JOIN("""",""Static: "",AM44),JOIN("""",""Min:  "",AM44, CHAR(10),""Max: "",AN44)))"),"")</f>
        <v/>
      </c>
      <c r="AM44" s="42" t="str">
        <f t="array" ref="AM44">_xlfn.XLOOKUP(B44,'Up Min'!A:A,'Up Min'!J:J,)</f>
        <v/>
      </c>
      <c r="AN44" s="42" t="str">
        <f t="array" ref="AN44">_xlfn.XLOOKUP(B44,'Up Max'!A:A,'Up Max'!J:J,)</f>
        <v/>
      </c>
      <c r="AO44" s="34" t="str">
        <f t="array" ref="AO44">CONCATENATE(_xlfn.XLOOKUP(B44,'Up Cells'!A:A,'Up Cells'!B:B,))</f>
        <v/>
      </c>
      <c r="AP44" s="34" t="str">
        <f t="array" ref="AP44">CONCATENATE(_xlfn.XLOOKUP(B44,'Up Rarity'!A:A,'Up Rarity'!B:B,),CHAR(10),"-")</f>
        <v>
-</v>
      </c>
    </row>
    <row r="45">
      <c r="A45" s="86" t="str">
        <f t="array" ref="A45">_xlfn.XLOOKUP(B45,'Up Icon'!A:A,'Up Icon'!B:B,)</f>
        <v/>
      </c>
      <c r="B45" s="61" t="str">
        <f t="array" ref="B45">HYPERLINK(_xlfn.XLOOKUP('Up Names'!F45,'Up Wiki'!A:A,'Up Wiki'!B:B,),'Up Names'!F45)</f>
        <v/>
      </c>
      <c r="C45" s="52" t="str">
        <f t="array" ref="C45">_xlfn.XLOOKUP(B45,'Up Desc'!A:A,'Up Desc'!B:B,)</f>
        <v/>
      </c>
      <c r="D45" s="52" t="str">
        <f t="array" ref="D45">_xlfn.XLOOKUP(B45,'Up Turbo'!A:A,'Up Turbo'!B:B,)</f>
        <v/>
      </c>
      <c r="E45" s="53" t="str">
        <f t="array" ref="E45">_xlfn.XLOOKUP(B45,'Up Stats'!A:A,'Up Stats'!B:B,)</f>
        <v/>
      </c>
      <c r="F45" s="54" t="str">
        <f>IFERROR(__xludf.DUMMYFUNCTION("if(AND(G45=FALSE,H45=FALSE),,if(G45=H45,JOIN("""",""Static: "",G45),JOIN("""",""Min:  "",G45, CHAR(10),""Max: "",H45)))"),"")</f>
        <v/>
      </c>
      <c r="G45" s="55" t="str">
        <f t="array" ref="G45">_xlfn.XLOOKUP(B45,'Up Min'!A:A,'Up Min'!B:B,)</f>
        <v/>
      </c>
      <c r="H45" s="56" t="str">
        <f t="array" ref="H45">_xlfn.XLOOKUP(B45,'Up Max'!A:A,'Up Max'!B:B,)</f>
        <v/>
      </c>
      <c r="I45" s="53" t="str">
        <f t="array" ref="I45">_xlfn.XLOOKUP(B45,'Up Stats'!A:A,'Up Stats'!C:C,)</f>
        <v/>
      </c>
      <c r="J45" s="54" t="str">
        <f>IFERROR(__xludf.DUMMYFUNCTION("if(AND(K45=FALSE,L45=FALSE),,if(K45=L45,JOIN("""",""Static: "",K45),JOIN("""",""Min:  "",K45, CHAR(10),""Max: "",L45)))"),"")</f>
        <v/>
      </c>
      <c r="K45" s="55" t="str">
        <f t="array" ref="K45">_xlfn.XLOOKUP(B45,'Up Min'!A:A,'Up Min'!C:C,)</f>
        <v/>
      </c>
      <c r="L45" s="55" t="str">
        <f t="array" ref="L45">_xlfn.XLOOKUP(B45,'Up Max'!A:A,'Up Max'!C:C,)</f>
        <v/>
      </c>
      <c r="M45" s="57" t="str">
        <f t="array" ref="M45">_xlfn.XLOOKUP(B45,'Up Stats'!A:A,'Up Stats'!D:D,)</f>
        <v/>
      </c>
      <c r="N45" s="54" t="str">
        <f>IFERROR(__xludf.DUMMYFUNCTION("if(AND(O45=FALSE,P45=FALSE),,if(O45=P45,JOIN("""",""Static: "",O45),JOIN("""",""Min:  "",O45, CHAR(10),""Max: "",P45)))"),"")</f>
        <v/>
      </c>
      <c r="O45" s="55" t="str">
        <f t="array" ref="O45">_xlfn.XLOOKUP(B45,'Up Min'!A:A,'Up Min'!D:D,)</f>
        <v/>
      </c>
      <c r="P45" s="55" t="str">
        <f t="array" ref="P45">_xlfn.XLOOKUP(B45,'Up Max'!A:A,'Up Max'!D:D,)</f>
        <v/>
      </c>
      <c r="Q45" s="57" t="str">
        <f t="array" ref="Q45">_xlfn.XLOOKUP(B45,'Up Stats'!A:A,'Up Stats'!E:E,)</f>
        <v/>
      </c>
      <c r="R45" s="54" t="str">
        <f>IFERROR(__xludf.DUMMYFUNCTION("if(AND(S45=FALSE,T45=FALSE),,if(S45=T45,JOIN("""",""Static: "",S45),JOIN("""",""Min:  "",S45, CHAR(10),""Max: "",T45)))"),"")</f>
        <v/>
      </c>
      <c r="S45" s="55" t="str">
        <f t="array" ref="S45">_xlfn.XLOOKUP(B45,'Up Min'!A:A,'Up Min'!E:E,)</f>
        <v/>
      </c>
      <c r="T45" s="55" t="str">
        <f t="array" ref="T45">_xlfn.XLOOKUP(B45,'Up Max'!A:A,'Up Max'!E:E,)</f>
        <v/>
      </c>
      <c r="U45" s="57" t="str">
        <f t="array" ref="U45">_xlfn.XLOOKUP(B45,'Up Stats'!A:A,'Up Stats'!F:F,)</f>
        <v/>
      </c>
      <c r="V45" s="54" t="str">
        <f>IFERROR(__xludf.DUMMYFUNCTION("if(AND(W45=FALSE,X45=FALSE),,if(W45=X45,JOIN("""",""Static: "",W45),JOIN("""",""Min:  "",W45, CHAR(10),""Max: "",X45)))"),"")</f>
        <v/>
      </c>
      <c r="W45" s="55" t="str">
        <f t="array" ref="W45">_xlfn.XLOOKUP(B45,'Up Min'!A:A,'Up Min'!F:F,)</f>
        <v/>
      </c>
      <c r="X45" s="55" t="str">
        <f t="array" ref="X45">_xlfn.XLOOKUP(B45,'Up Max'!A:A,'Up Max'!F:F,)</f>
        <v/>
      </c>
      <c r="Y45" s="57" t="str">
        <f t="array" ref="Y45">_xlfn.XLOOKUP(B45,'Up Stats'!A:A,'Up Stats'!G:G,)</f>
        <v/>
      </c>
      <c r="Z45" s="54" t="str">
        <f>IFERROR(__xludf.DUMMYFUNCTION("if(AND(AA45=FALSE,AB45=FALSE),,if(AA45=AB45,JOIN("""",""Static: "",AA45),JOIN("""",""Min:  "",AA45, CHAR(10),""Max: "",AB45)))"),"")</f>
        <v/>
      </c>
      <c r="AA45" s="55" t="str">
        <f t="array" ref="AA45">_xlfn.XLOOKUP(B45,'Up Min'!A:A,'Up Min'!G:G,)</f>
        <v/>
      </c>
      <c r="AB45" s="55" t="str">
        <f t="array" ref="AB45">_xlfn.XLOOKUP(B45,'Up Max'!A:A,'Up Max'!G:G,)</f>
        <v/>
      </c>
      <c r="AC45" s="57" t="str">
        <f t="array" ref="AC45">_xlfn.XLOOKUP(B45,'Up Stats'!A:A,'Up Stats'!H:H,)</f>
        <v/>
      </c>
      <c r="AD45" s="54" t="str">
        <f>IFERROR(__xludf.DUMMYFUNCTION("if(AND(AE45=FALSE,AF45=FALSE),,if(AE45=AF45,JOIN("""",""Static: "",AE45),JOIN("""",""Min:  "",AE45, CHAR(10),""Max: "",AF45)))"),"")</f>
        <v/>
      </c>
      <c r="AE45" s="55" t="str">
        <f t="array" ref="AE45">_xlfn.XLOOKUP(B45,'Up Min'!A:A,'Up Min'!H:H,)</f>
        <v/>
      </c>
      <c r="AF45" s="55" t="str">
        <f t="array" ref="AF45">_xlfn.XLOOKUP(B45,'Up Max'!A:A,'Up Max'!H:H,)</f>
        <v/>
      </c>
      <c r="AG45" s="57" t="str">
        <f t="array" ref="AG45">_xlfn.XLOOKUP(B45,'Up Stats'!A:A,'Up Stats'!I:I,)</f>
        <v/>
      </c>
      <c r="AH45" s="54" t="str">
        <f>IFERROR(__xludf.DUMMYFUNCTION("if(AND(AI45=FALSE,AJ45=FALSE),,if(AI45=AJ45,JOIN("""",""Static: "",AI45),JOIN("""",""Min:  "",AI45, CHAR(10),""Max: "",AJ45)))"),"")</f>
        <v/>
      </c>
      <c r="AI45" s="55" t="str">
        <f t="array" ref="AI45">_xlfn.XLOOKUP(B45,'Up Min'!A:A,'Up Min'!I:I,)</f>
        <v/>
      </c>
      <c r="AJ45" s="55" t="str">
        <f t="array" ref="AJ45">_xlfn.XLOOKUP(B45,'Up Max'!A:A,'Up Max'!I:I,)</f>
        <v/>
      </c>
      <c r="AK45" s="57" t="str">
        <f t="array" ref="AK45">_xlfn.XLOOKUP(B45,'Up Stats'!A:A,'Up Stats'!J:J,)</f>
        <v/>
      </c>
      <c r="AL45" s="54" t="str">
        <f>IFERROR(__xludf.DUMMYFUNCTION("if(AND(AM45=FALSE,AN45=FALSE),,if(AM45=AN45,JOIN("""",""Static: "",AM45),JOIN("""",""Min:  "",AM45, CHAR(10),""Max: "",AN45)))"),"")</f>
        <v/>
      </c>
      <c r="AM45" s="55" t="str">
        <f t="array" ref="AM45">_xlfn.XLOOKUP(B45,'Up Min'!A:A,'Up Min'!J:J,)</f>
        <v/>
      </c>
      <c r="AN45" s="55" t="str">
        <f t="array" ref="AN45">_xlfn.XLOOKUP(B45,'Up Max'!A:A,'Up Max'!J:J,)</f>
        <v/>
      </c>
      <c r="AO45" s="51" t="str">
        <f t="array" ref="AO45">CONCATENATE(_xlfn.XLOOKUP(B45,'Up Cells'!A:A,'Up Cells'!B:B,))</f>
        <v/>
      </c>
      <c r="AP45" s="51" t="str">
        <f t="array" ref="AP45">CONCATENATE(_xlfn.XLOOKUP(B45,'Up Rarity'!A:A,'Up Rarity'!B:B,),CHAR(10),"-")</f>
        <v>
-</v>
      </c>
    </row>
    <row r="46">
      <c r="A46" s="87" t="str">
        <f t="array" ref="A46">_xlfn.XLOOKUP(B46,'Up Icon'!A:A,'Up Icon'!B:B,)</f>
        <v/>
      </c>
      <c r="B46" s="58" t="str">
        <f t="array" ref="B46">HYPERLINK(_xlfn.XLOOKUP('Up Names'!F46,'Up Wiki'!A:A,'Up Wiki'!B:B,),'Up Names'!F46)</f>
        <v/>
      </c>
      <c r="C46" s="37" t="str">
        <f t="array" ref="C46">_xlfn.XLOOKUP(B46,'Up Desc'!A:A,'Up Desc'!B:B,)</f>
        <v/>
      </c>
      <c r="D46" s="37" t="str">
        <f t="array" ref="D46">_xlfn.XLOOKUP(B46,'Up Turbo'!A:A,'Up Turbo'!B:B,)</f>
        <v/>
      </c>
      <c r="E46" s="39" t="str">
        <f t="array" ref="E46">_xlfn.XLOOKUP(B46,'Up Stats'!A:A,'Up Stats'!B:B,)</f>
        <v/>
      </c>
      <c r="F46" s="40" t="str">
        <f>IFERROR(__xludf.DUMMYFUNCTION("if(AND(G46=FALSE,H46=FALSE),,if(G46=H46,JOIN("""",""Static: "",G46),JOIN("""",""Min:  "",G46, CHAR(10),""Max: "",H46)))"),"")</f>
        <v/>
      </c>
      <c r="G46" s="42" t="str">
        <f t="array" ref="G46">_xlfn.XLOOKUP(B46,'Up Min'!A:A,'Up Min'!B:B,)</f>
        <v/>
      </c>
      <c r="H46" s="45" t="str">
        <f t="array" ref="H46">_xlfn.XLOOKUP(B46,'Up Max'!A:A,'Up Max'!B:B,)</f>
        <v/>
      </c>
      <c r="I46" s="39" t="str">
        <f t="array" ref="I46">_xlfn.XLOOKUP(B46,'Up Stats'!A:A,'Up Stats'!C:C,)</f>
        <v/>
      </c>
      <c r="J46" s="40" t="str">
        <f>IFERROR(__xludf.DUMMYFUNCTION("if(AND(K46=FALSE,L46=FALSE),,if(K46=L46,JOIN("""",""Static: "",K46),JOIN("""",""Min:  "",K46, CHAR(10),""Max: "",L46)))"),"")</f>
        <v/>
      </c>
      <c r="K46" s="42" t="str">
        <f t="array" ref="K46">_xlfn.XLOOKUP(B46,'Up Min'!A:A,'Up Min'!C:C,)</f>
        <v/>
      </c>
      <c r="L46" s="42" t="str">
        <f t="array" ref="L46">_xlfn.XLOOKUP(B46,'Up Max'!A:A,'Up Max'!C:C,)</f>
        <v/>
      </c>
      <c r="M46" s="48" t="str">
        <f t="array" ref="M46">_xlfn.XLOOKUP(B46,'Up Stats'!A:A,'Up Stats'!D:D,)</f>
        <v/>
      </c>
      <c r="N46" s="40" t="str">
        <f>IFERROR(__xludf.DUMMYFUNCTION("if(AND(O46=FALSE,P46=FALSE),,if(O46=P46,JOIN("""",""Static: "",O46),JOIN("""",""Min:  "",O46, CHAR(10),""Max: "",P46)))"),"")</f>
        <v/>
      </c>
      <c r="O46" s="42" t="str">
        <f t="array" ref="O46">_xlfn.XLOOKUP(B46,'Up Min'!A:A,'Up Min'!D:D,)</f>
        <v/>
      </c>
      <c r="P46" s="42" t="str">
        <f t="array" ref="P46">_xlfn.XLOOKUP(B46,'Up Max'!A:A,'Up Max'!D:D,)</f>
        <v/>
      </c>
      <c r="Q46" s="48" t="str">
        <f t="array" ref="Q46">_xlfn.XLOOKUP(B46,'Up Stats'!A:A,'Up Stats'!E:E,)</f>
        <v/>
      </c>
      <c r="R46" s="40" t="str">
        <f>IFERROR(__xludf.DUMMYFUNCTION("if(AND(S46=FALSE,T46=FALSE),,if(S46=T46,JOIN("""",""Static: "",S46),JOIN("""",""Min:  "",S46, CHAR(10),""Max: "",T46)))"),"")</f>
        <v/>
      </c>
      <c r="S46" s="42" t="str">
        <f t="array" ref="S46">_xlfn.XLOOKUP(B46,'Up Min'!A:A,'Up Min'!E:E,)</f>
        <v/>
      </c>
      <c r="T46" s="42" t="str">
        <f t="array" ref="T46">_xlfn.XLOOKUP(B46,'Up Max'!A:A,'Up Max'!E:E,)</f>
        <v/>
      </c>
      <c r="U46" s="48" t="str">
        <f t="array" ref="U46">_xlfn.XLOOKUP(B46,'Up Stats'!A:A,'Up Stats'!F:F,)</f>
        <v/>
      </c>
      <c r="V46" s="40" t="str">
        <f>IFERROR(__xludf.DUMMYFUNCTION("if(AND(W46=FALSE,X46=FALSE),,if(W46=X46,JOIN("""",""Static: "",W46),JOIN("""",""Min:  "",W46, CHAR(10),""Max: "",X46)))"),"")</f>
        <v/>
      </c>
      <c r="W46" s="42" t="str">
        <f t="array" ref="W46">_xlfn.XLOOKUP(B46,'Up Min'!A:A,'Up Min'!F:F,)</f>
        <v/>
      </c>
      <c r="X46" s="42" t="str">
        <f t="array" ref="X46">_xlfn.XLOOKUP(B46,'Up Max'!A:A,'Up Max'!F:F,)</f>
        <v/>
      </c>
      <c r="Y46" s="48" t="str">
        <f t="array" ref="Y46">_xlfn.XLOOKUP(B46,'Up Stats'!A:A,'Up Stats'!G:G,)</f>
        <v/>
      </c>
      <c r="Z46" s="40" t="str">
        <f>IFERROR(__xludf.DUMMYFUNCTION("if(AND(AA46=FALSE,AB46=FALSE),,if(AA46=AB46,JOIN("""",""Static: "",AA46),JOIN("""",""Min:  "",AA46, CHAR(10),""Max: "",AB46)))"),"")</f>
        <v/>
      </c>
      <c r="AA46" s="42" t="str">
        <f t="array" ref="AA46">_xlfn.XLOOKUP(B46,'Up Min'!A:A,'Up Min'!G:G,)</f>
        <v/>
      </c>
      <c r="AB46" s="42" t="str">
        <f t="array" ref="AB46">_xlfn.XLOOKUP(B46,'Up Max'!A:A,'Up Max'!G:G,)</f>
        <v/>
      </c>
      <c r="AC46" s="48" t="str">
        <f t="array" ref="AC46">_xlfn.XLOOKUP(B46,'Up Stats'!A:A,'Up Stats'!H:H,)</f>
        <v/>
      </c>
      <c r="AD46" s="40" t="str">
        <f>IFERROR(__xludf.DUMMYFUNCTION("if(AND(AE46=FALSE,AF46=FALSE),,if(AE46=AF46,JOIN("""",""Static: "",AE46),JOIN("""",""Min:  "",AE46, CHAR(10),""Max: "",AF46)))"),"")</f>
        <v/>
      </c>
      <c r="AE46" s="42" t="str">
        <f t="array" ref="AE46">_xlfn.XLOOKUP(B46,'Up Min'!A:A,'Up Min'!H:H,)</f>
        <v/>
      </c>
      <c r="AF46" s="42" t="str">
        <f t="array" ref="AF46">_xlfn.XLOOKUP(B46,'Up Max'!A:A,'Up Max'!H:H,)</f>
        <v/>
      </c>
      <c r="AG46" s="48" t="str">
        <f t="array" ref="AG46">_xlfn.XLOOKUP(B46,'Up Stats'!A:A,'Up Stats'!I:I,)</f>
        <v/>
      </c>
      <c r="AH46" s="40" t="str">
        <f>IFERROR(__xludf.DUMMYFUNCTION("if(AND(AI46=FALSE,AJ46=FALSE),,if(AI46=AJ46,JOIN("""",""Static: "",AI46),JOIN("""",""Min:  "",AI46, CHAR(10),""Max: "",AJ46)))"),"")</f>
        <v/>
      </c>
      <c r="AI46" s="42" t="str">
        <f t="array" ref="AI46">_xlfn.XLOOKUP(B46,'Up Min'!A:A,'Up Min'!I:I,)</f>
        <v/>
      </c>
      <c r="AJ46" s="42" t="str">
        <f t="array" ref="AJ46">_xlfn.XLOOKUP(B46,'Up Max'!A:A,'Up Max'!I:I,)</f>
        <v/>
      </c>
      <c r="AK46" s="48" t="str">
        <f t="array" ref="AK46">_xlfn.XLOOKUP(B46,'Up Stats'!A:A,'Up Stats'!J:J,)</f>
        <v/>
      </c>
      <c r="AL46" s="40" t="str">
        <f>IFERROR(__xludf.DUMMYFUNCTION("if(AND(AM46=FALSE,AN46=FALSE),,if(AM46=AN46,JOIN("""",""Static: "",AM46),JOIN("""",""Min:  "",AM46, CHAR(10),""Max: "",AN46)))"),"")</f>
        <v/>
      </c>
      <c r="AM46" s="42" t="str">
        <f t="array" ref="AM46">_xlfn.XLOOKUP(B46,'Up Min'!A:A,'Up Min'!J:J,)</f>
        <v/>
      </c>
      <c r="AN46" s="42" t="str">
        <f t="array" ref="AN46">_xlfn.XLOOKUP(B46,'Up Max'!A:A,'Up Max'!J:J,)</f>
        <v/>
      </c>
      <c r="AO46" s="34" t="str">
        <f t="array" ref="AO46">CONCATENATE(_xlfn.XLOOKUP(B46,'Up Cells'!A:A,'Up Cells'!B:B,))</f>
        <v/>
      </c>
      <c r="AP46" s="34" t="str">
        <f t="array" ref="AP46">CONCATENATE(_xlfn.XLOOKUP(B46,'Up Rarity'!A:A,'Up Rarity'!B:B,),CHAR(10),"-")</f>
        <v>
-</v>
      </c>
    </row>
    <row r="47">
      <c r="A47" s="86" t="str">
        <f t="array" ref="A47">_xlfn.XLOOKUP(B47,'Up Icon'!A:A,'Up Icon'!B:B,)</f>
        <v/>
      </c>
      <c r="B47" s="61" t="str">
        <f t="array" ref="B47">HYPERLINK(_xlfn.XLOOKUP('Up Names'!F47,'Up Wiki'!A:A,'Up Wiki'!B:B,),'Up Names'!F47)</f>
        <v/>
      </c>
      <c r="C47" s="52" t="str">
        <f t="array" ref="C47">_xlfn.XLOOKUP(B47,'Up Desc'!A:A,'Up Desc'!B:B,)</f>
        <v/>
      </c>
      <c r="D47" s="52" t="str">
        <f t="array" ref="D47">_xlfn.XLOOKUP(B47,'Up Turbo'!A:A,'Up Turbo'!B:B,)</f>
        <v/>
      </c>
      <c r="E47" s="53" t="str">
        <f t="array" ref="E47">_xlfn.XLOOKUP(B47,'Up Stats'!A:A,'Up Stats'!B:B,)</f>
        <v/>
      </c>
      <c r="F47" s="54" t="str">
        <f>IFERROR(__xludf.DUMMYFUNCTION("if(AND(G47=FALSE,H47=FALSE),,if(G47=H47,JOIN("""",""Static: "",G47),JOIN("""",""Min:  "",G47, CHAR(10),""Max: "",H47)))"),"")</f>
        <v/>
      </c>
      <c r="G47" s="55" t="str">
        <f t="array" ref="G47">_xlfn.XLOOKUP(B47,'Up Min'!A:A,'Up Min'!B:B,)</f>
        <v/>
      </c>
      <c r="H47" s="56" t="str">
        <f t="array" ref="H47">_xlfn.XLOOKUP(B47,'Up Max'!A:A,'Up Max'!B:B,)</f>
        <v/>
      </c>
      <c r="I47" s="53" t="str">
        <f t="array" ref="I47">_xlfn.XLOOKUP(B47,'Up Stats'!A:A,'Up Stats'!C:C,)</f>
        <v/>
      </c>
      <c r="J47" s="54" t="str">
        <f>IFERROR(__xludf.DUMMYFUNCTION("if(AND(K47=FALSE,L47=FALSE),,if(K47=L47,JOIN("""",""Static: "",K47),JOIN("""",""Min:  "",K47, CHAR(10),""Max: "",L47)))"),"")</f>
        <v/>
      </c>
      <c r="K47" s="55" t="str">
        <f t="array" ref="K47">_xlfn.XLOOKUP(B47,'Up Min'!A:A,'Up Min'!C:C,)</f>
        <v/>
      </c>
      <c r="L47" s="55" t="str">
        <f t="array" ref="L47">_xlfn.XLOOKUP(B47,'Up Max'!A:A,'Up Max'!C:C,)</f>
        <v/>
      </c>
      <c r="M47" s="57" t="str">
        <f t="array" ref="M47">_xlfn.XLOOKUP(B47,'Up Stats'!A:A,'Up Stats'!D:D,)</f>
        <v/>
      </c>
      <c r="N47" s="54" t="str">
        <f>IFERROR(__xludf.DUMMYFUNCTION("if(AND(O47=FALSE,P47=FALSE),,if(O47=P47,JOIN("""",""Static: "",O47),JOIN("""",""Min:  "",O47, CHAR(10),""Max: "",P47)))"),"")</f>
        <v/>
      </c>
      <c r="O47" s="55" t="str">
        <f t="array" ref="O47">_xlfn.XLOOKUP(B47,'Up Min'!A:A,'Up Min'!D:D,)</f>
        <v/>
      </c>
      <c r="P47" s="55" t="str">
        <f t="array" ref="P47">_xlfn.XLOOKUP(B47,'Up Max'!A:A,'Up Max'!D:D,)</f>
        <v/>
      </c>
      <c r="Q47" s="57" t="str">
        <f t="array" ref="Q47">_xlfn.XLOOKUP(B47,'Up Stats'!A:A,'Up Stats'!E:E,)</f>
        <v/>
      </c>
      <c r="R47" s="54" t="str">
        <f>IFERROR(__xludf.DUMMYFUNCTION("if(AND(S47=FALSE,T47=FALSE),,if(S47=T47,JOIN("""",""Static: "",S47),JOIN("""",""Min:  "",S47, CHAR(10),""Max: "",T47)))"),"")</f>
        <v/>
      </c>
      <c r="S47" s="55" t="str">
        <f t="array" ref="S47">_xlfn.XLOOKUP(B47,'Up Min'!A:A,'Up Min'!E:E,)</f>
        <v/>
      </c>
      <c r="T47" s="55" t="str">
        <f t="array" ref="T47">_xlfn.XLOOKUP(B47,'Up Max'!A:A,'Up Max'!E:E,)</f>
        <v/>
      </c>
      <c r="U47" s="57" t="str">
        <f t="array" ref="U47">_xlfn.XLOOKUP(B47,'Up Stats'!A:A,'Up Stats'!F:F,)</f>
        <v/>
      </c>
      <c r="V47" s="54" t="str">
        <f>IFERROR(__xludf.DUMMYFUNCTION("if(AND(W47=FALSE,X47=FALSE),,if(W47=X47,JOIN("""",""Static: "",W47),JOIN("""",""Min:  "",W47, CHAR(10),""Max: "",X47)))"),"")</f>
        <v/>
      </c>
      <c r="W47" s="55" t="str">
        <f t="array" ref="W47">_xlfn.XLOOKUP(B47,'Up Min'!A:A,'Up Min'!F:F,)</f>
        <v/>
      </c>
      <c r="X47" s="55" t="str">
        <f t="array" ref="X47">_xlfn.XLOOKUP(B47,'Up Max'!A:A,'Up Max'!F:F,)</f>
        <v/>
      </c>
      <c r="Y47" s="57" t="str">
        <f t="array" ref="Y47">_xlfn.XLOOKUP(B47,'Up Stats'!A:A,'Up Stats'!G:G,)</f>
        <v/>
      </c>
      <c r="Z47" s="54" t="str">
        <f>IFERROR(__xludf.DUMMYFUNCTION("if(AND(AA47=FALSE,AB47=FALSE),,if(AA47=AB47,JOIN("""",""Static: "",AA47),JOIN("""",""Min:  "",AA47, CHAR(10),""Max: "",AB47)))"),"")</f>
        <v/>
      </c>
      <c r="AA47" s="55" t="str">
        <f t="array" ref="AA47">_xlfn.XLOOKUP(B47,'Up Min'!A:A,'Up Min'!G:G,)</f>
        <v/>
      </c>
      <c r="AB47" s="55" t="str">
        <f t="array" ref="AB47">_xlfn.XLOOKUP(B47,'Up Max'!A:A,'Up Max'!G:G,)</f>
        <v/>
      </c>
      <c r="AC47" s="57" t="str">
        <f t="array" ref="AC47">_xlfn.XLOOKUP(B47,'Up Stats'!A:A,'Up Stats'!H:H,)</f>
        <v/>
      </c>
      <c r="AD47" s="54" t="str">
        <f>IFERROR(__xludf.DUMMYFUNCTION("if(AND(AE47=FALSE,AF47=FALSE),,if(AE47=AF47,JOIN("""",""Static: "",AE47),JOIN("""",""Min:  "",AE47, CHAR(10),""Max: "",AF47)))"),"")</f>
        <v/>
      </c>
      <c r="AE47" s="55" t="str">
        <f t="array" ref="AE47">_xlfn.XLOOKUP(B47,'Up Min'!A:A,'Up Min'!H:H,)</f>
        <v/>
      </c>
      <c r="AF47" s="55" t="str">
        <f t="array" ref="AF47">_xlfn.XLOOKUP(B47,'Up Max'!A:A,'Up Max'!H:H,)</f>
        <v/>
      </c>
      <c r="AG47" s="57" t="str">
        <f t="array" ref="AG47">_xlfn.XLOOKUP(B47,'Up Stats'!A:A,'Up Stats'!I:I,)</f>
        <v/>
      </c>
      <c r="AH47" s="54" t="str">
        <f>IFERROR(__xludf.DUMMYFUNCTION("if(AND(AI47=FALSE,AJ47=FALSE),,if(AI47=AJ47,JOIN("""",""Static: "",AI47),JOIN("""",""Min:  "",AI47, CHAR(10),""Max: "",AJ47)))"),"")</f>
        <v/>
      </c>
      <c r="AI47" s="55" t="str">
        <f t="array" ref="AI47">_xlfn.XLOOKUP(B47,'Up Min'!A:A,'Up Min'!I:I,)</f>
        <v/>
      </c>
      <c r="AJ47" s="55" t="str">
        <f t="array" ref="AJ47">_xlfn.XLOOKUP(B47,'Up Max'!A:A,'Up Max'!I:I,)</f>
        <v/>
      </c>
      <c r="AK47" s="57" t="str">
        <f t="array" ref="AK47">_xlfn.XLOOKUP(B47,'Up Stats'!A:A,'Up Stats'!J:J,)</f>
        <v/>
      </c>
      <c r="AL47" s="54" t="str">
        <f>IFERROR(__xludf.DUMMYFUNCTION("if(AND(AM47=FALSE,AN47=FALSE),,if(AM47=AN47,JOIN("""",""Static: "",AM47),JOIN("""",""Min:  "",AM47, CHAR(10),""Max: "",AN47)))"),"")</f>
        <v/>
      </c>
      <c r="AM47" s="55" t="str">
        <f t="array" ref="AM47">_xlfn.XLOOKUP(B47,'Up Min'!A:A,'Up Min'!J:J,)</f>
        <v/>
      </c>
      <c r="AN47" s="55" t="str">
        <f t="array" ref="AN47">_xlfn.XLOOKUP(B47,'Up Max'!A:A,'Up Max'!J:J,)</f>
        <v/>
      </c>
      <c r="AO47" s="51" t="str">
        <f t="array" ref="AO47">CONCATENATE(_xlfn.XLOOKUP(B47,'Up Cells'!A:A,'Up Cells'!B:B,))</f>
        <v/>
      </c>
      <c r="AP47" s="51" t="str">
        <f t="array" ref="AP47">CONCATENATE(_xlfn.XLOOKUP(B47,'Up Rarity'!A:A,'Up Rarity'!B:B,),CHAR(10),"-")</f>
        <v>
-</v>
      </c>
    </row>
  </sheetData>
  <autoFilter ref="$A$1:$AP$47">
    <sortState ref="A1:AP47">
      <sortCondition descending="1" sortBy="cellColor" ref="AP1:AP47" dxfId="2"/>
      <sortCondition ref="B1:B47"/>
    </sortState>
  </autoFilter>
  <conditionalFormatting sqref="AO1:AP47">
    <cfRule type="containsText" dxfId="3" priority="1" operator="containsText" text="Oddity">
      <formula>NOT(ISERROR(SEARCH(("Oddity"),(AO1))))</formula>
    </cfRule>
  </conditionalFormatting>
  <conditionalFormatting sqref="AO1:AP47">
    <cfRule type="containsText" dxfId="4" priority="2" operator="containsText" text="Exotic">
      <formula>NOT(ISERROR(SEARCH(("Exotic"),(AO1))))</formula>
    </cfRule>
  </conditionalFormatting>
  <conditionalFormatting sqref="AO1:AP47">
    <cfRule type="containsText" dxfId="5" priority="3" operator="containsText" text="Epic">
      <formula>NOT(ISERROR(SEARCH(("Epic"),(AO1))))</formula>
    </cfRule>
  </conditionalFormatting>
  <conditionalFormatting sqref="AO1:AP47">
    <cfRule type="containsText" dxfId="6" priority="4" operator="containsText" text="Rare">
      <formula>NOT(ISERROR(SEARCH(("Rare"),(AO1))))</formula>
    </cfRule>
  </conditionalFormatting>
  <conditionalFormatting sqref="AO1:AP47">
    <cfRule type="containsText" dxfId="7" priority="5" operator="containsText" text="Standard">
      <formula>NOT(ISERROR(SEARCH(("Standard"),(AO1))))</formula>
    </cfRule>
  </conditionalFormatting>
  <conditionalFormatting sqref="AO1:AP47">
    <cfRule type="containsText" dxfId="8" priority="6" operator="containsText" text="Contraband">
      <formula>NOT(ISERROR(SEARCH(("Contraband"),(AO1))))</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12.63"/>
    <col customWidth="1" min="3" max="4" width="31.38"/>
    <col customWidth="1" min="5" max="6" width="12.63"/>
    <col customWidth="1" hidden="1" min="7" max="8" width="12.63"/>
    <col customWidth="1" min="9" max="10" width="12.63"/>
    <col customWidth="1" hidden="1" min="11" max="12" width="12.63"/>
    <col customWidth="1" min="13" max="14" width="12.63"/>
    <col customWidth="1" hidden="1" min="15" max="16" width="12.63"/>
    <col customWidth="1" min="17" max="18" width="12.63"/>
    <col customWidth="1" hidden="1" min="19" max="20" width="12.63"/>
    <col customWidth="1" min="21" max="22" width="12.63"/>
    <col customWidth="1" hidden="1" min="23" max="24" width="12.63"/>
    <col customWidth="1" min="25" max="26" width="12.63"/>
    <col customWidth="1" hidden="1" min="27" max="28" width="12.63"/>
    <col customWidth="1" min="29" max="30" width="12.63"/>
    <col customWidth="1" hidden="1" min="31" max="32" width="12.63"/>
    <col customWidth="1" min="33" max="34" width="12.63"/>
    <col customWidth="1" hidden="1" min="35" max="36" width="12.63"/>
    <col customWidth="1" min="37" max="38" width="12.63"/>
    <col customWidth="1" hidden="1" min="39" max="40" width="12.63"/>
    <col customWidth="1" min="41" max="42" width="8.25"/>
  </cols>
  <sheetData>
    <row r="1">
      <c r="A1" s="28" t="s">
        <v>1</v>
      </c>
      <c r="B1" s="9" t="s">
        <v>2</v>
      </c>
      <c r="C1" s="9" t="s">
        <v>3</v>
      </c>
      <c r="D1" s="11" t="s">
        <v>4</v>
      </c>
      <c r="E1" s="16" t="s">
        <v>6</v>
      </c>
      <c r="F1" s="19" t="s">
        <v>7</v>
      </c>
      <c r="G1" s="21" t="s">
        <v>8</v>
      </c>
      <c r="H1" s="25" t="s">
        <v>9</v>
      </c>
      <c r="I1" s="29" t="s">
        <v>6</v>
      </c>
      <c r="J1" s="19" t="s">
        <v>7</v>
      </c>
      <c r="K1" s="21" t="s">
        <v>8</v>
      </c>
      <c r="L1" s="21" t="s">
        <v>9</v>
      </c>
      <c r="M1" s="29" t="s">
        <v>6</v>
      </c>
      <c r="N1" s="19" t="s">
        <v>7</v>
      </c>
      <c r="O1" s="21" t="s">
        <v>8</v>
      </c>
      <c r="P1" s="21" t="s">
        <v>9</v>
      </c>
      <c r="Q1" s="16" t="s">
        <v>6</v>
      </c>
      <c r="R1" s="19" t="s">
        <v>7</v>
      </c>
      <c r="S1" s="25" t="s">
        <v>8</v>
      </c>
      <c r="T1" s="21" t="s">
        <v>9</v>
      </c>
      <c r="U1" s="16" t="s">
        <v>6</v>
      </c>
      <c r="V1" s="19" t="s">
        <v>7</v>
      </c>
      <c r="W1" s="25" t="s">
        <v>8</v>
      </c>
      <c r="X1" s="25" t="s">
        <v>9</v>
      </c>
      <c r="Y1" s="16" t="s">
        <v>6</v>
      </c>
      <c r="Z1" s="19" t="s">
        <v>7</v>
      </c>
      <c r="AA1" s="21" t="s">
        <v>8</v>
      </c>
      <c r="AB1" s="25" t="s">
        <v>9</v>
      </c>
      <c r="AC1" s="29" t="s">
        <v>6</v>
      </c>
      <c r="AD1" s="19" t="s">
        <v>7</v>
      </c>
      <c r="AE1" s="21" t="s">
        <v>8</v>
      </c>
      <c r="AF1" s="21" t="s">
        <v>9</v>
      </c>
      <c r="AG1" s="16" t="s">
        <v>6</v>
      </c>
      <c r="AH1" s="19" t="s">
        <v>7</v>
      </c>
      <c r="AI1" s="21" t="s">
        <v>8</v>
      </c>
      <c r="AJ1" s="21" t="s">
        <v>9</v>
      </c>
      <c r="AK1" s="16" t="s">
        <v>6</v>
      </c>
      <c r="AL1" s="19" t="s">
        <v>7</v>
      </c>
      <c r="AM1" s="21" t="s">
        <v>8</v>
      </c>
      <c r="AN1" s="21" t="s">
        <v>9</v>
      </c>
      <c r="AO1" s="11" t="s">
        <v>12</v>
      </c>
      <c r="AP1" s="22" t="s">
        <v>13</v>
      </c>
    </row>
    <row r="2">
      <c r="A2" s="31" t="str">
        <f t="array" ref="A2">_xlfn.XLOOKUP(B2,'Up Icon'!A:A,'Up Icon'!B:B,)</f>
        <v/>
      </c>
      <c r="B2" s="58" t="str">
        <f t="array" ref="B2">HYPERLINK(_xlfn.XLOOKUP('Up Names'!G32,'Up Wiki'!A:A,'Up Wiki'!B:B,),'Up Names'!G32)</f>
        <v>Edge Fault</v>
      </c>
      <c r="C2" s="67" t="str">
        <f t="array" ref="C2">_xlfn.XLOOKUP(B2,'Up Desc'!A:A,'Up Desc'!B:B,)</f>
        <v>Increases the size of your upgrade grid.</v>
      </c>
      <c r="D2" s="37" t="str">
        <f t="array" ref="D2">_xlfn.XLOOKUP(B2,'Up Turbo'!A:A,'Up Turbo'!B:B,)</f>
        <v>n/a</v>
      </c>
      <c r="E2" s="39" t="str">
        <f t="array" ref="E2">_xlfn.XLOOKUP(B2,'Up Stats'!A:A,'Up Stats'!B:B,)</f>
        <v/>
      </c>
      <c r="F2" s="40" t="str">
        <f>IFERROR(__xludf.DUMMYFUNCTION("if(AND(G2=FALSE,H2=FALSE),,if(G2=H2,JOIN("""",""Static: "",G2),JOIN("""",""Min:  "",G2, CHAR(10),""Max: "",H2)))"),"")</f>
        <v/>
      </c>
      <c r="G2" s="42" t="str">
        <f t="array" ref="G2">_xlfn.XLOOKUP(B2,'Up Min'!A:A,'Up Min'!B:B,)</f>
        <v/>
      </c>
      <c r="H2" s="45" t="str">
        <f t="array" ref="H2">_xlfn.XLOOKUP(B2,'Up Max'!A:A,'Up Max'!B:B,)</f>
        <v/>
      </c>
      <c r="I2" s="39" t="str">
        <f t="array" ref="I2">_xlfn.XLOOKUP(B2,'Up Stats'!A:A,'Up Stats'!C:C,)</f>
        <v/>
      </c>
      <c r="J2" s="40" t="str">
        <f>IFERROR(__xludf.DUMMYFUNCTION("if(AND(K2=FALSE,L2=FALSE),,if(K2=L2,JOIN("""",""Static: "",K2),JOIN("""",""Min:  "",K2, CHAR(10),""Max: "",L2)))"),"")</f>
        <v/>
      </c>
      <c r="K2" s="45" t="str">
        <f t="array" ref="K2">_xlfn.XLOOKUP(B2,'Up Min'!A:A,'Up Min'!C:C,)</f>
        <v/>
      </c>
      <c r="L2" s="42" t="str">
        <f t="array" ref="L2">_xlfn.XLOOKUP(B2,'Up Max'!A:A,'Up Max'!C:C,)</f>
        <v/>
      </c>
      <c r="M2" s="39" t="str">
        <f t="array" ref="M2">_xlfn.XLOOKUP(B2,'Up Stats'!A:A,'Up Stats'!D:D,)</f>
        <v/>
      </c>
      <c r="N2" s="40" t="str">
        <f>IFERROR(__xludf.DUMMYFUNCTION("if(AND(O2=FALSE,P2=FALSE),,if(O2=P2,JOIN("""",""Static: "",O2),JOIN("""",""Min:  "",O2, CHAR(10),""Max: "",P2)))"),"")</f>
        <v/>
      </c>
      <c r="O2" s="42" t="str">
        <f t="array" ref="O2">_xlfn.XLOOKUP(B2,'Up Min'!A:A,'Up Min'!D:D,)</f>
        <v/>
      </c>
      <c r="P2" s="42" t="str">
        <f t="array" ref="P2">_xlfn.XLOOKUP(B2,'Up Max'!A:A,'Up Max'!D:D,)</f>
        <v/>
      </c>
      <c r="Q2" s="48" t="str">
        <f t="array" ref="Q2">_xlfn.XLOOKUP(B2,'Up Stats'!A:A,'Up Stats'!E:E,)</f>
        <v/>
      </c>
      <c r="R2" s="40" t="str">
        <f>IFERROR(__xludf.DUMMYFUNCTION("if(AND(S2=FALSE,T2=FALSE),,if(S2=T2,JOIN("""",""Static: "",S2),JOIN("""",""Min:  "",S2, CHAR(10),""Max: "",T2)))"),"")</f>
        <v/>
      </c>
      <c r="S2" s="42" t="str">
        <f t="array" ref="S2">_xlfn.XLOOKUP(B2,'Up Min'!A:A,'Up Min'!E:E,)</f>
        <v/>
      </c>
      <c r="T2" s="42" t="str">
        <f t="array" ref="T2">_xlfn.XLOOKUP(B2,'Up Max'!A:A,'Up Max'!E:E,)</f>
        <v/>
      </c>
      <c r="U2" s="48" t="str">
        <f t="array" ref="U2">_xlfn.XLOOKUP(B2,'Up Stats'!A:A,'Up Stats'!F:F,)</f>
        <v/>
      </c>
      <c r="V2" s="40" t="str">
        <f>IFERROR(__xludf.DUMMYFUNCTION("if(AND(W2=FALSE,X2=FALSE),,if(W2=X2,JOIN("""",""Static: "",W2),JOIN("""",""Min:  "",W2, CHAR(10),""Max: "",X2)))"),"")</f>
        <v/>
      </c>
      <c r="W2" s="42" t="str">
        <f t="array" ref="W2">_xlfn.XLOOKUP(B2,'Up Min'!A:A,'Up Min'!F:F,)</f>
        <v/>
      </c>
      <c r="X2" s="42" t="str">
        <f t="array" ref="X2">_xlfn.XLOOKUP(B2,'Up Max'!A:A,'Up Max'!F:F,)</f>
        <v/>
      </c>
      <c r="Y2" s="48" t="str">
        <f t="array" ref="Y2">_xlfn.XLOOKUP(B2,'Up Stats'!A:A,'Up Stats'!G:G,)</f>
        <v/>
      </c>
      <c r="Z2" s="40" t="str">
        <f>IFERROR(__xludf.DUMMYFUNCTION("if(AND(AA2=FALSE,AB2=FALSE),,if(AA2=AB2,JOIN("""",""Static: "",AA2),JOIN("""",""Min:  "",AA2, CHAR(10),""Max: "",AB2)))"),"")</f>
        <v/>
      </c>
      <c r="AA2" s="42" t="str">
        <f t="array" ref="AA2">_xlfn.XLOOKUP(B2,'Up Min'!A:A,'Up Min'!G:G,)</f>
        <v/>
      </c>
      <c r="AB2" s="42" t="str">
        <f t="array" ref="AB2">_xlfn.XLOOKUP(B2,'Up Max'!A:A,'Up Max'!G:G,)</f>
        <v/>
      </c>
      <c r="AC2" s="48" t="str">
        <f t="array" ref="AC2">_xlfn.XLOOKUP(B2,'Up Stats'!A:A,'Up Stats'!H:H,)</f>
        <v/>
      </c>
      <c r="AD2" s="40" t="str">
        <f>IFERROR(__xludf.DUMMYFUNCTION("if(AND(AE2=FALSE,AF2=FALSE),,if(AE2=AF2,JOIN("""",""Static: "",AE2),JOIN("""",""Min:  "",AE2, CHAR(10),""Max: "",AF2)))"),"")</f>
        <v/>
      </c>
      <c r="AE2" s="42" t="str">
        <f t="array" ref="AE2">_xlfn.XLOOKUP(B2,'Up Min'!A:A,'Up Min'!H:H,)</f>
        <v/>
      </c>
      <c r="AF2" s="42" t="str">
        <f t="array" ref="AF2">_xlfn.XLOOKUP(B2,'Up Max'!A:A,'Up Max'!H:H,)</f>
        <v/>
      </c>
      <c r="AG2" s="48" t="str">
        <f t="array" ref="AG2">_xlfn.XLOOKUP(B2,'Up Stats'!A:A,'Up Stats'!I:I,)</f>
        <v/>
      </c>
      <c r="AH2" s="40" t="str">
        <f>IFERROR(__xludf.DUMMYFUNCTION("if(AND(AI2=FALSE,AJ2=FALSE),,if(AI2=AJ2,JOIN("""",""Static: "",AI2),JOIN("""",""Min:  "",AI2, CHAR(10),""Max: "",AJ2)))"),"")</f>
        <v/>
      </c>
      <c r="AI2" s="42" t="str">
        <f t="array" ref="AI2">_xlfn.XLOOKUP(B2,'Up Min'!A:A,'Up Min'!I:I,)</f>
        <v/>
      </c>
      <c r="AJ2" s="42" t="str">
        <f t="array" ref="AJ2">_xlfn.XLOOKUP(B2,'Up Max'!A:A,'Up Max'!I:I,)</f>
        <v/>
      </c>
      <c r="AK2" s="48" t="str">
        <f t="array" ref="AK2">_xlfn.XLOOKUP(B2,'Up Stats'!A:A,'Up Stats'!J:J,)</f>
        <v/>
      </c>
      <c r="AL2" s="40" t="str">
        <f>IFERROR(__xludf.DUMMYFUNCTION("if(AND(AM2=FALSE,AN2=FALSE),,if(AM2=AN2,JOIN("""",""Static: "",AM2),JOIN("""",""Min:  "",AM2, CHAR(10),""Max: "",AN2)))"),"")</f>
        <v/>
      </c>
      <c r="AM2" s="42" t="str">
        <f t="array" ref="AM2">_xlfn.XLOOKUP(B2,'Up Min'!A:A,'Up Min'!J:J,)</f>
        <v/>
      </c>
      <c r="AN2" s="42" t="str">
        <f t="array" ref="AN2">_xlfn.XLOOKUP(B2,'Up Max'!A:A,'Up Max'!J:J,)</f>
        <v/>
      </c>
      <c r="AO2" s="34" t="str">
        <f t="array" ref="AO2">CONCATENATE(_xlfn.XLOOKUP(B2,'Up Cells'!A:A,'Up Cells'!B:B,))</f>
        <v>1</v>
      </c>
      <c r="AP2" s="34" t="str">
        <f t="array" ref="AP2">CONCATENATE(_xlfn.XLOOKUP(B2,'Up Rarity'!A:A,'Up Rarity'!B:B,),CHAR(10),"-")</f>
        <v>Contraband
-</v>
      </c>
    </row>
    <row r="3">
      <c r="A3" s="31" t="str">
        <f t="array" ref="A3">_xlfn.XLOOKUP(B3,'Up Icon'!A:A,'Up Icon'!B:B,)</f>
        <v/>
      </c>
      <c r="B3" s="61" t="str">
        <f t="array" ref="B3">HYPERLINK(_xlfn.XLOOKUP('Up Names'!G33,'Up Wiki'!A:A,'Up Wiki'!B:B,),'Up Names'!G33)</f>
        <v>Multiversal Thievery</v>
      </c>
      <c r="C3" s="70" t="str">
        <f t="array" ref="C3">_xlfn.XLOOKUP(B3,'Up Desc'!A:A,'Up Desc'!B:B,)</f>
        <v>Commandeers 1 column from each of your other upgrade grids.</v>
      </c>
      <c r="D3" s="52" t="str">
        <f t="array" ref="D3">_xlfn.XLOOKUP(B3,'Up Turbo'!A:A,'Up Turbo'!B:B,)</f>
        <v>n/a</v>
      </c>
      <c r="E3" s="53" t="str">
        <f t="array" ref="E3">_xlfn.XLOOKUP(B3,'Up Stats'!A:A,'Up Stats'!B:B,)</f>
        <v/>
      </c>
      <c r="F3" s="54" t="str">
        <f>IFERROR(__xludf.DUMMYFUNCTION("if(AND(G3=FALSE,H3=FALSE),,if(G3=H3,JOIN("""",""Static: "",G3),JOIN("""",""Min:  "",G3, CHAR(10),""Max: "",H3)))"),"")</f>
        <v/>
      </c>
      <c r="G3" s="55" t="str">
        <f t="array" ref="G3">_xlfn.XLOOKUP(B3,'Up Min'!A:A,'Up Min'!B:B,)</f>
        <v/>
      </c>
      <c r="H3" s="56" t="str">
        <f t="array" ref="H3">_xlfn.XLOOKUP(B3,'Up Max'!A:A,'Up Max'!B:B,)</f>
        <v/>
      </c>
      <c r="I3" s="53" t="str">
        <f t="array" ref="I3">_xlfn.XLOOKUP(B3,'Up Stats'!A:A,'Up Stats'!C:C,)</f>
        <v/>
      </c>
      <c r="J3" s="54" t="str">
        <f>IFERROR(__xludf.DUMMYFUNCTION("if(AND(K3=FALSE,L3=FALSE),,if(K3=L3,JOIN("""",""Static: "",K3),JOIN("""",""Min:  "",K3, CHAR(10),""Max: "",L3)))"),"")</f>
        <v/>
      </c>
      <c r="K3" s="56" t="str">
        <f t="array" ref="K3">_xlfn.XLOOKUP(B3,'Up Min'!A:A,'Up Min'!C:C,)</f>
        <v/>
      </c>
      <c r="L3" s="55" t="str">
        <f t="array" ref="L3">_xlfn.XLOOKUP(B3,'Up Max'!A:A,'Up Max'!C:C,)</f>
        <v/>
      </c>
      <c r="M3" s="53" t="str">
        <f t="array" ref="M3">_xlfn.XLOOKUP(B3,'Up Stats'!A:A,'Up Stats'!D:D,)</f>
        <v/>
      </c>
      <c r="N3" s="54" t="str">
        <f>IFERROR(__xludf.DUMMYFUNCTION("if(AND(O3=FALSE,P3=FALSE),,if(O3=P3,JOIN("""",""Static: "",O3),JOIN("""",""Min:  "",O3, CHAR(10),""Max: "",P3)))"),"")</f>
        <v/>
      </c>
      <c r="O3" s="55" t="str">
        <f t="array" ref="O3">_xlfn.XLOOKUP(B3,'Up Min'!A:A,'Up Min'!D:D,)</f>
        <v/>
      </c>
      <c r="P3" s="55" t="str">
        <f t="array" ref="P3">_xlfn.XLOOKUP(B3,'Up Max'!A:A,'Up Max'!D:D,)</f>
        <v/>
      </c>
      <c r="Q3" s="57" t="str">
        <f t="array" ref="Q3">_xlfn.XLOOKUP(B3,'Up Stats'!A:A,'Up Stats'!E:E,)</f>
        <v/>
      </c>
      <c r="R3" s="54" t="str">
        <f>IFERROR(__xludf.DUMMYFUNCTION("if(AND(S3=FALSE,T3=FALSE),,if(S3=T3,JOIN("""",""Static: "",S3),JOIN("""",""Min:  "",S3, CHAR(10),""Max: "",T3)))"),"")</f>
        <v/>
      </c>
      <c r="S3" s="55" t="str">
        <f t="array" ref="S3">_xlfn.XLOOKUP(B3,'Up Min'!A:A,'Up Min'!E:E,)</f>
        <v/>
      </c>
      <c r="T3" s="55" t="str">
        <f t="array" ref="T3">_xlfn.XLOOKUP(B3,'Up Max'!A:A,'Up Max'!E:E,)</f>
        <v/>
      </c>
      <c r="U3" s="57" t="str">
        <f t="array" ref="U3">_xlfn.XLOOKUP(B3,'Up Stats'!A:A,'Up Stats'!F:F,)</f>
        <v/>
      </c>
      <c r="V3" s="54" t="str">
        <f>IFERROR(__xludf.DUMMYFUNCTION("if(AND(W3=FALSE,X3=FALSE),,if(W3=X3,JOIN("""",""Static: "",W3),JOIN("""",""Min:  "",W3, CHAR(10),""Max: "",X3)))"),"")</f>
        <v/>
      </c>
      <c r="W3" s="55" t="str">
        <f t="array" ref="W3">_xlfn.XLOOKUP(B3,'Up Min'!A:A,'Up Min'!F:F,)</f>
        <v/>
      </c>
      <c r="X3" s="55" t="str">
        <f t="array" ref="X3">_xlfn.XLOOKUP(B3,'Up Max'!A:A,'Up Max'!F:F,)</f>
        <v/>
      </c>
      <c r="Y3" s="57" t="str">
        <f t="array" ref="Y3">_xlfn.XLOOKUP(B3,'Up Stats'!A:A,'Up Stats'!G:G,)</f>
        <v/>
      </c>
      <c r="Z3" s="54" t="str">
        <f>IFERROR(__xludf.DUMMYFUNCTION("if(AND(AA3=FALSE,AB3=FALSE),,if(AA3=AB3,JOIN("""",""Static: "",AA3),JOIN("""",""Min:  "",AA3, CHAR(10),""Max: "",AB3)))"),"")</f>
        <v/>
      </c>
      <c r="AA3" s="55" t="str">
        <f t="array" ref="AA3">_xlfn.XLOOKUP(B3,'Up Min'!A:A,'Up Min'!G:G,)</f>
        <v/>
      </c>
      <c r="AB3" s="55" t="str">
        <f t="array" ref="AB3">_xlfn.XLOOKUP(B3,'Up Max'!A:A,'Up Max'!G:G,)</f>
        <v/>
      </c>
      <c r="AC3" s="57" t="str">
        <f t="array" ref="AC3">_xlfn.XLOOKUP(B3,'Up Stats'!A:A,'Up Stats'!H:H,)</f>
        <v/>
      </c>
      <c r="AD3" s="54" t="str">
        <f>IFERROR(__xludf.DUMMYFUNCTION("if(AND(AE3=FALSE,AF3=FALSE),,if(AE3=AF3,JOIN("""",""Static: "",AE3),JOIN("""",""Min:  "",AE3, CHAR(10),""Max: "",AF3)))"),"")</f>
        <v/>
      </c>
      <c r="AE3" s="55" t="str">
        <f t="array" ref="AE3">_xlfn.XLOOKUP(B3,'Up Min'!A:A,'Up Min'!H:H,)</f>
        <v/>
      </c>
      <c r="AF3" s="55" t="str">
        <f t="array" ref="AF3">_xlfn.XLOOKUP(B3,'Up Max'!A:A,'Up Max'!H:H,)</f>
        <v/>
      </c>
      <c r="AG3" s="57" t="str">
        <f t="array" ref="AG3">_xlfn.XLOOKUP(B3,'Up Stats'!A:A,'Up Stats'!I:I,)</f>
        <v/>
      </c>
      <c r="AH3" s="54" t="str">
        <f>IFERROR(__xludf.DUMMYFUNCTION("if(AND(AI3=FALSE,AJ3=FALSE),,if(AI3=AJ3,JOIN("""",""Static: "",AI3),JOIN("""",""Min:  "",AI3, CHAR(10),""Max: "",AJ3)))"),"")</f>
        <v/>
      </c>
      <c r="AI3" s="55" t="str">
        <f t="array" ref="AI3">_xlfn.XLOOKUP(B3,'Up Min'!A:A,'Up Min'!I:I,)</f>
        <v/>
      </c>
      <c r="AJ3" s="55" t="str">
        <f t="array" ref="AJ3">_xlfn.XLOOKUP(B3,'Up Max'!A:A,'Up Max'!I:I,)</f>
        <v/>
      </c>
      <c r="AK3" s="57" t="str">
        <f t="array" ref="AK3">_xlfn.XLOOKUP(B3,'Up Stats'!A:A,'Up Stats'!J:J,)</f>
        <v/>
      </c>
      <c r="AL3" s="54" t="str">
        <f>IFERROR(__xludf.DUMMYFUNCTION("if(AND(AM3=FALSE,AN3=FALSE),,if(AM3=AN3,JOIN("""",""Static: "",AM3),JOIN("""",""Min:  "",AM3, CHAR(10),""Max: "",AN3)))"),"")</f>
        <v/>
      </c>
      <c r="AM3" s="55" t="str">
        <f t="array" ref="AM3">_xlfn.XLOOKUP(B3,'Up Min'!A:A,'Up Min'!J:J,)</f>
        <v/>
      </c>
      <c r="AN3" s="55" t="str">
        <f t="array" ref="AN3">_xlfn.XLOOKUP(B3,'Up Max'!A:A,'Up Max'!J:J,)</f>
        <v/>
      </c>
      <c r="AO3" s="51" t="str">
        <f t="array" ref="AO3">CONCATENATE(_xlfn.XLOOKUP(B3,'Up Cells'!A:A,'Up Cells'!B:B,))</f>
        <v>1</v>
      </c>
      <c r="AP3" s="51" t="str">
        <f t="array" ref="AP3">CONCATENATE(_xlfn.XLOOKUP(B3,'Up Rarity'!A:A,'Up Rarity'!B:B,),CHAR(10),"-")</f>
        <v>Contraband
-</v>
      </c>
    </row>
    <row r="4">
      <c r="A4" s="60" t="str">
        <f t="array" ref="A4">_xlfn.XLOOKUP(B4,'Up Icon'!A:A,'Up Icon'!B:B,)</f>
        <v/>
      </c>
      <c r="B4" s="58" t="str">
        <f t="array" ref="B4">HYPERLINK(_xlfn.XLOOKUP('Up Names'!G34,'Up Wiki'!A:A,'Up Wiki'!B:B,),'Up Names'!G34)</f>
        <v>Boundary Incursion</v>
      </c>
      <c r="C4" s="67" t="str">
        <f t="array" ref="C4">_xlfn.XLOOKUP(B4,'Up Desc'!A:A,'Up Desc'!B:B,)</f>
        <v>Increases the size of your upgrade grid.</v>
      </c>
      <c r="D4" s="37" t="str">
        <f t="array" ref="D4">_xlfn.XLOOKUP(B4,'Up Turbo'!A:A,'Up Turbo'!B:B,)</f>
        <v>n/a</v>
      </c>
      <c r="E4" s="39" t="str">
        <f t="array" ref="E4">_xlfn.XLOOKUP(B4,'Up Stats'!A:A,'Up Stats'!B:B,)</f>
        <v/>
      </c>
      <c r="F4" s="40" t="str">
        <f>IFERROR(__xludf.DUMMYFUNCTION("if(AND(G4=FALSE,H4=FALSE),,if(G4=H4,JOIN("""",""Static: "",G4),JOIN("""",""Min:  "",G4, CHAR(10),""Max: "",H4)))"),"")</f>
        <v/>
      </c>
      <c r="G4" s="42" t="str">
        <f t="array" ref="G4">_xlfn.XLOOKUP(B4,'Up Min'!A:A,'Up Min'!B:B,)</f>
        <v/>
      </c>
      <c r="H4" s="45" t="str">
        <f t="array" ref="H4">_xlfn.XLOOKUP(B4,'Up Max'!A:A,'Up Max'!B:B,)</f>
        <v/>
      </c>
      <c r="I4" s="39" t="str">
        <f t="array" ref="I4">_xlfn.XLOOKUP(B4,'Up Stats'!A:A,'Up Stats'!C:C,)</f>
        <v/>
      </c>
      <c r="J4" s="40" t="str">
        <f>IFERROR(__xludf.DUMMYFUNCTION("if(AND(K4=FALSE,L4=FALSE),,if(K4=L4,JOIN("""",""Static: "",K4),JOIN("""",""Min:  "",K4, CHAR(10),""Max: "",L4)))"),"")</f>
        <v/>
      </c>
      <c r="K4" s="45" t="str">
        <f t="array" ref="K4">_xlfn.XLOOKUP(B4,'Up Min'!A:A,'Up Min'!C:C,)</f>
        <v/>
      </c>
      <c r="L4" s="42" t="str">
        <f t="array" ref="L4">_xlfn.XLOOKUP(B4,'Up Max'!A:A,'Up Max'!C:C,)</f>
        <v/>
      </c>
      <c r="M4" s="39" t="str">
        <f t="array" ref="M4">_xlfn.XLOOKUP(B4,'Up Stats'!A:A,'Up Stats'!D:D,)</f>
        <v/>
      </c>
      <c r="N4" s="40" t="str">
        <f>IFERROR(__xludf.DUMMYFUNCTION("if(AND(O4=FALSE,P4=FALSE),,if(O4=P4,JOIN("""",""Static: "",O4),JOIN("""",""Min:  "",O4, CHAR(10),""Max: "",P4)))"),"")</f>
        <v/>
      </c>
      <c r="O4" s="42" t="str">
        <f t="array" ref="O4">_xlfn.XLOOKUP(B4,'Up Min'!A:A,'Up Min'!D:D,)</f>
        <v/>
      </c>
      <c r="P4" s="42" t="str">
        <f t="array" ref="P4">_xlfn.XLOOKUP(B4,'Up Max'!A:A,'Up Max'!D:D,)</f>
        <v/>
      </c>
      <c r="Q4" s="48" t="str">
        <f t="array" ref="Q4">_xlfn.XLOOKUP(B4,'Up Stats'!A:A,'Up Stats'!E:E,)</f>
        <v/>
      </c>
      <c r="R4" s="40" t="str">
        <f>IFERROR(__xludf.DUMMYFUNCTION("if(AND(S4=FALSE,T4=FALSE),,if(S4=T4,JOIN("""",""Static: "",S4),JOIN("""",""Min:  "",S4, CHAR(10),""Max: "",T4)))"),"")</f>
        <v/>
      </c>
      <c r="S4" s="42" t="str">
        <f t="array" ref="S4">_xlfn.XLOOKUP(B4,'Up Min'!A:A,'Up Min'!E:E,)</f>
        <v/>
      </c>
      <c r="T4" s="42" t="str">
        <f t="array" ref="T4">_xlfn.XLOOKUP(B4,'Up Max'!A:A,'Up Max'!E:E,)</f>
        <v/>
      </c>
      <c r="U4" s="48" t="str">
        <f t="array" ref="U4">_xlfn.XLOOKUP(B4,'Up Stats'!A:A,'Up Stats'!F:F,)</f>
        <v/>
      </c>
      <c r="V4" s="40" t="str">
        <f>IFERROR(__xludf.DUMMYFUNCTION("if(AND(W4=FALSE,X4=FALSE),,if(W4=X4,JOIN("""",""Static: "",W4),JOIN("""",""Min:  "",W4, CHAR(10),""Max: "",X4)))"),"")</f>
        <v/>
      </c>
      <c r="W4" s="42" t="str">
        <f t="array" ref="W4">_xlfn.XLOOKUP(B4,'Up Min'!A:A,'Up Min'!F:F,)</f>
        <v/>
      </c>
      <c r="X4" s="42" t="str">
        <f t="array" ref="X4">_xlfn.XLOOKUP(B4,'Up Max'!A:A,'Up Max'!F:F,)</f>
        <v/>
      </c>
      <c r="Y4" s="48" t="str">
        <f t="array" ref="Y4">_xlfn.XLOOKUP(B4,'Up Stats'!A:A,'Up Stats'!G:G,)</f>
        <v/>
      </c>
      <c r="Z4" s="40" t="str">
        <f>IFERROR(__xludf.DUMMYFUNCTION("if(AND(AA4=FALSE,AB4=FALSE),,if(AA4=AB4,JOIN("""",""Static: "",AA4),JOIN("""",""Min:  "",AA4, CHAR(10),""Max: "",AB4)))"),"")</f>
        <v/>
      </c>
      <c r="AA4" s="42" t="str">
        <f t="array" ref="AA4">_xlfn.XLOOKUP(B4,'Up Min'!A:A,'Up Min'!G:G,)</f>
        <v/>
      </c>
      <c r="AB4" s="42" t="str">
        <f t="array" ref="AB4">_xlfn.XLOOKUP(B4,'Up Max'!A:A,'Up Max'!G:G,)</f>
        <v/>
      </c>
      <c r="AC4" s="48" t="str">
        <f t="array" ref="AC4">_xlfn.XLOOKUP(B4,'Up Stats'!A:A,'Up Stats'!H:H,)</f>
        <v/>
      </c>
      <c r="AD4" s="40" t="str">
        <f>IFERROR(__xludf.DUMMYFUNCTION("if(AND(AE4=FALSE,AF4=FALSE),,if(AE4=AF4,JOIN("""",""Static: "",AE4),JOIN("""",""Min:  "",AE4, CHAR(10),""Max: "",AF4)))"),"")</f>
        <v/>
      </c>
      <c r="AE4" s="42" t="str">
        <f t="array" ref="AE4">_xlfn.XLOOKUP(B4,'Up Min'!A:A,'Up Min'!H:H,)</f>
        <v/>
      </c>
      <c r="AF4" s="42" t="str">
        <f t="array" ref="AF4">_xlfn.XLOOKUP(B4,'Up Max'!A:A,'Up Max'!H:H,)</f>
        <v/>
      </c>
      <c r="AG4" s="48" t="str">
        <f t="array" ref="AG4">_xlfn.XLOOKUP(B4,'Up Stats'!A:A,'Up Stats'!I:I,)</f>
        <v/>
      </c>
      <c r="AH4" s="40" t="str">
        <f>IFERROR(__xludf.DUMMYFUNCTION("if(AND(AI4=FALSE,AJ4=FALSE),,if(AI4=AJ4,JOIN("""",""Static: "",AI4),JOIN("""",""Min:  "",AI4, CHAR(10),""Max: "",AJ4)))"),"")</f>
        <v/>
      </c>
      <c r="AI4" s="42" t="str">
        <f t="array" ref="AI4">_xlfn.XLOOKUP(B4,'Up Min'!A:A,'Up Min'!I:I,)</f>
        <v/>
      </c>
      <c r="AJ4" s="42" t="str">
        <f t="array" ref="AJ4">_xlfn.XLOOKUP(B4,'Up Max'!A:A,'Up Max'!I:I,)</f>
        <v/>
      </c>
      <c r="AK4" s="48" t="str">
        <f t="array" ref="AK4">_xlfn.XLOOKUP(B4,'Up Stats'!A:A,'Up Stats'!J:J,)</f>
        <v/>
      </c>
      <c r="AL4" s="40" t="str">
        <f>IFERROR(__xludf.DUMMYFUNCTION("if(AND(AM4=FALSE,AN4=FALSE),,if(AM4=AN4,JOIN("""",""Static: "",AM4),JOIN("""",""Min:  "",AM4, CHAR(10),""Max: "",AN4)))"),"")</f>
        <v/>
      </c>
      <c r="AM4" s="42" t="str">
        <f t="array" ref="AM4">_xlfn.XLOOKUP(B4,'Up Min'!A:A,'Up Min'!J:J,)</f>
        <v/>
      </c>
      <c r="AN4" s="42" t="str">
        <f t="array" ref="AN4">_xlfn.XLOOKUP(B4,'Up Max'!A:A,'Up Max'!J:J,)</f>
        <v/>
      </c>
      <c r="AO4" s="34" t="str">
        <f t="array" ref="AO4">CONCATENATE(_xlfn.XLOOKUP(B4,'Up Cells'!A:A,'Up Cells'!B:B,))</f>
        <v>1</v>
      </c>
      <c r="AP4" s="34" t="str">
        <f t="array" ref="AP4">CONCATENATE(_xlfn.XLOOKUP(B4,'Up Rarity'!A:A,'Up Rarity'!B:B,),CHAR(10),"-")</f>
        <v>Oddity
-</v>
      </c>
    </row>
    <row r="5">
      <c r="A5" s="62" t="str">
        <f t="array" ref="A5">_xlfn.XLOOKUP(B5,'Up Icon'!A:A,'Up Icon'!B:B,)</f>
        <v/>
      </c>
      <c r="B5" s="88" t="str">
        <f t="array" ref="B5">HYPERLINK(_xlfn.XLOOKUP('Up Names'!G2,'Up Wiki'!A:A,'Up Wiki'!B:B,),'Up Names'!G2)</f>
        <v>Yellow Prism</v>
      </c>
      <c r="C5" s="70" t="str">
        <f t="array" ref="C5">_xlfn.XLOOKUP(B5,'Up Desc'!A:A,'Up Desc'!B:B,)</f>
        <v>Prism output is increased recursively for each bordering prism.</v>
      </c>
      <c r="D5" s="52" t="str">
        <f t="array" ref="D5">_xlfn.XLOOKUP(B5,'Up Turbo'!A:A,'Up Turbo'!B:B,)</f>
        <v/>
      </c>
      <c r="E5" s="53" t="str">
        <f t="array" ref="E5">_xlfn.XLOOKUP(B5,'Up Stats'!A:A,'Up Stats'!B:B,)</f>
        <v>Efficiency</v>
      </c>
      <c r="F5" s="54" t="str">
        <f>IFERROR(__xludf.DUMMYFUNCTION("if(AND(G5=FALSE,H5=FALSE),,if(G5=H5,JOIN("""",""Static: "",G5),JOIN("""",""Min:  "",G5, CHAR(10),""Max: "",H5)))"),"Min:  50%
Max: 150%")</f>
        <v>Min:  50%
Max: 150%</v>
      </c>
      <c r="G5" s="59">
        <f t="array" ref="G5">_xlfn.XLOOKUP(B5,'Up Min'!A:A,'Up Min'!B:B,)</f>
        <v>0.5</v>
      </c>
      <c r="H5" s="59">
        <f t="array" ref="H5">_xlfn.XLOOKUP(B5,'Up Max'!A:A,'Up Max'!B:B,)</f>
        <v>1.5</v>
      </c>
      <c r="I5" s="53" t="str">
        <f t="array" ref="I5">_xlfn.XLOOKUP(B5,'Up Stats'!A:A,'Up Stats'!C:C,)</f>
        <v/>
      </c>
      <c r="J5" s="54" t="str">
        <f>IFERROR(__xludf.DUMMYFUNCTION("if(AND(K5=FALSE,L5=FALSE),,if(K5=L5,JOIN("""",""Static: "",K5),JOIN("""",""Min:  "",K5, CHAR(10),""Max: "",L5)))"),"")</f>
        <v/>
      </c>
      <c r="K5" s="72" t="str">
        <f t="array" ref="K5">_xlfn.XLOOKUP(B5,'Up Min'!A:A,'Up Min'!C:C,)</f>
        <v/>
      </c>
      <c r="L5" s="72" t="str">
        <f t="array" ref="L5">_xlfn.XLOOKUP(B5,'Up Max'!A:A,'Up Max'!C:C,)</f>
        <v/>
      </c>
      <c r="M5" s="57" t="str">
        <f t="array" ref="M5">_xlfn.XLOOKUP(B5,'Up Stats'!A:A,'Up Stats'!D:D,)</f>
        <v/>
      </c>
      <c r="N5" s="54" t="str">
        <f>IFERROR(__xludf.DUMMYFUNCTION("if(AND(O5=FALSE,P5=FALSE),,if(O5=P5,JOIN("""",""Static: "",O5),JOIN("""",""Min:  "",O5, CHAR(10),""Max: "",P5)))"),"")</f>
        <v/>
      </c>
      <c r="O5" s="72" t="str">
        <f t="array" ref="O5">_xlfn.XLOOKUP(B5,'Up Min'!A:A,'Up Min'!D:D,)</f>
        <v/>
      </c>
      <c r="P5" s="72" t="str">
        <f t="array" ref="P5">_xlfn.XLOOKUP(B5,'Up Max'!A:A,'Up Max'!D:D,)</f>
        <v/>
      </c>
      <c r="Q5" s="57" t="str">
        <f t="array" ref="Q5">_xlfn.XLOOKUP(B5,'Up Stats'!A:A,'Up Stats'!E:E,)</f>
        <v/>
      </c>
      <c r="R5" s="54" t="str">
        <f>IFERROR(__xludf.DUMMYFUNCTION("if(AND(S5=FALSE,T5=FALSE),,if(S5=T5,JOIN("""",""Static: "",S5),JOIN("""",""Min:  "",S5, CHAR(10),""Max: "",T5)))"),"")</f>
        <v/>
      </c>
      <c r="S5" s="55" t="str">
        <f t="array" ref="S5">_xlfn.XLOOKUP(B5,'Up Min'!A:A,'Up Min'!E:E,)</f>
        <v/>
      </c>
      <c r="T5" s="55" t="str">
        <f t="array" ref="T5">_xlfn.XLOOKUP(B5,'Up Max'!A:A,'Up Max'!E:E,)</f>
        <v/>
      </c>
      <c r="U5" s="57" t="str">
        <f t="array" ref="U5">_xlfn.XLOOKUP(B5,'Up Stats'!A:A,'Up Stats'!F:F,)</f>
        <v/>
      </c>
      <c r="V5" s="54" t="str">
        <f>IFERROR(__xludf.DUMMYFUNCTION("if(AND(W5=FALSE,X5=FALSE),,if(W5=X5,JOIN("""",""Static: "",W5),JOIN("""",""Min:  "",W5, CHAR(10),""Max: "",X5)))"),"")</f>
        <v/>
      </c>
      <c r="W5" s="55" t="str">
        <f t="array" ref="W5">_xlfn.XLOOKUP(B5,'Up Min'!A:A,'Up Min'!F:F,)</f>
        <v/>
      </c>
      <c r="X5" s="55" t="str">
        <f t="array" ref="X5">_xlfn.XLOOKUP(B5,'Up Max'!A:A,'Up Max'!F:F,)</f>
        <v/>
      </c>
      <c r="Y5" s="57" t="str">
        <f t="array" ref="Y5">_xlfn.XLOOKUP(B5,'Up Stats'!A:A,'Up Stats'!G:G,)</f>
        <v/>
      </c>
      <c r="Z5" s="54" t="str">
        <f>IFERROR(__xludf.DUMMYFUNCTION("if(AND(AA5=FALSE,AB5=FALSE),,if(AA5=AB5,JOIN("""",""Static: "",AA5),JOIN("""",""Min:  "",AA5, CHAR(10),""Max: "",AB5)))"),"")</f>
        <v/>
      </c>
      <c r="AA5" s="55" t="str">
        <f t="array" ref="AA5">_xlfn.XLOOKUP(B5,'Up Min'!A:A,'Up Min'!G:G,)</f>
        <v/>
      </c>
      <c r="AB5" s="55" t="str">
        <f t="array" ref="AB5">_xlfn.XLOOKUP(B5,'Up Max'!A:A,'Up Max'!G:G,)</f>
        <v/>
      </c>
      <c r="AC5" s="57" t="str">
        <f t="array" ref="AC5">_xlfn.XLOOKUP(B5,'Up Stats'!A:A,'Up Stats'!H:H,)</f>
        <v/>
      </c>
      <c r="AD5" s="54" t="str">
        <f>IFERROR(__xludf.DUMMYFUNCTION("if(AND(AE5=FALSE,AF5=FALSE),,if(AE5=AF5,JOIN("""",""Static: "",AE5),JOIN("""",""Min:  "",AE5, CHAR(10),""Max: "",AF5)))"),"")</f>
        <v/>
      </c>
      <c r="AE5" s="55" t="str">
        <f t="array" ref="AE5">_xlfn.XLOOKUP(B5,'Up Min'!A:A,'Up Min'!H:H,)</f>
        <v/>
      </c>
      <c r="AF5" s="55" t="str">
        <f t="array" ref="AF5">_xlfn.XLOOKUP(B5,'Up Max'!A:A,'Up Max'!H:H,)</f>
        <v/>
      </c>
      <c r="AG5" s="57" t="str">
        <f t="array" ref="AG5">_xlfn.XLOOKUP(B5,'Up Stats'!A:A,'Up Stats'!I:I,)</f>
        <v/>
      </c>
      <c r="AH5" s="54" t="str">
        <f>IFERROR(__xludf.DUMMYFUNCTION("if(AND(AI5=FALSE,AJ5=FALSE),,if(AI5=AJ5,JOIN("""",""Static: "",AI5),JOIN("""",""Min:  "",AI5, CHAR(10),""Max: "",AJ5)))"),"")</f>
        <v/>
      </c>
      <c r="AI5" s="55" t="str">
        <f t="array" ref="AI5">_xlfn.XLOOKUP(B5,'Up Min'!A:A,'Up Min'!I:I,)</f>
        <v/>
      </c>
      <c r="AJ5" s="55" t="str">
        <f t="array" ref="AJ5">_xlfn.XLOOKUP(B5,'Up Max'!A:A,'Up Max'!I:I,)</f>
        <v/>
      </c>
      <c r="AK5" s="57" t="str">
        <f t="array" ref="AK5">_xlfn.XLOOKUP(B5,'Up Stats'!A:A,'Up Stats'!J:J,)</f>
        <v/>
      </c>
      <c r="AL5" s="54" t="str">
        <f>IFERROR(__xludf.DUMMYFUNCTION("if(AND(AM5=FALSE,AN5=FALSE),,if(AM5=AN5,JOIN("""",""Static: "",AM5),JOIN("""",""Min:  "",AM5, CHAR(10),""Max: "",AN5)))"),"")</f>
        <v/>
      </c>
      <c r="AM5" s="55" t="str">
        <f t="array" ref="AM5">_xlfn.XLOOKUP(B5,'Up Min'!A:A,'Up Min'!J:J,)</f>
        <v/>
      </c>
      <c r="AN5" s="55" t="str">
        <f t="array" ref="AN5">_xlfn.XLOOKUP(B5,'Up Max'!A:A,'Up Max'!J:J,)</f>
        <v/>
      </c>
      <c r="AO5" s="51" t="str">
        <f t="array" ref="AO5">CONCATENATE(_xlfn.XLOOKUP(B5,'Up Cells'!A:A,'Up Cells'!B:B,))</f>
        <v>3</v>
      </c>
      <c r="AP5" s="51" t="str">
        <f t="array" ref="AP5">CONCATENATE(_xlfn.XLOOKUP(B5,'Up Rarity'!A:A,'Up Rarity'!B:B,),CHAR(10),"-")</f>
        <v>Exotic
-</v>
      </c>
    </row>
    <row r="6">
      <c r="A6" s="62" t="str">
        <f t="array" ref="A6">_xlfn.XLOOKUP(B6,'Up Icon'!A:A,'Up Icon'!B:B,)</f>
        <v/>
      </c>
      <c r="B6" s="89" t="str">
        <f t="array" ref="B6">HYPERLINK(_xlfn.XLOOKUP('Up Names'!G3,'Up Wiki'!A:A,'Up Wiki'!B:B,),'Up Names'!G3)</f>
        <v>Heavy Munitions</v>
      </c>
      <c r="C6" s="67" t="str">
        <f t="array" ref="C6">_xlfn.XLOOKUP(B6,'Up Desc'!A:A,'Up Desc'!B:B,)</f>
        <v>Firing pushes you backward. Magazine size is increased, but so is recoil.</v>
      </c>
      <c r="D6" s="37" t="str">
        <f t="array" ref="D6">_xlfn.XLOOKUP(B6,'Up Turbo'!A:A,'Up Turbo'!B:B,)</f>
        <v/>
      </c>
      <c r="E6" s="39" t="str">
        <f t="array" ref="E6">_xlfn.XLOOKUP(B6,'Up Stats'!A:A,'Up Stats'!B:B,)</f>
        <v>Horizontal Recoil</v>
      </c>
      <c r="F6" s="40" t="str">
        <f>IFERROR(__xludf.DUMMYFUNCTION("if(AND(G6=FALSE,H6=FALSE),,if(G6=H6,JOIN("""",""Static: "",G6),JOIN("""",""Min:  "",G6, CHAR(10),""Max: "",H6)))"),"Min:  80%
Max: 110%")</f>
        <v>Min:  80%
Max: 110%</v>
      </c>
      <c r="G6" s="41">
        <f t="array" ref="G6">_xlfn.XLOOKUP(B6,'Up Min'!A:A,'Up Min'!B:B,)</f>
        <v>0.8</v>
      </c>
      <c r="H6" s="41">
        <f t="array" ref="H6">_xlfn.XLOOKUP(B6,'Up Max'!A:A,'Up Max'!B:B,)</f>
        <v>1.1</v>
      </c>
      <c r="I6" s="39" t="str">
        <f t="array" ref="I6">_xlfn.XLOOKUP(B6,'Up Stats'!A:A,'Up Stats'!C:C,)</f>
        <v>Vertical Recoil</v>
      </c>
      <c r="J6" s="40" t="str">
        <f>IFERROR(__xludf.DUMMYFUNCTION("if(AND(K6=FALSE,L6=FALSE),,if(K6=L6,JOIN("""",""Static: "",K6),JOIN("""",""Min:  "",K6, CHAR(10),""Max: "",L6)))"),"Min:  80%
Max: 110%")</f>
        <v>Min:  80%
Max: 110%</v>
      </c>
      <c r="K6" s="41">
        <f t="array" ref="K6">_xlfn.XLOOKUP(B6,'Up Min'!A:A,'Up Min'!C:C,)</f>
        <v>0.8</v>
      </c>
      <c r="L6" s="41">
        <f t="array" ref="L6">_xlfn.XLOOKUP(B6,'Up Max'!A:A,'Up Max'!C:C,)</f>
        <v>1.1</v>
      </c>
      <c r="M6" s="39" t="str">
        <f t="array" ref="M6">_xlfn.XLOOKUP(B6,'Up Stats'!A:A,'Up Stats'!D:D,)</f>
        <v>Magazine Size</v>
      </c>
      <c r="N6" s="40" t="str">
        <f>IFERROR(__xludf.DUMMYFUNCTION("if(AND(O6=FALSE,P6=FALSE),,if(O6=P6,JOIN("""",""Static: "",O6),JOIN("""",""Min:  "",O6, CHAR(10),""Max: "",P6)))"),"Min:  15
Max: 35")</f>
        <v>Min:  15
Max: 35</v>
      </c>
      <c r="O6" s="68">
        <f t="array" ref="O6">_xlfn.XLOOKUP(B6,'Up Min'!A:A,'Up Min'!D:D,)</f>
        <v>15</v>
      </c>
      <c r="P6" s="68">
        <f t="array" ref="P6">_xlfn.XLOOKUP(B6,'Up Max'!A:A,'Up Max'!D:D,)</f>
        <v>35</v>
      </c>
      <c r="Q6" s="48" t="str">
        <f t="array" ref="Q6">_xlfn.XLOOKUP(B6,'Up Stats'!A:A,'Up Stats'!E:E,)</f>
        <v>Knockback</v>
      </c>
      <c r="R6" s="40" t="str">
        <f>IFERROR(__xludf.DUMMYFUNCTION("if(AND(S6=FALSE,T6=FALSE),,if(S6=T6,JOIN("""",""Static: "",S6),JOIN("""",""Min:  "",S6, CHAR(10),""Max: "",T6)))"),"Min:  3
Max: 5")</f>
        <v>Min:  3
Max: 5</v>
      </c>
      <c r="S6" s="68">
        <f t="array" ref="S6">_xlfn.XLOOKUP(B6,'Up Min'!A:A,'Up Min'!E:E,)</f>
        <v>3</v>
      </c>
      <c r="T6" s="68">
        <f t="array" ref="T6">_xlfn.XLOOKUP(B6,'Up Max'!A:A,'Up Max'!E:E,)</f>
        <v>5</v>
      </c>
      <c r="U6" s="39" t="str">
        <f t="array" ref="U6">_xlfn.XLOOKUP(B6,'Up Stats'!A:A,'Up Stats'!F:F,)</f>
        <v/>
      </c>
      <c r="V6" s="40" t="str">
        <f>IFERROR(__xludf.DUMMYFUNCTION("if(AND(W6=FALSE,X6=FALSE),,if(W6=X6,JOIN("""",""Static: "",W6),JOIN("""",""Min:  "",W6, CHAR(10),""Max: "",X6)))"),"")</f>
        <v/>
      </c>
      <c r="W6" s="45" t="str">
        <f t="array" ref="W6">_xlfn.XLOOKUP(B6,'Up Min'!A:A,'Up Min'!F:F,)</f>
        <v/>
      </c>
      <c r="X6" s="45" t="str">
        <f t="array" ref="X6">_xlfn.XLOOKUP(B6,'Up Max'!A:A,'Up Max'!F:F,)</f>
        <v/>
      </c>
      <c r="Y6" s="39" t="str">
        <f t="array" ref="Y6">_xlfn.XLOOKUP(B6,'Up Stats'!A:A,'Up Stats'!G:G,)</f>
        <v/>
      </c>
      <c r="Z6" s="40" t="str">
        <f>IFERROR(__xludf.DUMMYFUNCTION("if(AND(AA6=FALSE,AB6=FALSE),,if(AA6=AB6,JOIN("""",""Static: "",AA6),JOIN("""",""Min:  "",AA6, CHAR(10),""Max: "",AB6)))"),"")</f>
        <v/>
      </c>
      <c r="AA6" s="42" t="str">
        <f t="array" ref="AA6">_xlfn.XLOOKUP(B6,'Up Min'!A:A,'Up Min'!G:G,)</f>
        <v/>
      </c>
      <c r="AB6" s="45" t="str">
        <f t="array" ref="AB6">_xlfn.XLOOKUP(B6,'Up Max'!A:A,'Up Max'!G:G,)</f>
        <v/>
      </c>
      <c r="AC6" s="39" t="str">
        <f t="array" ref="AC6">_xlfn.XLOOKUP(B6,'Up Stats'!A:A,'Up Stats'!H:H,)</f>
        <v/>
      </c>
      <c r="AD6" s="40" t="str">
        <f>IFERROR(__xludf.DUMMYFUNCTION("if(AND(AE6=FALSE,AF6=FALSE),,if(AE6=AF6,JOIN("""",""Static: "",AE6),JOIN("""",""Min:  "",AE6, CHAR(10),""Max: "",AF6)))"),"")</f>
        <v/>
      </c>
      <c r="AE6" s="45" t="str">
        <f t="array" ref="AE6">_xlfn.XLOOKUP(B6,'Up Min'!A:A,'Up Min'!H:H,)</f>
        <v/>
      </c>
      <c r="AF6" s="45" t="str">
        <f t="array" ref="AF6">_xlfn.XLOOKUP(B6,'Up Max'!A:A,'Up Max'!H:H,)</f>
        <v/>
      </c>
      <c r="AG6" s="39" t="str">
        <f t="array" ref="AG6">_xlfn.XLOOKUP(B6,'Up Stats'!A:A,'Up Stats'!I:I,)</f>
        <v/>
      </c>
      <c r="AH6" s="40" t="str">
        <f>IFERROR(__xludf.DUMMYFUNCTION("if(AND(AI6=FALSE,AJ6=FALSE),,if(AI6=AJ6,JOIN("""",""Static: "",AI6),JOIN("""",""Min:  "",AI6, CHAR(10),""Max: "",AJ6)))"),"")</f>
        <v/>
      </c>
      <c r="AI6" s="45" t="str">
        <f t="array" ref="AI6">_xlfn.XLOOKUP(B6,'Up Min'!A:A,'Up Min'!I:I,)</f>
        <v/>
      </c>
      <c r="AJ6" s="45" t="str">
        <f t="array" ref="AJ6">_xlfn.XLOOKUP(B6,'Up Max'!A:A,'Up Max'!I:I,)</f>
        <v/>
      </c>
      <c r="AK6" s="39" t="str">
        <f t="array" ref="AK6">_xlfn.XLOOKUP(B6,'Up Stats'!A:A,'Up Stats'!J:J,)</f>
        <v/>
      </c>
      <c r="AL6" s="40" t="str">
        <f>IFERROR(__xludf.DUMMYFUNCTION("if(AND(AM6=FALSE,AN6=FALSE),,if(AM6=AN6,JOIN("""",""Static: "",AM6),JOIN("""",""Min:  "",AM6, CHAR(10),""Max: "",AN6)))"),"")</f>
        <v/>
      </c>
      <c r="AM6" s="45" t="str">
        <f t="array" ref="AM6">_xlfn.XLOOKUP(B6,'Up Min'!A:A,'Up Min'!J:J,)</f>
        <v/>
      </c>
      <c r="AN6" s="45" t="str">
        <f t="array" ref="AN6">_xlfn.XLOOKUP(B6,'Up Max'!A:A,'Up Max'!J:J,)</f>
        <v/>
      </c>
      <c r="AO6" s="34" t="str">
        <f t="array" ref="AO6">CONCATENATE(_xlfn.XLOOKUP(B6,'Up Cells'!A:A,'Up Cells'!B:B,))</f>
        <v>6</v>
      </c>
      <c r="AP6" s="34" t="str">
        <f t="array" ref="AP6">CONCATENATE(_xlfn.XLOOKUP(B6,'Up Rarity'!A:A,'Up Rarity'!B:B,),CHAR(10),"-")</f>
        <v>Exotic
-</v>
      </c>
    </row>
    <row r="7">
      <c r="A7" s="62" t="str">
        <f t="array" ref="A7">_xlfn.XLOOKUP(B7,'Up Icon'!A:A,'Up Icon'!B:B,)</f>
        <v/>
      </c>
      <c r="B7" s="88" t="str">
        <f t="array" ref="B7">HYPERLINK(_xlfn.XLOOKUP('Up Names'!G4,'Up Wiki'!A:A,'Up Wiki'!B:B,),'Up Names'!G4)</f>
        <v>Lagrange Halo</v>
      </c>
      <c r="C7" s="70" t="str">
        <f t="array" ref="C7">_xlfn.XLOOKUP(B7,'Up Desc'!A:A,'Up Desc'!B:B,)</f>
        <v>Bullets orbit around you. You can fire while sprinting.</v>
      </c>
      <c r="D7" s="52" t="str">
        <f t="array" ref="D7">_xlfn.XLOOKUP(B7,'Up Turbo'!A:A,'Up Turbo'!B:B,)</f>
        <v>[Redacted]</v>
      </c>
      <c r="E7" s="53" t="str">
        <f t="array" ref="E7">_xlfn.XLOOKUP(B7,'Up Stats'!A:A,'Up Stats'!B:B,)</f>
        <v>Orbit Radius</v>
      </c>
      <c r="F7" s="54" t="str">
        <f>IFERROR(__xludf.DUMMYFUNCTION("if(AND(G7=FALSE,H7=FALSE),,if(G7=H7,JOIN("""",""Static: "",G7),JOIN("""",""Min:  "",G7, CHAR(10),""Max: "",H7)))"),"Min:  6
Max: 9.7")</f>
        <v>Min:  6
Max: 9.7</v>
      </c>
      <c r="G7" s="64">
        <f t="array" ref="G7">_xlfn.XLOOKUP(B7,'Up Min'!A:A,'Up Min'!B:B,)</f>
        <v>6</v>
      </c>
      <c r="H7" s="65">
        <f t="array" ref="H7">_xlfn.XLOOKUP(B7,'Up Max'!A:A,'Up Max'!B:B,)</f>
        <v>9.7</v>
      </c>
      <c r="I7" s="53" t="str">
        <f t="array" ref="I7">_xlfn.XLOOKUP(B7,'Up Stats'!A:A,'Up Stats'!C:C,)</f>
        <v>Fire Rate</v>
      </c>
      <c r="J7" s="54" t="str">
        <f>IFERROR(__xludf.DUMMYFUNCTION("if(AND(K7=FALSE,L7=FALSE),,if(K7=L7,JOIN("""",""Static: "",K7),JOIN("""",""Min:  "",K7, CHAR(10),""Max: "",L7)))"),"Min:  13.64%
Max: 8.70%")</f>
        <v>Min:  13.64%
Max: 8.70%</v>
      </c>
      <c r="K7" s="73">
        <f t="array" ref="K7">_xlfn.XLOOKUP(B7,'Up Min'!A:A,'Up Min'!C:C,)</f>
        <v>0.1364</v>
      </c>
      <c r="L7" s="73">
        <f t="array" ref="L7">_xlfn.XLOOKUP(B7,'Up Max'!A:A,'Up Max'!C:C,)</f>
        <v>0.087</v>
      </c>
      <c r="M7" s="57" t="str">
        <f t="array" ref="M7">_xlfn.XLOOKUP(B7,'Up Stats'!A:A,'Up Stats'!D:D,)</f>
        <v/>
      </c>
      <c r="N7" s="54" t="str">
        <f>IFERROR(__xludf.DUMMYFUNCTION("if(AND(O7=FALSE,P7=FALSE),,if(O7=P7,JOIN("""",""Static: "",O7),JOIN("""",""Min:  "",O7, CHAR(10),""Max: "",P7)))"),"")</f>
        <v/>
      </c>
      <c r="O7" s="55" t="str">
        <f t="array" ref="O7">_xlfn.XLOOKUP(B7,'Up Min'!A:A,'Up Min'!D:D,)</f>
        <v/>
      </c>
      <c r="P7" s="55" t="str">
        <f t="array" ref="P7">_xlfn.XLOOKUP(B7,'Up Max'!A:A,'Up Max'!D:D,)</f>
        <v/>
      </c>
      <c r="Q7" s="57" t="str">
        <f t="array" ref="Q7">_xlfn.XLOOKUP(B7,'Up Stats'!A:A,'Up Stats'!E:E,)</f>
        <v/>
      </c>
      <c r="R7" s="54" t="str">
        <f>IFERROR(__xludf.DUMMYFUNCTION("if(AND(S7=FALSE,T7=FALSE),,if(S7=T7,JOIN("""",""Static: "",S7),JOIN("""",""Min:  "",S7, CHAR(10),""Max: "",T7)))"),"")</f>
        <v/>
      </c>
      <c r="S7" s="55" t="str">
        <f t="array" ref="S7">_xlfn.XLOOKUP(B7,'Up Min'!A:A,'Up Min'!E:E,)</f>
        <v/>
      </c>
      <c r="T7" s="55" t="str">
        <f t="array" ref="T7">_xlfn.XLOOKUP(B7,'Up Max'!A:A,'Up Max'!E:E,)</f>
        <v/>
      </c>
      <c r="U7" s="57" t="str">
        <f t="array" ref="U7">_xlfn.XLOOKUP(B7,'Up Stats'!A:A,'Up Stats'!F:F,)</f>
        <v/>
      </c>
      <c r="V7" s="54" t="str">
        <f>IFERROR(__xludf.DUMMYFUNCTION("if(AND(W7=FALSE,X7=FALSE),,if(W7=X7,JOIN("""",""Static: "",W7),JOIN("""",""Min:  "",W7, CHAR(10),""Max: "",X7)))"),"")</f>
        <v/>
      </c>
      <c r="W7" s="55" t="str">
        <f t="array" ref="W7">_xlfn.XLOOKUP(B7,'Up Min'!A:A,'Up Min'!F:F,)</f>
        <v/>
      </c>
      <c r="X7" s="55" t="str">
        <f t="array" ref="X7">_xlfn.XLOOKUP(B7,'Up Max'!A:A,'Up Max'!F:F,)</f>
        <v/>
      </c>
      <c r="Y7" s="57" t="str">
        <f t="array" ref="Y7">_xlfn.XLOOKUP(B7,'Up Stats'!A:A,'Up Stats'!G:G,)</f>
        <v/>
      </c>
      <c r="Z7" s="54" t="str">
        <f>IFERROR(__xludf.DUMMYFUNCTION("if(AND(AA7=FALSE,AB7=FALSE),,if(AA7=AB7,JOIN("""",""Static: "",AA7),JOIN("""",""Min:  "",AA7, CHAR(10),""Max: "",AB7)))"),"")</f>
        <v/>
      </c>
      <c r="AA7" s="55" t="str">
        <f t="array" ref="AA7">_xlfn.XLOOKUP(B7,'Up Min'!A:A,'Up Min'!G:G,)</f>
        <v/>
      </c>
      <c r="AB7" s="55" t="str">
        <f t="array" ref="AB7">_xlfn.XLOOKUP(B7,'Up Max'!A:A,'Up Max'!G:G,)</f>
        <v/>
      </c>
      <c r="AC7" s="57" t="str">
        <f t="array" ref="AC7">_xlfn.XLOOKUP(B7,'Up Stats'!A:A,'Up Stats'!H:H,)</f>
        <v/>
      </c>
      <c r="AD7" s="54" t="str">
        <f>IFERROR(__xludf.DUMMYFUNCTION("if(AND(AE7=FALSE,AF7=FALSE),,if(AE7=AF7,JOIN("""",""Static: "",AE7),JOIN("""",""Min:  "",AE7, CHAR(10),""Max: "",AF7)))"),"")</f>
        <v/>
      </c>
      <c r="AE7" s="55" t="str">
        <f t="array" ref="AE7">_xlfn.XLOOKUP(B7,'Up Min'!A:A,'Up Min'!H:H,)</f>
        <v/>
      </c>
      <c r="AF7" s="55" t="str">
        <f t="array" ref="AF7">_xlfn.XLOOKUP(B7,'Up Max'!A:A,'Up Max'!H:H,)</f>
        <v/>
      </c>
      <c r="AG7" s="57" t="str">
        <f t="array" ref="AG7">_xlfn.XLOOKUP(B7,'Up Stats'!A:A,'Up Stats'!I:I,)</f>
        <v/>
      </c>
      <c r="AH7" s="54" t="str">
        <f>IFERROR(__xludf.DUMMYFUNCTION("if(AND(AI7=FALSE,AJ7=FALSE),,if(AI7=AJ7,JOIN("""",""Static: "",AI7),JOIN("""",""Min:  "",AI7, CHAR(10),""Max: "",AJ7)))"),"")</f>
        <v/>
      </c>
      <c r="AI7" s="55" t="str">
        <f t="array" ref="AI7">_xlfn.XLOOKUP(B7,'Up Min'!A:A,'Up Min'!I:I,)</f>
        <v/>
      </c>
      <c r="AJ7" s="55" t="str">
        <f t="array" ref="AJ7">_xlfn.XLOOKUP(B7,'Up Max'!A:A,'Up Max'!I:I,)</f>
        <v/>
      </c>
      <c r="AK7" s="57" t="str">
        <f t="array" ref="AK7">_xlfn.XLOOKUP(B7,'Up Stats'!A:A,'Up Stats'!J:J,)</f>
        <v/>
      </c>
      <c r="AL7" s="54" t="str">
        <f>IFERROR(__xludf.DUMMYFUNCTION("if(AND(AM7=FALSE,AN7=FALSE),,if(AM7=AN7,JOIN("""",""Static: "",AM7),JOIN("""",""Min:  "",AM7, CHAR(10),""Max: "",AN7)))"),"")</f>
        <v/>
      </c>
      <c r="AM7" s="55" t="str">
        <f t="array" ref="AM7">_xlfn.XLOOKUP(B7,'Up Min'!A:A,'Up Min'!J:J,)</f>
        <v/>
      </c>
      <c r="AN7" s="55" t="str">
        <f t="array" ref="AN7">_xlfn.XLOOKUP(B7,'Up Max'!A:A,'Up Max'!J:J,)</f>
        <v/>
      </c>
      <c r="AO7" s="51" t="str">
        <f t="array" ref="AO7">CONCATENATE(_xlfn.XLOOKUP(B7,'Up Cells'!A:A,'Up Cells'!B:B,))</f>
        <v>5</v>
      </c>
      <c r="AP7" s="51" t="str">
        <f t="array" ref="AP7">CONCATENATE(_xlfn.XLOOKUP(B7,'Up Rarity'!A:A,'Up Rarity'!B:B,),CHAR(10),"-")</f>
        <v>Exotic
-</v>
      </c>
    </row>
    <row r="8">
      <c r="A8" s="62" t="str">
        <f t="array" ref="A8">_xlfn.XLOOKUP(B8,'Up Icon'!A:A,'Up Icon'!B:B,)</f>
        <v/>
      </c>
      <c r="B8" s="89" t="str">
        <f t="array" ref="B8">HYPERLINK(_xlfn.XLOOKUP('Up Names'!G5,'Up Wiki'!A:A,'Up Wiki'!B:B,),'Up Names'!G5)</f>
        <v>Missile Bay</v>
      </c>
      <c r="C8" s="67" t="str">
        <f t="array" ref="C8">_xlfn.XLOOKUP(B8,'Up Desc'!A:A,'Up Desc'!B:B,)</f>
        <v>Fire tracking missiles.</v>
      </c>
      <c r="D8" s="37" t="str">
        <f t="array" ref="D8">_xlfn.XLOOKUP(B8,'Up Turbo'!A:A,'Up Turbo'!B:B,)</f>
        <v/>
      </c>
      <c r="E8" s="39" t="str">
        <f t="array" ref="E8">_xlfn.XLOOKUP(B8,'Up Stats'!A:A,'Up Stats'!B:B,)</f>
        <v>Tracking Force</v>
      </c>
      <c r="F8" s="40" t="str">
        <f>IFERROR(__xludf.DUMMYFUNCTION("if(AND(G8=FALSE,H8=FALSE),,if(G8=H8,JOIN("""",""Static: "",G8),JOIN("""",""Min:  "",G8, CHAR(10),""Max: "",H8)))"),"Min:  26
Max: 34")</f>
        <v>Min:  26
Max: 34</v>
      </c>
      <c r="G8" s="69">
        <f t="array" ref="G8">_xlfn.XLOOKUP(B8,'Up Min'!A:A,'Up Min'!B:B,)</f>
        <v>26</v>
      </c>
      <c r="H8" s="68">
        <f t="array" ref="H8">_xlfn.XLOOKUP(B8,'Up Max'!A:A,'Up Max'!B:B,)</f>
        <v>34</v>
      </c>
      <c r="I8" s="39" t="str">
        <f t="array" ref="I8">_xlfn.XLOOKUP(B8,'Up Stats'!A:A,'Up Stats'!C:C,)</f>
        <v>Tracking Radius</v>
      </c>
      <c r="J8" s="40" t="str">
        <f>IFERROR(__xludf.DUMMYFUNCTION("if(AND(K8=FALSE,L8=FALSE),,if(K8=L8,JOIN("""",""Static: "",K8),JOIN("""",""Min:  "",K8, CHAR(10),""Max: "",L8)))"),"Min:  0.85
Max: 1.2")</f>
        <v>Min:  0.85
Max: 1.2</v>
      </c>
      <c r="K8" s="68">
        <f t="array" ref="K8">_xlfn.XLOOKUP(B8,'Up Min'!A:A,'Up Min'!C:C,)</f>
        <v>0.85</v>
      </c>
      <c r="L8" s="69">
        <f t="array" ref="L8">_xlfn.XLOOKUP(B8,'Up Max'!A:A,'Up Max'!C:C,)</f>
        <v>1.2</v>
      </c>
      <c r="M8" s="39" t="str">
        <f t="array" ref="M8">_xlfn.XLOOKUP(B8,'Up Stats'!A:A,'Up Stats'!D:D,)</f>
        <v/>
      </c>
      <c r="N8" s="40" t="str">
        <f>IFERROR(__xludf.DUMMYFUNCTION("if(AND(O8=FALSE,P8=FALSE),,if(O8=P8,JOIN("""",""Static: "",O8),JOIN("""",""Min:  "",O8, CHAR(10),""Max: "",P8)))"),"")</f>
        <v/>
      </c>
      <c r="O8" s="42" t="str">
        <f t="array" ref="O8">_xlfn.XLOOKUP(B8,'Up Min'!A:A,'Up Min'!D:D,)</f>
        <v/>
      </c>
      <c r="P8" s="42" t="str">
        <f t="array" ref="P8">_xlfn.XLOOKUP(B8,'Up Max'!A:A,'Up Max'!D:D,)</f>
        <v/>
      </c>
      <c r="Q8" s="48" t="str">
        <f t="array" ref="Q8">_xlfn.XLOOKUP(B8,'Up Stats'!A:A,'Up Stats'!E:E,)</f>
        <v/>
      </c>
      <c r="R8" s="40" t="str">
        <f>IFERROR(__xludf.DUMMYFUNCTION("if(AND(S8=FALSE,T8=FALSE),,if(S8=T8,JOIN("""",""Static: "",S8),JOIN("""",""Min:  "",S8, CHAR(10),""Max: "",T8)))"),"")</f>
        <v/>
      </c>
      <c r="S8" s="42" t="str">
        <f t="array" ref="S8">_xlfn.XLOOKUP(B8,'Up Min'!A:A,'Up Min'!E:E,)</f>
        <v/>
      </c>
      <c r="T8" s="42" t="str">
        <f t="array" ref="T8">_xlfn.XLOOKUP(B8,'Up Max'!A:A,'Up Max'!E:E,)</f>
        <v/>
      </c>
      <c r="U8" s="48" t="str">
        <f t="array" ref="U8">_xlfn.XLOOKUP(B8,'Up Stats'!A:A,'Up Stats'!F:F,)</f>
        <v/>
      </c>
      <c r="V8" s="40" t="str">
        <f>IFERROR(__xludf.DUMMYFUNCTION("if(AND(W8=FALSE,X8=FALSE),,if(W8=X8,JOIN("""",""Static: "",W8),JOIN("""",""Min:  "",W8, CHAR(10),""Max: "",X8)))"),"")</f>
        <v/>
      </c>
      <c r="W8" s="42" t="str">
        <f t="array" ref="W8">_xlfn.XLOOKUP(B8,'Up Min'!A:A,'Up Min'!F:F,)</f>
        <v/>
      </c>
      <c r="X8" s="42" t="str">
        <f t="array" ref="X8">_xlfn.XLOOKUP(B8,'Up Max'!A:A,'Up Max'!F:F,)</f>
        <v/>
      </c>
      <c r="Y8" s="48" t="str">
        <f t="array" ref="Y8">_xlfn.XLOOKUP(B8,'Up Stats'!A:A,'Up Stats'!G:G,)</f>
        <v/>
      </c>
      <c r="Z8" s="40" t="str">
        <f>IFERROR(__xludf.DUMMYFUNCTION("if(AND(AA8=FALSE,AB8=FALSE),,if(AA8=AB8,JOIN("""",""Static: "",AA8),JOIN("""",""Min:  "",AA8, CHAR(10),""Max: "",AB8)))"),"")</f>
        <v/>
      </c>
      <c r="AA8" s="42" t="str">
        <f t="array" ref="AA8">_xlfn.XLOOKUP(B8,'Up Min'!A:A,'Up Min'!G:G,)</f>
        <v/>
      </c>
      <c r="AB8" s="42" t="str">
        <f t="array" ref="AB8">_xlfn.XLOOKUP(B8,'Up Max'!A:A,'Up Max'!G:G,)</f>
        <v/>
      </c>
      <c r="AC8" s="48" t="str">
        <f t="array" ref="AC8">_xlfn.XLOOKUP(B8,'Up Stats'!A:A,'Up Stats'!H:H,)</f>
        <v/>
      </c>
      <c r="AD8" s="40" t="str">
        <f>IFERROR(__xludf.DUMMYFUNCTION("if(AND(AE8=FALSE,AF8=FALSE),,if(AE8=AF8,JOIN("""",""Static: "",AE8),JOIN("""",""Min:  "",AE8, CHAR(10),""Max: "",AF8)))"),"")</f>
        <v/>
      </c>
      <c r="AE8" s="42" t="str">
        <f t="array" ref="AE8">_xlfn.XLOOKUP(B8,'Up Min'!A:A,'Up Min'!H:H,)</f>
        <v/>
      </c>
      <c r="AF8" s="42" t="str">
        <f t="array" ref="AF8">_xlfn.XLOOKUP(B8,'Up Max'!A:A,'Up Max'!H:H,)</f>
        <v/>
      </c>
      <c r="AG8" s="48" t="str">
        <f t="array" ref="AG8">_xlfn.XLOOKUP(B8,'Up Stats'!A:A,'Up Stats'!I:I,)</f>
        <v/>
      </c>
      <c r="AH8" s="40" t="str">
        <f>IFERROR(__xludf.DUMMYFUNCTION("if(AND(AI8=FALSE,AJ8=FALSE),,if(AI8=AJ8,JOIN("""",""Static: "",AI8),JOIN("""",""Min:  "",AI8, CHAR(10),""Max: "",AJ8)))"),"")</f>
        <v/>
      </c>
      <c r="AI8" s="42" t="str">
        <f t="array" ref="AI8">_xlfn.XLOOKUP(B8,'Up Min'!A:A,'Up Min'!I:I,)</f>
        <v/>
      </c>
      <c r="AJ8" s="42" t="str">
        <f t="array" ref="AJ8">_xlfn.XLOOKUP(B8,'Up Max'!A:A,'Up Max'!I:I,)</f>
        <v/>
      </c>
      <c r="AK8" s="48" t="str">
        <f t="array" ref="AK8">_xlfn.XLOOKUP(B8,'Up Stats'!A:A,'Up Stats'!J:J,)</f>
        <v/>
      </c>
      <c r="AL8" s="40" t="str">
        <f>IFERROR(__xludf.DUMMYFUNCTION("if(AND(AM8=FALSE,AN8=FALSE),,if(AM8=AN8,JOIN("""",""Static: "",AM8),JOIN("""",""Min:  "",AM8, CHAR(10),""Max: "",AN8)))"),"")</f>
        <v/>
      </c>
      <c r="AM8" s="42" t="str">
        <f t="array" ref="AM8">_xlfn.XLOOKUP(B8,'Up Min'!A:A,'Up Min'!J:J,)</f>
        <v/>
      </c>
      <c r="AN8" s="42" t="str">
        <f t="array" ref="AN8">_xlfn.XLOOKUP(B8,'Up Max'!A:A,'Up Max'!J:J,)</f>
        <v/>
      </c>
      <c r="AO8" s="34" t="str">
        <f t="array" ref="AO8">CONCATENATE(_xlfn.XLOOKUP(B8,'Up Cells'!A:A,'Up Cells'!B:B,))</f>
        <v>6</v>
      </c>
      <c r="AP8" s="34" t="str">
        <f t="array" ref="AP8">CONCATENATE(_xlfn.XLOOKUP(B8,'Up Rarity'!A:A,'Up Rarity'!B:B,),CHAR(10),"-")</f>
        <v>Exotic
-</v>
      </c>
    </row>
    <row r="9">
      <c r="A9" s="62" t="str">
        <f t="array" ref="A9">_xlfn.XLOOKUP(B9,'Up Icon'!A:A,'Up Icon'!B:B,)</f>
        <v/>
      </c>
      <c r="B9" s="88" t="str">
        <f t="array" ref="B9">HYPERLINK(_xlfn.XLOOKUP('Up Names'!G6,'Up Wiki'!A:A,'Up Wiki'!B:B,),'Up Names'!G6)</f>
        <v>Tinderbox</v>
      </c>
      <c r="C9" s="70" t="str">
        <f t="array" ref="C9">_xlfn.XLOOKUP(B9,'Up Desc'!A:A,'Up Desc'!B:B,)</f>
        <v>Mash RELOAD to overheat the gun and infuse shells with fire and increase damage. The Gunship Cannon can only reload when its magazine is empty. While overheated you have a chance to spontaneously combust.</v>
      </c>
      <c r="D9" s="52" t="str">
        <f t="array" ref="D9">_xlfn.XLOOKUP(B9,'Up Turbo'!A:A,'Up Turbo'!B:B,)</f>
        <v/>
      </c>
      <c r="E9" s="53" t="str">
        <f t="array" ref="E9">_xlfn.XLOOKUP(B9,'Up Stats'!A:A,'Up Stats'!B:B,)</f>
        <v>Fire</v>
      </c>
      <c r="F9" s="54" t="str">
        <f>IFERROR(__xludf.DUMMYFUNCTION("if(AND(G9=FALSE,H9=FALSE),,if(G9=H9,JOIN("""",""Static: "",G9),JOIN("""",""Min:  "",G9, CHAR(10),""Max: "",H9)))"),"Min:  5
Max: 11")</f>
        <v>Min:  5
Max: 11</v>
      </c>
      <c r="G9" s="64">
        <f t="array" ref="G9">_xlfn.XLOOKUP(B9,'Up Min'!A:A,'Up Min'!B:B,)</f>
        <v>5</v>
      </c>
      <c r="H9" s="65">
        <f t="array" ref="H9">_xlfn.XLOOKUP(B9,'Up Max'!A:A,'Up Max'!B:B,)</f>
        <v>11</v>
      </c>
      <c r="I9" s="53" t="str">
        <f t="array" ref="I9">_xlfn.XLOOKUP(B9,'Up Stats'!A:A,'Up Stats'!C:C,)</f>
        <v>Combust Chance</v>
      </c>
      <c r="J9" s="54" t="str">
        <f>IFERROR(__xludf.DUMMYFUNCTION("if(AND(K9=FALSE,L9=FALSE),,if(K9=L9,JOIN("""",""Static: "",K9),JOIN("""",""Min:  "",K9, CHAR(10),""Max: "",L9)))"),"Min:  1%
Max: 5%")</f>
        <v>Min:  1%
Max: 5%</v>
      </c>
      <c r="K9" s="59">
        <f t="array" ref="K9">_xlfn.XLOOKUP(B9,'Up Min'!A:A,'Up Min'!C:C,)</f>
        <v>0.01</v>
      </c>
      <c r="L9" s="59">
        <f t="array" ref="L9">_xlfn.XLOOKUP(B9,'Up Max'!A:A,'Up Max'!C:C,)</f>
        <v>0.05</v>
      </c>
      <c r="M9" s="53" t="str">
        <f t="array" ref="M9">_xlfn.XLOOKUP(B9,'Up Stats'!A:A,'Up Stats'!D:D,)</f>
        <v>Damage</v>
      </c>
      <c r="N9" s="54" t="str">
        <f>IFERROR(__xludf.DUMMYFUNCTION("if(AND(O9=FALSE,P9=FALSE),,if(O9=P9,JOIN("""",""Static: "",O9),JOIN("""",""Min:  "",O9, CHAR(10),""Max: "",P9)))"),"Min:  10%
Max: 20%")</f>
        <v>Min:  10%
Max: 20%</v>
      </c>
      <c r="O9" s="59">
        <f t="array" ref="O9">_xlfn.XLOOKUP(B9,'Up Min'!A:A,'Up Min'!D:D,)</f>
        <v>0.1</v>
      </c>
      <c r="P9" s="59">
        <f t="array" ref="P9">_xlfn.XLOOKUP(B9,'Up Max'!A:A,'Up Max'!D:D,)</f>
        <v>0.2</v>
      </c>
      <c r="Q9" s="57" t="str">
        <f t="array" ref="Q9">_xlfn.XLOOKUP(B9,'Up Stats'!A:A,'Up Stats'!E:E,)</f>
        <v/>
      </c>
      <c r="R9" s="54" t="str">
        <f>IFERROR(__xludf.DUMMYFUNCTION("if(AND(S9=FALSE,T9=FALSE),,if(S9=T9,JOIN("""",""Static: "",S9),JOIN("""",""Min:  "",S9, CHAR(10),""Max: "",T9)))"),"")</f>
        <v/>
      </c>
      <c r="S9" s="56" t="str">
        <f t="array" ref="S9">_xlfn.XLOOKUP(B9,'Up Min'!A:A,'Up Min'!E:E,)</f>
        <v/>
      </c>
      <c r="T9" s="55" t="str">
        <f t="array" ref="T9">_xlfn.XLOOKUP(B9,'Up Max'!A:A,'Up Max'!E:E,)</f>
        <v/>
      </c>
      <c r="U9" s="57" t="str">
        <f t="array" ref="U9">_xlfn.XLOOKUP(B9,'Up Stats'!A:A,'Up Stats'!F:F,)</f>
        <v/>
      </c>
      <c r="V9" s="54" t="str">
        <f>IFERROR(__xludf.DUMMYFUNCTION("if(AND(W9=FALSE,X9=FALSE),,if(W9=X9,JOIN("""",""Static: "",W9),JOIN("""",""Min:  "",W9, CHAR(10),""Max: "",X9)))"),"")</f>
        <v/>
      </c>
      <c r="W9" s="55" t="str">
        <f t="array" ref="W9">_xlfn.XLOOKUP(B9,'Up Min'!A:A,'Up Min'!F:F,)</f>
        <v/>
      </c>
      <c r="X9" s="55" t="str">
        <f t="array" ref="X9">_xlfn.XLOOKUP(B9,'Up Max'!A:A,'Up Max'!F:F,)</f>
        <v/>
      </c>
      <c r="Y9" s="57" t="str">
        <f t="array" ref="Y9">_xlfn.XLOOKUP(B9,'Up Stats'!A:A,'Up Stats'!G:G,)</f>
        <v/>
      </c>
      <c r="Z9" s="54" t="str">
        <f>IFERROR(__xludf.DUMMYFUNCTION("if(AND(AA9=FALSE,AB9=FALSE),,if(AA9=AB9,JOIN("""",""Static: "",AA9),JOIN("""",""Min:  "",AA9, CHAR(10),""Max: "",AB9)))"),"")</f>
        <v/>
      </c>
      <c r="AA9" s="55" t="str">
        <f t="array" ref="AA9">_xlfn.XLOOKUP(B9,'Up Min'!A:A,'Up Min'!G:G,)</f>
        <v/>
      </c>
      <c r="AB9" s="55" t="str">
        <f t="array" ref="AB9">_xlfn.XLOOKUP(B9,'Up Max'!A:A,'Up Max'!G:G,)</f>
        <v/>
      </c>
      <c r="AC9" s="57" t="str">
        <f t="array" ref="AC9">_xlfn.XLOOKUP(B9,'Up Stats'!A:A,'Up Stats'!H:H,)</f>
        <v/>
      </c>
      <c r="AD9" s="54" t="str">
        <f>IFERROR(__xludf.DUMMYFUNCTION("if(AND(AE9=FALSE,AF9=FALSE),,if(AE9=AF9,JOIN("""",""Static: "",AE9),JOIN("""",""Min:  "",AE9, CHAR(10),""Max: "",AF9)))"),"")</f>
        <v/>
      </c>
      <c r="AE9" s="55" t="str">
        <f t="array" ref="AE9">_xlfn.XLOOKUP(B9,'Up Min'!A:A,'Up Min'!H:H,)</f>
        <v/>
      </c>
      <c r="AF9" s="55" t="str">
        <f t="array" ref="AF9">_xlfn.XLOOKUP(B9,'Up Max'!A:A,'Up Max'!H:H,)</f>
        <v/>
      </c>
      <c r="AG9" s="57" t="str">
        <f t="array" ref="AG9">_xlfn.XLOOKUP(B9,'Up Stats'!A:A,'Up Stats'!I:I,)</f>
        <v/>
      </c>
      <c r="AH9" s="54" t="str">
        <f>IFERROR(__xludf.DUMMYFUNCTION("if(AND(AI9=FALSE,AJ9=FALSE),,if(AI9=AJ9,JOIN("""",""Static: "",AI9),JOIN("""",""Min:  "",AI9, CHAR(10),""Max: "",AJ9)))"),"")</f>
        <v/>
      </c>
      <c r="AI9" s="55" t="str">
        <f t="array" ref="AI9">_xlfn.XLOOKUP(B9,'Up Min'!A:A,'Up Min'!I:I,)</f>
        <v/>
      </c>
      <c r="AJ9" s="55" t="str">
        <f t="array" ref="AJ9">_xlfn.XLOOKUP(B9,'Up Max'!A:A,'Up Max'!I:I,)</f>
        <v/>
      </c>
      <c r="AK9" s="57" t="str">
        <f t="array" ref="AK9">_xlfn.XLOOKUP(B9,'Up Stats'!A:A,'Up Stats'!J:J,)</f>
        <v/>
      </c>
      <c r="AL9" s="54" t="str">
        <f>IFERROR(__xludf.DUMMYFUNCTION("if(AND(AM9=FALSE,AN9=FALSE),,if(AM9=AN9,JOIN("""",""Static: "",AM9),JOIN("""",""Min:  "",AM9, CHAR(10),""Max: "",AN9)))"),"")</f>
        <v/>
      </c>
      <c r="AM9" s="55" t="str">
        <f t="array" ref="AM9">_xlfn.XLOOKUP(B9,'Up Min'!A:A,'Up Min'!J:J,)</f>
        <v/>
      </c>
      <c r="AN9" s="55" t="str">
        <f t="array" ref="AN9">_xlfn.XLOOKUP(B9,'Up Max'!A:A,'Up Max'!J:J,)</f>
        <v/>
      </c>
      <c r="AO9" s="51" t="str">
        <f t="array" ref="AO9">CONCATENATE(_xlfn.XLOOKUP(B9,'Up Cells'!A:A,'Up Cells'!B:B,))</f>
        <v>6</v>
      </c>
      <c r="AP9" s="51" t="str">
        <f t="array" ref="AP9">CONCATENATE(_xlfn.XLOOKUP(B9,'Up Rarity'!A:A,'Up Rarity'!B:B,),CHAR(10),"-")</f>
        <v>Exotic
-</v>
      </c>
    </row>
    <row r="10">
      <c r="A10" s="75" t="str">
        <f t="array" ref="A10">_xlfn.XLOOKUP(B10,'Up Icon'!A:A,'Up Icon'!B:B,)</f>
        <v/>
      </c>
      <c r="B10" s="89" t="str">
        <f t="array" ref="B10">HYPERLINK(_xlfn.XLOOKUP('Up Names'!G7,'Up Wiki'!A:A,'Up Wiki'!B:B,),'Up Names'!G7)</f>
        <v>Purple Prism</v>
      </c>
      <c r="C10" s="67" t="str">
        <f t="array" ref="C10">_xlfn.XLOOKUP(B10,'Up Desc'!A:A,'Up Desc'!B:B,)</f>
        <v>Prism output is increased recursively for each bordering prism.</v>
      </c>
      <c r="D10" s="37" t="str">
        <f t="array" ref="D10">_xlfn.XLOOKUP(B10,'Up Turbo'!A:A,'Up Turbo'!B:B,)</f>
        <v>n/a</v>
      </c>
      <c r="E10" s="39" t="str">
        <f t="array" ref="E10">_xlfn.XLOOKUP(B10,'Up Stats'!A:A,'Up Stats'!B:B,)</f>
        <v>Efficiency</v>
      </c>
      <c r="F10" s="40" t="str">
        <f>IFERROR(__xludf.DUMMYFUNCTION("if(AND(G10=FALSE,H10=FALSE),,if(G10=H10,JOIN("""",""Static: "",G10),JOIN("""",""Min:  "",G10, CHAR(10),""Max: "",H10)))"),"Min:  50%
Max: 150%")</f>
        <v>Min:  50%
Max: 150%</v>
      </c>
      <c r="G10" s="41">
        <f t="array" ref="G10">_xlfn.XLOOKUP(B10,'Up Min'!A:A,'Up Min'!B:B,)</f>
        <v>0.5</v>
      </c>
      <c r="H10" s="41">
        <f t="array" ref="H10">_xlfn.XLOOKUP(B10,'Up Max'!A:A,'Up Max'!B:B,)</f>
        <v>1.5</v>
      </c>
      <c r="I10" s="39" t="str">
        <f t="array" ref="I10">_xlfn.XLOOKUP(B10,'Up Stats'!A:A,'Up Stats'!C:C,)</f>
        <v/>
      </c>
      <c r="J10" s="40" t="str">
        <f>IFERROR(__xludf.DUMMYFUNCTION("if(AND(K10=FALSE,L10=FALSE),,if(K10=L10,JOIN("""",""Static: "",K10),JOIN("""",""Min:  "",K10, CHAR(10),""Max: "",L10)))"),"")</f>
        <v/>
      </c>
      <c r="K10" s="42" t="str">
        <f t="array" ref="K10">_xlfn.XLOOKUP(B10,'Up Min'!A:A,'Up Min'!C:C,)</f>
        <v/>
      </c>
      <c r="L10" s="42" t="str">
        <f t="array" ref="L10">_xlfn.XLOOKUP(B10,'Up Max'!A:A,'Up Max'!C:C,)</f>
        <v/>
      </c>
      <c r="M10" s="48" t="str">
        <f t="array" ref="M10">_xlfn.XLOOKUP(B10,'Up Stats'!A:A,'Up Stats'!D:D,)</f>
        <v/>
      </c>
      <c r="N10" s="40" t="str">
        <f>IFERROR(__xludf.DUMMYFUNCTION("if(AND(O10=FALSE,P10=FALSE),,if(O10=P10,JOIN("""",""Static: "",O10),JOIN("""",""Min:  "",O10, CHAR(10),""Max: "",P10)))"),"")</f>
        <v/>
      </c>
      <c r="O10" s="42" t="str">
        <f t="array" ref="O10">_xlfn.XLOOKUP(B10,'Up Min'!A:A,'Up Min'!D:D,)</f>
        <v/>
      </c>
      <c r="P10" s="42" t="str">
        <f t="array" ref="P10">_xlfn.XLOOKUP(B10,'Up Max'!A:A,'Up Max'!D:D,)</f>
        <v/>
      </c>
      <c r="Q10" s="48" t="str">
        <f t="array" ref="Q10">_xlfn.XLOOKUP(B10,'Up Stats'!A:A,'Up Stats'!E:E,)</f>
        <v/>
      </c>
      <c r="R10" s="40" t="str">
        <f>IFERROR(__xludf.DUMMYFUNCTION("if(AND(S10=FALSE,T10=FALSE),,if(S10=T10,JOIN("""",""Static: "",S10),JOIN("""",""Min:  "",S10, CHAR(10),""Max: "",T10)))"),"")</f>
        <v/>
      </c>
      <c r="S10" s="42" t="str">
        <f t="array" ref="S10">_xlfn.XLOOKUP(B10,'Up Min'!A:A,'Up Min'!E:E,)</f>
        <v/>
      </c>
      <c r="T10" s="42" t="str">
        <f t="array" ref="T10">_xlfn.XLOOKUP(B10,'Up Max'!A:A,'Up Max'!E:E,)</f>
        <v/>
      </c>
      <c r="U10" s="48" t="str">
        <f t="array" ref="U10">_xlfn.XLOOKUP(B10,'Up Stats'!A:A,'Up Stats'!F:F,)</f>
        <v/>
      </c>
      <c r="V10" s="40" t="str">
        <f>IFERROR(__xludf.DUMMYFUNCTION("if(AND(W10=FALSE,X10=FALSE),,if(W10=X10,JOIN("""",""Static: "",W10),JOIN("""",""Min:  "",W10, CHAR(10),""Max: "",X10)))"),"")</f>
        <v/>
      </c>
      <c r="W10" s="42" t="str">
        <f t="array" ref="W10">_xlfn.XLOOKUP(B10,'Up Min'!A:A,'Up Min'!F:F,)</f>
        <v/>
      </c>
      <c r="X10" s="42" t="str">
        <f t="array" ref="X10">_xlfn.XLOOKUP(B10,'Up Max'!A:A,'Up Max'!F:F,)</f>
        <v/>
      </c>
      <c r="Y10" s="48" t="str">
        <f t="array" ref="Y10">_xlfn.XLOOKUP(B10,'Up Stats'!A:A,'Up Stats'!G:G,)</f>
        <v/>
      </c>
      <c r="Z10" s="40" t="str">
        <f>IFERROR(__xludf.DUMMYFUNCTION("if(AND(AA10=FALSE,AB10=FALSE),,if(AA10=AB10,JOIN("""",""Static: "",AA10),JOIN("""",""Min:  "",AA10, CHAR(10),""Max: "",AB10)))"),"")</f>
        <v/>
      </c>
      <c r="AA10" s="42" t="str">
        <f t="array" ref="AA10">_xlfn.XLOOKUP(B10,'Up Min'!A:A,'Up Min'!G:G,)</f>
        <v/>
      </c>
      <c r="AB10" s="42" t="str">
        <f t="array" ref="AB10">_xlfn.XLOOKUP(B10,'Up Max'!A:A,'Up Max'!G:G,)</f>
        <v/>
      </c>
      <c r="AC10" s="48" t="str">
        <f t="array" ref="AC10">_xlfn.XLOOKUP(B10,'Up Stats'!A:A,'Up Stats'!H:H,)</f>
        <v/>
      </c>
      <c r="AD10" s="40" t="str">
        <f>IFERROR(__xludf.DUMMYFUNCTION("if(AND(AE10=FALSE,AF10=FALSE),,if(AE10=AF10,JOIN("""",""Static: "",AE10),JOIN("""",""Min:  "",AE10, CHAR(10),""Max: "",AF10)))"),"")</f>
        <v/>
      </c>
      <c r="AE10" s="42" t="str">
        <f t="array" ref="AE10">_xlfn.XLOOKUP(B10,'Up Min'!A:A,'Up Min'!H:H,)</f>
        <v/>
      </c>
      <c r="AF10" s="42" t="str">
        <f t="array" ref="AF10">_xlfn.XLOOKUP(B10,'Up Max'!A:A,'Up Max'!H:H,)</f>
        <v/>
      </c>
      <c r="AG10" s="48" t="str">
        <f t="array" ref="AG10">_xlfn.XLOOKUP(B10,'Up Stats'!A:A,'Up Stats'!I:I,)</f>
        <v/>
      </c>
      <c r="AH10" s="40" t="str">
        <f>IFERROR(__xludf.DUMMYFUNCTION("if(AND(AI10=FALSE,AJ10=FALSE),,if(AI10=AJ10,JOIN("""",""Static: "",AI10),JOIN("""",""Min:  "",AI10, CHAR(10),""Max: "",AJ10)))"),"")</f>
        <v/>
      </c>
      <c r="AI10" s="42" t="str">
        <f t="array" ref="AI10">_xlfn.XLOOKUP(B10,'Up Min'!A:A,'Up Min'!I:I,)</f>
        <v/>
      </c>
      <c r="AJ10" s="42" t="str">
        <f t="array" ref="AJ10">_xlfn.XLOOKUP(B10,'Up Max'!A:A,'Up Max'!I:I,)</f>
        <v/>
      </c>
      <c r="AK10" s="48" t="str">
        <f t="array" ref="AK10">_xlfn.XLOOKUP(B10,'Up Stats'!A:A,'Up Stats'!J:J,)</f>
        <v/>
      </c>
      <c r="AL10" s="40" t="str">
        <f>IFERROR(__xludf.DUMMYFUNCTION("if(AND(AM10=FALSE,AN10=FALSE),,if(AM10=AN10,JOIN("""",""Static: "",AM10),JOIN("""",""Min:  "",AM10, CHAR(10),""Max: "",AN10)))"),"")</f>
        <v/>
      </c>
      <c r="AM10" s="42" t="str">
        <f t="array" ref="AM10">_xlfn.XLOOKUP(B10,'Up Min'!A:A,'Up Min'!J:J,)</f>
        <v/>
      </c>
      <c r="AN10" s="42" t="str">
        <f t="array" ref="AN10">_xlfn.XLOOKUP(B10,'Up Max'!A:A,'Up Max'!J:J,)</f>
        <v/>
      </c>
      <c r="AO10" s="34" t="str">
        <f t="array" ref="AO10">CONCATENATE(_xlfn.XLOOKUP(B10,'Up Cells'!A:A,'Up Cells'!B:B,))</f>
        <v>3</v>
      </c>
      <c r="AP10" s="34" t="str">
        <f t="array" ref="AP10">CONCATENATE(_xlfn.XLOOKUP(B10,'Up Rarity'!A:A,'Up Rarity'!B:B,),CHAR(10),"-")</f>
        <v>Epic
-</v>
      </c>
    </row>
    <row r="11">
      <c r="A11" s="75" t="str">
        <f t="array" ref="A11">_xlfn.XLOOKUP(B11,'Up Icon'!A:A,'Up Icon'!B:B,)</f>
        <v/>
      </c>
      <c r="B11" s="88" t="str">
        <f t="array" ref="B11">HYPERLINK(_xlfn.XLOOKUP('Up Names'!G8,'Up Wiki'!A:A,'Up Wiki'!B:B,),'Up Names'!G8)</f>
        <v>Ballistic Charger</v>
      </c>
      <c r="C11" s="70" t="str">
        <f t="array" ref="C11">_xlfn.XLOOKUP(B11,'Up Desc'!A:A,'Up Desc'!B:B,)</f>
        <v>Dealing damage fills a charge meter. Press AIM to fire a tracking missile with an explosive payload proportional to the current charge.</v>
      </c>
      <c r="D11" s="52" t="str">
        <f t="array" ref="D11">_xlfn.XLOOKUP(B11,'Up Turbo'!A:A,'Up Turbo'!B:B,)</f>
        <v>n/a</v>
      </c>
      <c r="E11" s="53" t="str">
        <f t="array" ref="E11">_xlfn.XLOOKUP(B11,'Up Stats'!A:A,'Up Stats'!B:B,)</f>
        <v>Charge Efficiency</v>
      </c>
      <c r="F11" s="54" t="str">
        <f>IFERROR(__xludf.DUMMYFUNCTION("if(AND(G11=FALSE,H11=FALSE),,if(G11=H11,JOIN("""",""Static: "",G11),JOIN("""",""Min:  "",G11, CHAR(10),""Max: "",H11)))"),"Min:  90%
Max: 120%")</f>
        <v>Min:  90%
Max: 120%</v>
      </c>
      <c r="G11" s="59">
        <f t="array" ref="G11">_xlfn.XLOOKUP(B11,'Up Min'!A:A,'Up Min'!B:B,)</f>
        <v>0.9</v>
      </c>
      <c r="H11" s="59">
        <f t="array" ref="H11">_xlfn.XLOOKUP(B11,'Up Max'!A:A,'Up Max'!B:B,)</f>
        <v>1.2</v>
      </c>
      <c r="I11" s="53" t="str">
        <f t="array" ref="I11">_xlfn.XLOOKUP(B11,'Up Stats'!A:A,'Up Stats'!C:C,)</f>
        <v>Explosion Size</v>
      </c>
      <c r="J11" s="54" t="str">
        <f>IFERROR(__xludf.DUMMYFUNCTION("if(AND(K11=FALSE,L11=FALSE),,if(K11=L11,JOIN("""",""Static: "",K11),JOIN("""",""Min:  "",K11, CHAR(10),""Max: "",L11)))"),"Min:  10
Max: 15")</f>
        <v>Min:  10
Max: 15</v>
      </c>
      <c r="K11" s="65">
        <f t="array" ref="K11">_xlfn.XLOOKUP(B11,'Up Min'!A:A,'Up Min'!C:C,)</f>
        <v>10</v>
      </c>
      <c r="L11" s="64">
        <f t="array" ref="L11">_xlfn.XLOOKUP(B11,'Up Max'!A:A,'Up Max'!C:C,)</f>
        <v>15</v>
      </c>
      <c r="M11" s="53" t="str">
        <f t="array" ref="M11">_xlfn.XLOOKUP(B11,'Up Stats'!A:A,'Up Stats'!D:D,)</f>
        <v>Explosion Damage</v>
      </c>
      <c r="N11" s="54" t="str">
        <f>IFERROR(__xludf.DUMMYFUNCTION("if(AND(O11=FALSE,P11=FALSE),,if(O11=P11,JOIN("""",""Static: "",O11),JOIN("""",""Min:  "",O11, CHAR(10),""Max: "",P11)))"),"Min:  240
Max: 275")</f>
        <v>Min:  240
Max: 275</v>
      </c>
      <c r="O11" s="65">
        <f t="array" ref="O11">_xlfn.XLOOKUP(B11,'Up Min'!A:A,'Up Min'!D:D,)</f>
        <v>240</v>
      </c>
      <c r="P11" s="65">
        <f t="array" ref="P11">_xlfn.XLOOKUP(B11,'Up Max'!A:A,'Up Max'!D:D,)</f>
        <v>275</v>
      </c>
      <c r="Q11" s="57" t="str">
        <f t="array" ref="Q11">_xlfn.XLOOKUP(B11,'Up Stats'!A:A,'Up Stats'!E:E,)</f>
        <v/>
      </c>
      <c r="R11" s="54" t="str">
        <f>IFERROR(__xludf.DUMMYFUNCTION("if(AND(S11=FALSE,T11=FALSE),,if(S11=T11,JOIN("""",""Static: "",S11),JOIN("""",""Min:  "",S11, CHAR(10),""Max: "",T11)))"),"")</f>
        <v/>
      </c>
      <c r="S11" s="56" t="str">
        <f t="array" ref="S11">_xlfn.XLOOKUP(B11,'Up Min'!A:A,'Up Min'!E:E,)</f>
        <v/>
      </c>
      <c r="T11" s="55" t="str">
        <f t="array" ref="T11">_xlfn.XLOOKUP(B11,'Up Max'!A:A,'Up Max'!E:E,)</f>
        <v/>
      </c>
      <c r="U11" s="57" t="str">
        <f t="array" ref="U11">_xlfn.XLOOKUP(B11,'Up Stats'!A:A,'Up Stats'!F:F,)</f>
        <v/>
      </c>
      <c r="V11" s="54" t="str">
        <f>IFERROR(__xludf.DUMMYFUNCTION("if(AND(W11=FALSE,X11=FALSE),,if(W11=X11,JOIN("""",""Static: "",W11),JOIN("""",""Min:  "",W11, CHAR(10),""Max: "",X11)))"),"")</f>
        <v/>
      </c>
      <c r="W11" s="55" t="str">
        <f t="array" ref="W11">_xlfn.XLOOKUP(B11,'Up Min'!A:A,'Up Min'!F:F,)</f>
        <v/>
      </c>
      <c r="X11" s="55" t="str">
        <f t="array" ref="X11">_xlfn.XLOOKUP(B11,'Up Max'!A:A,'Up Max'!F:F,)</f>
        <v/>
      </c>
      <c r="Y11" s="57" t="str">
        <f t="array" ref="Y11">_xlfn.XLOOKUP(B11,'Up Stats'!A:A,'Up Stats'!G:G,)</f>
        <v/>
      </c>
      <c r="Z11" s="54" t="str">
        <f>IFERROR(__xludf.DUMMYFUNCTION("if(AND(AA11=FALSE,AB11=FALSE),,if(AA11=AB11,JOIN("""",""Static: "",AA11),JOIN("""",""Min:  "",AA11, CHAR(10),""Max: "",AB11)))"),"")</f>
        <v/>
      </c>
      <c r="AA11" s="55" t="str">
        <f t="array" ref="AA11">_xlfn.XLOOKUP(B11,'Up Min'!A:A,'Up Min'!G:G,)</f>
        <v/>
      </c>
      <c r="AB11" s="55" t="str">
        <f t="array" ref="AB11">_xlfn.XLOOKUP(B11,'Up Max'!A:A,'Up Max'!G:G,)</f>
        <v/>
      </c>
      <c r="AC11" s="57" t="str">
        <f t="array" ref="AC11">_xlfn.XLOOKUP(B11,'Up Stats'!A:A,'Up Stats'!H:H,)</f>
        <v/>
      </c>
      <c r="AD11" s="54" t="str">
        <f>IFERROR(__xludf.DUMMYFUNCTION("if(AND(AE11=FALSE,AF11=FALSE),,if(AE11=AF11,JOIN("""",""Static: "",AE11),JOIN("""",""Min:  "",AE11, CHAR(10),""Max: "",AF11)))"),"")</f>
        <v/>
      </c>
      <c r="AE11" s="55" t="str">
        <f t="array" ref="AE11">_xlfn.XLOOKUP(B11,'Up Min'!A:A,'Up Min'!H:H,)</f>
        <v/>
      </c>
      <c r="AF11" s="55" t="str">
        <f t="array" ref="AF11">_xlfn.XLOOKUP(B11,'Up Max'!A:A,'Up Max'!H:H,)</f>
        <v/>
      </c>
      <c r="AG11" s="57" t="str">
        <f t="array" ref="AG11">_xlfn.XLOOKUP(B11,'Up Stats'!A:A,'Up Stats'!I:I,)</f>
        <v/>
      </c>
      <c r="AH11" s="54" t="str">
        <f>IFERROR(__xludf.DUMMYFUNCTION("if(AND(AI11=FALSE,AJ11=FALSE),,if(AI11=AJ11,JOIN("""",""Static: "",AI11),JOIN("""",""Min:  "",AI11, CHAR(10),""Max: "",AJ11)))"),"")</f>
        <v/>
      </c>
      <c r="AI11" s="55" t="str">
        <f t="array" ref="AI11">_xlfn.XLOOKUP(B11,'Up Min'!A:A,'Up Min'!I:I,)</f>
        <v/>
      </c>
      <c r="AJ11" s="55" t="str">
        <f t="array" ref="AJ11">_xlfn.XLOOKUP(B11,'Up Max'!A:A,'Up Max'!I:I,)</f>
        <v/>
      </c>
      <c r="AK11" s="57" t="str">
        <f t="array" ref="AK11">_xlfn.XLOOKUP(B11,'Up Stats'!A:A,'Up Stats'!J:J,)</f>
        <v/>
      </c>
      <c r="AL11" s="54" t="str">
        <f>IFERROR(__xludf.DUMMYFUNCTION("if(AND(AM11=FALSE,AN11=FALSE),,if(AM11=AN11,JOIN("""",""Static: "",AM11),JOIN("""",""Min:  "",AM11, CHAR(10),""Max: "",AN11)))"),"")</f>
        <v/>
      </c>
      <c r="AM11" s="55" t="str">
        <f t="array" ref="AM11">_xlfn.XLOOKUP(B11,'Up Min'!A:A,'Up Min'!J:J,)</f>
        <v/>
      </c>
      <c r="AN11" s="55" t="str">
        <f t="array" ref="AN11">_xlfn.XLOOKUP(B11,'Up Max'!A:A,'Up Max'!J:J,)</f>
        <v/>
      </c>
      <c r="AO11" s="51" t="str">
        <f t="array" ref="AO11">CONCATENATE(_xlfn.XLOOKUP(B11,'Up Cells'!A:A,'Up Cells'!B:B,))</f>
        <v>8</v>
      </c>
      <c r="AP11" s="51" t="str">
        <f t="array" ref="AP11">CONCATENATE(_xlfn.XLOOKUP(B11,'Up Rarity'!A:A,'Up Rarity'!B:B,),CHAR(10),"-")</f>
        <v>Epic
-</v>
      </c>
    </row>
    <row r="12">
      <c r="A12" s="75" t="str">
        <f t="array" ref="A12">_xlfn.XLOOKUP(B12,'Up Icon'!A:A,'Up Icon'!B:B,)</f>
        <v/>
      </c>
      <c r="B12" s="89" t="str">
        <f t="array" ref="B12">HYPERLINK(_xlfn.XLOOKUP('Up Names'!G9,'Up Wiki'!A:A,'Up Wiki'!B:B,),'Up Names'!G9)</f>
        <v>Elemental Munitions</v>
      </c>
      <c r="C12" s="67" t="str">
        <f t="array" ref="C12">_xlfn.XLOOKUP(B12,'Up Desc'!A:A,'Up Desc'!B:B,)</f>
        <v>Bullets have a chance to be infused with fire, shock, or acid.</v>
      </c>
      <c r="D12" s="37" t="str">
        <f t="array" ref="D12">_xlfn.XLOOKUP(B12,'Up Turbo'!A:A,'Up Turbo'!B:B,)</f>
        <v>n/a</v>
      </c>
      <c r="E12" s="39" t="str">
        <f t="array" ref="E12">_xlfn.XLOOKUP(B12,'Up Stats'!A:A,'Up Stats'!B:B,)</f>
        <v>Chance</v>
      </c>
      <c r="F12" s="40" t="str">
        <f>IFERROR(__xludf.DUMMYFUNCTION("if(AND(G12=FALSE,H12=FALSE),,if(G12=H12,JOIN("""",""Static: "",G12),JOIN("""",""Min:  "",G12, CHAR(10),""Max: "",H12)))"),"Min:  15%
Max: 40%")</f>
        <v>Min:  15%
Max: 40%</v>
      </c>
      <c r="G12" s="41">
        <f t="array" ref="G12">_xlfn.XLOOKUP(B12,'Up Min'!A:A,'Up Min'!B:B,)</f>
        <v>0.15</v>
      </c>
      <c r="H12" s="41">
        <f t="array" ref="H12">_xlfn.XLOOKUP(B12,'Up Max'!A:A,'Up Max'!B:B,)</f>
        <v>0.4</v>
      </c>
      <c r="I12" s="39" t="str">
        <f t="array" ref="I12">_xlfn.XLOOKUP(B12,'Up Stats'!A:A,'Up Stats'!C:C,)</f>
        <v>Amount</v>
      </c>
      <c r="J12" s="40" t="str">
        <f>IFERROR(__xludf.DUMMYFUNCTION("if(AND(K12=FALSE,L12=FALSE),,if(K12=L12,JOIN("""",""Static: "",K12),JOIN("""",""Min:  "",K12, CHAR(10),""Max: "",L12)))"),"Min:  3
Max: 6")</f>
        <v>Min:  3
Max: 6</v>
      </c>
      <c r="K12" s="68">
        <f t="array" ref="K12">_xlfn.XLOOKUP(B12,'Up Min'!A:A,'Up Min'!C:C,)</f>
        <v>3</v>
      </c>
      <c r="L12" s="69">
        <f t="array" ref="L12">_xlfn.XLOOKUP(B12,'Up Max'!A:A,'Up Max'!C:C,)</f>
        <v>6</v>
      </c>
      <c r="M12" s="39" t="str">
        <f t="array" ref="M12">_xlfn.XLOOKUP(B12,'Up Stats'!A:A,'Up Stats'!D:D,)</f>
        <v/>
      </c>
      <c r="N12" s="40" t="str">
        <f>IFERROR(__xludf.DUMMYFUNCTION("if(AND(O12=FALSE,P12=FALSE),,if(O12=P12,JOIN("""",""Static: "",O12),JOIN("""",""Min:  "",O12, CHAR(10),""Max: "",P12)))"),"")</f>
        <v/>
      </c>
      <c r="O12" s="42" t="str">
        <f t="array" ref="O12">_xlfn.XLOOKUP(B12,'Up Min'!A:A,'Up Min'!D:D,)</f>
        <v/>
      </c>
      <c r="P12" s="42" t="str">
        <f t="array" ref="P12">_xlfn.XLOOKUP(B12,'Up Max'!A:A,'Up Max'!D:D,)</f>
        <v/>
      </c>
      <c r="Q12" s="48" t="str">
        <f t="array" ref="Q12">_xlfn.XLOOKUP(B12,'Up Stats'!A:A,'Up Stats'!E:E,)</f>
        <v/>
      </c>
      <c r="R12" s="40" t="str">
        <f>IFERROR(__xludf.DUMMYFUNCTION("if(AND(S12=FALSE,T12=FALSE),,if(S12=T12,JOIN("""",""Static: "",S12),JOIN("""",""Min:  "",S12, CHAR(10),""Max: "",T12)))"),"")</f>
        <v/>
      </c>
      <c r="S12" s="42" t="str">
        <f t="array" ref="S12">_xlfn.XLOOKUP(B12,'Up Min'!A:A,'Up Min'!E:E,)</f>
        <v/>
      </c>
      <c r="T12" s="42" t="str">
        <f t="array" ref="T12">_xlfn.XLOOKUP(B12,'Up Max'!A:A,'Up Max'!E:E,)</f>
        <v/>
      </c>
      <c r="U12" s="48" t="str">
        <f t="array" ref="U12">_xlfn.XLOOKUP(B12,'Up Stats'!A:A,'Up Stats'!F:F,)</f>
        <v/>
      </c>
      <c r="V12" s="40" t="str">
        <f>IFERROR(__xludf.DUMMYFUNCTION("if(AND(W12=FALSE,X12=FALSE),,if(W12=X12,JOIN("""",""Static: "",W12),JOIN("""",""Min:  "",W12, CHAR(10),""Max: "",X12)))"),"")</f>
        <v/>
      </c>
      <c r="W12" s="42" t="str">
        <f t="array" ref="W12">_xlfn.XLOOKUP(B12,'Up Min'!A:A,'Up Min'!F:F,)</f>
        <v/>
      </c>
      <c r="X12" s="42" t="str">
        <f t="array" ref="X12">_xlfn.XLOOKUP(B12,'Up Max'!A:A,'Up Max'!F:F,)</f>
        <v/>
      </c>
      <c r="Y12" s="48" t="str">
        <f t="array" ref="Y12">_xlfn.XLOOKUP(B12,'Up Stats'!A:A,'Up Stats'!G:G,)</f>
        <v/>
      </c>
      <c r="Z12" s="40" t="str">
        <f>IFERROR(__xludf.DUMMYFUNCTION("if(AND(AA12=FALSE,AB12=FALSE),,if(AA12=AB12,JOIN("""",""Static: "",AA12),JOIN("""",""Min:  "",AA12, CHAR(10),""Max: "",AB12)))"),"")</f>
        <v/>
      </c>
      <c r="AA12" s="42" t="str">
        <f t="array" ref="AA12">_xlfn.XLOOKUP(B12,'Up Min'!A:A,'Up Min'!G:G,)</f>
        <v/>
      </c>
      <c r="AB12" s="42" t="str">
        <f t="array" ref="AB12">_xlfn.XLOOKUP(B12,'Up Max'!A:A,'Up Max'!G:G,)</f>
        <v/>
      </c>
      <c r="AC12" s="48" t="str">
        <f t="array" ref="AC12">_xlfn.XLOOKUP(B12,'Up Stats'!A:A,'Up Stats'!H:H,)</f>
        <v/>
      </c>
      <c r="AD12" s="40" t="str">
        <f>IFERROR(__xludf.DUMMYFUNCTION("if(AND(AE12=FALSE,AF12=FALSE),,if(AE12=AF12,JOIN("""",""Static: "",AE12),JOIN("""",""Min:  "",AE12, CHAR(10),""Max: "",AF12)))"),"")</f>
        <v/>
      </c>
      <c r="AE12" s="42" t="str">
        <f t="array" ref="AE12">_xlfn.XLOOKUP(B12,'Up Min'!A:A,'Up Min'!H:H,)</f>
        <v/>
      </c>
      <c r="AF12" s="42" t="str">
        <f t="array" ref="AF12">_xlfn.XLOOKUP(B12,'Up Max'!A:A,'Up Max'!H:H,)</f>
        <v/>
      </c>
      <c r="AG12" s="48" t="str">
        <f t="array" ref="AG12">_xlfn.XLOOKUP(B12,'Up Stats'!A:A,'Up Stats'!I:I,)</f>
        <v/>
      </c>
      <c r="AH12" s="40" t="str">
        <f>IFERROR(__xludf.DUMMYFUNCTION("if(AND(AI12=FALSE,AJ12=FALSE),,if(AI12=AJ12,JOIN("""",""Static: "",AI12),JOIN("""",""Min:  "",AI12, CHAR(10),""Max: "",AJ12)))"),"")</f>
        <v/>
      </c>
      <c r="AI12" s="42" t="str">
        <f t="array" ref="AI12">_xlfn.XLOOKUP(B12,'Up Min'!A:A,'Up Min'!I:I,)</f>
        <v/>
      </c>
      <c r="AJ12" s="42" t="str">
        <f t="array" ref="AJ12">_xlfn.XLOOKUP(B12,'Up Max'!A:A,'Up Max'!I:I,)</f>
        <v/>
      </c>
      <c r="AK12" s="48" t="str">
        <f t="array" ref="AK12">_xlfn.XLOOKUP(B12,'Up Stats'!A:A,'Up Stats'!J:J,)</f>
        <v/>
      </c>
      <c r="AL12" s="40" t="str">
        <f>IFERROR(__xludf.DUMMYFUNCTION("if(AND(AM12=FALSE,AN12=FALSE),,if(AM12=AN12,JOIN("""",""Static: "",AM12),JOIN("""",""Min:  "",AM12, CHAR(10),""Max: "",AN12)))"),"")</f>
        <v/>
      </c>
      <c r="AM12" s="42" t="str">
        <f t="array" ref="AM12">_xlfn.XLOOKUP(B12,'Up Min'!A:A,'Up Min'!J:J,)</f>
        <v/>
      </c>
      <c r="AN12" s="42" t="str">
        <f t="array" ref="AN12">_xlfn.XLOOKUP(B12,'Up Max'!A:A,'Up Max'!J:J,)</f>
        <v/>
      </c>
      <c r="AO12" s="34" t="str">
        <f t="array" ref="AO12">CONCATENATE(_xlfn.XLOOKUP(B12,'Up Cells'!A:A,'Up Cells'!B:B,))</f>
        <v>5</v>
      </c>
      <c r="AP12" s="34" t="str">
        <f t="array" ref="AP12">CONCATENATE(_xlfn.XLOOKUP(B12,'Up Rarity'!A:A,'Up Rarity'!B:B,),CHAR(10),"-")</f>
        <v>Epic
-</v>
      </c>
    </row>
    <row r="13">
      <c r="A13" s="75" t="str">
        <f t="array" ref="A13">_xlfn.XLOOKUP(B13,'Up Icon'!A:A,'Up Icon'!B:B,)</f>
        <v/>
      </c>
      <c r="B13" s="88" t="str">
        <f t="array" ref="B13">HYPERLINK(_xlfn.XLOOKUP('Up Names'!G10,'Up Wiki'!A:A,'Up Wiki'!B:B,),'Up Names'!G10)</f>
        <v>Firmly Planted</v>
      </c>
      <c r="C13" s="70" t="str">
        <f t="array" ref="C13">_xlfn.XLOOKUP(B13,'Up Desc'!A:A,'Up Desc'!B:B,)</f>
        <v>You move much slower while shooting, but barrels spin up to a higher fire rate. Magazine size, bullet size, and explosion size are increased.</v>
      </c>
      <c r="D13" s="52" t="str">
        <f t="array" ref="D13">_xlfn.XLOOKUP(B13,'Up Turbo'!A:A,'Up Turbo'!B:B,)</f>
        <v>n/a</v>
      </c>
      <c r="E13" s="53" t="str">
        <f t="array" ref="E13">_xlfn.XLOOKUP(B13,'Up Stats'!A:A,'Up Stats'!B:B,)</f>
        <v>Max Fire Rate</v>
      </c>
      <c r="F13" s="54" t="str">
        <f>IFERROR(__xludf.DUMMYFUNCTION("if(AND(G13=FALSE,H13=FALSE),,if(G13=H13,JOIN("""",""Static: "",G13),JOIN("""",""Min:  "",G13, CHAR(10),""Max: "",H13)))"),"Min:  11.11%
Max: 6.38%")</f>
        <v>Min:  11.11%
Max: 6.38%</v>
      </c>
      <c r="G13" s="71">
        <f t="array" ref="G13">_xlfn.XLOOKUP(B13,'Up Min'!A:A,'Up Min'!B:B,)</f>
        <v>0.1111</v>
      </c>
      <c r="H13" s="71">
        <f t="array" ref="H13">_xlfn.XLOOKUP(B13,'Up Max'!A:A,'Up Max'!B:B,)</f>
        <v>0.0638</v>
      </c>
      <c r="I13" s="53" t="str">
        <f t="array" ref="I13">_xlfn.XLOOKUP(B13,'Up Stats'!A:A,'Up Stats'!C:C,)</f>
        <v>Spin Up Speed</v>
      </c>
      <c r="J13" s="54" t="str">
        <f>IFERROR(__xludf.DUMMYFUNCTION("if(AND(K13=FALSE,L13=FALSE),,if(K13=L13,JOIN("""",""Static: "",K13),JOIN("""",""Min:  "",K13, CHAR(10),""Max: "",L13)))"),"Min:  -10%
Max: 10%")</f>
        <v>Min:  -10%
Max: 10%</v>
      </c>
      <c r="K13" s="59">
        <f t="array" ref="K13">_xlfn.XLOOKUP(B13,'Up Min'!A:A,'Up Min'!C:C,)</f>
        <v>-0.1</v>
      </c>
      <c r="L13" s="59">
        <f t="array" ref="L13">_xlfn.XLOOKUP(B13,'Up Max'!A:A,'Up Max'!C:C,)</f>
        <v>0.1</v>
      </c>
      <c r="M13" s="53" t="str">
        <f t="array" ref="M13">_xlfn.XLOOKUP(B13,'Up Stats'!A:A,'Up Stats'!D:D,)</f>
        <v>Magazine Size</v>
      </c>
      <c r="N13" s="54" t="str">
        <f>IFERROR(__xludf.DUMMYFUNCTION("if(AND(O13=FALSE,P13=FALSE),,if(O13=P13,JOIN("""",""Static: "",O13),JOIN("""",""Min:  "",O13, CHAR(10),""Max: "",P13)))"),"Min:  50
Max: 68")</f>
        <v>Min:  50
Max: 68</v>
      </c>
      <c r="O13" s="65">
        <f t="array" ref="O13">_xlfn.XLOOKUP(B13,'Up Min'!A:A,'Up Min'!D:D,)</f>
        <v>50</v>
      </c>
      <c r="P13" s="65">
        <f t="array" ref="P13">_xlfn.XLOOKUP(B13,'Up Max'!A:A,'Up Max'!D:D,)</f>
        <v>68</v>
      </c>
      <c r="Q13" s="57" t="str">
        <f t="array" ref="Q13">_xlfn.XLOOKUP(B13,'Up Stats'!A:A,'Up Stats'!E:E,)</f>
        <v>Bullet Size</v>
      </c>
      <c r="R13" s="54" t="str">
        <f>IFERROR(__xludf.DUMMYFUNCTION("if(AND(S13=FALSE,T13=FALSE),,if(S13=T13,JOIN("""",""Static: "",S13),JOIN("""",""Min:  "",S13, CHAR(10),""Max: "",T13)))"),"Min:  20%
Max: 60%")</f>
        <v>Min:  20%
Max: 60%</v>
      </c>
      <c r="S13" s="59">
        <f t="array" ref="S13">_xlfn.XLOOKUP(B13,'Up Min'!A:A,'Up Min'!E:E,)</f>
        <v>0.2</v>
      </c>
      <c r="T13" s="59">
        <f t="array" ref="T13">_xlfn.XLOOKUP(B13,'Up Max'!A:A,'Up Max'!E:E,)</f>
        <v>0.6</v>
      </c>
      <c r="U13" s="53" t="str">
        <f t="array" ref="U13">_xlfn.XLOOKUP(B13,'Up Stats'!A:A,'Up Stats'!F:F,)</f>
        <v>Explosion Size</v>
      </c>
      <c r="V13" s="54" t="str">
        <f>IFERROR(__xludf.DUMMYFUNCTION("if(AND(W13=FALSE,X13=FALSE),,if(W13=X13,JOIN("""",""Static: "",W13),JOIN("""",""Min:  "",W13, CHAR(10),""Max: "",X13)))"),"Min:  40%
Max: 120%")</f>
        <v>Min:  40%
Max: 120%</v>
      </c>
      <c r="W13" s="59">
        <f t="array" ref="W13">_xlfn.XLOOKUP(B13,'Up Min'!A:A,'Up Min'!F:F,)</f>
        <v>0.4</v>
      </c>
      <c r="X13" s="59">
        <f t="array" ref="X13">_xlfn.XLOOKUP(B13,'Up Max'!A:A,'Up Max'!F:F,)</f>
        <v>1.2</v>
      </c>
      <c r="Y13" s="53" t="str">
        <f t="array" ref="Y13">_xlfn.XLOOKUP(B13,'Up Stats'!A:A,'Up Stats'!G:G,)</f>
        <v>Speed</v>
      </c>
      <c r="Z13" s="54" t="str">
        <f>IFERROR(__xludf.DUMMYFUNCTION("if(AND(AA13=FALSE,AB13=FALSE),,if(AA13=AB13,JOIN("""",""Static: "",AA13),JOIN("""",""Min:  "",AA13, CHAR(10),""Max: "",AB13)))"),"Min:  -45%
Max: -36%")</f>
        <v>Min:  -45%
Max: -36%</v>
      </c>
      <c r="AA13" s="72">
        <f t="array" ref="AA13">_xlfn.XLOOKUP(B13,'Up Min'!A:A,'Up Min'!G:G,)</f>
        <v>-0.45</v>
      </c>
      <c r="AB13" s="72">
        <f t="array" ref="AB13">_xlfn.XLOOKUP(B13,'Up Max'!A:A,'Up Max'!G:G,)</f>
        <v>-0.36</v>
      </c>
      <c r="AC13" s="53" t="str">
        <f t="array" ref="AC13">_xlfn.XLOOKUP(B13,'Up Stats'!A:A,'Up Stats'!H:H,)</f>
        <v/>
      </c>
      <c r="AD13" s="54" t="str">
        <f>IFERROR(__xludf.DUMMYFUNCTION("if(AND(AE13=FALSE,AF13=FALSE),,if(AE13=AF13,JOIN("""",""Static: "",AE13),JOIN("""",""Min:  "",AE13, CHAR(10),""Max: "",AF13)))"),"")</f>
        <v/>
      </c>
      <c r="AE13" s="56" t="str">
        <f t="array" ref="AE13">_xlfn.XLOOKUP(B13,'Up Min'!A:A,'Up Min'!H:H,)</f>
        <v/>
      </c>
      <c r="AF13" s="56" t="str">
        <f t="array" ref="AF13">_xlfn.XLOOKUP(B13,'Up Max'!A:A,'Up Max'!H:H,)</f>
        <v/>
      </c>
      <c r="AG13" s="53" t="str">
        <f t="array" ref="AG13">_xlfn.XLOOKUP(B13,'Up Stats'!A:A,'Up Stats'!I:I,)</f>
        <v/>
      </c>
      <c r="AH13" s="54" t="str">
        <f>IFERROR(__xludf.DUMMYFUNCTION("if(AND(AI13=FALSE,AJ13=FALSE),,if(AI13=AJ13,JOIN("""",""Static: "",AI13),JOIN("""",""Min:  "",AI13, CHAR(10),""Max: "",AJ13)))"),"")</f>
        <v/>
      </c>
      <c r="AI13" s="56" t="str">
        <f t="array" ref="AI13">_xlfn.XLOOKUP(B13,'Up Min'!A:A,'Up Min'!I:I,)</f>
        <v/>
      </c>
      <c r="AJ13" s="56" t="str">
        <f t="array" ref="AJ13">_xlfn.XLOOKUP(B13,'Up Max'!A:A,'Up Max'!I:I,)</f>
        <v/>
      </c>
      <c r="AK13" s="53" t="str">
        <f t="array" ref="AK13">_xlfn.XLOOKUP(B13,'Up Stats'!A:A,'Up Stats'!J:J,)</f>
        <v/>
      </c>
      <c r="AL13" s="54" t="str">
        <f>IFERROR(__xludf.DUMMYFUNCTION("if(AND(AM13=FALSE,AN13=FALSE),,if(AM13=AN13,JOIN("""",""Static: "",AM13),JOIN("""",""Min:  "",AM13, CHAR(10),""Max: "",AN13)))"),"")</f>
        <v/>
      </c>
      <c r="AM13" s="56" t="str">
        <f t="array" ref="AM13">_xlfn.XLOOKUP(B13,'Up Min'!A:A,'Up Min'!J:J,)</f>
        <v/>
      </c>
      <c r="AN13" s="56" t="str">
        <f t="array" ref="AN13">_xlfn.XLOOKUP(B13,'Up Max'!A:A,'Up Max'!J:J,)</f>
        <v/>
      </c>
      <c r="AO13" s="51" t="str">
        <f t="array" ref="AO13">CONCATENATE(_xlfn.XLOOKUP(B13,'Up Cells'!A:A,'Up Cells'!B:B,))</f>
        <v>6</v>
      </c>
      <c r="AP13" s="51" t="str">
        <f t="array" ref="AP13">CONCATENATE(_xlfn.XLOOKUP(B13,'Up Rarity'!A:A,'Up Rarity'!B:B,),CHAR(10),"-")</f>
        <v>Epic
-</v>
      </c>
    </row>
    <row r="14">
      <c r="A14" s="75" t="str">
        <f t="array" ref="A14">_xlfn.XLOOKUP(B14,'Up Icon'!A:A,'Up Icon'!B:B,)</f>
        <v/>
      </c>
      <c r="B14" s="89" t="str">
        <f t="array" ref="B14">HYPERLINK(_xlfn.XLOOKUP('Up Names'!G11,'Up Wiki'!A:A,'Up Wiki'!B:B,),'Up Names'!G11)</f>
        <v>Frantic Fingers</v>
      </c>
      <c r="C14" s="67" t="str">
        <f t="array" ref="C14">_xlfn.XLOOKUP(B14,'Up Desc'!A:A,'Up Desc'!B:B,)</f>
        <v>Reload is disabled. Mash RELOAD to load ammo into the magazine.</v>
      </c>
      <c r="D14" s="37" t="str">
        <f t="array" ref="D14">_xlfn.XLOOKUP(B14,'Up Turbo'!A:A,'Up Turbo'!B:B,)</f>
        <v>n/a</v>
      </c>
      <c r="E14" s="39" t="str">
        <f t="array" ref="E14">_xlfn.XLOOKUP(B14,'Up Stats'!A:A,'Up Stats'!B:B,)</f>
        <v>Ammo per Stack</v>
      </c>
      <c r="F14" s="40" t="str">
        <f>IFERROR(__xludf.DUMMYFUNCTION("if(AND(G14=FALSE,H14=FALSE),,if(G14=H14,JOIN("""",""Static: "",G14),JOIN("""",""Min:  "",G14, CHAR(10),""Max: "",H14)))"),"Min:  3
Max: 4")</f>
        <v>Min:  3
Max: 4</v>
      </c>
      <c r="G14" s="69">
        <f t="array" ref="G14">_xlfn.XLOOKUP(B14,'Up Min'!A:A,'Up Min'!B:B,)</f>
        <v>3</v>
      </c>
      <c r="H14" s="68">
        <f t="array" ref="H14">_xlfn.XLOOKUP(B14,'Up Max'!A:A,'Up Max'!B:B,)</f>
        <v>4</v>
      </c>
      <c r="I14" s="39" t="str">
        <f t="array" ref="I14">_xlfn.XLOOKUP(B14,'Up Stats'!A:A,'Up Stats'!C:C,)</f>
        <v/>
      </c>
      <c r="J14" s="40" t="str">
        <f>IFERROR(__xludf.DUMMYFUNCTION("if(AND(K14=FALSE,L14=FALSE),,if(K14=L14,JOIN("""",""Static: "",K14),JOIN("""",""Min:  "",K14, CHAR(10),""Max: "",L14)))"),"")</f>
        <v/>
      </c>
      <c r="K14" s="42" t="str">
        <f t="array" ref="K14">_xlfn.XLOOKUP(B14,'Up Min'!A:A,'Up Min'!C:C,)</f>
        <v/>
      </c>
      <c r="L14" s="42" t="str">
        <f t="array" ref="L14">_xlfn.XLOOKUP(B14,'Up Max'!A:A,'Up Max'!C:C,)</f>
        <v/>
      </c>
      <c r="M14" s="48" t="str">
        <f t="array" ref="M14">_xlfn.XLOOKUP(B14,'Up Stats'!A:A,'Up Stats'!D:D,)</f>
        <v/>
      </c>
      <c r="N14" s="40" t="str">
        <f>IFERROR(__xludf.DUMMYFUNCTION("if(AND(O14=FALSE,P14=FALSE),,if(O14=P14,JOIN("""",""Static: "",O14),JOIN("""",""Min:  "",O14, CHAR(10),""Max: "",P14)))"),"")</f>
        <v/>
      </c>
      <c r="O14" s="42" t="str">
        <f t="array" ref="O14">_xlfn.XLOOKUP(B14,'Up Min'!A:A,'Up Min'!D:D,)</f>
        <v/>
      </c>
      <c r="P14" s="42" t="str">
        <f t="array" ref="P14">_xlfn.XLOOKUP(B14,'Up Max'!A:A,'Up Max'!D:D,)</f>
        <v/>
      </c>
      <c r="Q14" s="48" t="str">
        <f t="array" ref="Q14">_xlfn.XLOOKUP(B14,'Up Stats'!A:A,'Up Stats'!E:E,)</f>
        <v/>
      </c>
      <c r="R14" s="40" t="str">
        <f>IFERROR(__xludf.DUMMYFUNCTION("if(AND(S14=FALSE,T14=FALSE),,if(S14=T14,JOIN("""",""Static: "",S14),JOIN("""",""Min:  "",S14, CHAR(10),""Max: "",T14)))"),"")</f>
        <v/>
      </c>
      <c r="S14" s="42" t="str">
        <f t="array" ref="S14">_xlfn.XLOOKUP(B14,'Up Min'!A:A,'Up Min'!E:E,)</f>
        <v/>
      </c>
      <c r="T14" s="42" t="str">
        <f t="array" ref="T14">_xlfn.XLOOKUP(B14,'Up Max'!A:A,'Up Max'!E:E,)</f>
        <v/>
      </c>
      <c r="U14" s="48" t="str">
        <f t="array" ref="U14">_xlfn.XLOOKUP(B14,'Up Stats'!A:A,'Up Stats'!F:F,)</f>
        <v/>
      </c>
      <c r="V14" s="40" t="str">
        <f>IFERROR(__xludf.DUMMYFUNCTION("if(AND(W14=FALSE,X14=FALSE),,if(W14=X14,JOIN("""",""Static: "",W14),JOIN("""",""Min:  "",W14, CHAR(10),""Max: "",X14)))"),"")</f>
        <v/>
      </c>
      <c r="W14" s="42" t="str">
        <f t="array" ref="W14">_xlfn.XLOOKUP(B14,'Up Min'!A:A,'Up Min'!F:F,)</f>
        <v/>
      </c>
      <c r="X14" s="42" t="str">
        <f t="array" ref="X14">_xlfn.XLOOKUP(B14,'Up Max'!A:A,'Up Max'!F:F,)</f>
        <v/>
      </c>
      <c r="Y14" s="48" t="str">
        <f t="array" ref="Y14">_xlfn.XLOOKUP(B14,'Up Stats'!A:A,'Up Stats'!G:G,)</f>
        <v/>
      </c>
      <c r="Z14" s="40" t="str">
        <f>IFERROR(__xludf.DUMMYFUNCTION("if(AND(AA14=FALSE,AB14=FALSE),,if(AA14=AB14,JOIN("""",""Static: "",AA14),JOIN("""",""Min:  "",AA14, CHAR(10),""Max: "",AB14)))"),"")</f>
        <v/>
      </c>
      <c r="AA14" s="42" t="str">
        <f t="array" ref="AA14">_xlfn.XLOOKUP(B14,'Up Min'!A:A,'Up Min'!G:G,)</f>
        <v/>
      </c>
      <c r="AB14" s="42" t="str">
        <f t="array" ref="AB14">_xlfn.XLOOKUP(B14,'Up Max'!A:A,'Up Max'!G:G,)</f>
        <v/>
      </c>
      <c r="AC14" s="48" t="str">
        <f t="array" ref="AC14">_xlfn.XLOOKUP(B14,'Up Stats'!A:A,'Up Stats'!H:H,)</f>
        <v/>
      </c>
      <c r="AD14" s="40" t="str">
        <f>IFERROR(__xludf.DUMMYFUNCTION("if(AND(AE14=FALSE,AF14=FALSE),,if(AE14=AF14,JOIN("""",""Static: "",AE14),JOIN("""",""Min:  "",AE14, CHAR(10),""Max: "",AF14)))"),"")</f>
        <v/>
      </c>
      <c r="AE14" s="42" t="str">
        <f t="array" ref="AE14">_xlfn.XLOOKUP(B14,'Up Min'!A:A,'Up Min'!H:H,)</f>
        <v/>
      </c>
      <c r="AF14" s="42" t="str">
        <f t="array" ref="AF14">_xlfn.XLOOKUP(B14,'Up Max'!A:A,'Up Max'!H:H,)</f>
        <v/>
      </c>
      <c r="AG14" s="48" t="str">
        <f t="array" ref="AG14">_xlfn.XLOOKUP(B14,'Up Stats'!A:A,'Up Stats'!I:I,)</f>
        <v/>
      </c>
      <c r="AH14" s="40" t="str">
        <f>IFERROR(__xludf.DUMMYFUNCTION("if(AND(AI14=FALSE,AJ14=FALSE),,if(AI14=AJ14,JOIN("""",""Static: "",AI14),JOIN("""",""Min:  "",AI14, CHAR(10),""Max: "",AJ14)))"),"")</f>
        <v/>
      </c>
      <c r="AI14" s="42" t="str">
        <f t="array" ref="AI14">_xlfn.XLOOKUP(B14,'Up Min'!A:A,'Up Min'!I:I,)</f>
        <v/>
      </c>
      <c r="AJ14" s="42" t="str">
        <f t="array" ref="AJ14">_xlfn.XLOOKUP(B14,'Up Max'!A:A,'Up Max'!I:I,)</f>
        <v/>
      </c>
      <c r="AK14" s="48" t="str">
        <f t="array" ref="AK14">_xlfn.XLOOKUP(B14,'Up Stats'!A:A,'Up Stats'!J:J,)</f>
        <v/>
      </c>
      <c r="AL14" s="40" t="str">
        <f>IFERROR(__xludf.DUMMYFUNCTION("if(AND(AM14=FALSE,AN14=FALSE),,if(AM14=AN14,JOIN("""",""Static: "",AM14),JOIN("""",""Min:  "",AM14, CHAR(10),""Max: "",AN14)))"),"")</f>
        <v/>
      </c>
      <c r="AM14" s="42" t="str">
        <f t="array" ref="AM14">_xlfn.XLOOKUP(B14,'Up Min'!A:A,'Up Min'!J:J,)</f>
        <v/>
      </c>
      <c r="AN14" s="42" t="str">
        <f t="array" ref="AN14">_xlfn.XLOOKUP(B14,'Up Max'!A:A,'Up Max'!J:J,)</f>
        <v/>
      </c>
      <c r="AO14" s="34" t="str">
        <f t="array" ref="AO14">CONCATENATE(_xlfn.XLOOKUP(B14,'Up Cells'!A:A,'Up Cells'!B:B,))</f>
        <v>4</v>
      </c>
      <c r="AP14" s="34" t="str">
        <f t="array" ref="AP14">CONCATENATE(_xlfn.XLOOKUP(B14,'Up Rarity'!A:A,'Up Rarity'!B:B,),CHAR(10),"-")</f>
        <v>Epic
-</v>
      </c>
    </row>
    <row r="15">
      <c r="A15" s="75" t="str">
        <f t="array" ref="A15">_xlfn.XLOOKUP(B15,'Up Icon'!A:A,'Up Icon'!B:B,)</f>
        <v/>
      </c>
      <c r="B15" s="88" t="str">
        <f t="array" ref="B15">HYPERLINK(_xlfn.XLOOKUP('Up Names'!G12,'Up Wiki'!A:A,'Up Wiki'!B:B,),'Up Names'!G12)</f>
        <v>Gunship</v>
      </c>
      <c r="C15" s="70" t="str">
        <f t="array" ref="C15">_xlfn.XLOOKUP(B15,'Up Desc'!A:A,'Up Desc'!B:B,)</f>
        <v>Bullets deal more damage while airborne, but less damage when touching the ground.</v>
      </c>
      <c r="D15" s="52" t="str">
        <f t="array" ref="D15">_xlfn.XLOOKUP(B15,'Up Turbo'!A:A,'Up Turbo'!B:B,)</f>
        <v>n/a</v>
      </c>
      <c r="E15" s="53" t="str">
        <f t="array" ref="E15">_xlfn.XLOOKUP(B15,'Up Stats'!A:A,'Up Stats'!B:B,)</f>
        <v>Airborne Damage</v>
      </c>
      <c r="F15" s="54" t="str">
        <f>IFERROR(__xludf.DUMMYFUNCTION("if(AND(G15=FALSE,H15=FALSE),,if(G15=H15,JOIN("""",""Static: "",G15),JOIN("""",""Min:  "",G15, CHAR(10),""Max: "",H15)))"),"Min:  40%
Max: 60%")</f>
        <v>Min:  40%
Max: 60%</v>
      </c>
      <c r="G15" s="59">
        <f t="array" ref="G15">_xlfn.XLOOKUP(B15,'Up Min'!A:A,'Up Min'!B:B,)</f>
        <v>0.4</v>
      </c>
      <c r="H15" s="59">
        <f t="array" ref="H15">_xlfn.XLOOKUP(B15,'Up Max'!A:A,'Up Max'!B:B,)</f>
        <v>0.6</v>
      </c>
      <c r="I15" s="53" t="str">
        <f t="array" ref="I15">_xlfn.XLOOKUP(B15,'Up Stats'!A:A,'Up Stats'!C:C,)</f>
        <v>Grounded Damage</v>
      </c>
      <c r="J15" s="54" t="str">
        <f>IFERROR(__xludf.DUMMYFUNCTION("if(AND(K15=FALSE,L15=FALSE),,if(K15=L15,JOIN("""",""Static: "",K15),JOIN("""",""Min:  "",K15, CHAR(10),""Max: "",L15)))"),"Min:  -70%
Max: -50%")</f>
        <v>Min:  -70%
Max: -50%</v>
      </c>
      <c r="K15" s="59">
        <f t="array" ref="K15">_xlfn.XLOOKUP(B15,'Up Min'!A:A,'Up Min'!C:C,)</f>
        <v>-0.7</v>
      </c>
      <c r="L15" s="59">
        <f t="array" ref="L15">_xlfn.XLOOKUP(B15,'Up Max'!A:A,'Up Max'!C:C,)</f>
        <v>-0.5</v>
      </c>
      <c r="M15" s="53" t="str">
        <f t="array" ref="M15">_xlfn.XLOOKUP(B15,'Up Stats'!A:A,'Up Stats'!D:D,)</f>
        <v/>
      </c>
      <c r="N15" s="54" t="str">
        <f>IFERROR(__xludf.DUMMYFUNCTION("if(AND(O15=FALSE,P15=FALSE),,if(O15=P15,JOIN("""",""Static: "",O15),JOIN("""",""Min:  "",O15, CHAR(10),""Max: "",P15)))"),"")</f>
        <v/>
      </c>
      <c r="O15" s="55" t="str">
        <f t="array" ref="O15">_xlfn.XLOOKUP(B15,'Up Min'!A:A,'Up Min'!D:D,)</f>
        <v/>
      </c>
      <c r="P15" s="55" t="str">
        <f t="array" ref="P15">_xlfn.XLOOKUP(B15,'Up Max'!A:A,'Up Max'!D:D,)</f>
        <v/>
      </c>
      <c r="Q15" s="57" t="str">
        <f t="array" ref="Q15">_xlfn.XLOOKUP(B15,'Up Stats'!A:A,'Up Stats'!E:E,)</f>
        <v/>
      </c>
      <c r="R15" s="54" t="str">
        <f>IFERROR(__xludf.DUMMYFUNCTION("if(AND(S15=FALSE,T15=FALSE),,if(S15=T15,JOIN("""",""Static: "",S15),JOIN("""",""Min:  "",S15, CHAR(10),""Max: "",T15)))"),"")</f>
        <v/>
      </c>
      <c r="S15" s="55" t="str">
        <f t="array" ref="S15">_xlfn.XLOOKUP(B15,'Up Min'!A:A,'Up Min'!E:E,)</f>
        <v/>
      </c>
      <c r="T15" s="55" t="str">
        <f t="array" ref="T15">_xlfn.XLOOKUP(B15,'Up Max'!A:A,'Up Max'!E:E,)</f>
        <v/>
      </c>
      <c r="U15" s="57" t="str">
        <f t="array" ref="U15">_xlfn.XLOOKUP(B15,'Up Stats'!A:A,'Up Stats'!F:F,)</f>
        <v/>
      </c>
      <c r="V15" s="54" t="str">
        <f>IFERROR(__xludf.DUMMYFUNCTION("if(AND(W15=FALSE,X15=FALSE),,if(W15=X15,JOIN("""",""Static: "",W15),JOIN("""",""Min:  "",W15, CHAR(10),""Max: "",X15)))"),"")</f>
        <v/>
      </c>
      <c r="W15" s="55" t="str">
        <f t="array" ref="W15">_xlfn.XLOOKUP(B15,'Up Min'!A:A,'Up Min'!F:F,)</f>
        <v/>
      </c>
      <c r="X15" s="55" t="str">
        <f t="array" ref="X15">_xlfn.XLOOKUP(B15,'Up Max'!A:A,'Up Max'!F:F,)</f>
        <v/>
      </c>
      <c r="Y15" s="57" t="str">
        <f t="array" ref="Y15">_xlfn.XLOOKUP(B15,'Up Stats'!A:A,'Up Stats'!G:G,)</f>
        <v/>
      </c>
      <c r="Z15" s="54" t="str">
        <f>IFERROR(__xludf.DUMMYFUNCTION("if(AND(AA15=FALSE,AB15=FALSE),,if(AA15=AB15,JOIN("""",""Static: "",AA15),JOIN("""",""Min:  "",AA15, CHAR(10),""Max: "",AB15)))"),"")</f>
        <v/>
      </c>
      <c r="AA15" s="55" t="str">
        <f t="array" ref="AA15">_xlfn.XLOOKUP(B15,'Up Min'!A:A,'Up Min'!G:G,)</f>
        <v/>
      </c>
      <c r="AB15" s="55" t="str">
        <f t="array" ref="AB15">_xlfn.XLOOKUP(B15,'Up Max'!A:A,'Up Max'!G:G,)</f>
        <v/>
      </c>
      <c r="AC15" s="57" t="str">
        <f t="array" ref="AC15">_xlfn.XLOOKUP(B15,'Up Stats'!A:A,'Up Stats'!H:H,)</f>
        <v/>
      </c>
      <c r="AD15" s="54" t="str">
        <f>IFERROR(__xludf.DUMMYFUNCTION("if(AND(AE15=FALSE,AF15=FALSE),,if(AE15=AF15,JOIN("""",""Static: "",AE15),JOIN("""",""Min:  "",AE15, CHAR(10),""Max: "",AF15)))"),"")</f>
        <v/>
      </c>
      <c r="AE15" s="55" t="str">
        <f t="array" ref="AE15">_xlfn.XLOOKUP(B15,'Up Min'!A:A,'Up Min'!H:H,)</f>
        <v/>
      </c>
      <c r="AF15" s="55" t="str">
        <f t="array" ref="AF15">_xlfn.XLOOKUP(B15,'Up Max'!A:A,'Up Max'!H:H,)</f>
        <v/>
      </c>
      <c r="AG15" s="57" t="str">
        <f t="array" ref="AG15">_xlfn.XLOOKUP(B15,'Up Stats'!A:A,'Up Stats'!I:I,)</f>
        <v/>
      </c>
      <c r="AH15" s="54" t="str">
        <f>IFERROR(__xludf.DUMMYFUNCTION("if(AND(AI15=FALSE,AJ15=FALSE),,if(AI15=AJ15,JOIN("""",""Static: "",AI15),JOIN("""",""Min:  "",AI15, CHAR(10),""Max: "",AJ15)))"),"")</f>
        <v/>
      </c>
      <c r="AI15" s="55" t="str">
        <f t="array" ref="AI15">_xlfn.XLOOKUP(B15,'Up Min'!A:A,'Up Min'!I:I,)</f>
        <v/>
      </c>
      <c r="AJ15" s="55" t="str">
        <f t="array" ref="AJ15">_xlfn.XLOOKUP(B15,'Up Max'!A:A,'Up Max'!I:I,)</f>
        <v/>
      </c>
      <c r="AK15" s="57" t="str">
        <f t="array" ref="AK15">_xlfn.XLOOKUP(B15,'Up Stats'!A:A,'Up Stats'!J:J,)</f>
        <v/>
      </c>
      <c r="AL15" s="54" t="str">
        <f>IFERROR(__xludf.DUMMYFUNCTION("if(AND(AM15=FALSE,AN15=FALSE),,if(AM15=AN15,JOIN("""",""Static: "",AM15),JOIN("""",""Min:  "",AM15, CHAR(10),""Max: "",AN15)))"),"")</f>
        <v/>
      </c>
      <c r="AM15" s="55" t="str">
        <f t="array" ref="AM15">_xlfn.XLOOKUP(B15,'Up Min'!A:A,'Up Min'!J:J,)</f>
        <v/>
      </c>
      <c r="AN15" s="55" t="str">
        <f t="array" ref="AN15">_xlfn.XLOOKUP(B15,'Up Max'!A:A,'Up Max'!J:J,)</f>
        <v/>
      </c>
      <c r="AO15" s="51" t="str">
        <f t="array" ref="AO15">CONCATENATE(_xlfn.XLOOKUP(B15,'Up Cells'!A:A,'Up Cells'!B:B,))</f>
        <v>5</v>
      </c>
      <c r="AP15" s="51" t="str">
        <f t="array" ref="AP15">CONCATENATE(_xlfn.XLOOKUP(B15,'Up Rarity'!A:A,'Up Rarity'!B:B,),CHAR(10),"-")</f>
        <v>Epic
-</v>
      </c>
    </row>
    <row r="16">
      <c r="A16" s="75" t="str">
        <f t="array" ref="A16">_xlfn.XLOOKUP(B16,'Up Icon'!A:A,'Up Icon'!B:B,)</f>
        <v/>
      </c>
      <c r="B16" s="89" t="str">
        <f t="array" ref="B16">HYPERLINK(_xlfn.XLOOKUP('Up Names'!G13,'Up Wiki'!A:A,'Up Wiki'!B:B,),'Up Names'!G13)</f>
        <v>Hull Piercer</v>
      </c>
      <c r="C16" s="67" t="str">
        <f t="array" ref="C16">_xlfn.XLOOKUP(B16,'Up Desc'!A:A,'Up Desc'!B:B,)</f>
        <v>Magazine size is reduced to 1. Damage, explosion size, and bullet size are greatly increased. Fire rate and ammo capacity are reduced.</v>
      </c>
      <c r="D16" s="37" t="str">
        <f t="array" ref="D16">_xlfn.XLOOKUP(B16,'Up Turbo'!A:A,'Up Turbo'!B:B,)</f>
        <v>n/a</v>
      </c>
      <c r="E16" s="39" t="str">
        <f t="array" ref="E16">_xlfn.XLOOKUP(B16,'Up Stats'!A:A,'Up Stats'!B:B,)</f>
        <v>Magazine Size</v>
      </c>
      <c r="F16" s="40" t="str">
        <f>IFERROR(__xludf.DUMMYFUNCTION("if(AND(G16=FALSE,H16=FALSE),,if(G16=H16,JOIN("""",""Static: "",G16),JOIN("""",""Min:  "",G16, CHAR(10),""Max: "",H16)))"),"Static: 1")</f>
        <v>Static: 1</v>
      </c>
      <c r="G16" s="69">
        <f t="array" ref="G16">_xlfn.XLOOKUP(B16,'Up Min'!A:A,'Up Min'!B:B,)</f>
        <v>1</v>
      </c>
      <c r="H16" s="68">
        <f t="array" ref="H16">_xlfn.XLOOKUP(B16,'Up Max'!A:A,'Up Max'!B:B,)</f>
        <v>1</v>
      </c>
      <c r="I16" s="39" t="str">
        <f t="array" ref="I16">_xlfn.XLOOKUP(B16,'Up Stats'!A:A,'Up Stats'!C:C,)</f>
        <v>Ammo Capacity</v>
      </c>
      <c r="J16" s="40" t="str">
        <f>IFERROR(__xludf.DUMMYFUNCTION("if(AND(K16=FALSE,L16=FALSE),,if(K16=L16,JOIN("""",""Static: "",K16),JOIN("""",""Min:  "",K16, CHAR(10),""Max: "",L16)))"),"Min:  -92%
Max: -88%")</f>
        <v>Min:  -92%
Max: -88%</v>
      </c>
      <c r="K16" s="41">
        <f t="array" ref="K16">_xlfn.XLOOKUP(B16,'Up Min'!A:A,'Up Min'!C:C,)</f>
        <v>-0.92</v>
      </c>
      <c r="L16" s="41">
        <f t="array" ref="L16">_xlfn.XLOOKUP(B16,'Up Max'!A:A,'Up Max'!C:C,)</f>
        <v>-0.88</v>
      </c>
      <c r="M16" s="39" t="str">
        <f t="array" ref="M16">_xlfn.XLOOKUP(B16,'Up Stats'!A:A,'Up Stats'!D:D,)</f>
        <v>Explosion Size</v>
      </c>
      <c r="N16" s="40" t="str">
        <f>IFERROR(__xludf.DUMMYFUNCTION("if(AND(O16=FALSE,P16=FALSE),,if(O16=P16,JOIN("""",""Static: "",O16),JOIN("""",""Min:  "",O16, CHAR(10),""Max: "",P16)))"),"Min:  48%
Max: 85%")</f>
        <v>Min:  48%
Max: 85%</v>
      </c>
      <c r="O16" s="41">
        <f t="array" ref="O16">_xlfn.XLOOKUP(B16,'Up Min'!A:A,'Up Min'!D:D,)</f>
        <v>0.48</v>
      </c>
      <c r="P16" s="41">
        <f t="array" ref="P16">_xlfn.XLOOKUP(B16,'Up Max'!A:A,'Up Max'!D:D,)</f>
        <v>0.85</v>
      </c>
      <c r="Q16" s="48" t="str">
        <f t="array" ref="Q16">_xlfn.XLOOKUP(B16,'Up Stats'!A:A,'Up Stats'!E:E,)</f>
        <v>Damage</v>
      </c>
      <c r="R16" s="40" t="str">
        <f>IFERROR(__xludf.DUMMYFUNCTION("if(AND(S16=FALSE,T16=FALSE),,if(S16=T16,JOIN("""",""Static: "",S16),JOIN("""",""Min:  "",S16, CHAR(10),""Max: "",T16)))"),"Min:  280
Max: 300")</f>
        <v>Min:  280
Max: 300</v>
      </c>
      <c r="S16" s="40">
        <f t="array" ref="S16">_xlfn.XLOOKUP(B16,'Up Min'!A:A,'Up Min'!E:E,)</f>
        <v>280</v>
      </c>
      <c r="T16" s="40">
        <f t="array" ref="T16">_xlfn.XLOOKUP(B16,'Up Max'!A:A,'Up Max'!E:E,)</f>
        <v>300</v>
      </c>
      <c r="U16" s="39" t="str">
        <f t="array" ref="U16">_xlfn.XLOOKUP(B16,'Up Stats'!A:A,'Up Stats'!F:F,)</f>
        <v>Bullet Size</v>
      </c>
      <c r="V16" s="40" t="str">
        <f>IFERROR(__xludf.DUMMYFUNCTION("if(AND(W16=FALSE,X16=FALSE),,if(W16=X16,JOIN("""",""Static: "",W16),JOIN("""",""Min:  "",W16, CHAR(10),""Max: "",X16)))"),"Min:  0.9
Max: 1.1")</f>
        <v>Min:  0.9
Max: 1.1</v>
      </c>
      <c r="W16" s="68">
        <f t="array" ref="W16">_xlfn.XLOOKUP(B16,'Up Min'!A:A,'Up Min'!F:F,)</f>
        <v>0.9</v>
      </c>
      <c r="X16" s="68">
        <f t="array" ref="X16">_xlfn.XLOOKUP(B16,'Up Max'!A:A,'Up Max'!F:F,)</f>
        <v>1.1</v>
      </c>
      <c r="Y16" s="39" t="str">
        <f t="array" ref="Y16">_xlfn.XLOOKUP(B16,'Up Stats'!A:A,'Up Stats'!G:G,)</f>
        <v>Fire Rate</v>
      </c>
      <c r="Z16" s="40" t="str">
        <f>IFERROR(__xludf.DUMMYFUNCTION("if(AND(AA16=FALSE,AB16=FALSE),,if(AA16=AB16,JOIN("""",""Static: "",AA16),JOIN("""",""Min:  "",AA16, CHAR(10),""Max: "",AB16)))"),"Static: -78.72%")</f>
        <v>Static: -78.72%</v>
      </c>
      <c r="AA16" s="78">
        <f t="array" ref="AA16">_xlfn.XLOOKUP(B16,'Up Min'!A:A,'Up Min'!G:G,)</f>
        <v>-0.7872</v>
      </c>
      <c r="AB16" s="78">
        <f t="array" ref="AB16">_xlfn.XLOOKUP(B16,'Up Max'!A:A,'Up Max'!G:G,)</f>
        <v>-0.7872</v>
      </c>
      <c r="AC16" s="39" t="str">
        <f t="array" ref="AC16">_xlfn.XLOOKUP(B16,'Up Stats'!A:A,'Up Stats'!H:H,)</f>
        <v/>
      </c>
      <c r="AD16" s="40" t="str">
        <f>IFERROR(__xludf.DUMMYFUNCTION("if(AND(AE16=FALSE,AF16=FALSE),,if(AE16=AF16,JOIN("""",""Static: "",AE16),JOIN("""",""Min:  "",AE16, CHAR(10),""Max: "",AF16)))"),"")</f>
        <v/>
      </c>
      <c r="AE16" s="45" t="str">
        <f t="array" ref="AE16">_xlfn.XLOOKUP(B16,'Up Min'!A:A,'Up Min'!H:H,)</f>
        <v/>
      </c>
      <c r="AF16" s="45" t="str">
        <f t="array" ref="AF16">_xlfn.XLOOKUP(B16,'Up Max'!A:A,'Up Max'!H:H,)</f>
        <v/>
      </c>
      <c r="AG16" s="39" t="str">
        <f t="array" ref="AG16">_xlfn.XLOOKUP(B16,'Up Stats'!A:A,'Up Stats'!I:I,)</f>
        <v/>
      </c>
      <c r="AH16" s="40" t="str">
        <f>IFERROR(__xludf.DUMMYFUNCTION("if(AND(AI16=FALSE,AJ16=FALSE),,if(AI16=AJ16,JOIN("""",""Static: "",AI16),JOIN("""",""Min:  "",AI16, CHAR(10),""Max: "",AJ16)))"),"")</f>
        <v/>
      </c>
      <c r="AI16" s="45" t="str">
        <f t="array" ref="AI16">_xlfn.XLOOKUP(B16,'Up Min'!A:A,'Up Min'!I:I,)</f>
        <v/>
      </c>
      <c r="AJ16" s="45" t="str">
        <f t="array" ref="AJ16">_xlfn.XLOOKUP(B16,'Up Max'!A:A,'Up Max'!I:I,)</f>
        <v/>
      </c>
      <c r="AK16" s="39" t="str">
        <f t="array" ref="AK16">_xlfn.XLOOKUP(B16,'Up Stats'!A:A,'Up Stats'!J:J,)</f>
        <v/>
      </c>
      <c r="AL16" s="40" t="str">
        <f>IFERROR(__xludf.DUMMYFUNCTION("if(AND(AM16=FALSE,AN16=FALSE),,if(AM16=AN16,JOIN("""",""Static: "",AM16),JOIN("""",""Min:  "",AM16, CHAR(10),""Max: "",AN16)))"),"")</f>
        <v/>
      </c>
      <c r="AM16" s="45" t="str">
        <f t="array" ref="AM16">_xlfn.XLOOKUP(B16,'Up Min'!A:A,'Up Min'!J:J,)</f>
        <v/>
      </c>
      <c r="AN16" s="45" t="str">
        <f t="array" ref="AN16">_xlfn.XLOOKUP(B16,'Up Max'!A:A,'Up Max'!J:J,)</f>
        <v/>
      </c>
      <c r="AO16" s="34" t="str">
        <f t="array" ref="AO16">CONCATENATE(_xlfn.XLOOKUP(B16,'Up Cells'!A:A,'Up Cells'!B:B,))</f>
        <v>6</v>
      </c>
      <c r="AP16" s="34" t="str">
        <f t="array" ref="AP16">CONCATENATE(_xlfn.XLOOKUP(B16,'Up Rarity'!A:A,'Up Rarity'!B:B,),CHAR(10),"-")</f>
        <v>Epic
-</v>
      </c>
    </row>
    <row r="17">
      <c r="A17" s="75" t="str">
        <f t="array" ref="A17">_xlfn.XLOOKUP(B17,'Up Icon'!A:A,'Up Icon'!B:B,)</f>
        <v/>
      </c>
      <c r="B17" s="88" t="str">
        <f t="array" ref="B17">HYPERLINK(_xlfn.XLOOKUP('Up Names'!G14,'Up Wiki'!A:A,'Up Wiki'!B:B,),'Up Names'!G14)</f>
        <v>Point Demolition</v>
      </c>
      <c r="C17" s="70" t="str">
        <f t="array" ref="C17">_xlfn.XLOOKUP(B17,'Up Desc'!A:A,'Up Desc'!B:B,)</f>
        <v>Bullets no longer explode, but deal massive damage to the target they hit.</v>
      </c>
      <c r="D17" s="52" t="str">
        <f t="array" ref="D17">_xlfn.XLOOKUP(B17,'Up Turbo'!A:A,'Up Turbo'!B:B,)</f>
        <v>n/a</v>
      </c>
      <c r="E17" s="53" t="str">
        <f t="array" ref="E17">_xlfn.XLOOKUP(B17,'Up Stats'!A:A,'Up Stats'!B:B,)</f>
        <v>Explosion Size</v>
      </c>
      <c r="F17" s="54" t="str">
        <f>IFERROR(__xludf.DUMMYFUNCTION("if(AND(G17=FALSE,H17=FALSE),,if(G17=H17,JOIN("""",""Static: "",G17),JOIN("""",""Min:  "",G17, CHAR(10),""Max: "",H17)))"),"Static: 0")</f>
        <v>Static: 0</v>
      </c>
      <c r="G17" s="64">
        <f t="array" ref="G17">_xlfn.XLOOKUP(B17,'Up Min'!A:A,'Up Min'!B:B,)</f>
        <v>0</v>
      </c>
      <c r="H17" s="65">
        <f t="array" ref="H17">_xlfn.XLOOKUP(B17,'Up Max'!A:A,'Up Max'!B:B,)</f>
        <v>0</v>
      </c>
      <c r="I17" s="53" t="str">
        <f t="array" ref="I17">_xlfn.XLOOKUP(B17,'Up Stats'!A:A,'Up Stats'!C:C,)</f>
        <v>Damage</v>
      </c>
      <c r="J17" s="54" t="str">
        <f>IFERROR(__xludf.DUMMYFUNCTION("if(AND(K17=FALSE,L17=FALSE),,if(K17=L17,JOIN("""",""Static: "",K17),JOIN("""",""Min:  "",K17, CHAR(10),""Max: "",L17)))"),"Min:  48
Max: 66")</f>
        <v>Min:  48
Max: 66</v>
      </c>
      <c r="K17" s="54">
        <f t="array" ref="K17">_xlfn.XLOOKUP(B17,'Up Min'!A:A,'Up Min'!C:C,)</f>
        <v>48</v>
      </c>
      <c r="L17" s="54">
        <f t="array" ref="L17">_xlfn.XLOOKUP(B17,'Up Max'!A:A,'Up Max'!C:C,)</f>
        <v>66</v>
      </c>
      <c r="M17" s="53" t="str">
        <f t="array" ref="M17">_xlfn.XLOOKUP(B17,'Up Stats'!A:A,'Up Stats'!D:D,)</f>
        <v/>
      </c>
      <c r="N17" s="54" t="str">
        <f>IFERROR(__xludf.DUMMYFUNCTION("if(AND(O17=FALSE,P17=FALSE),,if(O17=P17,JOIN("""",""Static: "",O17),JOIN("""",""Min:  "",O17, CHAR(10),""Max: "",P17)))"),"")</f>
        <v/>
      </c>
      <c r="O17" s="55" t="str">
        <f t="array" ref="O17">_xlfn.XLOOKUP(B17,'Up Min'!A:A,'Up Min'!D:D,)</f>
        <v/>
      </c>
      <c r="P17" s="55" t="str">
        <f t="array" ref="P17">_xlfn.XLOOKUP(B17,'Up Max'!A:A,'Up Max'!D:D,)</f>
        <v/>
      </c>
      <c r="Q17" s="57" t="str">
        <f t="array" ref="Q17">_xlfn.XLOOKUP(B17,'Up Stats'!A:A,'Up Stats'!E:E,)</f>
        <v/>
      </c>
      <c r="R17" s="54" t="str">
        <f>IFERROR(__xludf.DUMMYFUNCTION("if(AND(S17=FALSE,T17=FALSE),,if(S17=T17,JOIN("""",""Static: "",S17),JOIN("""",""Min:  "",S17, CHAR(10),""Max: "",T17)))"),"")</f>
        <v/>
      </c>
      <c r="S17" s="55" t="str">
        <f t="array" ref="S17">_xlfn.XLOOKUP(B17,'Up Min'!A:A,'Up Min'!E:E,)</f>
        <v/>
      </c>
      <c r="T17" s="55" t="str">
        <f t="array" ref="T17">_xlfn.XLOOKUP(B17,'Up Max'!A:A,'Up Max'!E:E,)</f>
        <v/>
      </c>
      <c r="U17" s="57" t="str">
        <f t="array" ref="U17">_xlfn.XLOOKUP(B17,'Up Stats'!A:A,'Up Stats'!F:F,)</f>
        <v/>
      </c>
      <c r="V17" s="54" t="str">
        <f>IFERROR(__xludf.DUMMYFUNCTION("if(AND(W17=FALSE,X17=FALSE),,if(W17=X17,JOIN("""",""Static: "",W17),JOIN("""",""Min:  "",W17, CHAR(10),""Max: "",X17)))"),"")</f>
        <v/>
      </c>
      <c r="W17" s="55" t="str">
        <f t="array" ref="W17">_xlfn.XLOOKUP(B17,'Up Min'!A:A,'Up Min'!F:F,)</f>
        <v/>
      </c>
      <c r="X17" s="55" t="str">
        <f t="array" ref="X17">_xlfn.XLOOKUP(B17,'Up Max'!A:A,'Up Max'!F:F,)</f>
        <v/>
      </c>
      <c r="Y17" s="57" t="str">
        <f t="array" ref="Y17">_xlfn.XLOOKUP(B17,'Up Stats'!A:A,'Up Stats'!G:G,)</f>
        <v/>
      </c>
      <c r="Z17" s="54" t="str">
        <f>IFERROR(__xludf.DUMMYFUNCTION("if(AND(AA17=FALSE,AB17=FALSE),,if(AA17=AB17,JOIN("""",""Static: "",AA17),JOIN("""",""Min:  "",AA17, CHAR(10),""Max: "",AB17)))"),"")</f>
        <v/>
      </c>
      <c r="AA17" s="55" t="str">
        <f t="array" ref="AA17">_xlfn.XLOOKUP(B17,'Up Min'!A:A,'Up Min'!G:G,)</f>
        <v/>
      </c>
      <c r="AB17" s="55" t="str">
        <f t="array" ref="AB17">_xlfn.XLOOKUP(B17,'Up Max'!A:A,'Up Max'!G:G,)</f>
        <v/>
      </c>
      <c r="AC17" s="57" t="str">
        <f t="array" ref="AC17">_xlfn.XLOOKUP(B17,'Up Stats'!A:A,'Up Stats'!H:H,)</f>
        <v/>
      </c>
      <c r="AD17" s="54" t="str">
        <f>IFERROR(__xludf.DUMMYFUNCTION("if(AND(AE17=FALSE,AF17=FALSE),,if(AE17=AF17,JOIN("""",""Static: "",AE17),JOIN("""",""Min:  "",AE17, CHAR(10),""Max: "",AF17)))"),"")</f>
        <v/>
      </c>
      <c r="AE17" s="55" t="str">
        <f t="array" ref="AE17">_xlfn.XLOOKUP(B17,'Up Min'!A:A,'Up Min'!H:H,)</f>
        <v/>
      </c>
      <c r="AF17" s="55" t="str">
        <f t="array" ref="AF17">_xlfn.XLOOKUP(B17,'Up Max'!A:A,'Up Max'!H:H,)</f>
        <v/>
      </c>
      <c r="AG17" s="57" t="str">
        <f t="array" ref="AG17">_xlfn.XLOOKUP(B17,'Up Stats'!A:A,'Up Stats'!I:I,)</f>
        <v/>
      </c>
      <c r="AH17" s="54" t="str">
        <f>IFERROR(__xludf.DUMMYFUNCTION("if(AND(AI17=FALSE,AJ17=FALSE),,if(AI17=AJ17,JOIN("""",""Static: "",AI17),JOIN("""",""Min:  "",AI17, CHAR(10),""Max: "",AJ17)))"),"")</f>
        <v/>
      </c>
      <c r="AI17" s="55" t="str">
        <f t="array" ref="AI17">_xlfn.XLOOKUP(B17,'Up Min'!A:A,'Up Min'!I:I,)</f>
        <v/>
      </c>
      <c r="AJ17" s="55" t="str">
        <f t="array" ref="AJ17">_xlfn.XLOOKUP(B17,'Up Max'!A:A,'Up Max'!I:I,)</f>
        <v/>
      </c>
      <c r="AK17" s="57" t="str">
        <f t="array" ref="AK17">_xlfn.XLOOKUP(B17,'Up Stats'!A:A,'Up Stats'!J:J,)</f>
        <v/>
      </c>
      <c r="AL17" s="54" t="str">
        <f>IFERROR(__xludf.DUMMYFUNCTION("if(AND(AM17=FALSE,AN17=FALSE),,if(AM17=AN17,JOIN("""",""Static: "",AM17),JOIN("""",""Min:  "",AM17, CHAR(10),""Max: "",AN17)))"),"")</f>
        <v/>
      </c>
      <c r="AM17" s="55" t="str">
        <f t="array" ref="AM17">_xlfn.XLOOKUP(B17,'Up Min'!A:A,'Up Min'!J:J,)</f>
        <v/>
      </c>
      <c r="AN17" s="55" t="str">
        <f t="array" ref="AN17">_xlfn.XLOOKUP(B17,'Up Max'!A:A,'Up Max'!J:J,)</f>
        <v/>
      </c>
      <c r="AO17" s="51" t="str">
        <f t="array" ref="AO17">CONCATENATE(_xlfn.XLOOKUP(B17,'Up Cells'!A:A,'Up Cells'!B:B,))</f>
        <v>5</v>
      </c>
      <c r="AP17" s="51" t="str">
        <f t="array" ref="AP17">CONCATENATE(_xlfn.XLOOKUP(B17,'Up Rarity'!A:A,'Up Rarity'!B:B,),CHAR(10),"-")</f>
        <v>Epic
-</v>
      </c>
    </row>
    <row r="18">
      <c r="A18" s="75" t="str">
        <f t="array" ref="A18">_xlfn.XLOOKUP(B18,'Up Icon'!A:A,'Up Icon'!B:B,)</f>
        <v/>
      </c>
      <c r="B18" s="89" t="str">
        <f t="array" ref="B18">HYPERLINK(_xlfn.XLOOKUP('Up Names'!G15,'Up Wiki'!A:A,'Up Wiki'!B:B,),'Up Names'!G15)</f>
        <v>Safety "Regulations"</v>
      </c>
      <c r="C18" s="67" t="str">
        <f t="array" ref="C18">_xlfn.XLOOKUP(B18,'Up Desc'!A:A,'Up Desc'!B:B,)</f>
        <v>Each shot fires multiple bullets. Fire rate and damage are decreased.</v>
      </c>
      <c r="D18" s="37" t="str">
        <f t="array" ref="D18">_xlfn.XLOOKUP(B18,'Up Turbo'!A:A,'Up Turbo'!B:B,)</f>
        <v>n/a</v>
      </c>
      <c r="E18" s="39" t="str">
        <f t="array" ref="E18">_xlfn.XLOOKUP(B18,'Up Stats'!A:A,'Up Stats'!B:B,)</f>
        <v>Bullets per Shot</v>
      </c>
      <c r="F18" s="40" t="str">
        <f>IFERROR(__xludf.DUMMYFUNCTION("if(AND(G18=FALSE,H18=FALSE),,if(G18=H18,JOIN("""",""Static: "",G18),JOIN("""",""Min:  "",G18, CHAR(10),""Max: "",H18)))"),"Static: 3")</f>
        <v>Static: 3</v>
      </c>
      <c r="G18" s="69">
        <f t="array" ref="G18">_xlfn.XLOOKUP(B18,'Up Min'!A:A,'Up Min'!B:B,)</f>
        <v>3</v>
      </c>
      <c r="H18" s="68">
        <f t="array" ref="H18">_xlfn.XLOOKUP(B18,'Up Max'!A:A,'Up Max'!B:B,)</f>
        <v>3</v>
      </c>
      <c r="I18" s="39" t="str">
        <f t="array" ref="I18">_xlfn.XLOOKUP(B18,'Up Stats'!A:A,'Up Stats'!C:C,)</f>
        <v>Fire Rate</v>
      </c>
      <c r="J18" s="40" t="str">
        <f>IFERROR(__xludf.DUMMYFUNCTION("if(AND(K18=FALSE,L18=FALSE),,if(K18=L18,JOIN("""",""Static: "",K18),JOIN("""",""Min:  "",K18, CHAR(10),""Max: "",L18)))"),"Min:  -23.08%
Max: -33.33%")</f>
        <v>Min:  -23.08%
Max: -33.33%</v>
      </c>
      <c r="K18" s="78">
        <f t="array" ref="K18">_xlfn.XLOOKUP(B18,'Up Min'!A:A,'Up Min'!C:C,)</f>
        <v>-0.2308</v>
      </c>
      <c r="L18" s="78">
        <f t="array" ref="L18">_xlfn.XLOOKUP(B18,'Up Max'!A:A,'Up Max'!C:C,)</f>
        <v>-0.3333</v>
      </c>
      <c r="M18" s="39" t="str">
        <f t="array" ref="M18">_xlfn.XLOOKUP(B18,'Up Stats'!A:A,'Up Stats'!D:D,)</f>
        <v>Damage</v>
      </c>
      <c r="N18" s="40" t="str">
        <f>IFERROR(__xludf.DUMMYFUNCTION("if(AND(O18=FALSE,P18=FALSE),,if(O18=P18,JOIN("""",""Static: "",O18),JOIN("""",""Min:  "",O18, CHAR(10),""Max: "",P18)))"),"Min:  -67%
Max: -58.50%")</f>
        <v>Min:  -67%
Max: -58.50%</v>
      </c>
      <c r="O18" s="41">
        <f t="array" ref="O18">_xlfn.XLOOKUP(B18,'Up Min'!A:A,'Up Min'!D:D,)</f>
        <v>-0.67</v>
      </c>
      <c r="P18" s="78">
        <f t="array" ref="P18">_xlfn.XLOOKUP(B18,'Up Max'!A:A,'Up Max'!D:D,)</f>
        <v>-0.585</v>
      </c>
      <c r="Q18" s="48" t="str">
        <f t="array" ref="Q18">_xlfn.XLOOKUP(B18,'Up Stats'!A:A,'Up Stats'!E:E,)</f>
        <v>Horizontal Spread</v>
      </c>
      <c r="R18" s="40" t="str">
        <f>IFERROR(__xludf.DUMMYFUNCTION("if(AND(S18=FALSE,T18=FALSE),,if(S18=T18,JOIN("""",""Static: "",S18),JOIN("""",""Min:  "",S18, CHAR(10),""Max: "",T18)))"),"Min:  350%
Max: 450%")</f>
        <v>Min:  350%
Max: 450%</v>
      </c>
      <c r="S18" s="41">
        <f t="array" ref="S18">_xlfn.XLOOKUP(B18,'Up Min'!A:A,'Up Min'!E:E,)</f>
        <v>3.5</v>
      </c>
      <c r="T18" s="41">
        <f t="array" ref="T18">_xlfn.XLOOKUP(B18,'Up Max'!A:A,'Up Max'!E:E,)</f>
        <v>4.5</v>
      </c>
      <c r="U18" s="39" t="str">
        <f t="array" ref="U18">_xlfn.XLOOKUP(B18,'Up Stats'!A:A,'Up Stats'!F:F,)</f>
        <v>Vertical Spread</v>
      </c>
      <c r="V18" s="40" t="str">
        <f>IFERROR(__xludf.DUMMYFUNCTION("if(AND(W18=FALSE,X18=FALSE),,if(W18=X18,JOIN("""",""Static: "",W18),JOIN("""",""Min:  "",W18, CHAR(10),""Max: "",X18)))"),"Min:  350%
Max: 450%")</f>
        <v>Min:  350%
Max: 450%</v>
      </c>
      <c r="W18" s="41">
        <f t="array" ref="W18">_xlfn.XLOOKUP(B18,'Up Min'!A:A,'Up Min'!F:F,)</f>
        <v>3.5</v>
      </c>
      <c r="X18" s="41">
        <f t="array" ref="X18">_xlfn.XLOOKUP(B18,'Up Max'!A:A,'Up Max'!F:F,)</f>
        <v>4.5</v>
      </c>
      <c r="Y18" s="39" t="str">
        <f t="array" ref="Y18">_xlfn.XLOOKUP(B18,'Up Stats'!A:A,'Up Stats'!G:G,)</f>
        <v/>
      </c>
      <c r="Z18" s="40" t="str">
        <f>IFERROR(__xludf.DUMMYFUNCTION("if(AND(AA18=FALSE,AB18=FALSE),,if(AA18=AB18,JOIN("""",""Static: "",AA18),JOIN("""",""Min:  "",AA18, CHAR(10),""Max: "",AB18)))"),"")</f>
        <v/>
      </c>
      <c r="AA18" s="42" t="str">
        <f t="array" ref="AA18">_xlfn.XLOOKUP(B18,'Up Min'!A:A,'Up Min'!G:G,)</f>
        <v/>
      </c>
      <c r="AB18" s="45" t="str">
        <f t="array" ref="AB18">_xlfn.XLOOKUP(B18,'Up Max'!A:A,'Up Max'!G:G,)</f>
        <v/>
      </c>
      <c r="AC18" s="39" t="str">
        <f t="array" ref="AC18">_xlfn.XLOOKUP(B18,'Up Stats'!A:A,'Up Stats'!H:H,)</f>
        <v/>
      </c>
      <c r="AD18" s="40" t="str">
        <f>IFERROR(__xludf.DUMMYFUNCTION("if(AND(AE18=FALSE,AF18=FALSE),,if(AE18=AF18,JOIN("""",""Static: "",AE18),JOIN("""",""Min:  "",AE18, CHAR(10),""Max: "",AF18)))"),"")</f>
        <v/>
      </c>
      <c r="AE18" s="42" t="str">
        <f t="array" ref="AE18">_xlfn.XLOOKUP(B18,'Up Min'!A:A,'Up Min'!H:H,)</f>
        <v/>
      </c>
      <c r="AF18" s="42" t="str">
        <f t="array" ref="AF18">_xlfn.XLOOKUP(B18,'Up Max'!A:A,'Up Max'!H:H,)</f>
        <v/>
      </c>
      <c r="AG18" s="48" t="str">
        <f t="array" ref="AG18">_xlfn.XLOOKUP(B18,'Up Stats'!A:A,'Up Stats'!I:I,)</f>
        <v/>
      </c>
      <c r="AH18" s="40" t="str">
        <f>IFERROR(__xludf.DUMMYFUNCTION("if(AND(AI18=FALSE,AJ18=FALSE),,if(AI18=AJ18,JOIN("""",""Static: "",AI18),JOIN("""",""Min:  "",AI18, CHAR(10),""Max: "",AJ18)))"),"")</f>
        <v/>
      </c>
      <c r="AI18" s="42" t="str">
        <f t="array" ref="AI18">_xlfn.XLOOKUP(B18,'Up Min'!A:A,'Up Min'!I:I,)</f>
        <v/>
      </c>
      <c r="AJ18" s="42" t="str">
        <f t="array" ref="AJ18">_xlfn.XLOOKUP(B18,'Up Max'!A:A,'Up Max'!I:I,)</f>
        <v/>
      </c>
      <c r="AK18" s="48" t="str">
        <f t="array" ref="AK18">_xlfn.XLOOKUP(B18,'Up Stats'!A:A,'Up Stats'!J:J,)</f>
        <v/>
      </c>
      <c r="AL18" s="40" t="str">
        <f>IFERROR(__xludf.DUMMYFUNCTION("if(AND(AM18=FALSE,AN18=FALSE),,if(AM18=AN18,JOIN("""",""Static: "",AM18),JOIN("""",""Min:  "",AM18, CHAR(10),""Max: "",AN18)))"),"")</f>
        <v/>
      </c>
      <c r="AM18" s="42" t="str">
        <f t="array" ref="AM18">_xlfn.XLOOKUP(B18,'Up Min'!A:A,'Up Min'!J:J,)</f>
        <v/>
      </c>
      <c r="AN18" s="42" t="str">
        <f t="array" ref="AN18">_xlfn.XLOOKUP(B18,'Up Max'!A:A,'Up Max'!J:J,)</f>
        <v/>
      </c>
      <c r="AO18" s="34" t="str">
        <f t="array" ref="AO18">CONCATENATE(_xlfn.XLOOKUP(B18,'Up Cells'!A:A,'Up Cells'!B:B,))</f>
        <v>6</v>
      </c>
      <c r="AP18" s="34" t="str">
        <f t="array" ref="AP18">CONCATENATE(_xlfn.XLOOKUP(B18,'Up Rarity'!A:A,'Up Rarity'!B:B,),CHAR(10),"-")</f>
        <v>Epic
-</v>
      </c>
    </row>
    <row r="19">
      <c r="A19" s="75" t="str">
        <f t="array" ref="A19">_xlfn.XLOOKUP(B19,'Up Icon'!A:A,'Up Icon'!B:B,)</f>
        <v/>
      </c>
      <c r="B19" s="88" t="str">
        <f t="array" ref="B19">HYPERLINK(_xlfn.XLOOKUP('Up Names'!G16,'Up Wiki'!A:A,'Up Wiki'!B:B,),'Up Names'!G16)</f>
        <v>Unarmored</v>
      </c>
      <c r="C19" s="70" t="str">
        <f t="array" ref="C19">_xlfn.XLOOKUP(B19,'Up Desc'!A:A,'Up Desc'!B:B,)</f>
        <v>Damage is increased, but you take more damage while holding the Gunship Cannon.</v>
      </c>
      <c r="D19" s="52" t="str">
        <f t="array" ref="D19">_xlfn.XLOOKUP(B19,'Up Turbo'!A:A,'Up Turbo'!B:B,)</f>
        <v>n/a</v>
      </c>
      <c r="E19" s="53" t="str">
        <f t="array" ref="E19">_xlfn.XLOOKUP(B19,'Up Stats'!A:A,'Up Stats'!B:B,)</f>
        <v>Damage</v>
      </c>
      <c r="F19" s="54" t="str">
        <f>IFERROR(__xludf.DUMMYFUNCTION("if(AND(G19=FALSE,H19=FALSE),,if(G19=H19,JOIN("""",""Static: "",G19),JOIN("""",""Min:  "",G19, CHAR(10),""Max: "",H19)))"),"Min:  30
Max: 38")</f>
        <v>Min:  30
Max: 38</v>
      </c>
      <c r="G19" s="54">
        <f t="array" ref="G19">_xlfn.XLOOKUP(B19,'Up Min'!A:A,'Up Min'!B:B,)</f>
        <v>30</v>
      </c>
      <c r="H19" s="54">
        <f t="array" ref="H19">_xlfn.XLOOKUP(B19,'Up Max'!A:A,'Up Max'!B:B,)</f>
        <v>38</v>
      </c>
      <c r="I19" s="53" t="str">
        <f t="array" ref="I19">_xlfn.XLOOKUP(B19,'Up Stats'!A:A,'Up Stats'!C:C,)</f>
        <v>Damage Taken</v>
      </c>
      <c r="J19" s="54" t="str">
        <f>IFERROR(__xludf.DUMMYFUNCTION("if(AND(K19=FALSE,L19=FALSE),,if(K19=L19,JOIN("""",""Static: "",K19),JOIN("""",""Min:  "",K19, CHAR(10),""Max: "",L19)))"),"Min:  30%
Max: 60%")</f>
        <v>Min:  30%
Max: 60%</v>
      </c>
      <c r="K19" s="59">
        <f t="array" ref="K19">_xlfn.XLOOKUP(B19,'Up Min'!A:A,'Up Min'!C:C,)</f>
        <v>0.3</v>
      </c>
      <c r="L19" s="59">
        <f t="array" ref="L19">_xlfn.XLOOKUP(B19,'Up Max'!A:A,'Up Max'!C:C,)</f>
        <v>0.6</v>
      </c>
      <c r="M19" s="53" t="str">
        <f t="array" ref="M19">_xlfn.XLOOKUP(B19,'Up Stats'!A:A,'Up Stats'!D:D,)</f>
        <v/>
      </c>
      <c r="N19" s="54" t="str">
        <f>IFERROR(__xludf.DUMMYFUNCTION("if(AND(O19=FALSE,P19=FALSE),,if(O19=P19,JOIN("""",""Static: "",O19),JOIN("""",""Min:  "",O19, CHAR(10),""Max: "",P19)))"),"")</f>
        <v/>
      </c>
      <c r="O19" s="55" t="str">
        <f t="array" ref="O19">_xlfn.XLOOKUP(B19,'Up Min'!A:A,'Up Min'!D:D,)</f>
        <v/>
      </c>
      <c r="P19" s="55" t="str">
        <f t="array" ref="P19">_xlfn.XLOOKUP(B19,'Up Max'!A:A,'Up Max'!D:D,)</f>
        <v/>
      </c>
      <c r="Q19" s="57" t="str">
        <f t="array" ref="Q19">_xlfn.XLOOKUP(B19,'Up Stats'!A:A,'Up Stats'!E:E,)</f>
        <v/>
      </c>
      <c r="R19" s="54" t="str">
        <f>IFERROR(__xludf.DUMMYFUNCTION("if(AND(S19=FALSE,T19=FALSE),,if(S19=T19,JOIN("""",""Static: "",S19),JOIN("""",""Min:  "",S19, CHAR(10),""Max: "",T19)))"),"")</f>
        <v/>
      </c>
      <c r="S19" s="55" t="str">
        <f t="array" ref="S19">_xlfn.XLOOKUP(B19,'Up Min'!A:A,'Up Min'!E:E,)</f>
        <v/>
      </c>
      <c r="T19" s="55" t="str">
        <f t="array" ref="T19">_xlfn.XLOOKUP(B19,'Up Max'!A:A,'Up Max'!E:E,)</f>
        <v/>
      </c>
      <c r="U19" s="57" t="str">
        <f t="array" ref="U19">_xlfn.XLOOKUP(B19,'Up Stats'!A:A,'Up Stats'!F:F,)</f>
        <v/>
      </c>
      <c r="V19" s="54" t="str">
        <f>IFERROR(__xludf.DUMMYFUNCTION("if(AND(W19=FALSE,X19=FALSE),,if(W19=X19,JOIN("""",""Static: "",W19),JOIN("""",""Min:  "",W19, CHAR(10),""Max: "",X19)))"),"")</f>
        <v/>
      </c>
      <c r="W19" s="55" t="str">
        <f t="array" ref="W19">_xlfn.XLOOKUP(B19,'Up Min'!A:A,'Up Min'!F:F,)</f>
        <v/>
      </c>
      <c r="X19" s="55" t="str">
        <f t="array" ref="X19">_xlfn.XLOOKUP(B19,'Up Max'!A:A,'Up Max'!F:F,)</f>
        <v/>
      </c>
      <c r="Y19" s="57" t="str">
        <f t="array" ref="Y19">_xlfn.XLOOKUP(B19,'Up Stats'!A:A,'Up Stats'!G:G,)</f>
        <v/>
      </c>
      <c r="Z19" s="54" t="str">
        <f>IFERROR(__xludf.DUMMYFUNCTION("if(AND(AA19=FALSE,AB19=FALSE),,if(AA19=AB19,JOIN("""",""Static: "",AA19),JOIN("""",""Min:  "",AA19, CHAR(10),""Max: "",AB19)))"),"")</f>
        <v/>
      </c>
      <c r="AA19" s="55" t="str">
        <f t="array" ref="AA19">_xlfn.XLOOKUP(B19,'Up Min'!A:A,'Up Min'!G:G,)</f>
        <v/>
      </c>
      <c r="AB19" s="55" t="str">
        <f t="array" ref="AB19">_xlfn.XLOOKUP(B19,'Up Max'!A:A,'Up Max'!G:G,)</f>
        <v/>
      </c>
      <c r="AC19" s="57" t="str">
        <f t="array" ref="AC19">_xlfn.XLOOKUP(B19,'Up Stats'!A:A,'Up Stats'!H:H,)</f>
        <v/>
      </c>
      <c r="AD19" s="54" t="str">
        <f>IFERROR(__xludf.DUMMYFUNCTION("if(AND(AE19=FALSE,AF19=FALSE),,if(AE19=AF19,JOIN("""",""Static: "",AE19),JOIN("""",""Min:  "",AE19, CHAR(10),""Max: "",AF19)))"),"")</f>
        <v/>
      </c>
      <c r="AE19" s="55" t="str">
        <f t="array" ref="AE19">_xlfn.XLOOKUP(B19,'Up Min'!A:A,'Up Min'!H:H,)</f>
        <v/>
      </c>
      <c r="AF19" s="55" t="str">
        <f t="array" ref="AF19">_xlfn.XLOOKUP(B19,'Up Max'!A:A,'Up Max'!H:H,)</f>
        <v/>
      </c>
      <c r="AG19" s="57" t="str">
        <f t="array" ref="AG19">_xlfn.XLOOKUP(B19,'Up Stats'!A:A,'Up Stats'!I:I,)</f>
        <v/>
      </c>
      <c r="AH19" s="54" t="str">
        <f>IFERROR(__xludf.DUMMYFUNCTION("if(AND(AI19=FALSE,AJ19=FALSE),,if(AI19=AJ19,JOIN("""",""Static: "",AI19),JOIN("""",""Min:  "",AI19, CHAR(10),""Max: "",AJ19)))"),"")</f>
        <v/>
      </c>
      <c r="AI19" s="55" t="str">
        <f t="array" ref="AI19">_xlfn.XLOOKUP(B19,'Up Min'!A:A,'Up Min'!I:I,)</f>
        <v/>
      </c>
      <c r="AJ19" s="55" t="str">
        <f t="array" ref="AJ19">_xlfn.XLOOKUP(B19,'Up Max'!A:A,'Up Max'!I:I,)</f>
        <v/>
      </c>
      <c r="AK19" s="57" t="str">
        <f t="array" ref="AK19">_xlfn.XLOOKUP(B19,'Up Stats'!A:A,'Up Stats'!J:J,)</f>
        <v/>
      </c>
      <c r="AL19" s="54" t="str">
        <f>IFERROR(__xludf.DUMMYFUNCTION("if(AND(AM19=FALSE,AN19=FALSE),,if(AM19=AN19,JOIN("""",""Static: "",AM19),JOIN("""",""Min:  "",AM19, CHAR(10),""Max: "",AN19)))"),"")</f>
        <v/>
      </c>
      <c r="AM19" s="55" t="str">
        <f t="array" ref="AM19">_xlfn.XLOOKUP(B19,'Up Min'!A:A,'Up Min'!J:J,)</f>
        <v/>
      </c>
      <c r="AN19" s="55" t="str">
        <f t="array" ref="AN19">_xlfn.XLOOKUP(B19,'Up Max'!A:A,'Up Max'!J:J,)</f>
        <v/>
      </c>
      <c r="AO19" s="51" t="str">
        <f t="array" ref="AO19">CONCATENATE(_xlfn.XLOOKUP(B19,'Up Cells'!A:A,'Up Cells'!B:B,))</f>
        <v>4</v>
      </c>
      <c r="AP19" s="51" t="str">
        <f t="array" ref="AP19">CONCATENATE(_xlfn.XLOOKUP(B19,'Up Rarity'!A:A,'Up Rarity'!B:B,),CHAR(10),"-")</f>
        <v>Epic
-</v>
      </c>
    </row>
    <row r="20">
      <c r="A20" s="83" t="str">
        <f t="array" ref="A20">_xlfn.XLOOKUP(B20,'Up Icon'!A:A,'Up Icon'!B:B,)</f>
        <v/>
      </c>
      <c r="B20" s="89" t="str">
        <f t="array" ref="B20">HYPERLINK(_xlfn.XLOOKUP('Up Names'!G17,'Up Wiki'!A:A,'Up Wiki'!B:B,),'Up Names'!G17)</f>
        <v>Blue Prism</v>
      </c>
      <c r="C20" s="67" t="str">
        <f t="array" ref="C20">_xlfn.XLOOKUP(B20,'Up Desc'!A:A,'Up Desc'!B:B,)</f>
        <v>Prism output is increased recursively for each bordering prism.</v>
      </c>
      <c r="D20" s="37" t="str">
        <f t="array" ref="D20">_xlfn.XLOOKUP(B20,'Up Turbo'!A:A,'Up Turbo'!B:B,)</f>
        <v>n/a</v>
      </c>
      <c r="E20" s="39" t="str">
        <f t="array" ref="E20">_xlfn.XLOOKUP(B20,'Up Stats'!A:A,'Up Stats'!B:B,)</f>
        <v>Efficiency</v>
      </c>
      <c r="F20" s="40" t="str">
        <f>IFERROR(__xludf.DUMMYFUNCTION("if(AND(G20=FALSE,H20=FALSE),,if(G20=H20,JOIN("""",""Static: "",G20),JOIN("""",""Min:  "",G20, CHAR(10),""Max: "",H20)))"),"Min:  50%
Max: 150%")</f>
        <v>Min:  50%
Max: 150%</v>
      </c>
      <c r="G20" s="41">
        <f t="array" ref="G20">_xlfn.XLOOKUP(B20,'Up Min'!A:A,'Up Min'!B:B,)</f>
        <v>0.5</v>
      </c>
      <c r="H20" s="41">
        <f t="array" ref="H20">_xlfn.XLOOKUP(B20,'Up Max'!A:A,'Up Max'!B:B,)</f>
        <v>1.5</v>
      </c>
      <c r="I20" s="39" t="str">
        <f t="array" ref="I20">_xlfn.XLOOKUP(B20,'Up Stats'!A:A,'Up Stats'!C:C,)</f>
        <v/>
      </c>
      <c r="J20" s="40" t="str">
        <f>IFERROR(__xludf.DUMMYFUNCTION("if(AND(K20=FALSE,L20=FALSE),,if(K20=L20,JOIN("""",""Static: "",K20),JOIN("""",""Min:  "",K20, CHAR(10),""Max: "",L20)))"),"")</f>
        <v/>
      </c>
      <c r="K20" s="45" t="str">
        <f t="array" ref="K20">_xlfn.XLOOKUP(B20,'Up Min'!A:A,'Up Min'!C:C,)</f>
        <v/>
      </c>
      <c r="L20" s="42" t="str">
        <f t="array" ref="L20">_xlfn.XLOOKUP(B20,'Up Max'!A:A,'Up Max'!C:C,)</f>
        <v/>
      </c>
      <c r="M20" s="39" t="str">
        <f t="array" ref="M20">_xlfn.XLOOKUP(B20,'Up Stats'!A:A,'Up Stats'!D:D,)</f>
        <v/>
      </c>
      <c r="N20" s="40" t="str">
        <f>IFERROR(__xludf.DUMMYFUNCTION("if(AND(O20=FALSE,P20=FALSE),,if(O20=P20,JOIN("""",""Static: "",O20),JOIN("""",""Min:  "",O20, CHAR(10),""Max: "",P20)))"),"")</f>
        <v/>
      </c>
      <c r="O20" s="42" t="str">
        <f t="array" ref="O20">_xlfn.XLOOKUP(B20,'Up Min'!A:A,'Up Min'!D:D,)</f>
        <v/>
      </c>
      <c r="P20" s="42" t="str">
        <f t="array" ref="P20">_xlfn.XLOOKUP(B20,'Up Max'!A:A,'Up Max'!D:D,)</f>
        <v/>
      </c>
      <c r="Q20" s="48" t="str">
        <f t="array" ref="Q20">_xlfn.XLOOKUP(B20,'Up Stats'!A:A,'Up Stats'!E:E,)</f>
        <v/>
      </c>
      <c r="R20" s="40" t="str">
        <f>IFERROR(__xludf.DUMMYFUNCTION("if(AND(S20=FALSE,T20=FALSE),,if(S20=T20,JOIN("""",""Static: "",S20),JOIN("""",""Min:  "",S20, CHAR(10),""Max: "",T20)))"),"")</f>
        <v/>
      </c>
      <c r="S20" s="42" t="str">
        <f t="array" ref="S20">_xlfn.XLOOKUP(B20,'Up Min'!A:A,'Up Min'!E:E,)</f>
        <v/>
      </c>
      <c r="T20" s="42" t="str">
        <f t="array" ref="T20">_xlfn.XLOOKUP(B20,'Up Max'!A:A,'Up Max'!E:E,)</f>
        <v/>
      </c>
      <c r="U20" s="48" t="str">
        <f t="array" ref="U20">_xlfn.XLOOKUP(B20,'Up Stats'!A:A,'Up Stats'!F:F,)</f>
        <v/>
      </c>
      <c r="V20" s="40" t="str">
        <f>IFERROR(__xludf.DUMMYFUNCTION("if(AND(W20=FALSE,X20=FALSE),,if(W20=X20,JOIN("""",""Static: "",W20),JOIN("""",""Min:  "",W20, CHAR(10),""Max: "",X20)))"),"")</f>
        <v/>
      </c>
      <c r="W20" s="42" t="str">
        <f t="array" ref="W20">_xlfn.XLOOKUP(B20,'Up Min'!A:A,'Up Min'!F:F,)</f>
        <v/>
      </c>
      <c r="X20" s="42" t="str">
        <f t="array" ref="X20">_xlfn.XLOOKUP(B20,'Up Max'!A:A,'Up Max'!F:F,)</f>
        <v/>
      </c>
      <c r="Y20" s="48" t="str">
        <f t="array" ref="Y20">_xlfn.XLOOKUP(B20,'Up Stats'!A:A,'Up Stats'!G:G,)</f>
        <v/>
      </c>
      <c r="Z20" s="40" t="str">
        <f>IFERROR(__xludf.DUMMYFUNCTION("if(AND(AA20=FALSE,AB20=FALSE),,if(AA20=AB20,JOIN("""",""Static: "",AA20),JOIN("""",""Min:  "",AA20, CHAR(10),""Max: "",AB20)))"),"")</f>
        <v/>
      </c>
      <c r="AA20" s="42" t="str">
        <f t="array" ref="AA20">_xlfn.XLOOKUP(B20,'Up Min'!A:A,'Up Min'!G:G,)</f>
        <v/>
      </c>
      <c r="AB20" s="42" t="str">
        <f t="array" ref="AB20">_xlfn.XLOOKUP(B20,'Up Max'!A:A,'Up Max'!G:G,)</f>
        <v/>
      </c>
      <c r="AC20" s="48" t="str">
        <f t="array" ref="AC20">_xlfn.XLOOKUP(B20,'Up Stats'!A:A,'Up Stats'!H:H,)</f>
        <v/>
      </c>
      <c r="AD20" s="40" t="str">
        <f>IFERROR(__xludf.DUMMYFUNCTION("if(AND(AE20=FALSE,AF20=FALSE),,if(AE20=AF20,JOIN("""",""Static: "",AE20),JOIN("""",""Min:  "",AE20, CHAR(10),""Max: "",AF20)))"),"")</f>
        <v/>
      </c>
      <c r="AE20" s="42" t="str">
        <f t="array" ref="AE20">_xlfn.XLOOKUP(B20,'Up Min'!A:A,'Up Min'!H:H,)</f>
        <v/>
      </c>
      <c r="AF20" s="42" t="str">
        <f t="array" ref="AF20">_xlfn.XLOOKUP(B20,'Up Max'!A:A,'Up Max'!H:H,)</f>
        <v/>
      </c>
      <c r="AG20" s="48" t="str">
        <f t="array" ref="AG20">_xlfn.XLOOKUP(B20,'Up Stats'!A:A,'Up Stats'!I:I,)</f>
        <v/>
      </c>
      <c r="AH20" s="40" t="str">
        <f>IFERROR(__xludf.DUMMYFUNCTION("if(AND(AI20=FALSE,AJ20=FALSE),,if(AI20=AJ20,JOIN("""",""Static: "",AI20),JOIN("""",""Min:  "",AI20, CHAR(10),""Max: "",AJ20)))"),"")</f>
        <v/>
      </c>
      <c r="AI20" s="42" t="str">
        <f t="array" ref="AI20">_xlfn.XLOOKUP(B20,'Up Min'!A:A,'Up Min'!I:I,)</f>
        <v/>
      </c>
      <c r="AJ20" s="42" t="str">
        <f t="array" ref="AJ20">_xlfn.XLOOKUP(B20,'Up Max'!A:A,'Up Max'!I:I,)</f>
        <v/>
      </c>
      <c r="AK20" s="48" t="str">
        <f t="array" ref="AK20">_xlfn.XLOOKUP(B20,'Up Stats'!A:A,'Up Stats'!J:J,)</f>
        <v/>
      </c>
      <c r="AL20" s="40" t="str">
        <f>IFERROR(__xludf.DUMMYFUNCTION("if(AND(AM20=FALSE,AN20=FALSE),,if(AM20=AN20,JOIN("""",""Static: "",AM20),JOIN("""",""Min:  "",AM20, CHAR(10),""Max: "",AN20)))"),"")</f>
        <v/>
      </c>
      <c r="AM20" s="42" t="str">
        <f t="array" ref="AM20">_xlfn.XLOOKUP(B20,'Up Min'!A:A,'Up Min'!J:J,)</f>
        <v/>
      </c>
      <c r="AN20" s="42" t="str">
        <f t="array" ref="AN20">_xlfn.XLOOKUP(B20,'Up Max'!A:A,'Up Max'!J:J,)</f>
        <v/>
      </c>
      <c r="AO20" s="34" t="str">
        <f t="array" ref="AO20">CONCATENATE(_xlfn.XLOOKUP(B20,'Up Cells'!A:A,'Up Cells'!B:B,))</f>
        <v>3</v>
      </c>
      <c r="AP20" s="34" t="str">
        <f t="array" ref="AP20">CONCATENATE(_xlfn.XLOOKUP(B20,'Up Rarity'!A:A,'Up Rarity'!B:B,),CHAR(10),"-")</f>
        <v>Rare
-</v>
      </c>
    </row>
    <row r="21">
      <c r="A21" s="83" t="str">
        <f t="array" ref="A21">_xlfn.XLOOKUP(B21,'Up Icon'!A:A,'Up Icon'!B:B,)</f>
        <v/>
      </c>
      <c r="B21" s="88" t="str">
        <f t="array" ref="B21">HYPERLINK(_xlfn.XLOOKUP('Up Names'!G18,'Up Wiki'!A:A,'Up Wiki'!B:B,),'Up Names'!G18)</f>
        <v>Adaptive Stabilizers</v>
      </c>
      <c r="C21" s="70" t="str">
        <f t="array" ref="C21">_xlfn.XLOOKUP(B21,'Up Desc'!A:A,'Up Desc'!B:B,)</f>
        <v>Spread decreases over time while firing.</v>
      </c>
      <c r="D21" s="52" t="str">
        <f t="array" ref="D21">_xlfn.XLOOKUP(B21,'Up Turbo'!A:A,'Up Turbo'!B:B,)</f>
        <v>n/a</v>
      </c>
      <c r="E21" s="53" t="str">
        <f t="array" ref="E21">_xlfn.XLOOKUP(B21,'Up Stats'!A:A,'Up Stats'!B:B,)</f>
        <v>Min Spread</v>
      </c>
      <c r="F21" s="54" t="str">
        <f>IFERROR(__xludf.DUMMYFUNCTION("if(AND(G21=FALSE,H21=FALSE),,if(G21=H21,JOIN("""",""Static: "",G21),JOIN("""",""Min:  "",G21, CHAR(10),""Max: "",H21)))"),"Min:  40%
Max: 60%")</f>
        <v>Min:  40%
Max: 60%</v>
      </c>
      <c r="G21" s="59">
        <f t="array" ref="G21">_xlfn.XLOOKUP(B21,'Up Min'!A:A,'Up Min'!B:B,)</f>
        <v>0.4</v>
      </c>
      <c r="H21" s="59">
        <f t="array" ref="H21">_xlfn.XLOOKUP(B21,'Up Max'!A:A,'Up Max'!B:B,)</f>
        <v>0.6</v>
      </c>
      <c r="I21" s="53" t="str">
        <f t="array" ref="I21">_xlfn.XLOOKUP(B21,'Up Stats'!A:A,'Up Stats'!C:C,)</f>
        <v>Duration</v>
      </c>
      <c r="J21" s="54" t="str">
        <f>IFERROR(__xludf.DUMMYFUNCTION("if(AND(K21=FALSE,L21=FALSE),,if(K21=L21,JOIN("""",""Static: "",K21),JOIN("""",""Min:  "",K21, CHAR(10),""Max: "",L21)))"),"Min:  3
Max: 6")</f>
        <v>Min:  3
Max: 6</v>
      </c>
      <c r="K21" s="65">
        <f t="array" ref="K21">_xlfn.XLOOKUP(B21,'Up Min'!A:A,'Up Min'!C:C,)</f>
        <v>3</v>
      </c>
      <c r="L21" s="64">
        <f t="array" ref="L21">_xlfn.XLOOKUP(B21,'Up Max'!A:A,'Up Max'!C:C,)</f>
        <v>6</v>
      </c>
      <c r="M21" s="53" t="str">
        <f t="array" ref="M21">_xlfn.XLOOKUP(B21,'Up Stats'!A:A,'Up Stats'!D:D,)</f>
        <v/>
      </c>
      <c r="N21" s="54" t="str">
        <f>IFERROR(__xludf.DUMMYFUNCTION("if(AND(O21=FALSE,P21=FALSE),,if(O21=P21,JOIN("""",""Static: "",O21),JOIN("""",""Min:  "",O21, CHAR(10),""Max: "",P21)))"),"")</f>
        <v/>
      </c>
      <c r="O21" s="55" t="str">
        <f t="array" ref="O21">_xlfn.XLOOKUP(B21,'Up Min'!A:A,'Up Min'!D:D,)</f>
        <v/>
      </c>
      <c r="P21" s="55" t="str">
        <f t="array" ref="P21">_xlfn.XLOOKUP(B21,'Up Max'!A:A,'Up Max'!D:D,)</f>
        <v/>
      </c>
      <c r="Q21" s="57" t="str">
        <f t="array" ref="Q21">_xlfn.XLOOKUP(B21,'Up Stats'!A:A,'Up Stats'!E:E,)</f>
        <v/>
      </c>
      <c r="R21" s="54" t="str">
        <f>IFERROR(__xludf.DUMMYFUNCTION("if(AND(S21=FALSE,T21=FALSE),,if(S21=T21,JOIN("""",""Static: "",S21),JOIN("""",""Min:  "",S21, CHAR(10),""Max: "",T21)))"),"")</f>
        <v/>
      </c>
      <c r="S21" s="55" t="str">
        <f t="array" ref="S21">_xlfn.XLOOKUP(B21,'Up Min'!A:A,'Up Min'!E:E,)</f>
        <v/>
      </c>
      <c r="T21" s="55" t="str">
        <f t="array" ref="T21">_xlfn.XLOOKUP(B21,'Up Max'!A:A,'Up Max'!E:E,)</f>
        <v/>
      </c>
      <c r="U21" s="57" t="str">
        <f t="array" ref="U21">_xlfn.XLOOKUP(B21,'Up Stats'!A:A,'Up Stats'!F:F,)</f>
        <v/>
      </c>
      <c r="V21" s="54" t="str">
        <f>IFERROR(__xludf.DUMMYFUNCTION("if(AND(W21=FALSE,X21=FALSE),,if(W21=X21,JOIN("""",""Static: "",W21),JOIN("""",""Min:  "",W21, CHAR(10),""Max: "",X21)))"),"")</f>
        <v/>
      </c>
      <c r="W21" s="55" t="str">
        <f t="array" ref="W21">_xlfn.XLOOKUP(B21,'Up Min'!A:A,'Up Min'!F:F,)</f>
        <v/>
      </c>
      <c r="X21" s="55" t="str">
        <f t="array" ref="X21">_xlfn.XLOOKUP(B21,'Up Max'!A:A,'Up Max'!F:F,)</f>
        <v/>
      </c>
      <c r="Y21" s="57" t="str">
        <f t="array" ref="Y21">_xlfn.XLOOKUP(B21,'Up Stats'!A:A,'Up Stats'!G:G,)</f>
        <v/>
      </c>
      <c r="Z21" s="54" t="str">
        <f>IFERROR(__xludf.DUMMYFUNCTION("if(AND(AA21=FALSE,AB21=FALSE),,if(AA21=AB21,JOIN("""",""Static: "",AA21),JOIN("""",""Min:  "",AA21, CHAR(10),""Max: "",AB21)))"),"")</f>
        <v/>
      </c>
      <c r="AA21" s="55" t="str">
        <f t="array" ref="AA21">_xlfn.XLOOKUP(B21,'Up Min'!A:A,'Up Min'!G:G,)</f>
        <v/>
      </c>
      <c r="AB21" s="55" t="str">
        <f t="array" ref="AB21">_xlfn.XLOOKUP(B21,'Up Max'!A:A,'Up Max'!G:G,)</f>
        <v/>
      </c>
      <c r="AC21" s="57" t="str">
        <f t="array" ref="AC21">_xlfn.XLOOKUP(B21,'Up Stats'!A:A,'Up Stats'!H:H,)</f>
        <v/>
      </c>
      <c r="AD21" s="54" t="str">
        <f>IFERROR(__xludf.DUMMYFUNCTION("if(AND(AE21=FALSE,AF21=FALSE),,if(AE21=AF21,JOIN("""",""Static: "",AE21),JOIN("""",""Min:  "",AE21, CHAR(10),""Max: "",AF21)))"),"")</f>
        <v/>
      </c>
      <c r="AE21" s="55" t="str">
        <f t="array" ref="AE21">_xlfn.XLOOKUP(B21,'Up Min'!A:A,'Up Min'!H:H,)</f>
        <v/>
      </c>
      <c r="AF21" s="55" t="str">
        <f t="array" ref="AF21">_xlfn.XLOOKUP(B21,'Up Max'!A:A,'Up Max'!H:H,)</f>
        <v/>
      </c>
      <c r="AG21" s="57" t="str">
        <f t="array" ref="AG21">_xlfn.XLOOKUP(B21,'Up Stats'!A:A,'Up Stats'!I:I,)</f>
        <v/>
      </c>
      <c r="AH21" s="54" t="str">
        <f>IFERROR(__xludf.DUMMYFUNCTION("if(AND(AI21=FALSE,AJ21=FALSE),,if(AI21=AJ21,JOIN("""",""Static: "",AI21),JOIN("""",""Min:  "",AI21, CHAR(10),""Max: "",AJ21)))"),"")</f>
        <v/>
      </c>
      <c r="AI21" s="55" t="str">
        <f t="array" ref="AI21">_xlfn.XLOOKUP(B21,'Up Min'!A:A,'Up Min'!I:I,)</f>
        <v/>
      </c>
      <c r="AJ21" s="55" t="str">
        <f t="array" ref="AJ21">_xlfn.XLOOKUP(B21,'Up Max'!A:A,'Up Max'!I:I,)</f>
        <v/>
      </c>
      <c r="AK21" s="57" t="str">
        <f t="array" ref="AK21">_xlfn.XLOOKUP(B21,'Up Stats'!A:A,'Up Stats'!J:J,)</f>
        <v/>
      </c>
      <c r="AL21" s="54" t="str">
        <f>IFERROR(__xludf.DUMMYFUNCTION("if(AND(AM21=FALSE,AN21=FALSE),,if(AM21=AN21,JOIN("""",""Static: "",AM21),JOIN("""",""Min:  "",AM21, CHAR(10),""Max: "",AN21)))"),"")</f>
        <v/>
      </c>
      <c r="AM21" s="55" t="str">
        <f t="array" ref="AM21">_xlfn.XLOOKUP(B21,'Up Min'!A:A,'Up Min'!J:J,)</f>
        <v/>
      </c>
      <c r="AN21" s="55" t="str">
        <f t="array" ref="AN21">_xlfn.XLOOKUP(B21,'Up Max'!A:A,'Up Max'!J:J,)</f>
        <v/>
      </c>
      <c r="AO21" s="51" t="str">
        <f t="array" ref="AO21">CONCATENATE(_xlfn.XLOOKUP(B21,'Up Cells'!A:A,'Up Cells'!B:B,))</f>
        <v>4</v>
      </c>
      <c r="AP21" s="51" t="str">
        <f t="array" ref="AP21">CONCATENATE(_xlfn.XLOOKUP(B21,'Up Rarity'!A:A,'Up Rarity'!B:B,),CHAR(10),"-")</f>
        <v>Rare
-</v>
      </c>
    </row>
    <row r="22">
      <c r="A22" s="83" t="str">
        <f t="array" ref="A22">_xlfn.XLOOKUP(B22,'Up Icon'!A:A,'Up Icon'!B:B,)</f>
        <v/>
      </c>
      <c r="B22" s="89" t="str">
        <f t="array" ref="B22">HYPERLINK(_xlfn.XLOOKUP('Up Names'!G19,'Up Wiki'!A:A,'Up Wiki'!B:B,),'Up Names'!G19)</f>
        <v>Hard Ricochet</v>
      </c>
      <c r="C22" s="67" t="str">
        <f t="array" ref="C22">_xlfn.XLOOKUP(B22,'Up Desc'!A:A,'Up Desc'!B:B,)</f>
        <v>Bullets ricochet twice.</v>
      </c>
      <c r="D22" s="37" t="str">
        <f t="array" ref="D22">_xlfn.XLOOKUP(B22,'Up Turbo'!A:A,'Up Turbo'!B:B,)</f>
        <v>n/a</v>
      </c>
      <c r="E22" s="39" t="str">
        <f t="array" ref="E22">_xlfn.XLOOKUP(B22,'Up Stats'!A:A,'Up Stats'!B:B,)</f>
        <v>Bounces</v>
      </c>
      <c r="F22" s="40" t="str">
        <f>IFERROR(__xludf.DUMMYFUNCTION("if(AND(G22=FALSE,H22=FALSE),,if(G22=H22,JOIN("""",""Static: "",G22),JOIN("""",""Min:  "",G22, CHAR(10),""Max: "",H22)))"),"Static: 2")</f>
        <v>Static: 2</v>
      </c>
      <c r="G22" s="69">
        <f t="array" ref="G22">_xlfn.XLOOKUP(B22,'Up Min'!A:A,'Up Min'!B:B,)</f>
        <v>2</v>
      </c>
      <c r="H22" s="68">
        <f t="array" ref="H22">_xlfn.XLOOKUP(B22,'Up Max'!A:A,'Up Max'!B:B,)</f>
        <v>2</v>
      </c>
      <c r="I22" s="39" t="str">
        <f t="array" ref="I22">_xlfn.XLOOKUP(B22,'Up Stats'!A:A,'Up Stats'!C:C,)</f>
        <v/>
      </c>
      <c r="J22" s="40" t="str">
        <f>IFERROR(__xludf.DUMMYFUNCTION("if(AND(K22=FALSE,L22=FALSE),,if(K22=L22,JOIN("""",""Static: "",K22),JOIN("""",""Min:  "",K22, CHAR(10),""Max: "",L22)))"),"")</f>
        <v/>
      </c>
      <c r="K22" s="42" t="str">
        <f t="array" ref="K22">_xlfn.XLOOKUP(B22,'Up Min'!A:A,'Up Min'!C:C,)</f>
        <v/>
      </c>
      <c r="L22" s="42" t="str">
        <f t="array" ref="L22">_xlfn.XLOOKUP(B22,'Up Max'!A:A,'Up Max'!C:C,)</f>
        <v/>
      </c>
      <c r="M22" s="48" t="str">
        <f t="array" ref="M22">_xlfn.XLOOKUP(B22,'Up Stats'!A:A,'Up Stats'!D:D,)</f>
        <v/>
      </c>
      <c r="N22" s="40" t="str">
        <f>IFERROR(__xludf.DUMMYFUNCTION("if(AND(O22=FALSE,P22=FALSE),,if(O22=P22,JOIN("""",""Static: "",O22),JOIN("""",""Min:  "",O22, CHAR(10),""Max: "",P22)))"),"")</f>
        <v/>
      </c>
      <c r="O22" s="42" t="str">
        <f t="array" ref="O22">_xlfn.XLOOKUP(B22,'Up Min'!A:A,'Up Min'!D:D,)</f>
        <v/>
      </c>
      <c r="P22" s="42" t="str">
        <f t="array" ref="P22">_xlfn.XLOOKUP(B22,'Up Max'!A:A,'Up Max'!D:D,)</f>
        <v/>
      </c>
      <c r="Q22" s="48" t="str">
        <f t="array" ref="Q22">_xlfn.XLOOKUP(B22,'Up Stats'!A:A,'Up Stats'!E:E,)</f>
        <v/>
      </c>
      <c r="R22" s="40" t="str">
        <f>IFERROR(__xludf.DUMMYFUNCTION("if(AND(S22=FALSE,T22=FALSE),,if(S22=T22,JOIN("""",""Static: "",S22),JOIN("""",""Min:  "",S22, CHAR(10),""Max: "",T22)))"),"")</f>
        <v/>
      </c>
      <c r="S22" s="42" t="str">
        <f t="array" ref="S22">_xlfn.XLOOKUP(B22,'Up Min'!A:A,'Up Min'!E:E,)</f>
        <v/>
      </c>
      <c r="T22" s="42" t="str">
        <f t="array" ref="T22">_xlfn.XLOOKUP(B22,'Up Max'!A:A,'Up Max'!E:E,)</f>
        <v/>
      </c>
      <c r="U22" s="48" t="str">
        <f t="array" ref="U22">_xlfn.XLOOKUP(B22,'Up Stats'!A:A,'Up Stats'!F:F,)</f>
        <v/>
      </c>
      <c r="V22" s="40" t="str">
        <f>IFERROR(__xludf.DUMMYFUNCTION("if(AND(W22=FALSE,X22=FALSE),,if(W22=X22,JOIN("""",""Static: "",W22),JOIN("""",""Min:  "",W22, CHAR(10),""Max: "",X22)))"),"")</f>
        <v/>
      </c>
      <c r="W22" s="42" t="str">
        <f t="array" ref="W22">_xlfn.XLOOKUP(B22,'Up Min'!A:A,'Up Min'!F:F,)</f>
        <v/>
      </c>
      <c r="X22" s="42" t="str">
        <f t="array" ref="X22">_xlfn.XLOOKUP(B22,'Up Max'!A:A,'Up Max'!F:F,)</f>
        <v/>
      </c>
      <c r="Y22" s="48" t="str">
        <f t="array" ref="Y22">_xlfn.XLOOKUP(B22,'Up Stats'!A:A,'Up Stats'!G:G,)</f>
        <v/>
      </c>
      <c r="Z22" s="40" t="str">
        <f>IFERROR(__xludf.DUMMYFUNCTION("if(AND(AA22=FALSE,AB22=FALSE),,if(AA22=AB22,JOIN("""",""Static: "",AA22),JOIN("""",""Min:  "",AA22, CHAR(10),""Max: "",AB22)))"),"")</f>
        <v/>
      </c>
      <c r="AA22" s="42" t="str">
        <f t="array" ref="AA22">_xlfn.XLOOKUP(B22,'Up Min'!A:A,'Up Min'!G:G,)</f>
        <v/>
      </c>
      <c r="AB22" s="42" t="str">
        <f t="array" ref="AB22">_xlfn.XLOOKUP(B22,'Up Max'!A:A,'Up Max'!G:G,)</f>
        <v/>
      </c>
      <c r="AC22" s="48" t="str">
        <f t="array" ref="AC22">_xlfn.XLOOKUP(B22,'Up Stats'!A:A,'Up Stats'!H:H,)</f>
        <v/>
      </c>
      <c r="AD22" s="40" t="str">
        <f>IFERROR(__xludf.DUMMYFUNCTION("if(AND(AE22=FALSE,AF22=FALSE),,if(AE22=AF22,JOIN("""",""Static: "",AE22),JOIN("""",""Min:  "",AE22, CHAR(10),""Max: "",AF22)))"),"")</f>
        <v/>
      </c>
      <c r="AE22" s="42" t="str">
        <f t="array" ref="AE22">_xlfn.XLOOKUP(B22,'Up Min'!A:A,'Up Min'!H:H,)</f>
        <v/>
      </c>
      <c r="AF22" s="42" t="str">
        <f t="array" ref="AF22">_xlfn.XLOOKUP(B22,'Up Max'!A:A,'Up Max'!H:H,)</f>
        <v/>
      </c>
      <c r="AG22" s="48" t="str">
        <f t="array" ref="AG22">_xlfn.XLOOKUP(B22,'Up Stats'!A:A,'Up Stats'!I:I,)</f>
        <v/>
      </c>
      <c r="AH22" s="40" t="str">
        <f>IFERROR(__xludf.DUMMYFUNCTION("if(AND(AI22=FALSE,AJ22=FALSE),,if(AI22=AJ22,JOIN("""",""Static: "",AI22),JOIN("""",""Min:  "",AI22, CHAR(10),""Max: "",AJ22)))"),"")</f>
        <v/>
      </c>
      <c r="AI22" s="42" t="str">
        <f t="array" ref="AI22">_xlfn.XLOOKUP(B22,'Up Min'!A:A,'Up Min'!I:I,)</f>
        <v/>
      </c>
      <c r="AJ22" s="42" t="str">
        <f t="array" ref="AJ22">_xlfn.XLOOKUP(B22,'Up Max'!A:A,'Up Max'!I:I,)</f>
        <v/>
      </c>
      <c r="AK22" s="48" t="str">
        <f t="array" ref="AK22">_xlfn.XLOOKUP(B22,'Up Stats'!A:A,'Up Stats'!J:J,)</f>
        <v/>
      </c>
      <c r="AL22" s="40" t="str">
        <f>IFERROR(__xludf.DUMMYFUNCTION("if(AND(AM22=FALSE,AN22=FALSE),,if(AM22=AN22,JOIN("""",""Static: "",AM22),JOIN("""",""Min:  "",AM22, CHAR(10),""Max: "",AN22)))"),"")</f>
        <v/>
      </c>
      <c r="AM22" s="42" t="str">
        <f t="array" ref="AM22">_xlfn.XLOOKUP(B22,'Up Min'!A:A,'Up Min'!J:J,)</f>
        <v/>
      </c>
      <c r="AN22" s="42" t="str">
        <f t="array" ref="AN22">_xlfn.XLOOKUP(B22,'Up Max'!A:A,'Up Max'!J:J,)</f>
        <v/>
      </c>
      <c r="AO22" s="34" t="str">
        <f t="array" ref="AO22">CONCATENATE(_xlfn.XLOOKUP(B22,'Up Cells'!A:A,'Up Cells'!B:B,))</f>
        <v>6</v>
      </c>
      <c r="AP22" s="34" t="str">
        <f t="array" ref="AP22">CONCATENATE(_xlfn.XLOOKUP(B22,'Up Rarity'!A:A,'Up Rarity'!B:B,),CHAR(10),"-")</f>
        <v>Rare
-</v>
      </c>
    </row>
    <row r="23">
      <c r="A23" s="83" t="str">
        <f t="array" ref="A23">_xlfn.XLOOKUP(B23,'Up Icon'!A:A,'Up Icon'!B:B,)</f>
        <v/>
      </c>
      <c r="B23" s="88" t="str">
        <f t="array" ref="B23">HYPERLINK(_xlfn.XLOOKUP('Up Names'!G20,'Up Wiki'!A:A,'Up Wiki'!B:B,),'Up Names'!G20)</f>
        <v>Higher Caliber</v>
      </c>
      <c r="C23" s="70" t="str">
        <f t="array" ref="C23">_xlfn.XLOOKUP(B23,'Up Desc'!A:A,'Up Desc'!B:B,)</f>
        <v>Explosion size is increased, but fire rate is decreased.</v>
      </c>
      <c r="D23" s="52" t="str">
        <f t="array" ref="D23">_xlfn.XLOOKUP(B23,'Up Turbo'!A:A,'Up Turbo'!B:B,)</f>
        <v>n/a</v>
      </c>
      <c r="E23" s="53" t="str">
        <f t="array" ref="E23">_xlfn.XLOOKUP(B23,'Up Stats'!A:A,'Up Stats'!B:B,)</f>
        <v>Fire Rate</v>
      </c>
      <c r="F23" s="54" t="str">
        <f>IFERROR(__xludf.DUMMYFUNCTION("if(AND(G23=FALSE,H23=FALSE),,if(G23=H23,JOIN("""",""Static: "",G23),JOIN("""",""Min:  "",G23, CHAR(10),""Max: "",H23)))"),"Min:  -16.67%
Max: -23.08%")</f>
        <v>Min:  -16.67%
Max: -23.08%</v>
      </c>
      <c r="G23" s="71">
        <f t="array" ref="G23">_xlfn.XLOOKUP(B23,'Up Min'!A:A,'Up Min'!B:B,)</f>
        <v>-0.1667</v>
      </c>
      <c r="H23" s="71">
        <f t="array" ref="H23">_xlfn.XLOOKUP(B23,'Up Max'!A:A,'Up Max'!B:B,)</f>
        <v>-0.2308</v>
      </c>
      <c r="I23" s="53" t="str">
        <f t="array" ref="I23">_xlfn.XLOOKUP(B23,'Up Stats'!A:A,'Up Stats'!C:C,)</f>
        <v>Explosion Size</v>
      </c>
      <c r="J23" s="54" t="str">
        <f>IFERROR(__xludf.DUMMYFUNCTION("if(AND(K23=FALSE,L23=FALSE),,if(K23=L23,JOIN("""",""Static: "",K23),JOIN("""",""Min:  "",K23, CHAR(10),""Max: "",L23)))"),"Min:  0.55
Max: 0.7")</f>
        <v>Min:  0.55
Max: 0.7</v>
      </c>
      <c r="K23" s="65">
        <f t="array" ref="K23">_xlfn.XLOOKUP(B23,'Up Min'!A:A,'Up Min'!C:C,)</f>
        <v>0.55</v>
      </c>
      <c r="L23" s="64">
        <f t="array" ref="L23">_xlfn.XLOOKUP(B23,'Up Max'!A:A,'Up Max'!C:C,)</f>
        <v>0.7</v>
      </c>
      <c r="M23" s="53" t="str">
        <f t="array" ref="M23">_xlfn.XLOOKUP(B23,'Up Stats'!A:A,'Up Stats'!D:D,)</f>
        <v/>
      </c>
      <c r="N23" s="54" t="str">
        <f>IFERROR(__xludf.DUMMYFUNCTION("if(AND(O23=FALSE,P23=FALSE),,if(O23=P23,JOIN("""",""Static: "",O23),JOIN("""",""Min:  "",O23, CHAR(10),""Max: "",P23)))"),"")</f>
        <v/>
      </c>
      <c r="O23" s="72" t="str">
        <f t="array" ref="O23">_xlfn.XLOOKUP(B23,'Up Min'!A:A,'Up Min'!D:D,)</f>
        <v/>
      </c>
      <c r="P23" s="72" t="str">
        <f t="array" ref="P23">_xlfn.XLOOKUP(B23,'Up Max'!A:A,'Up Max'!D:D,)</f>
        <v/>
      </c>
      <c r="Q23" s="57" t="str">
        <f t="array" ref="Q23">_xlfn.XLOOKUP(B23,'Up Stats'!A:A,'Up Stats'!E:E,)</f>
        <v/>
      </c>
      <c r="R23" s="54" t="str">
        <f>IFERROR(__xludf.DUMMYFUNCTION("if(AND(S23=FALSE,T23=FALSE),,if(S23=T23,JOIN("""",""Static: "",S23),JOIN("""",""Min:  "",S23, CHAR(10),""Max: "",T23)))"),"")</f>
        <v/>
      </c>
      <c r="S23" s="55" t="str">
        <f t="array" ref="S23">_xlfn.XLOOKUP(B23,'Up Min'!A:A,'Up Min'!E:E,)</f>
        <v/>
      </c>
      <c r="T23" s="55" t="str">
        <f t="array" ref="T23">_xlfn.XLOOKUP(B23,'Up Max'!A:A,'Up Max'!E:E,)</f>
        <v/>
      </c>
      <c r="U23" s="57" t="str">
        <f t="array" ref="U23">_xlfn.XLOOKUP(B23,'Up Stats'!A:A,'Up Stats'!F:F,)</f>
        <v/>
      </c>
      <c r="V23" s="54" t="str">
        <f>IFERROR(__xludf.DUMMYFUNCTION("if(AND(W23=FALSE,X23=FALSE),,if(W23=X23,JOIN("""",""Static: "",W23),JOIN("""",""Min:  "",W23, CHAR(10),""Max: "",X23)))"),"")</f>
        <v/>
      </c>
      <c r="W23" s="55" t="str">
        <f t="array" ref="W23">_xlfn.XLOOKUP(B23,'Up Min'!A:A,'Up Min'!F:F,)</f>
        <v/>
      </c>
      <c r="X23" s="55" t="str">
        <f t="array" ref="X23">_xlfn.XLOOKUP(B23,'Up Max'!A:A,'Up Max'!F:F,)</f>
        <v/>
      </c>
      <c r="Y23" s="57" t="str">
        <f t="array" ref="Y23">_xlfn.XLOOKUP(B23,'Up Stats'!A:A,'Up Stats'!G:G,)</f>
        <v/>
      </c>
      <c r="Z23" s="54" t="str">
        <f>IFERROR(__xludf.DUMMYFUNCTION("if(AND(AA23=FALSE,AB23=FALSE),,if(AA23=AB23,JOIN("""",""Static: "",AA23),JOIN("""",""Min:  "",AA23, CHAR(10),""Max: "",AB23)))"),"")</f>
        <v/>
      </c>
      <c r="AA23" s="55" t="str">
        <f t="array" ref="AA23">_xlfn.XLOOKUP(B23,'Up Min'!A:A,'Up Min'!G:G,)</f>
        <v/>
      </c>
      <c r="AB23" s="55" t="str">
        <f t="array" ref="AB23">_xlfn.XLOOKUP(B23,'Up Max'!A:A,'Up Max'!G:G,)</f>
        <v/>
      </c>
      <c r="AC23" s="57" t="str">
        <f t="array" ref="AC23">_xlfn.XLOOKUP(B23,'Up Stats'!A:A,'Up Stats'!H:H,)</f>
        <v/>
      </c>
      <c r="AD23" s="54" t="str">
        <f>IFERROR(__xludf.DUMMYFUNCTION("if(AND(AE23=FALSE,AF23=FALSE),,if(AE23=AF23,JOIN("""",""Static: "",AE23),JOIN("""",""Min:  "",AE23, CHAR(10),""Max: "",AF23)))"),"")</f>
        <v/>
      </c>
      <c r="AE23" s="55" t="str">
        <f t="array" ref="AE23">_xlfn.XLOOKUP(B23,'Up Min'!A:A,'Up Min'!H:H,)</f>
        <v/>
      </c>
      <c r="AF23" s="55" t="str">
        <f t="array" ref="AF23">_xlfn.XLOOKUP(B23,'Up Max'!A:A,'Up Max'!H:H,)</f>
        <v/>
      </c>
      <c r="AG23" s="57" t="str">
        <f t="array" ref="AG23">_xlfn.XLOOKUP(B23,'Up Stats'!A:A,'Up Stats'!I:I,)</f>
        <v/>
      </c>
      <c r="AH23" s="54" t="str">
        <f>IFERROR(__xludf.DUMMYFUNCTION("if(AND(AI23=FALSE,AJ23=FALSE),,if(AI23=AJ23,JOIN("""",""Static: "",AI23),JOIN("""",""Min:  "",AI23, CHAR(10),""Max: "",AJ23)))"),"")</f>
        <v/>
      </c>
      <c r="AI23" s="55" t="str">
        <f t="array" ref="AI23">_xlfn.XLOOKUP(B23,'Up Min'!A:A,'Up Min'!I:I,)</f>
        <v/>
      </c>
      <c r="AJ23" s="55" t="str">
        <f t="array" ref="AJ23">_xlfn.XLOOKUP(B23,'Up Max'!A:A,'Up Max'!I:I,)</f>
        <v/>
      </c>
      <c r="AK23" s="57" t="str">
        <f t="array" ref="AK23">_xlfn.XLOOKUP(B23,'Up Stats'!A:A,'Up Stats'!J:J,)</f>
        <v/>
      </c>
      <c r="AL23" s="54" t="str">
        <f>IFERROR(__xludf.DUMMYFUNCTION("if(AND(AM23=FALSE,AN23=FALSE),,if(AM23=AN23,JOIN("""",""Static: "",AM23),JOIN("""",""Min:  "",AM23, CHAR(10),""Max: "",AN23)))"),"")</f>
        <v/>
      </c>
      <c r="AM23" s="55" t="str">
        <f t="array" ref="AM23">_xlfn.XLOOKUP(B23,'Up Min'!A:A,'Up Min'!J:J,)</f>
        <v/>
      </c>
      <c r="AN23" s="55" t="str">
        <f t="array" ref="AN23">_xlfn.XLOOKUP(B23,'Up Max'!A:A,'Up Max'!J:J,)</f>
        <v/>
      </c>
      <c r="AO23" s="51" t="str">
        <f t="array" ref="AO23">CONCATENATE(_xlfn.XLOOKUP(B23,'Up Cells'!A:A,'Up Cells'!B:B,))</f>
        <v>8</v>
      </c>
      <c r="AP23" s="51" t="str">
        <f t="array" ref="AP23">CONCATENATE(_xlfn.XLOOKUP(B23,'Up Rarity'!A:A,'Up Rarity'!B:B,),CHAR(10),"-")</f>
        <v>Rare
-</v>
      </c>
    </row>
    <row r="24">
      <c r="A24" s="83" t="str">
        <f t="array" ref="A24">_xlfn.XLOOKUP(B24,'Up Icon'!A:A,'Up Icon'!B:B,)</f>
        <v/>
      </c>
      <c r="B24" s="89" t="str">
        <f t="array" ref="B24">HYPERLINK(_xlfn.XLOOKUP('Up Names'!G21,'Up Wiki'!A:A,'Up Wiki'!B:B,),'Up Names'!G21)</f>
        <v>Hold-Plating</v>
      </c>
      <c r="C24" s="67" t="str">
        <f t="array" ref="C24">_xlfn.XLOOKUP(B24,'Up Desc'!A:A,'Up Desc'!B:B,)</f>
        <v>Gain damage resistance while firing.</v>
      </c>
      <c r="D24" s="37" t="str">
        <f t="array" ref="D24">_xlfn.XLOOKUP(B24,'Up Turbo'!A:A,'Up Turbo'!B:B,)</f>
        <v>n/a</v>
      </c>
      <c r="E24" s="39" t="str">
        <f t="array" ref="E24">_xlfn.XLOOKUP(B24,'Up Stats'!A:A,'Up Stats'!B:B,)</f>
        <v>Damage Resistance</v>
      </c>
      <c r="F24" s="40" t="str">
        <f>IFERROR(__xludf.DUMMYFUNCTION("if(AND(G24=FALSE,H24=FALSE),,if(G24=H24,JOIN("""",""Static: "",G24),JOIN("""",""Min:  "",G24, CHAR(10),""Max: "",H24)))"),"Min:  15%
Max: 30%")</f>
        <v>Min:  15%
Max: 30%</v>
      </c>
      <c r="G24" s="41">
        <f t="array" ref="G24">_xlfn.XLOOKUP(B24,'Up Min'!A:A,'Up Min'!B:B,)</f>
        <v>0.15</v>
      </c>
      <c r="H24" s="41">
        <f t="array" ref="H24">_xlfn.XLOOKUP(B24,'Up Max'!A:A,'Up Max'!B:B,)</f>
        <v>0.3</v>
      </c>
      <c r="I24" s="39" t="str">
        <f t="array" ref="I24">_xlfn.XLOOKUP(B24,'Up Stats'!A:A,'Up Stats'!C:C,)</f>
        <v/>
      </c>
      <c r="J24" s="40" t="str">
        <f>IFERROR(__xludf.DUMMYFUNCTION("if(AND(K24=FALSE,L24=FALSE),,if(K24=L24,JOIN("""",""Static: "",K24),JOIN("""",""Min:  "",K24, CHAR(10),""Max: "",L24)))"),"")</f>
        <v/>
      </c>
      <c r="K24" s="42" t="str">
        <f t="array" ref="K24">_xlfn.XLOOKUP(B24,'Up Min'!A:A,'Up Min'!C:C,)</f>
        <v/>
      </c>
      <c r="L24" s="42" t="str">
        <f t="array" ref="L24">_xlfn.XLOOKUP(B24,'Up Max'!A:A,'Up Max'!C:C,)</f>
        <v/>
      </c>
      <c r="M24" s="48" t="str">
        <f t="array" ref="M24">_xlfn.XLOOKUP(B24,'Up Stats'!A:A,'Up Stats'!D:D,)</f>
        <v/>
      </c>
      <c r="N24" s="40" t="str">
        <f>IFERROR(__xludf.DUMMYFUNCTION("if(AND(O24=FALSE,P24=FALSE),,if(O24=P24,JOIN("""",""Static: "",O24),JOIN("""",""Min:  "",O24, CHAR(10),""Max: "",P24)))"),"")</f>
        <v/>
      </c>
      <c r="O24" s="42" t="str">
        <f t="array" ref="O24">_xlfn.XLOOKUP(B24,'Up Min'!A:A,'Up Min'!D:D,)</f>
        <v/>
      </c>
      <c r="P24" s="42" t="str">
        <f t="array" ref="P24">_xlfn.XLOOKUP(B24,'Up Max'!A:A,'Up Max'!D:D,)</f>
        <v/>
      </c>
      <c r="Q24" s="48" t="str">
        <f t="array" ref="Q24">_xlfn.XLOOKUP(B24,'Up Stats'!A:A,'Up Stats'!E:E,)</f>
        <v/>
      </c>
      <c r="R24" s="40" t="str">
        <f>IFERROR(__xludf.DUMMYFUNCTION("if(AND(S24=FALSE,T24=FALSE),,if(S24=T24,JOIN("""",""Static: "",S24),JOIN("""",""Min:  "",S24, CHAR(10),""Max: "",T24)))"),"")</f>
        <v/>
      </c>
      <c r="S24" s="42" t="str">
        <f t="array" ref="S24">_xlfn.XLOOKUP(B24,'Up Min'!A:A,'Up Min'!E:E,)</f>
        <v/>
      </c>
      <c r="T24" s="42" t="str">
        <f t="array" ref="T24">_xlfn.XLOOKUP(B24,'Up Max'!A:A,'Up Max'!E:E,)</f>
        <v/>
      </c>
      <c r="U24" s="48" t="str">
        <f t="array" ref="U24">_xlfn.XLOOKUP(B24,'Up Stats'!A:A,'Up Stats'!F:F,)</f>
        <v/>
      </c>
      <c r="V24" s="40" t="str">
        <f>IFERROR(__xludf.DUMMYFUNCTION("if(AND(W24=FALSE,X24=FALSE),,if(W24=X24,JOIN("""",""Static: "",W24),JOIN("""",""Min:  "",W24, CHAR(10),""Max: "",X24)))"),"")</f>
        <v/>
      </c>
      <c r="W24" s="42" t="str">
        <f t="array" ref="W24">_xlfn.XLOOKUP(B24,'Up Min'!A:A,'Up Min'!F:F,)</f>
        <v/>
      </c>
      <c r="X24" s="42" t="str">
        <f t="array" ref="X24">_xlfn.XLOOKUP(B24,'Up Max'!A:A,'Up Max'!F:F,)</f>
        <v/>
      </c>
      <c r="Y24" s="48" t="str">
        <f t="array" ref="Y24">_xlfn.XLOOKUP(B24,'Up Stats'!A:A,'Up Stats'!G:G,)</f>
        <v/>
      </c>
      <c r="Z24" s="40" t="str">
        <f>IFERROR(__xludf.DUMMYFUNCTION("if(AND(AA24=FALSE,AB24=FALSE),,if(AA24=AB24,JOIN("""",""Static: "",AA24),JOIN("""",""Min:  "",AA24, CHAR(10),""Max: "",AB24)))"),"")</f>
        <v/>
      </c>
      <c r="AA24" s="42" t="str">
        <f t="array" ref="AA24">_xlfn.XLOOKUP(B24,'Up Min'!A:A,'Up Min'!G:G,)</f>
        <v/>
      </c>
      <c r="AB24" s="42" t="str">
        <f t="array" ref="AB24">_xlfn.XLOOKUP(B24,'Up Max'!A:A,'Up Max'!G:G,)</f>
        <v/>
      </c>
      <c r="AC24" s="48" t="str">
        <f t="array" ref="AC24">_xlfn.XLOOKUP(B24,'Up Stats'!A:A,'Up Stats'!H:H,)</f>
        <v/>
      </c>
      <c r="AD24" s="40" t="str">
        <f>IFERROR(__xludf.DUMMYFUNCTION("if(AND(AE24=FALSE,AF24=FALSE),,if(AE24=AF24,JOIN("""",""Static: "",AE24),JOIN("""",""Min:  "",AE24, CHAR(10),""Max: "",AF24)))"),"")</f>
        <v/>
      </c>
      <c r="AE24" s="42" t="str">
        <f t="array" ref="AE24">_xlfn.XLOOKUP(B24,'Up Min'!A:A,'Up Min'!H:H,)</f>
        <v/>
      </c>
      <c r="AF24" s="42" t="str">
        <f t="array" ref="AF24">_xlfn.XLOOKUP(B24,'Up Max'!A:A,'Up Max'!H:H,)</f>
        <v/>
      </c>
      <c r="AG24" s="48" t="str">
        <f t="array" ref="AG24">_xlfn.XLOOKUP(B24,'Up Stats'!A:A,'Up Stats'!I:I,)</f>
        <v/>
      </c>
      <c r="AH24" s="40" t="str">
        <f>IFERROR(__xludf.DUMMYFUNCTION("if(AND(AI24=FALSE,AJ24=FALSE),,if(AI24=AJ24,JOIN("""",""Static: "",AI24),JOIN("""",""Min:  "",AI24, CHAR(10),""Max: "",AJ24)))"),"")</f>
        <v/>
      </c>
      <c r="AI24" s="42" t="str">
        <f t="array" ref="AI24">_xlfn.XLOOKUP(B24,'Up Min'!A:A,'Up Min'!I:I,)</f>
        <v/>
      </c>
      <c r="AJ24" s="42" t="str">
        <f t="array" ref="AJ24">_xlfn.XLOOKUP(B24,'Up Max'!A:A,'Up Max'!I:I,)</f>
        <v/>
      </c>
      <c r="AK24" s="48" t="str">
        <f t="array" ref="AK24">_xlfn.XLOOKUP(B24,'Up Stats'!A:A,'Up Stats'!J:J,)</f>
        <v/>
      </c>
      <c r="AL24" s="40" t="str">
        <f>IFERROR(__xludf.DUMMYFUNCTION("if(AND(AM24=FALSE,AN24=FALSE),,if(AM24=AN24,JOIN("""",""Static: "",AM24),JOIN("""",""Min:  "",AM24, CHAR(10),""Max: "",AN24)))"),"")</f>
        <v/>
      </c>
      <c r="AM24" s="42" t="str">
        <f t="array" ref="AM24">_xlfn.XLOOKUP(B24,'Up Min'!A:A,'Up Min'!J:J,)</f>
        <v/>
      </c>
      <c r="AN24" s="42" t="str">
        <f t="array" ref="AN24">_xlfn.XLOOKUP(B24,'Up Max'!A:A,'Up Max'!J:J,)</f>
        <v/>
      </c>
      <c r="AO24" s="34" t="str">
        <f t="array" ref="AO24">CONCATENATE(_xlfn.XLOOKUP(B24,'Up Cells'!A:A,'Up Cells'!B:B,))</f>
        <v>5</v>
      </c>
      <c r="AP24" s="34" t="str">
        <f t="array" ref="AP24">CONCATENATE(_xlfn.XLOOKUP(B24,'Up Rarity'!A:A,'Up Rarity'!B:B,),CHAR(10),"-")</f>
        <v>Rare
-</v>
      </c>
    </row>
    <row r="25">
      <c r="A25" s="83" t="str">
        <f t="array" ref="A25">_xlfn.XLOOKUP(B25,'Up Icon'!A:A,'Up Icon'!B:B,)</f>
        <v/>
      </c>
      <c r="B25" s="88" t="str">
        <f t="array" ref="B25">HYPERLINK(_xlfn.XLOOKUP('Up Names'!G22,'Up Wiki'!A:A,'Up Wiki'!B:B,),'Up Names'!G22)</f>
        <v>Industrial Feed Mechanism</v>
      </c>
      <c r="C25" s="70" t="str">
        <f t="array" ref="C25">_xlfn.XLOOKUP(B25,'Up Desc'!A:A,'Up Desc'!B:B,)</f>
        <v>Magazine size is much larger. Max fire rate is increased, but barrels take longer to spin up.</v>
      </c>
      <c r="D25" s="52" t="str">
        <f t="array" ref="D25">_xlfn.XLOOKUP(B25,'Up Turbo'!A:A,'Up Turbo'!B:B,)</f>
        <v>n/a</v>
      </c>
      <c r="E25" s="53" t="str">
        <f t="array" ref="E25">_xlfn.XLOOKUP(B25,'Up Stats'!A:A,'Up Stats'!B:B,)</f>
        <v>Magazine Size</v>
      </c>
      <c r="F25" s="54" t="str">
        <f>IFERROR(__xludf.DUMMYFUNCTION("if(AND(G25=FALSE,H25=FALSE),,if(G25=H25,JOIN("""",""Static: "",G25),JOIN("""",""Min:  "",G25, CHAR(10),""Max: "",H25)))"),"Min:  80%
Max: 120%")</f>
        <v>Min:  80%
Max: 120%</v>
      </c>
      <c r="G25" s="59">
        <f t="array" ref="G25">_xlfn.XLOOKUP(B25,'Up Min'!A:A,'Up Min'!B:B,)</f>
        <v>0.8</v>
      </c>
      <c r="H25" s="59">
        <f t="array" ref="H25">_xlfn.XLOOKUP(B25,'Up Max'!A:A,'Up Max'!B:B,)</f>
        <v>1.2</v>
      </c>
      <c r="I25" s="53" t="str">
        <f t="array" ref="I25">_xlfn.XLOOKUP(B25,'Up Stats'!A:A,'Up Stats'!C:C,)</f>
        <v>Fire Rate</v>
      </c>
      <c r="J25" s="54" t="str">
        <f>IFERROR(__xludf.DUMMYFUNCTION("if(AND(K25=FALSE,L25=FALSE),,if(K25=L25,JOIN("""",""Static: "",K25),JOIN("""",""Min:  "",K25, CHAR(10),""Max: "",L25)))"),"Static: -23.08%")</f>
        <v>Static: -23.08%</v>
      </c>
      <c r="K25" s="71">
        <f t="array" ref="K25">_xlfn.XLOOKUP(B25,'Up Min'!A:A,'Up Min'!C:C,)</f>
        <v>-0.2308</v>
      </c>
      <c r="L25" s="71">
        <f t="array" ref="L25">_xlfn.XLOOKUP(B25,'Up Max'!A:A,'Up Max'!C:C,)</f>
        <v>-0.2308</v>
      </c>
      <c r="M25" s="53" t="str">
        <f t="array" ref="M25">_xlfn.XLOOKUP(B25,'Up Stats'!A:A,'Up Stats'!D:D,)</f>
        <v>Max Fire Rate</v>
      </c>
      <c r="N25" s="54" t="str">
        <f>IFERROR(__xludf.DUMMYFUNCTION("if(AND(O25=FALSE,P25=FALSE),,if(O25=P25,JOIN("""",""Static: "",O25),JOIN("""",""Min:  "",O25, CHAR(10),""Max: "",P25)))"),"Min:  53.85%
Max: 28.21%")</f>
        <v>Min:  53.85%
Max: 28.21%</v>
      </c>
      <c r="O25" s="71">
        <f t="array" ref="O25">_xlfn.XLOOKUP(B25,'Up Min'!A:A,'Up Min'!D:D,)</f>
        <v>0.5385</v>
      </c>
      <c r="P25" s="71">
        <f t="array" ref="P25">_xlfn.XLOOKUP(B25,'Up Max'!A:A,'Up Max'!D:D,)</f>
        <v>0.2821</v>
      </c>
      <c r="Q25" s="57" t="str">
        <f t="array" ref="Q25">_xlfn.XLOOKUP(B25,'Up Stats'!A:A,'Up Stats'!E:E,)</f>
        <v>Spin Up Speed</v>
      </c>
      <c r="R25" s="54" t="str">
        <f>IFERROR(__xludf.DUMMYFUNCTION("if(AND(S25=FALSE,T25=FALSE),,if(S25=T25,JOIN("""",""Static: "",S25),JOIN("""",""Min:  "",S25, CHAR(10),""Max: "",T25)))"),"Min:  -60%
Max: -40%")</f>
        <v>Min:  -60%
Max: -40%</v>
      </c>
      <c r="S25" s="59">
        <f t="array" ref="S25">_xlfn.XLOOKUP(B25,'Up Min'!A:A,'Up Min'!E:E,)</f>
        <v>-0.6</v>
      </c>
      <c r="T25" s="59">
        <f t="array" ref="T25">_xlfn.XLOOKUP(B25,'Up Max'!A:A,'Up Max'!E:E,)</f>
        <v>-0.4</v>
      </c>
      <c r="U25" s="53" t="str">
        <f t="array" ref="U25">_xlfn.XLOOKUP(B25,'Up Stats'!A:A,'Up Stats'!F:F,)</f>
        <v/>
      </c>
      <c r="V25" s="54" t="str">
        <f>IFERROR(__xludf.DUMMYFUNCTION("if(AND(W25=FALSE,X25=FALSE),,if(W25=X25,JOIN("""",""Static: "",W25),JOIN("""",""Min:  "",W25, CHAR(10),""Max: "",X25)))"),"")</f>
        <v/>
      </c>
      <c r="W25" s="56" t="str">
        <f t="array" ref="W25">_xlfn.XLOOKUP(B25,'Up Min'!A:A,'Up Min'!F:F,)</f>
        <v/>
      </c>
      <c r="X25" s="56" t="str">
        <f t="array" ref="X25">_xlfn.XLOOKUP(B25,'Up Max'!A:A,'Up Max'!F:F,)</f>
        <v/>
      </c>
      <c r="Y25" s="57" t="str">
        <f t="array" ref="Y25">_xlfn.XLOOKUP(B25,'Up Stats'!A:A,'Up Stats'!G:G,)</f>
        <v/>
      </c>
      <c r="Z25" s="54" t="str">
        <f>IFERROR(__xludf.DUMMYFUNCTION("if(AND(AA25=FALSE,AB25=FALSE),,if(AA25=AB25,JOIN("""",""Static: "",AA25),JOIN("""",""Min:  "",AA25, CHAR(10),""Max: "",AB25)))"),"")</f>
        <v/>
      </c>
      <c r="AA25" s="55" t="str">
        <f t="array" ref="AA25">_xlfn.XLOOKUP(B25,'Up Min'!A:A,'Up Min'!G:G,)</f>
        <v/>
      </c>
      <c r="AB25" s="55" t="str">
        <f t="array" ref="AB25">_xlfn.XLOOKUP(B25,'Up Max'!A:A,'Up Max'!G:G,)</f>
        <v/>
      </c>
      <c r="AC25" s="57" t="str">
        <f t="array" ref="AC25">_xlfn.XLOOKUP(B25,'Up Stats'!A:A,'Up Stats'!H:H,)</f>
        <v/>
      </c>
      <c r="AD25" s="54" t="str">
        <f>IFERROR(__xludf.DUMMYFUNCTION("if(AND(AE25=FALSE,AF25=FALSE),,if(AE25=AF25,JOIN("""",""Static: "",AE25),JOIN("""",""Min:  "",AE25, CHAR(10),""Max: "",AF25)))"),"")</f>
        <v/>
      </c>
      <c r="AE25" s="55" t="str">
        <f t="array" ref="AE25">_xlfn.XLOOKUP(B25,'Up Min'!A:A,'Up Min'!H:H,)</f>
        <v/>
      </c>
      <c r="AF25" s="55" t="str">
        <f t="array" ref="AF25">_xlfn.XLOOKUP(B25,'Up Max'!A:A,'Up Max'!H:H,)</f>
        <v/>
      </c>
      <c r="AG25" s="57" t="str">
        <f t="array" ref="AG25">_xlfn.XLOOKUP(B25,'Up Stats'!A:A,'Up Stats'!I:I,)</f>
        <v/>
      </c>
      <c r="AH25" s="54" t="str">
        <f>IFERROR(__xludf.DUMMYFUNCTION("if(AND(AI25=FALSE,AJ25=FALSE),,if(AI25=AJ25,JOIN("""",""Static: "",AI25),JOIN("""",""Min:  "",AI25, CHAR(10),""Max: "",AJ25)))"),"")</f>
        <v/>
      </c>
      <c r="AI25" s="55" t="str">
        <f t="array" ref="AI25">_xlfn.XLOOKUP(B25,'Up Min'!A:A,'Up Min'!I:I,)</f>
        <v/>
      </c>
      <c r="AJ25" s="55" t="str">
        <f t="array" ref="AJ25">_xlfn.XLOOKUP(B25,'Up Max'!A:A,'Up Max'!I:I,)</f>
        <v/>
      </c>
      <c r="AK25" s="57" t="str">
        <f t="array" ref="AK25">_xlfn.XLOOKUP(B25,'Up Stats'!A:A,'Up Stats'!J:J,)</f>
        <v/>
      </c>
      <c r="AL25" s="54" t="str">
        <f>IFERROR(__xludf.DUMMYFUNCTION("if(AND(AM25=FALSE,AN25=FALSE),,if(AM25=AN25,JOIN("""",""Static: "",AM25),JOIN("""",""Min:  "",AM25, CHAR(10),""Max: "",AN25)))"),"")</f>
        <v/>
      </c>
      <c r="AM25" s="55" t="str">
        <f t="array" ref="AM25">_xlfn.XLOOKUP(B25,'Up Min'!A:A,'Up Min'!J:J,)</f>
        <v/>
      </c>
      <c r="AN25" s="55" t="str">
        <f t="array" ref="AN25">_xlfn.XLOOKUP(B25,'Up Max'!A:A,'Up Max'!J:J,)</f>
        <v/>
      </c>
      <c r="AO25" s="51" t="str">
        <f t="array" ref="AO25">CONCATENATE(_xlfn.XLOOKUP(B25,'Up Cells'!A:A,'Up Cells'!B:B,))</f>
        <v>6</v>
      </c>
      <c r="AP25" s="51" t="str">
        <f t="array" ref="AP25">CONCATENATE(_xlfn.XLOOKUP(B25,'Up Rarity'!A:A,'Up Rarity'!B:B,),CHAR(10),"-")</f>
        <v>Rare
-</v>
      </c>
    </row>
    <row r="26">
      <c r="A26" s="83" t="str">
        <f t="array" ref="A26">_xlfn.XLOOKUP(B26,'Up Icon'!A:A,'Up Icon'!B:B,)</f>
        <v/>
      </c>
      <c r="B26" s="89" t="str">
        <f t="array" ref="B26">HYPERLINK(_xlfn.XLOOKUP('Up Names'!G23,'Up Wiki'!A:A,'Up Wiki'!B:B,),'Up Names'!G23)</f>
        <v>Overclocked Firing Chamber</v>
      </c>
      <c r="C26" s="67" t="str">
        <f t="array" ref="C26">_xlfn.XLOOKUP(B26,'Up Desc'!A:A,'Up Desc'!B:B,)</f>
        <v>Fire rate is greatly increased but damage is decreased.</v>
      </c>
      <c r="D26" s="37" t="str">
        <f t="array" ref="D26">_xlfn.XLOOKUP(B26,'Up Turbo'!A:A,'Up Turbo'!B:B,)</f>
        <v>n/a</v>
      </c>
      <c r="E26" s="39" t="str">
        <f t="array" ref="E26">_xlfn.XLOOKUP(B26,'Up Stats'!A:A,'Up Stats'!B:B,)</f>
        <v>Damage</v>
      </c>
      <c r="F26" s="40" t="str">
        <f>IFERROR(__xludf.DUMMYFUNCTION("if(AND(G26=FALSE,H26=FALSE),,if(G26=H26,JOIN("""",""Static: "",G26),JOIN("""",""Min:  "",G26, CHAR(10),""Max: "",H26)))"),"Min:  -50%
Max: -30%")</f>
        <v>Min:  -50%
Max: -30%</v>
      </c>
      <c r="G26" s="41">
        <f t="array" ref="G26">_xlfn.XLOOKUP(B26,'Up Min'!A:A,'Up Min'!B:B,)</f>
        <v>-0.5</v>
      </c>
      <c r="H26" s="41">
        <f t="array" ref="H26">_xlfn.XLOOKUP(B26,'Up Max'!A:A,'Up Max'!B:B,)</f>
        <v>-0.3</v>
      </c>
      <c r="I26" s="39" t="str">
        <f t="array" ref="I26">_xlfn.XLOOKUP(B26,'Up Stats'!A:A,'Up Stats'!C:C,)</f>
        <v>Fire Rate</v>
      </c>
      <c r="J26" s="40" t="str">
        <f>IFERROR(__xludf.DUMMYFUNCTION("if(AND(K26=FALSE,L26=FALSE),,if(K26=L26,JOIN("""",""Static: "",K26),JOIN("""",""Min:  "",K26, CHAR(10),""Max: "",L26)))"),"Min:  58.73%
Max: 35.14%")</f>
        <v>Min:  58.73%
Max: 35.14%</v>
      </c>
      <c r="K26" s="78">
        <f t="array" ref="K26">_xlfn.XLOOKUP(B26,'Up Min'!A:A,'Up Min'!C:C,)</f>
        <v>0.5873</v>
      </c>
      <c r="L26" s="78">
        <f t="array" ref="L26">_xlfn.XLOOKUP(B26,'Up Max'!A:A,'Up Max'!C:C,)</f>
        <v>0.3514</v>
      </c>
      <c r="M26" s="39" t="str">
        <f t="array" ref="M26">_xlfn.XLOOKUP(B26,'Up Stats'!A:A,'Up Stats'!D:D,)</f>
        <v/>
      </c>
      <c r="N26" s="40" t="str">
        <f>IFERROR(__xludf.DUMMYFUNCTION("if(AND(O26=FALSE,P26=FALSE),,if(O26=P26,JOIN("""",""Static: "",O26),JOIN("""",""Min:  "",O26, CHAR(10),""Max: "",P26)))"),"")</f>
        <v/>
      </c>
      <c r="O26" s="42" t="str">
        <f t="array" ref="O26">_xlfn.XLOOKUP(B26,'Up Min'!A:A,'Up Min'!D:D,)</f>
        <v/>
      </c>
      <c r="P26" s="42" t="str">
        <f t="array" ref="P26">_xlfn.XLOOKUP(B26,'Up Max'!A:A,'Up Max'!D:D,)</f>
        <v/>
      </c>
      <c r="Q26" s="48" t="str">
        <f t="array" ref="Q26">_xlfn.XLOOKUP(B26,'Up Stats'!A:A,'Up Stats'!E:E,)</f>
        <v/>
      </c>
      <c r="R26" s="40" t="str">
        <f>IFERROR(__xludf.DUMMYFUNCTION("if(AND(S26=FALSE,T26=FALSE),,if(S26=T26,JOIN("""",""Static: "",S26),JOIN("""",""Min:  "",S26, CHAR(10),""Max: "",T26)))"),"")</f>
        <v/>
      </c>
      <c r="S26" s="42" t="str">
        <f t="array" ref="S26">_xlfn.XLOOKUP(B26,'Up Min'!A:A,'Up Min'!E:E,)</f>
        <v/>
      </c>
      <c r="T26" s="42" t="str">
        <f t="array" ref="T26">_xlfn.XLOOKUP(B26,'Up Max'!A:A,'Up Max'!E:E,)</f>
        <v/>
      </c>
      <c r="U26" s="48" t="str">
        <f t="array" ref="U26">_xlfn.XLOOKUP(B26,'Up Stats'!A:A,'Up Stats'!F:F,)</f>
        <v/>
      </c>
      <c r="V26" s="40" t="str">
        <f>IFERROR(__xludf.DUMMYFUNCTION("if(AND(W26=FALSE,X26=FALSE),,if(W26=X26,JOIN("""",""Static: "",W26),JOIN("""",""Min:  "",W26, CHAR(10),""Max: "",X26)))"),"")</f>
        <v/>
      </c>
      <c r="W26" s="42" t="str">
        <f t="array" ref="W26">_xlfn.XLOOKUP(B26,'Up Min'!A:A,'Up Min'!F:F,)</f>
        <v/>
      </c>
      <c r="X26" s="42" t="str">
        <f t="array" ref="X26">_xlfn.XLOOKUP(B26,'Up Max'!A:A,'Up Max'!F:F,)</f>
        <v/>
      </c>
      <c r="Y26" s="48" t="str">
        <f t="array" ref="Y26">_xlfn.XLOOKUP(B26,'Up Stats'!A:A,'Up Stats'!G:G,)</f>
        <v/>
      </c>
      <c r="Z26" s="40" t="str">
        <f>IFERROR(__xludf.DUMMYFUNCTION("if(AND(AA26=FALSE,AB26=FALSE),,if(AA26=AB26,JOIN("""",""Static: "",AA26),JOIN("""",""Min:  "",AA26, CHAR(10),""Max: "",AB26)))"),"")</f>
        <v/>
      </c>
      <c r="AA26" s="42" t="str">
        <f t="array" ref="AA26">_xlfn.XLOOKUP(B26,'Up Min'!A:A,'Up Min'!G:G,)</f>
        <v/>
      </c>
      <c r="AB26" s="42" t="str">
        <f t="array" ref="AB26">_xlfn.XLOOKUP(B26,'Up Max'!A:A,'Up Max'!G:G,)</f>
        <v/>
      </c>
      <c r="AC26" s="48" t="str">
        <f t="array" ref="AC26">_xlfn.XLOOKUP(B26,'Up Stats'!A:A,'Up Stats'!H:H,)</f>
        <v/>
      </c>
      <c r="AD26" s="40" t="str">
        <f>IFERROR(__xludf.DUMMYFUNCTION("if(AND(AE26=FALSE,AF26=FALSE),,if(AE26=AF26,JOIN("""",""Static: "",AE26),JOIN("""",""Min:  "",AE26, CHAR(10),""Max: "",AF26)))"),"")</f>
        <v/>
      </c>
      <c r="AE26" s="42" t="str">
        <f t="array" ref="AE26">_xlfn.XLOOKUP(B26,'Up Min'!A:A,'Up Min'!H:H,)</f>
        <v/>
      </c>
      <c r="AF26" s="42" t="str">
        <f t="array" ref="AF26">_xlfn.XLOOKUP(B26,'Up Max'!A:A,'Up Max'!H:H,)</f>
        <v/>
      </c>
      <c r="AG26" s="48" t="str">
        <f t="array" ref="AG26">_xlfn.XLOOKUP(B26,'Up Stats'!A:A,'Up Stats'!I:I,)</f>
        <v/>
      </c>
      <c r="AH26" s="40" t="str">
        <f>IFERROR(__xludf.DUMMYFUNCTION("if(AND(AI26=FALSE,AJ26=FALSE),,if(AI26=AJ26,JOIN("""",""Static: "",AI26),JOIN("""",""Min:  "",AI26, CHAR(10),""Max: "",AJ26)))"),"")</f>
        <v/>
      </c>
      <c r="AI26" s="42" t="str">
        <f t="array" ref="AI26">_xlfn.XLOOKUP(B26,'Up Min'!A:A,'Up Min'!I:I,)</f>
        <v/>
      </c>
      <c r="AJ26" s="42" t="str">
        <f t="array" ref="AJ26">_xlfn.XLOOKUP(B26,'Up Max'!A:A,'Up Max'!I:I,)</f>
        <v/>
      </c>
      <c r="AK26" s="48" t="str">
        <f t="array" ref="AK26">_xlfn.XLOOKUP(B26,'Up Stats'!A:A,'Up Stats'!J:J,)</f>
        <v/>
      </c>
      <c r="AL26" s="40" t="str">
        <f>IFERROR(__xludf.DUMMYFUNCTION("if(AND(AM26=FALSE,AN26=FALSE),,if(AM26=AN26,JOIN("""",""Static: "",AM26),JOIN("""",""Min:  "",AM26, CHAR(10),""Max: "",AN26)))"),"")</f>
        <v/>
      </c>
      <c r="AM26" s="42" t="str">
        <f t="array" ref="AM26">_xlfn.XLOOKUP(B26,'Up Min'!A:A,'Up Min'!J:J,)</f>
        <v/>
      </c>
      <c r="AN26" s="42" t="str">
        <f t="array" ref="AN26">_xlfn.XLOOKUP(B26,'Up Max'!A:A,'Up Max'!J:J,)</f>
        <v/>
      </c>
      <c r="AO26" s="34" t="str">
        <f t="array" ref="AO26">CONCATENATE(_xlfn.XLOOKUP(B26,'Up Cells'!A:A,'Up Cells'!B:B,))</f>
        <v>5</v>
      </c>
      <c r="AP26" s="34" t="str">
        <f t="array" ref="AP26">CONCATENATE(_xlfn.XLOOKUP(B26,'Up Rarity'!A:A,'Up Rarity'!B:B,),CHAR(10),"-")</f>
        <v>Rare
-</v>
      </c>
    </row>
    <row r="27">
      <c r="A27" s="83" t="str">
        <f t="array" ref="A27">_xlfn.XLOOKUP(B27,'Up Icon'!A:A,'Up Icon'!B:B,)</f>
        <v/>
      </c>
      <c r="B27" s="88" t="str">
        <f t="array" ref="B27">HYPERLINK(_xlfn.XLOOKUP('Up Names'!G24,'Up Wiki'!A:A,'Up Wiki'!B:B,),'Up Names'!G24)</f>
        <v>Sawed Off</v>
      </c>
      <c r="C27" s="70" t="str">
        <f t="array" ref="C27">_xlfn.XLOOKUP(B27,'Up Desc'!A:A,'Up Desc'!B:B,)</f>
        <v>Damage is increased, but so is spread.</v>
      </c>
      <c r="D27" s="52" t="str">
        <f t="array" ref="D27">_xlfn.XLOOKUP(B27,'Up Turbo'!A:A,'Up Turbo'!B:B,)</f>
        <v>n/a</v>
      </c>
      <c r="E27" s="53" t="str">
        <f t="array" ref="E27">_xlfn.XLOOKUP(B27,'Up Stats'!A:A,'Up Stats'!B:B,)</f>
        <v>Damage</v>
      </c>
      <c r="F27" s="54" t="str">
        <f>IFERROR(__xludf.DUMMYFUNCTION("if(AND(G27=FALSE,H27=FALSE),,if(G27=H27,JOIN("""",""Static: "",G27),JOIN("""",""Min:  "",G27, CHAR(10),""Max: "",H27)))"),"Min:  30%
Max: 50%")</f>
        <v>Min:  30%
Max: 50%</v>
      </c>
      <c r="G27" s="59">
        <f t="array" ref="G27">_xlfn.XLOOKUP(B27,'Up Min'!A:A,'Up Min'!B:B,)</f>
        <v>0.3</v>
      </c>
      <c r="H27" s="59">
        <f t="array" ref="H27">_xlfn.XLOOKUP(B27,'Up Max'!A:A,'Up Max'!B:B,)</f>
        <v>0.5</v>
      </c>
      <c r="I27" s="53" t="str">
        <f t="array" ref="I27">_xlfn.XLOOKUP(B27,'Up Stats'!A:A,'Up Stats'!C:C,)</f>
        <v>Horizontal Spread</v>
      </c>
      <c r="J27" s="54" t="str">
        <f>IFERROR(__xludf.DUMMYFUNCTION("if(AND(K27=FALSE,L27=FALSE),,if(K27=L27,JOIN("""",""Static: "",K27),JOIN("""",""Min:  "",K27, CHAR(10),""Max: "",L27)))"),"Min:  220%
Max: 330%")</f>
        <v>Min:  220%
Max: 330%</v>
      </c>
      <c r="K27" s="59">
        <f t="array" ref="K27">_xlfn.XLOOKUP(B27,'Up Min'!A:A,'Up Min'!C:C,)</f>
        <v>2.2</v>
      </c>
      <c r="L27" s="59">
        <f t="array" ref="L27">_xlfn.XLOOKUP(B27,'Up Max'!A:A,'Up Max'!C:C,)</f>
        <v>3.3</v>
      </c>
      <c r="M27" s="53" t="str">
        <f t="array" ref="M27">_xlfn.XLOOKUP(B27,'Up Stats'!A:A,'Up Stats'!D:D,)</f>
        <v>Vertical Spread</v>
      </c>
      <c r="N27" s="54" t="str">
        <f>IFERROR(__xludf.DUMMYFUNCTION("if(AND(O27=FALSE,P27=FALSE),,if(O27=P27,JOIN("""",""Static: "",O27),JOIN("""",""Min:  "",O27, CHAR(10),""Max: "",P27)))"),"Min:  220%
Max: 330%")</f>
        <v>Min:  220%
Max: 330%</v>
      </c>
      <c r="O27" s="59">
        <f t="array" ref="O27">_xlfn.XLOOKUP(B27,'Up Min'!A:A,'Up Min'!D:D,)</f>
        <v>2.2</v>
      </c>
      <c r="P27" s="59">
        <f t="array" ref="P27">_xlfn.XLOOKUP(B27,'Up Max'!A:A,'Up Max'!D:D,)</f>
        <v>3.3</v>
      </c>
      <c r="Q27" s="57" t="str">
        <f t="array" ref="Q27">_xlfn.XLOOKUP(B27,'Up Stats'!A:A,'Up Stats'!E:E,)</f>
        <v/>
      </c>
      <c r="R27" s="54" t="str">
        <f>IFERROR(__xludf.DUMMYFUNCTION("if(AND(S27=FALSE,T27=FALSE),,if(S27=T27,JOIN("""",""Static: "",S27),JOIN("""",""Min:  "",S27, CHAR(10),""Max: "",T27)))"),"")</f>
        <v/>
      </c>
      <c r="S27" s="56" t="str">
        <f t="array" ref="S27">_xlfn.XLOOKUP(B27,'Up Min'!A:A,'Up Min'!E:E,)</f>
        <v/>
      </c>
      <c r="T27" s="55" t="str">
        <f t="array" ref="T27">_xlfn.XLOOKUP(B27,'Up Max'!A:A,'Up Max'!E:E,)</f>
        <v/>
      </c>
      <c r="U27" s="57" t="str">
        <f t="array" ref="U27">_xlfn.XLOOKUP(B27,'Up Stats'!A:A,'Up Stats'!F:F,)</f>
        <v/>
      </c>
      <c r="V27" s="54" t="str">
        <f>IFERROR(__xludf.DUMMYFUNCTION("if(AND(W27=FALSE,X27=FALSE),,if(W27=X27,JOIN("""",""Static: "",W27),JOIN("""",""Min:  "",W27, CHAR(10),""Max: "",X27)))"),"")</f>
        <v/>
      </c>
      <c r="W27" s="55" t="str">
        <f t="array" ref="W27">_xlfn.XLOOKUP(B27,'Up Min'!A:A,'Up Min'!F:F,)</f>
        <v/>
      </c>
      <c r="X27" s="55" t="str">
        <f t="array" ref="X27">_xlfn.XLOOKUP(B27,'Up Max'!A:A,'Up Max'!F:F,)</f>
        <v/>
      </c>
      <c r="Y27" s="57" t="str">
        <f t="array" ref="Y27">_xlfn.XLOOKUP(B27,'Up Stats'!A:A,'Up Stats'!G:G,)</f>
        <v/>
      </c>
      <c r="Z27" s="54" t="str">
        <f>IFERROR(__xludf.DUMMYFUNCTION("if(AND(AA27=FALSE,AB27=FALSE),,if(AA27=AB27,JOIN("""",""Static: "",AA27),JOIN("""",""Min:  "",AA27, CHAR(10),""Max: "",AB27)))"),"")</f>
        <v/>
      </c>
      <c r="AA27" s="55" t="str">
        <f t="array" ref="AA27">_xlfn.XLOOKUP(B27,'Up Min'!A:A,'Up Min'!G:G,)</f>
        <v/>
      </c>
      <c r="AB27" s="55" t="str">
        <f t="array" ref="AB27">_xlfn.XLOOKUP(B27,'Up Max'!A:A,'Up Max'!G:G,)</f>
        <v/>
      </c>
      <c r="AC27" s="57" t="str">
        <f t="array" ref="AC27">_xlfn.XLOOKUP(B27,'Up Stats'!A:A,'Up Stats'!H:H,)</f>
        <v/>
      </c>
      <c r="AD27" s="54" t="str">
        <f>IFERROR(__xludf.DUMMYFUNCTION("if(AND(AE27=FALSE,AF27=FALSE),,if(AE27=AF27,JOIN("""",""Static: "",AE27),JOIN("""",""Min:  "",AE27, CHAR(10),""Max: "",AF27)))"),"")</f>
        <v/>
      </c>
      <c r="AE27" s="55" t="str">
        <f t="array" ref="AE27">_xlfn.XLOOKUP(B27,'Up Min'!A:A,'Up Min'!H:H,)</f>
        <v/>
      </c>
      <c r="AF27" s="55" t="str">
        <f t="array" ref="AF27">_xlfn.XLOOKUP(B27,'Up Max'!A:A,'Up Max'!H:H,)</f>
        <v/>
      </c>
      <c r="AG27" s="57" t="str">
        <f t="array" ref="AG27">_xlfn.XLOOKUP(B27,'Up Stats'!A:A,'Up Stats'!I:I,)</f>
        <v/>
      </c>
      <c r="AH27" s="54" t="str">
        <f>IFERROR(__xludf.DUMMYFUNCTION("if(AND(AI27=FALSE,AJ27=FALSE),,if(AI27=AJ27,JOIN("""",""Static: "",AI27),JOIN("""",""Min:  "",AI27, CHAR(10),""Max: "",AJ27)))"),"")</f>
        <v/>
      </c>
      <c r="AI27" s="55" t="str">
        <f t="array" ref="AI27">_xlfn.XLOOKUP(B27,'Up Min'!A:A,'Up Min'!I:I,)</f>
        <v/>
      </c>
      <c r="AJ27" s="55" t="str">
        <f t="array" ref="AJ27">_xlfn.XLOOKUP(B27,'Up Max'!A:A,'Up Max'!I:I,)</f>
        <v/>
      </c>
      <c r="AK27" s="57" t="str">
        <f t="array" ref="AK27">_xlfn.XLOOKUP(B27,'Up Stats'!A:A,'Up Stats'!J:J,)</f>
        <v/>
      </c>
      <c r="AL27" s="54" t="str">
        <f>IFERROR(__xludf.DUMMYFUNCTION("if(AND(AM27=FALSE,AN27=FALSE),,if(AM27=AN27,JOIN("""",""Static: "",AM27),JOIN("""",""Min:  "",AM27, CHAR(10),""Max: "",AN27)))"),"")</f>
        <v/>
      </c>
      <c r="AM27" s="55" t="str">
        <f t="array" ref="AM27">_xlfn.XLOOKUP(B27,'Up Min'!A:A,'Up Min'!J:J,)</f>
        <v/>
      </c>
      <c r="AN27" s="55" t="str">
        <f t="array" ref="AN27">_xlfn.XLOOKUP(B27,'Up Max'!A:A,'Up Max'!J:J,)</f>
        <v/>
      </c>
      <c r="AO27" s="51" t="str">
        <f t="array" ref="AO27">CONCATENATE(_xlfn.XLOOKUP(B27,'Up Cells'!A:A,'Up Cells'!B:B,))</f>
        <v>5</v>
      </c>
      <c r="AP27" s="51" t="str">
        <f t="array" ref="AP27">CONCATENATE(_xlfn.XLOOKUP(B27,'Up Rarity'!A:A,'Up Rarity'!B:B,),CHAR(10),"-")</f>
        <v>Rare
-</v>
      </c>
    </row>
    <row r="28">
      <c r="A28" s="83" t="str">
        <f t="array" ref="A28">_xlfn.XLOOKUP(B28,'Up Icon'!A:A,'Up Icon'!B:B,)</f>
        <v/>
      </c>
      <c r="B28" s="89" t="str">
        <f t="array" ref="B28">HYPERLINK(_xlfn.XLOOKUP('Up Names'!G25,'Up Wiki'!A:A,'Up Wiki'!B:B,),'Up Names'!G25)</f>
        <v>Thumper</v>
      </c>
      <c r="C28" s="67" t="str">
        <f t="array" ref="C28">_xlfn.XLOOKUP(B28,'Up Desc'!A:A,'Up Desc'!B:B,)</f>
        <v>Fire a quick 5-shot burst. Explosion size is decreased and ammo reserves are increased.</v>
      </c>
      <c r="D28" s="37" t="str">
        <f t="array" ref="D28">_xlfn.XLOOKUP(B28,'Up Turbo'!A:A,'Up Turbo'!B:B,)</f>
        <v>n/a</v>
      </c>
      <c r="E28" s="39" t="str">
        <f t="array" ref="E28">_xlfn.XLOOKUP(B28,'Up Stats'!A:A,'Up Stats'!B:B,)</f>
        <v>Burst Size</v>
      </c>
      <c r="F28" s="40" t="str">
        <f>IFERROR(__xludf.DUMMYFUNCTION("if(AND(G28=FALSE,H28=FALSE),,if(G28=H28,JOIN("""",""Static: "",G28),JOIN("""",""Min:  "",G28, CHAR(10),""Max: "",H28)))"),"Static: 5")</f>
        <v>Static: 5</v>
      </c>
      <c r="G28" s="69">
        <f t="array" ref="G28">_xlfn.XLOOKUP(B28,'Up Min'!A:A,'Up Min'!B:B,)</f>
        <v>5</v>
      </c>
      <c r="H28" s="68">
        <f t="array" ref="H28">_xlfn.XLOOKUP(B28,'Up Max'!A:A,'Up Max'!B:B,)</f>
        <v>5</v>
      </c>
      <c r="I28" s="39" t="str">
        <f t="array" ref="I28">_xlfn.XLOOKUP(B28,'Up Stats'!A:A,'Up Stats'!C:C,)</f>
        <v>Burst Interval</v>
      </c>
      <c r="J28" s="40" t="str">
        <f>IFERROR(__xludf.DUMMYFUNCTION("if(AND(K28=FALSE,L28=FALSE),,if(K28=L28,JOIN("""",""Static: "",K28),JOIN("""",""Min:  "",K28, CHAR(10),""Max: "",L28)))"),"Min:  0.26
Max: 0.33")</f>
        <v>Min:  0.26
Max: 0.33</v>
      </c>
      <c r="K28" s="68">
        <f t="array" ref="K28">_xlfn.XLOOKUP(B28,'Up Min'!A:A,'Up Min'!C:C,)</f>
        <v>0.26</v>
      </c>
      <c r="L28" s="69">
        <f t="array" ref="L28">_xlfn.XLOOKUP(B28,'Up Max'!A:A,'Up Max'!C:C,)</f>
        <v>0.33</v>
      </c>
      <c r="M28" s="39" t="str">
        <f t="array" ref="M28">_xlfn.XLOOKUP(B28,'Up Stats'!A:A,'Up Stats'!D:D,)</f>
        <v>Fire Rate</v>
      </c>
      <c r="N28" s="40" t="str">
        <f>IFERROR(__xludf.DUMMYFUNCTION("if(AND(O28=FALSE,P28=FALSE),,if(O28=P28,JOIN("""",""Static: "",O28),JOIN("""",""Min:  "",O28, CHAR(10),""Max: "",P28)))"),"Static: 525%")</f>
        <v>Static: 525%</v>
      </c>
      <c r="O28" s="41">
        <f t="array" ref="O28">_xlfn.XLOOKUP(B28,'Up Min'!A:A,'Up Min'!D:D,)</f>
        <v>5.25</v>
      </c>
      <c r="P28" s="41">
        <f t="array" ref="P28">_xlfn.XLOOKUP(B28,'Up Max'!A:A,'Up Max'!D:D,)</f>
        <v>5.25</v>
      </c>
      <c r="Q28" s="48" t="str">
        <f t="array" ref="Q28">_xlfn.XLOOKUP(B28,'Up Stats'!A:A,'Up Stats'!E:E,)</f>
        <v>Explosion Size</v>
      </c>
      <c r="R28" s="40" t="str">
        <f>IFERROR(__xludf.DUMMYFUNCTION("if(AND(S28=FALSE,T28=FALSE),,if(S28=T28,JOIN("""",""Static: "",S28),JOIN("""",""Min:  "",S28, CHAR(10),""Max: "",T28)))"),"Min:  -92%
Max: -88%")</f>
        <v>Min:  -92%
Max: -88%</v>
      </c>
      <c r="S28" s="41">
        <f t="array" ref="S28">_xlfn.XLOOKUP(B28,'Up Min'!A:A,'Up Min'!E:E,)</f>
        <v>-0.92</v>
      </c>
      <c r="T28" s="41">
        <f t="array" ref="T28">_xlfn.XLOOKUP(B28,'Up Max'!A:A,'Up Max'!E:E,)</f>
        <v>-0.88</v>
      </c>
      <c r="U28" s="39" t="str">
        <f t="array" ref="U28">_xlfn.XLOOKUP(B28,'Up Stats'!A:A,'Up Stats'!F:F,)</f>
        <v>Ammo Capacity</v>
      </c>
      <c r="V28" s="40" t="str">
        <f>IFERROR(__xludf.DUMMYFUNCTION("if(AND(W28=FALSE,X28=FALSE),,if(W28=X28,JOIN("""",""Static: "",W28),JOIN("""",""Min:  "",W28, CHAR(10),""Max: "",X28)))"),"Min:  9%
Max: 20%")</f>
        <v>Min:  9%
Max: 20%</v>
      </c>
      <c r="W28" s="41">
        <f t="array" ref="W28">_xlfn.XLOOKUP(B28,'Up Min'!A:A,'Up Min'!F:F,)</f>
        <v>0.09</v>
      </c>
      <c r="X28" s="41">
        <f t="array" ref="X28">_xlfn.XLOOKUP(B28,'Up Max'!A:A,'Up Max'!F:F,)</f>
        <v>0.2</v>
      </c>
      <c r="Y28" s="39" t="str">
        <f t="array" ref="Y28">_xlfn.XLOOKUP(B28,'Up Stats'!A:A,'Up Stats'!G:G,)</f>
        <v>Damage</v>
      </c>
      <c r="Z28" s="40" t="str">
        <f>IFERROR(__xludf.DUMMYFUNCTION("if(AND(AA28=FALSE,AB28=FALSE),,if(AA28=AB28,JOIN("""",""Static: "",AA28),JOIN("""",""Min:  "",AA28, CHAR(10),""Max: "",AB28)))"),"Min:  -35%
Max: -27%")</f>
        <v>Min:  -35%
Max: -27%</v>
      </c>
      <c r="AA28" s="74">
        <f t="array" ref="AA28">_xlfn.XLOOKUP(B28,'Up Min'!A:A,'Up Min'!G:G,)</f>
        <v>-0.35</v>
      </c>
      <c r="AB28" s="74">
        <f t="array" ref="AB28">_xlfn.XLOOKUP(B28,'Up Max'!A:A,'Up Max'!G:G,)</f>
        <v>-0.27</v>
      </c>
      <c r="AC28" s="39" t="str">
        <f t="array" ref="AC28">_xlfn.XLOOKUP(B28,'Up Stats'!A:A,'Up Stats'!H:H,)</f>
        <v/>
      </c>
      <c r="AD28" s="40" t="str">
        <f>IFERROR(__xludf.DUMMYFUNCTION("if(AND(AE28=FALSE,AF28=FALSE),,if(AE28=AF28,JOIN("""",""Static: "",AE28),JOIN("""",""Min:  "",AE28, CHAR(10),""Max: "",AF28)))"),"")</f>
        <v/>
      </c>
      <c r="AE28" s="45" t="str">
        <f t="array" ref="AE28">_xlfn.XLOOKUP(B28,'Up Min'!A:A,'Up Min'!H:H,)</f>
        <v/>
      </c>
      <c r="AF28" s="45" t="str">
        <f t="array" ref="AF28">_xlfn.XLOOKUP(B28,'Up Max'!A:A,'Up Max'!H:H,)</f>
        <v/>
      </c>
      <c r="AG28" s="39" t="str">
        <f t="array" ref="AG28">_xlfn.XLOOKUP(B28,'Up Stats'!A:A,'Up Stats'!I:I,)</f>
        <v/>
      </c>
      <c r="AH28" s="40" t="str">
        <f>IFERROR(__xludf.DUMMYFUNCTION("if(AND(AI28=FALSE,AJ28=FALSE),,if(AI28=AJ28,JOIN("""",""Static: "",AI28),JOIN("""",""Min:  "",AI28, CHAR(10),""Max: "",AJ28)))"),"")</f>
        <v/>
      </c>
      <c r="AI28" s="45" t="str">
        <f t="array" ref="AI28">_xlfn.XLOOKUP(B28,'Up Min'!A:A,'Up Min'!I:I,)</f>
        <v/>
      </c>
      <c r="AJ28" s="45" t="str">
        <f t="array" ref="AJ28">_xlfn.XLOOKUP(B28,'Up Max'!A:A,'Up Max'!I:I,)</f>
        <v/>
      </c>
      <c r="AK28" s="39" t="str">
        <f t="array" ref="AK28">_xlfn.XLOOKUP(B28,'Up Stats'!A:A,'Up Stats'!J:J,)</f>
        <v/>
      </c>
      <c r="AL28" s="40" t="str">
        <f>IFERROR(__xludf.DUMMYFUNCTION("if(AND(AM28=FALSE,AN28=FALSE),,if(AM28=AN28,JOIN("""",""Static: "",AM28),JOIN("""",""Min:  "",AM28, CHAR(10),""Max: "",AN28)))"),"")</f>
        <v/>
      </c>
      <c r="AM28" s="45" t="str">
        <f t="array" ref="AM28">_xlfn.XLOOKUP(B28,'Up Min'!A:A,'Up Min'!J:J,)</f>
        <v/>
      </c>
      <c r="AN28" s="45" t="str">
        <f t="array" ref="AN28">_xlfn.XLOOKUP(B28,'Up Max'!A:A,'Up Max'!J:J,)</f>
        <v/>
      </c>
      <c r="AO28" s="34" t="str">
        <f t="array" ref="AO28">CONCATENATE(_xlfn.XLOOKUP(B28,'Up Cells'!A:A,'Up Cells'!B:B,))</f>
        <v>4</v>
      </c>
      <c r="AP28" s="34" t="str">
        <f t="array" ref="AP28">CONCATENATE(_xlfn.XLOOKUP(B28,'Up Rarity'!A:A,'Up Rarity'!B:B,),CHAR(10),"-")</f>
        <v>Rare
-</v>
      </c>
    </row>
    <row r="29">
      <c r="A29" s="84" t="str">
        <f t="array" ref="A29">_xlfn.XLOOKUP(B29,'Up Icon'!A:A,'Up Icon'!B:B,)</f>
        <v/>
      </c>
      <c r="B29" s="88" t="str">
        <f t="array" ref="B29">HYPERLINK(_xlfn.XLOOKUP('Up Names'!G26,'Up Wiki'!A:A,'Up Wiki'!B:B,),'Up Names'!G26)</f>
        <v>Green Prism</v>
      </c>
      <c r="C29" s="70" t="str">
        <f t="array" ref="C29">_xlfn.XLOOKUP(B29,'Up Desc'!A:A,'Up Desc'!B:B,)</f>
        <v>Prism output is increased recursively for each bordering prism.</v>
      </c>
      <c r="D29" s="52" t="str">
        <f t="array" ref="D29">_xlfn.XLOOKUP(B29,'Up Turbo'!A:A,'Up Turbo'!B:B,)</f>
        <v>n/a</v>
      </c>
      <c r="E29" s="53" t="str">
        <f t="array" ref="E29">_xlfn.XLOOKUP(B29,'Up Stats'!A:A,'Up Stats'!B:B,)</f>
        <v>Efficiency</v>
      </c>
      <c r="F29" s="54" t="str">
        <f>IFERROR(__xludf.DUMMYFUNCTION("if(AND(G29=FALSE,H29=FALSE),,if(G29=H29,JOIN("""",""Static: "",G29),JOIN("""",""Min:  "",G29, CHAR(10),""Max: "",H29)))"),"Min:  50%
Max: 150%")</f>
        <v>Min:  50%
Max: 150%</v>
      </c>
      <c r="G29" s="59">
        <f t="array" ref="G29">_xlfn.XLOOKUP(B29,'Up Min'!A:A,'Up Min'!B:B,)</f>
        <v>0.5</v>
      </c>
      <c r="H29" s="59">
        <f t="array" ref="H29">_xlfn.XLOOKUP(B29,'Up Max'!A:A,'Up Max'!B:B,)</f>
        <v>1.5</v>
      </c>
      <c r="I29" s="53" t="str">
        <f t="array" ref="I29">_xlfn.XLOOKUP(B29,'Up Stats'!A:A,'Up Stats'!C:C,)</f>
        <v/>
      </c>
      <c r="J29" s="54" t="str">
        <f>IFERROR(__xludf.DUMMYFUNCTION("if(AND(K29=FALSE,L29=FALSE),,if(K29=L29,JOIN("""",""Static: "",K29),JOIN("""",""Min:  "",K29, CHAR(10),""Max: "",L29)))"),"")</f>
        <v/>
      </c>
      <c r="K29" s="56" t="str">
        <f t="array" ref="K29">_xlfn.XLOOKUP(B29,'Up Min'!A:A,'Up Min'!C:C,)</f>
        <v/>
      </c>
      <c r="L29" s="55" t="str">
        <f t="array" ref="L29">_xlfn.XLOOKUP(B29,'Up Max'!A:A,'Up Max'!C:C,)</f>
        <v/>
      </c>
      <c r="M29" s="53" t="str">
        <f t="array" ref="M29">_xlfn.XLOOKUP(B29,'Up Stats'!A:A,'Up Stats'!D:D,)</f>
        <v/>
      </c>
      <c r="N29" s="54" t="str">
        <f>IFERROR(__xludf.DUMMYFUNCTION("if(AND(O29=FALSE,P29=FALSE),,if(O29=P29,JOIN("""",""Static: "",O29),JOIN("""",""Min:  "",O29, CHAR(10),""Max: "",P29)))"),"")</f>
        <v/>
      </c>
      <c r="O29" s="55" t="str">
        <f t="array" ref="O29">_xlfn.XLOOKUP(B29,'Up Min'!A:A,'Up Min'!D:D,)</f>
        <v/>
      </c>
      <c r="P29" s="55" t="str">
        <f t="array" ref="P29">_xlfn.XLOOKUP(B29,'Up Max'!A:A,'Up Max'!D:D,)</f>
        <v/>
      </c>
      <c r="Q29" s="57" t="str">
        <f t="array" ref="Q29">_xlfn.XLOOKUP(B29,'Up Stats'!A:A,'Up Stats'!E:E,)</f>
        <v/>
      </c>
      <c r="R29" s="54" t="str">
        <f>IFERROR(__xludf.DUMMYFUNCTION("if(AND(S29=FALSE,T29=FALSE),,if(S29=T29,JOIN("""",""Static: "",S29),JOIN("""",""Min:  "",S29, CHAR(10),""Max: "",T29)))"),"")</f>
        <v/>
      </c>
      <c r="S29" s="55" t="str">
        <f t="array" ref="S29">_xlfn.XLOOKUP(B29,'Up Min'!A:A,'Up Min'!E:E,)</f>
        <v/>
      </c>
      <c r="T29" s="55" t="str">
        <f t="array" ref="T29">_xlfn.XLOOKUP(B29,'Up Max'!A:A,'Up Max'!E:E,)</f>
        <v/>
      </c>
      <c r="U29" s="57" t="str">
        <f t="array" ref="U29">_xlfn.XLOOKUP(B29,'Up Stats'!A:A,'Up Stats'!F:F,)</f>
        <v/>
      </c>
      <c r="V29" s="54" t="str">
        <f>IFERROR(__xludf.DUMMYFUNCTION("if(AND(W29=FALSE,X29=FALSE),,if(W29=X29,JOIN("""",""Static: "",W29),JOIN("""",""Min:  "",W29, CHAR(10),""Max: "",X29)))"),"")</f>
        <v/>
      </c>
      <c r="W29" s="55" t="str">
        <f t="array" ref="W29">_xlfn.XLOOKUP(B29,'Up Min'!A:A,'Up Min'!F:F,)</f>
        <v/>
      </c>
      <c r="X29" s="55" t="str">
        <f t="array" ref="X29">_xlfn.XLOOKUP(B29,'Up Max'!A:A,'Up Max'!F:F,)</f>
        <v/>
      </c>
      <c r="Y29" s="57" t="str">
        <f t="array" ref="Y29">_xlfn.XLOOKUP(B29,'Up Stats'!A:A,'Up Stats'!G:G,)</f>
        <v/>
      </c>
      <c r="Z29" s="54" t="str">
        <f>IFERROR(__xludf.DUMMYFUNCTION("if(AND(AA29=FALSE,AB29=FALSE),,if(AA29=AB29,JOIN("""",""Static: "",AA29),JOIN("""",""Min:  "",AA29, CHAR(10),""Max: "",AB29)))"),"")</f>
        <v/>
      </c>
      <c r="AA29" s="55" t="str">
        <f t="array" ref="AA29">_xlfn.XLOOKUP(B29,'Up Min'!A:A,'Up Min'!G:G,)</f>
        <v/>
      </c>
      <c r="AB29" s="55" t="str">
        <f t="array" ref="AB29">_xlfn.XLOOKUP(B29,'Up Max'!A:A,'Up Max'!G:G,)</f>
        <v/>
      </c>
      <c r="AC29" s="57" t="str">
        <f t="array" ref="AC29">_xlfn.XLOOKUP(B29,'Up Stats'!A:A,'Up Stats'!H:H,)</f>
        <v/>
      </c>
      <c r="AD29" s="54" t="str">
        <f>IFERROR(__xludf.DUMMYFUNCTION("if(AND(AE29=FALSE,AF29=FALSE),,if(AE29=AF29,JOIN("""",""Static: "",AE29),JOIN("""",""Min:  "",AE29, CHAR(10),""Max: "",AF29)))"),"")</f>
        <v/>
      </c>
      <c r="AE29" s="55" t="str">
        <f t="array" ref="AE29">_xlfn.XLOOKUP(B29,'Up Min'!A:A,'Up Min'!H:H,)</f>
        <v/>
      </c>
      <c r="AF29" s="55" t="str">
        <f t="array" ref="AF29">_xlfn.XLOOKUP(B29,'Up Max'!A:A,'Up Max'!H:H,)</f>
        <v/>
      </c>
      <c r="AG29" s="57" t="str">
        <f t="array" ref="AG29">_xlfn.XLOOKUP(B29,'Up Stats'!A:A,'Up Stats'!I:I,)</f>
        <v/>
      </c>
      <c r="AH29" s="54" t="str">
        <f>IFERROR(__xludf.DUMMYFUNCTION("if(AND(AI29=FALSE,AJ29=FALSE),,if(AI29=AJ29,JOIN("""",""Static: "",AI29),JOIN("""",""Min:  "",AI29, CHAR(10),""Max: "",AJ29)))"),"")</f>
        <v/>
      </c>
      <c r="AI29" s="55" t="str">
        <f t="array" ref="AI29">_xlfn.XLOOKUP(B29,'Up Min'!A:A,'Up Min'!I:I,)</f>
        <v/>
      </c>
      <c r="AJ29" s="55" t="str">
        <f t="array" ref="AJ29">_xlfn.XLOOKUP(B29,'Up Max'!A:A,'Up Max'!I:I,)</f>
        <v/>
      </c>
      <c r="AK29" s="57" t="str">
        <f t="array" ref="AK29">_xlfn.XLOOKUP(B29,'Up Stats'!A:A,'Up Stats'!J:J,)</f>
        <v/>
      </c>
      <c r="AL29" s="54" t="str">
        <f>IFERROR(__xludf.DUMMYFUNCTION("if(AND(AM29=FALSE,AN29=FALSE),,if(AM29=AN29,JOIN("""",""Static: "",AM29),JOIN("""",""Min:  "",AM29, CHAR(10),""Max: "",AN29)))"),"")</f>
        <v/>
      </c>
      <c r="AM29" s="55" t="str">
        <f t="array" ref="AM29">_xlfn.XLOOKUP(B29,'Up Min'!A:A,'Up Min'!J:J,)</f>
        <v/>
      </c>
      <c r="AN29" s="55" t="str">
        <f t="array" ref="AN29">_xlfn.XLOOKUP(B29,'Up Max'!A:A,'Up Max'!J:J,)</f>
        <v/>
      </c>
      <c r="AO29" s="51" t="str">
        <f t="array" ref="AO29">CONCATENATE(_xlfn.XLOOKUP(B29,'Up Cells'!A:A,'Up Cells'!B:B,))</f>
        <v>3</v>
      </c>
      <c r="AP29" s="51" t="str">
        <f t="array" ref="AP29">CONCATENATE(_xlfn.XLOOKUP(B29,'Up Rarity'!A:A,'Up Rarity'!B:B,),CHAR(10),"-")</f>
        <v>Standard
-</v>
      </c>
    </row>
    <row r="30">
      <c r="A30" s="84" t="str">
        <f t="array" ref="A30">_xlfn.XLOOKUP(B30,'Up Icon'!A:A,'Up Icon'!B:B,)</f>
        <v/>
      </c>
      <c r="B30" s="89" t="str">
        <f t="array" ref="B30">HYPERLINK(_xlfn.XLOOKUP('Up Names'!G27,'Up Wiki'!A:A,'Up Wiki'!B:B,),'Up Names'!G27)</f>
        <v>Blowback Redirect</v>
      </c>
      <c r="C30" s="67" t="str">
        <f t="array" ref="C30">_xlfn.XLOOKUP(B30,'Up Desc'!A:A,'Up Desc'!B:B,)</f>
        <v>Recoil is decreased.</v>
      </c>
      <c r="D30" s="37" t="str">
        <f t="array" ref="D30">_xlfn.XLOOKUP(B30,'Up Turbo'!A:A,'Up Turbo'!B:B,)</f>
        <v>n/a</v>
      </c>
      <c r="E30" s="39" t="str">
        <f t="array" ref="E30">_xlfn.XLOOKUP(B30,'Up Stats'!A:A,'Up Stats'!B:B,)</f>
        <v>Horizontal Recoil</v>
      </c>
      <c r="F30" s="40" t="str">
        <f>IFERROR(__xludf.DUMMYFUNCTION("if(AND(G30=FALSE,H30=FALSE),,if(G30=H30,JOIN("""",""Static: "",G30),JOIN("""",""Min:  "",G30, CHAR(10),""Max: "",H30)))"),"Min:  -30%
Max: -10%")</f>
        <v>Min:  -30%
Max: -10%</v>
      </c>
      <c r="G30" s="41">
        <f t="array" ref="G30">_xlfn.XLOOKUP(B30,'Up Min'!A:A,'Up Min'!B:B,)</f>
        <v>-0.3</v>
      </c>
      <c r="H30" s="41">
        <f t="array" ref="H30">_xlfn.XLOOKUP(B30,'Up Max'!A:A,'Up Max'!B:B,)</f>
        <v>-0.1</v>
      </c>
      <c r="I30" s="39" t="str">
        <f t="array" ref="I30">_xlfn.XLOOKUP(B30,'Up Stats'!A:A,'Up Stats'!C:C,)</f>
        <v>Vertical Recoil</v>
      </c>
      <c r="J30" s="40" t="str">
        <f>IFERROR(__xludf.DUMMYFUNCTION("if(AND(K30=FALSE,L30=FALSE),,if(K30=L30,JOIN("""",""Static: "",K30),JOIN("""",""Min:  "",K30, CHAR(10),""Max: "",L30)))"),"Min:  -30%
Max: -10%")</f>
        <v>Min:  -30%
Max: -10%</v>
      </c>
      <c r="K30" s="41">
        <f t="array" ref="K30">_xlfn.XLOOKUP(B30,'Up Min'!A:A,'Up Min'!C:C,)</f>
        <v>-0.3</v>
      </c>
      <c r="L30" s="41">
        <f t="array" ref="L30">_xlfn.XLOOKUP(B30,'Up Max'!A:A,'Up Max'!C:C,)</f>
        <v>-0.1</v>
      </c>
      <c r="M30" s="39" t="str">
        <f t="array" ref="M30">_xlfn.XLOOKUP(B30,'Up Stats'!A:A,'Up Stats'!D:D,)</f>
        <v/>
      </c>
      <c r="N30" s="40" t="str">
        <f>IFERROR(__xludf.DUMMYFUNCTION("if(AND(O30=FALSE,P30=FALSE),,if(O30=P30,JOIN("""",""Static: "",O30),JOIN("""",""Min:  "",O30, CHAR(10),""Max: "",P30)))"),"")</f>
        <v/>
      </c>
      <c r="O30" s="42" t="str">
        <f t="array" ref="O30">_xlfn.XLOOKUP(B30,'Up Min'!A:A,'Up Min'!D:D,)</f>
        <v/>
      </c>
      <c r="P30" s="42" t="str">
        <f t="array" ref="P30">_xlfn.XLOOKUP(B30,'Up Max'!A:A,'Up Max'!D:D,)</f>
        <v/>
      </c>
      <c r="Q30" s="48" t="str">
        <f t="array" ref="Q30">_xlfn.XLOOKUP(B30,'Up Stats'!A:A,'Up Stats'!E:E,)</f>
        <v/>
      </c>
      <c r="R30" s="40" t="str">
        <f>IFERROR(__xludf.DUMMYFUNCTION("if(AND(S30=FALSE,T30=FALSE),,if(S30=T30,JOIN("""",""Static: "",S30),JOIN("""",""Min:  "",S30, CHAR(10),""Max: "",T30)))"),"")</f>
        <v/>
      </c>
      <c r="S30" s="42" t="str">
        <f t="array" ref="S30">_xlfn.XLOOKUP(B30,'Up Min'!A:A,'Up Min'!E:E,)</f>
        <v/>
      </c>
      <c r="T30" s="42" t="str">
        <f t="array" ref="T30">_xlfn.XLOOKUP(B30,'Up Max'!A:A,'Up Max'!E:E,)</f>
        <v/>
      </c>
      <c r="U30" s="48" t="str">
        <f t="array" ref="U30">_xlfn.XLOOKUP(B30,'Up Stats'!A:A,'Up Stats'!F:F,)</f>
        <v/>
      </c>
      <c r="V30" s="40" t="str">
        <f>IFERROR(__xludf.DUMMYFUNCTION("if(AND(W30=FALSE,X30=FALSE),,if(W30=X30,JOIN("""",""Static: "",W30),JOIN("""",""Min:  "",W30, CHAR(10),""Max: "",X30)))"),"")</f>
        <v/>
      </c>
      <c r="W30" s="42" t="str">
        <f t="array" ref="W30">_xlfn.XLOOKUP(B30,'Up Min'!A:A,'Up Min'!F:F,)</f>
        <v/>
      </c>
      <c r="X30" s="42" t="str">
        <f t="array" ref="X30">_xlfn.XLOOKUP(B30,'Up Max'!A:A,'Up Max'!F:F,)</f>
        <v/>
      </c>
      <c r="Y30" s="48" t="str">
        <f t="array" ref="Y30">_xlfn.XLOOKUP(B30,'Up Stats'!A:A,'Up Stats'!G:G,)</f>
        <v/>
      </c>
      <c r="Z30" s="40" t="str">
        <f>IFERROR(__xludf.DUMMYFUNCTION("if(AND(AA30=FALSE,AB30=FALSE),,if(AA30=AB30,JOIN("""",""Static: "",AA30),JOIN("""",""Min:  "",AA30, CHAR(10),""Max: "",AB30)))"),"")</f>
        <v/>
      </c>
      <c r="AA30" s="42" t="str">
        <f t="array" ref="AA30">_xlfn.XLOOKUP(B30,'Up Min'!A:A,'Up Min'!G:G,)</f>
        <v/>
      </c>
      <c r="AB30" s="42" t="str">
        <f t="array" ref="AB30">_xlfn.XLOOKUP(B30,'Up Max'!A:A,'Up Max'!G:G,)</f>
        <v/>
      </c>
      <c r="AC30" s="48" t="str">
        <f t="array" ref="AC30">_xlfn.XLOOKUP(B30,'Up Stats'!A:A,'Up Stats'!H:H,)</f>
        <v/>
      </c>
      <c r="AD30" s="40" t="str">
        <f>IFERROR(__xludf.DUMMYFUNCTION("if(AND(AE30=FALSE,AF30=FALSE),,if(AE30=AF30,JOIN("""",""Static: "",AE30),JOIN("""",""Min:  "",AE30, CHAR(10),""Max: "",AF30)))"),"")</f>
        <v/>
      </c>
      <c r="AE30" s="42" t="str">
        <f t="array" ref="AE30">_xlfn.XLOOKUP(B30,'Up Min'!A:A,'Up Min'!H:H,)</f>
        <v/>
      </c>
      <c r="AF30" s="42" t="str">
        <f t="array" ref="AF30">_xlfn.XLOOKUP(B30,'Up Max'!A:A,'Up Max'!H:H,)</f>
        <v/>
      </c>
      <c r="AG30" s="48" t="str">
        <f t="array" ref="AG30">_xlfn.XLOOKUP(B30,'Up Stats'!A:A,'Up Stats'!I:I,)</f>
        <v/>
      </c>
      <c r="AH30" s="40" t="str">
        <f>IFERROR(__xludf.DUMMYFUNCTION("if(AND(AI30=FALSE,AJ30=FALSE),,if(AI30=AJ30,JOIN("""",""Static: "",AI30),JOIN("""",""Min:  "",AI30, CHAR(10),""Max: "",AJ30)))"),"")</f>
        <v/>
      </c>
      <c r="AI30" s="42" t="str">
        <f t="array" ref="AI30">_xlfn.XLOOKUP(B30,'Up Min'!A:A,'Up Min'!I:I,)</f>
        <v/>
      </c>
      <c r="AJ30" s="42" t="str">
        <f t="array" ref="AJ30">_xlfn.XLOOKUP(B30,'Up Max'!A:A,'Up Max'!I:I,)</f>
        <v/>
      </c>
      <c r="AK30" s="48" t="str">
        <f t="array" ref="AK30">_xlfn.XLOOKUP(B30,'Up Stats'!A:A,'Up Stats'!J:J,)</f>
        <v/>
      </c>
      <c r="AL30" s="40" t="str">
        <f>IFERROR(__xludf.DUMMYFUNCTION("if(AND(AM30=FALSE,AN30=FALSE),,if(AM30=AN30,JOIN("""",""Static: "",AM30),JOIN("""",""Min:  "",AM30, CHAR(10),""Max: "",AN30)))"),"")</f>
        <v/>
      </c>
      <c r="AM30" s="42" t="str">
        <f t="array" ref="AM30">_xlfn.XLOOKUP(B30,'Up Min'!A:A,'Up Min'!J:J,)</f>
        <v/>
      </c>
      <c r="AN30" s="42" t="str">
        <f t="array" ref="AN30">_xlfn.XLOOKUP(B30,'Up Max'!A:A,'Up Max'!J:J,)</f>
        <v/>
      </c>
      <c r="AO30" s="34" t="str">
        <f t="array" ref="AO30">CONCATENATE(_xlfn.XLOOKUP(B30,'Up Cells'!A:A,'Up Cells'!B:B,))</f>
        <v>3</v>
      </c>
      <c r="AP30" s="34" t="str">
        <f t="array" ref="AP30">CONCATENATE(_xlfn.XLOOKUP(B30,'Up Rarity'!A:A,'Up Rarity'!B:B,),CHAR(10),"-")</f>
        <v>Standard
-</v>
      </c>
    </row>
    <row r="31">
      <c r="A31" s="84" t="str">
        <f t="array" ref="A31">_xlfn.XLOOKUP(B31,'Up Icon'!A:A,'Up Icon'!B:B,)</f>
        <v/>
      </c>
      <c r="B31" s="88" t="str">
        <f t="array" ref="B31">HYPERLINK(_xlfn.XLOOKUP('Up Names'!G28,'Up Wiki'!A:A,'Up Wiki'!B:B,),'Up Names'!G28)</f>
        <v>Cargo Storage</v>
      </c>
      <c r="C31" s="70" t="str">
        <f t="array" ref="C31">_xlfn.XLOOKUP(B31,'Up Desc'!A:A,'Up Desc'!B:B,)</f>
        <v>Ammo reserves are increased.</v>
      </c>
      <c r="D31" s="52" t="str">
        <f t="array" ref="D31">_xlfn.XLOOKUP(B31,'Up Turbo'!A:A,'Up Turbo'!B:B,)</f>
        <v>n/a</v>
      </c>
      <c r="E31" s="53" t="str">
        <f t="array" ref="E31">_xlfn.XLOOKUP(B31,'Up Stats'!A:A,'Up Stats'!B:B,)</f>
        <v>Ammo Capacity</v>
      </c>
      <c r="F31" s="54" t="str">
        <f>IFERROR(__xludf.DUMMYFUNCTION("if(AND(G31=FALSE,H31=FALSE),,if(G31=H31,JOIN("""",""Static: "",G31),JOIN("""",""Min:  "",G31, CHAR(10),""Max: "",H31)))"),"Min:  23%
Max: 40%")</f>
        <v>Min:  23%
Max: 40%</v>
      </c>
      <c r="G31" s="59">
        <f t="array" ref="G31">_xlfn.XLOOKUP(B31,'Up Min'!A:A,'Up Min'!B:B,)</f>
        <v>0.23</v>
      </c>
      <c r="H31" s="59">
        <f t="array" ref="H31">_xlfn.XLOOKUP(B31,'Up Max'!A:A,'Up Max'!B:B,)</f>
        <v>0.4</v>
      </c>
      <c r="I31" s="53" t="str">
        <f t="array" ref="I31">_xlfn.XLOOKUP(B31,'Up Stats'!A:A,'Up Stats'!C:C,)</f>
        <v/>
      </c>
      <c r="J31" s="54" t="str">
        <f>IFERROR(__xludf.DUMMYFUNCTION("if(AND(K31=FALSE,L31=FALSE),,if(K31=L31,JOIN("""",""Static: "",K31),JOIN("""",""Min:  "",K31, CHAR(10),""Max: "",L31)))"),"")</f>
        <v/>
      </c>
      <c r="K31" s="55" t="str">
        <f t="array" ref="K31">_xlfn.XLOOKUP(B31,'Up Min'!A:A,'Up Min'!C:C,)</f>
        <v/>
      </c>
      <c r="L31" s="55" t="str">
        <f t="array" ref="L31">_xlfn.XLOOKUP(B31,'Up Max'!A:A,'Up Max'!C:C,)</f>
        <v/>
      </c>
      <c r="M31" s="57" t="str">
        <f t="array" ref="M31">_xlfn.XLOOKUP(B31,'Up Stats'!A:A,'Up Stats'!D:D,)</f>
        <v/>
      </c>
      <c r="N31" s="54" t="str">
        <f>IFERROR(__xludf.DUMMYFUNCTION("if(AND(O31=FALSE,P31=FALSE),,if(O31=P31,JOIN("""",""Static: "",O31),JOIN("""",""Min:  "",O31, CHAR(10),""Max: "",P31)))"),"")</f>
        <v/>
      </c>
      <c r="O31" s="55" t="str">
        <f t="array" ref="O31">_xlfn.XLOOKUP(B31,'Up Min'!A:A,'Up Min'!D:D,)</f>
        <v/>
      </c>
      <c r="P31" s="55" t="str">
        <f t="array" ref="P31">_xlfn.XLOOKUP(B31,'Up Max'!A:A,'Up Max'!D:D,)</f>
        <v/>
      </c>
      <c r="Q31" s="57" t="str">
        <f t="array" ref="Q31">_xlfn.XLOOKUP(B31,'Up Stats'!A:A,'Up Stats'!E:E,)</f>
        <v/>
      </c>
      <c r="R31" s="54" t="str">
        <f>IFERROR(__xludf.DUMMYFUNCTION("if(AND(S31=FALSE,T31=FALSE),,if(S31=T31,JOIN("""",""Static: "",S31),JOIN("""",""Min:  "",S31, CHAR(10),""Max: "",T31)))"),"")</f>
        <v/>
      </c>
      <c r="S31" s="55" t="str">
        <f t="array" ref="S31">_xlfn.XLOOKUP(B31,'Up Min'!A:A,'Up Min'!E:E,)</f>
        <v/>
      </c>
      <c r="T31" s="55" t="str">
        <f t="array" ref="T31">_xlfn.XLOOKUP(B31,'Up Max'!A:A,'Up Max'!E:E,)</f>
        <v/>
      </c>
      <c r="U31" s="57" t="str">
        <f t="array" ref="U31">_xlfn.XLOOKUP(B31,'Up Stats'!A:A,'Up Stats'!F:F,)</f>
        <v/>
      </c>
      <c r="V31" s="54" t="str">
        <f>IFERROR(__xludf.DUMMYFUNCTION("if(AND(W31=FALSE,X31=FALSE),,if(W31=X31,JOIN("""",""Static: "",W31),JOIN("""",""Min:  "",W31, CHAR(10),""Max: "",X31)))"),"")</f>
        <v/>
      </c>
      <c r="W31" s="55" t="str">
        <f t="array" ref="W31">_xlfn.XLOOKUP(B31,'Up Min'!A:A,'Up Min'!F:F,)</f>
        <v/>
      </c>
      <c r="X31" s="55" t="str">
        <f t="array" ref="X31">_xlfn.XLOOKUP(B31,'Up Max'!A:A,'Up Max'!F:F,)</f>
        <v/>
      </c>
      <c r="Y31" s="57" t="str">
        <f t="array" ref="Y31">_xlfn.XLOOKUP(B31,'Up Stats'!A:A,'Up Stats'!G:G,)</f>
        <v/>
      </c>
      <c r="Z31" s="54" t="str">
        <f>IFERROR(__xludf.DUMMYFUNCTION("if(AND(AA31=FALSE,AB31=FALSE),,if(AA31=AB31,JOIN("""",""Static: "",AA31),JOIN("""",""Min:  "",AA31, CHAR(10),""Max: "",AB31)))"),"")</f>
        <v/>
      </c>
      <c r="AA31" s="55" t="str">
        <f t="array" ref="AA31">_xlfn.XLOOKUP(B31,'Up Min'!A:A,'Up Min'!G:G,)</f>
        <v/>
      </c>
      <c r="AB31" s="55" t="str">
        <f t="array" ref="AB31">_xlfn.XLOOKUP(B31,'Up Max'!A:A,'Up Max'!G:G,)</f>
        <v/>
      </c>
      <c r="AC31" s="57" t="str">
        <f t="array" ref="AC31">_xlfn.XLOOKUP(B31,'Up Stats'!A:A,'Up Stats'!H:H,)</f>
        <v/>
      </c>
      <c r="AD31" s="54" t="str">
        <f>IFERROR(__xludf.DUMMYFUNCTION("if(AND(AE31=FALSE,AF31=FALSE),,if(AE31=AF31,JOIN("""",""Static: "",AE31),JOIN("""",""Min:  "",AE31, CHAR(10),""Max: "",AF31)))"),"")</f>
        <v/>
      </c>
      <c r="AE31" s="55" t="str">
        <f t="array" ref="AE31">_xlfn.XLOOKUP(B31,'Up Min'!A:A,'Up Min'!H:H,)</f>
        <v/>
      </c>
      <c r="AF31" s="55" t="str">
        <f t="array" ref="AF31">_xlfn.XLOOKUP(B31,'Up Max'!A:A,'Up Max'!H:H,)</f>
        <v/>
      </c>
      <c r="AG31" s="57" t="str">
        <f t="array" ref="AG31">_xlfn.XLOOKUP(B31,'Up Stats'!A:A,'Up Stats'!I:I,)</f>
        <v/>
      </c>
      <c r="AH31" s="54" t="str">
        <f>IFERROR(__xludf.DUMMYFUNCTION("if(AND(AI31=FALSE,AJ31=FALSE),,if(AI31=AJ31,JOIN("""",""Static: "",AI31),JOIN("""",""Min:  "",AI31, CHAR(10),""Max: "",AJ31)))"),"")</f>
        <v/>
      </c>
      <c r="AI31" s="55" t="str">
        <f t="array" ref="AI31">_xlfn.XLOOKUP(B31,'Up Min'!A:A,'Up Min'!I:I,)</f>
        <v/>
      </c>
      <c r="AJ31" s="55" t="str">
        <f t="array" ref="AJ31">_xlfn.XLOOKUP(B31,'Up Max'!A:A,'Up Max'!I:I,)</f>
        <v/>
      </c>
      <c r="AK31" s="57" t="str">
        <f t="array" ref="AK31">_xlfn.XLOOKUP(B31,'Up Stats'!A:A,'Up Stats'!J:J,)</f>
        <v/>
      </c>
      <c r="AL31" s="54" t="str">
        <f>IFERROR(__xludf.DUMMYFUNCTION("if(AND(AM31=FALSE,AN31=FALSE),,if(AM31=AN31,JOIN("""",""Static: "",AM31),JOIN("""",""Min:  "",AM31, CHAR(10),""Max: "",AN31)))"),"")</f>
        <v/>
      </c>
      <c r="AM31" s="55" t="str">
        <f t="array" ref="AM31">_xlfn.XLOOKUP(B31,'Up Min'!A:A,'Up Min'!J:J,)</f>
        <v/>
      </c>
      <c r="AN31" s="55" t="str">
        <f t="array" ref="AN31">_xlfn.XLOOKUP(B31,'Up Max'!A:A,'Up Max'!J:J,)</f>
        <v/>
      </c>
      <c r="AO31" s="51" t="str">
        <f t="array" ref="AO31">CONCATENATE(_xlfn.XLOOKUP(B31,'Up Cells'!A:A,'Up Cells'!B:B,))</f>
        <v>4</v>
      </c>
      <c r="AP31" s="51" t="str">
        <f t="array" ref="AP31">CONCATENATE(_xlfn.XLOOKUP(B31,'Up Rarity'!A:A,'Up Rarity'!B:B,),CHAR(10),"-")</f>
        <v>Standard
-</v>
      </c>
    </row>
    <row r="32">
      <c r="A32" s="84" t="str">
        <f t="array" ref="A32">_xlfn.XLOOKUP(B32,'Up Icon'!A:A,'Up Icon'!B:B,)</f>
        <v/>
      </c>
      <c r="B32" s="89" t="str">
        <f t="array" ref="B32">HYPERLINK(_xlfn.XLOOKUP('Up Names'!G29,'Up Wiki'!A:A,'Up Wiki'!B:B,),'Up Names'!G29)</f>
        <v>Drag Caps</v>
      </c>
      <c r="C32" s="67" t="str">
        <f t="array" ref="C32">_xlfn.XLOOKUP(B32,'Up Desc'!A:A,'Up Desc'!B:B,)</f>
        <v>Damage is increased, but range is decreased.</v>
      </c>
      <c r="D32" s="37" t="str">
        <f t="array" ref="D32">_xlfn.XLOOKUP(B32,'Up Turbo'!A:A,'Up Turbo'!B:B,)</f>
        <v>n/a</v>
      </c>
      <c r="E32" s="39" t="str">
        <f t="array" ref="E32">_xlfn.XLOOKUP(B32,'Up Stats'!A:A,'Up Stats'!B:B,)</f>
        <v>Damage</v>
      </c>
      <c r="F32" s="40" t="str">
        <f>IFERROR(__xludf.DUMMYFUNCTION("if(AND(G32=FALSE,H32=FALSE),,if(G32=H32,JOIN("""",""Static: "",G32),JOIN("""",""Min:  "",G32, CHAR(10),""Max: "",H32)))"),"Min:  15%
Max: 30%")</f>
        <v>Min:  15%
Max: 30%</v>
      </c>
      <c r="G32" s="41">
        <f t="array" ref="G32">_xlfn.XLOOKUP(B32,'Up Min'!A:A,'Up Min'!B:B,)</f>
        <v>0.15</v>
      </c>
      <c r="H32" s="41">
        <f t="array" ref="H32">_xlfn.XLOOKUP(B32,'Up Max'!A:A,'Up Max'!B:B,)</f>
        <v>0.3</v>
      </c>
      <c r="I32" s="39" t="str">
        <f t="array" ref="I32">_xlfn.XLOOKUP(B32,'Up Stats'!A:A,'Up Stats'!C:C,)</f>
        <v>Falloff Start</v>
      </c>
      <c r="J32" s="40" t="str">
        <f>IFERROR(__xludf.DUMMYFUNCTION("if(AND(K32=FALSE,L32=FALSE),,if(K32=L32,JOIN("""",""Static: "",K32),JOIN("""",""Min:  "",K32, CHAR(10),""Max: "",L32)))"),"Min:  -92%
Max: -83%")</f>
        <v>Min:  -92%
Max: -83%</v>
      </c>
      <c r="K32" s="41">
        <f t="array" ref="K32">_xlfn.XLOOKUP(B32,'Up Min'!A:A,'Up Min'!C:C,)</f>
        <v>-0.92</v>
      </c>
      <c r="L32" s="41">
        <f t="array" ref="L32">_xlfn.XLOOKUP(B32,'Up Max'!A:A,'Up Max'!C:C,)</f>
        <v>-0.83</v>
      </c>
      <c r="M32" s="39" t="str">
        <f t="array" ref="M32">_xlfn.XLOOKUP(B32,'Up Stats'!A:A,'Up Stats'!D:D,)</f>
        <v>Falloff End</v>
      </c>
      <c r="N32" s="40" t="str">
        <f>IFERROR(__xludf.DUMMYFUNCTION("if(AND(O32=FALSE,P32=FALSE),,if(O32=P32,JOIN("""",""Static: "",O32),JOIN("""",""Min:  "",O32, CHAR(10),""Max: "",P32)))"),"Min:  -88%
Max: -79%")</f>
        <v>Min:  -88%
Max: -79%</v>
      </c>
      <c r="O32" s="41">
        <f t="array" ref="O32">_xlfn.XLOOKUP(B32,'Up Min'!A:A,'Up Min'!D:D,)</f>
        <v>-0.88</v>
      </c>
      <c r="P32" s="41">
        <f t="array" ref="P32">_xlfn.XLOOKUP(B32,'Up Max'!A:A,'Up Max'!D:D,)</f>
        <v>-0.79</v>
      </c>
      <c r="Q32" s="48" t="str">
        <f t="array" ref="Q32">_xlfn.XLOOKUP(B32,'Up Stats'!A:A,'Up Stats'!E:E,)</f>
        <v>Range</v>
      </c>
      <c r="R32" s="40" t="str">
        <f>IFERROR(__xludf.DUMMYFUNCTION("if(AND(S32=FALSE,T32=FALSE),,if(S32=T32,JOIN("""",""Static: "",S32),JOIN("""",""Min:  "",S32, CHAR(10),""Max: "",T32)))"),"Static: -70%")</f>
        <v>Static: -70%</v>
      </c>
      <c r="S32" s="41">
        <f t="array" ref="S32">_xlfn.XLOOKUP(B32,'Up Min'!A:A,'Up Min'!E:E,)</f>
        <v>-0.7</v>
      </c>
      <c r="T32" s="41">
        <f t="array" ref="T32">_xlfn.XLOOKUP(B32,'Up Max'!A:A,'Up Max'!E:E,)</f>
        <v>-0.7</v>
      </c>
      <c r="U32" s="39" t="str">
        <f t="array" ref="U32">_xlfn.XLOOKUP(B32,'Up Stats'!A:A,'Up Stats'!F:F,)</f>
        <v/>
      </c>
      <c r="V32" s="40" t="str">
        <f>IFERROR(__xludf.DUMMYFUNCTION("if(AND(W32=FALSE,X32=FALSE),,if(W32=X32,JOIN("""",""Static: "",W32),JOIN("""",""Min:  "",W32, CHAR(10),""Max: "",X32)))"),"")</f>
        <v/>
      </c>
      <c r="W32" s="45" t="str">
        <f t="array" ref="W32">_xlfn.XLOOKUP(B32,'Up Min'!A:A,'Up Min'!F:F,)</f>
        <v/>
      </c>
      <c r="X32" s="45" t="str">
        <f t="array" ref="X32">_xlfn.XLOOKUP(B32,'Up Max'!A:A,'Up Max'!F:F,)</f>
        <v/>
      </c>
      <c r="Y32" s="39" t="str">
        <f t="array" ref="Y32">_xlfn.XLOOKUP(B32,'Up Stats'!A:A,'Up Stats'!G:G,)</f>
        <v/>
      </c>
      <c r="Z32" s="40" t="str">
        <f>IFERROR(__xludf.DUMMYFUNCTION("if(AND(AA32=FALSE,AB32=FALSE),,if(AA32=AB32,JOIN("""",""Static: "",AA32),JOIN("""",""Min:  "",AA32, CHAR(10),""Max: "",AB32)))"),"")</f>
        <v/>
      </c>
      <c r="AA32" s="42" t="str">
        <f t="array" ref="AA32">_xlfn.XLOOKUP(B32,'Up Min'!A:A,'Up Min'!G:G,)</f>
        <v/>
      </c>
      <c r="AB32" s="45" t="str">
        <f t="array" ref="AB32">_xlfn.XLOOKUP(B32,'Up Max'!A:A,'Up Max'!G:G,)</f>
        <v/>
      </c>
      <c r="AC32" s="39" t="str">
        <f t="array" ref="AC32">_xlfn.XLOOKUP(B32,'Up Stats'!A:A,'Up Stats'!H:H,)</f>
        <v/>
      </c>
      <c r="AD32" s="40" t="str">
        <f>IFERROR(__xludf.DUMMYFUNCTION("if(AND(AE32=FALSE,AF32=FALSE),,if(AE32=AF32,JOIN("""",""Static: "",AE32),JOIN("""",""Min:  "",AE32, CHAR(10),""Max: "",AF32)))"),"")</f>
        <v/>
      </c>
      <c r="AE32" s="45" t="str">
        <f t="array" ref="AE32">_xlfn.XLOOKUP(B32,'Up Min'!A:A,'Up Min'!H:H,)</f>
        <v/>
      </c>
      <c r="AF32" s="45" t="str">
        <f t="array" ref="AF32">_xlfn.XLOOKUP(B32,'Up Max'!A:A,'Up Max'!H:H,)</f>
        <v/>
      </c>
      <c r="AG32" s="39" t="str">
        <f t="array" ref="AG32">_xlfn.XLOOKUP(B32,'Up Stats'!A:A,'Up Stats'!I:I,)</f>
        <v/>
      </c>
      <c r="AH32" s="40" t="str">
        <f>IFERROR(__xludf.DUMMYFUNCTION("if(AND(AI32=FALSE,AJ32=FALSE),,if(AI32=AJ32,JOIN("""",""Static: "",AI32),JOIN("""",""Min:  "",AI32, CHAR(10),""Max: "",AJ32)))"),"")</f>
        <v/>
      </c>
      <c r="AI32" s="45" t="str">
        <f t="array" ref="AI32">_xlfn.XLOOKUP(B32,'Up Min'!A:A,'Up Min'!I:I,)</f>
        <v/>
      </c>
      <c r="AJ32" s="45" t="str">
        <f t="array" ref="AJ32">_xlfn.XLOOKUP(B32,'Up Max'!A:A,'Up Max'!I:I,)</f>
        <v/>
      </c>
      <c r="AK32" s="39" t="str">
        <f t="array" ref="AK32">_xlfn.XLOOKUP(B32,'Up Stats'!A:A,'Up Stats'!J:J,)</f>
        <v/>
      </c>
      <c r="AL32" s="40" t="str">
        <f>IFERROR(__xludf.DUMMYFUNCTION("if(AND(AM32=FALSE,AN32=FALSE),,if(AM32=AN32,JOIN("""",""Static: "",AM32),JOIN("""",""Min:  "",AM32, CHAR(10),""Max: "",AN32)))"),"")</f>
        <v/>
      </c>
      <c r="AM32" s="45" t="str">
        <f t="array" ref="AM32">_xlfn.XLOOKUP(B32,'Up Min'!A:A,'Up Min'!J:J,)</f>
        <v/>
      </c>
      <c r="AN32" s="45" t="str">
        <f t="array" ref="AN32">_xlfn.XLOOKUP(B32,'Up Max'!A:A,'Up Max'!J:J,)</f>
        <v/>
      </c>
      <c r="AO32" s="34" t="str">
        <f t="array" ref="AO32">CONCATENATE(_xlfn.XLOOKUP(B32,'Up Cells'!A:A,'Up Cells'!B:B,))</f>
        <v>4</v>
      </c>
      <c r="AP32" s="34" t="str">
        <f t="array" ref="AP32">CONCATENATE(_xlfn.XLOOKUP(B32,'Up Rarity'!A:A,'Up Rarity'!B:B,),CHAR(10),"-")</f>
        <v>Standard
-</v>
      </c>
    </row>
    <row r="33">
      <c r="A33" s="84" t="str">
        <f t="array" ref="A33">_xlfn.XLOOKUP(B33,'Up Icon'!A:A,'Up Icon'!B:B,)</f>
        <v/>
      </c>
      <c r="B33" s="88" t="str">
        <f t="array" ref="B33">HYPERLINK(_xlfn.XLOOKUP('Up Names'!G30,'Up Wiki'!A:A,'Up Wiki'!B:B,),'Up Names'!G30)</f>
        <v>Magnetic Loader</v>
      </c>
      <c r="C33" s="70" t="str">
        <f t="array" ref="C33">_xlfn.XLOOKUP(B33,'Up Desc'!A:A,'Up Desc'!B:B,)</f>
        <v>Reload speed is increased.</v>
      </c>
      <c r="D33" s="52" t="str">
        <f t="array" ref="D33">_xlfn.XLOOKUP(B33,'Up Turbo'!A:A,'Up Turbo'!B:B,)</f>
        <v>n/a</v>
      </c>
      <c r="E33" s="53" t="str">
        <f t="array" ref="E33">_xlfn.XLOOKUP(B33,'Up Stats'!A:A,'Up Stats'!B:B,)</f>
        <v>Reload Speed</v>
      </c>
      <c r="F33" s="54" t="str">
        <f>IFERROR(__xludf.DUMMYFUNCTION("if(AND(G33=FALSE,H33=FALSE),,if(G33=H33,JOIN("""",""Static: "",G33),JOIN("""",""Min:  "",G33, CHAR(10),""Max: "",H33)))"),"Min:  23.46%
Max: 9.89%")</f>
        <v>Min:  23.46%
Max: 9.89%</v>
      </c>
      <c r="G33" s="71">
        <f t="array" ref="G33">_xlfn.XLOOKUP(B33,'Up Min'!A:A,'Up Min'!B:B,)</f>
        <v>0.2346</v>
      </c>
      <c r="H33" s="71">
        <f t="array" ref="H33">_xlfn.XLOOKUP(B33,'Up Max'!A:A,'Up Max'!B:B,)</f>
        <v>0.0989</v>
      </c>
      <c r="I33" s="53" t="str">
        <f t="array" ref="I33">_xlfn.XLOOKUP(B33,'Up Stats'!A:A,'Up Stats'!C:C,)</f>
        <v/>
      </c>
      <c r="J33" s="54" t="str">
        <f>IFERROR(__xludf.DUMMYFUNCTION("if(AND(K33=FALSE,L33=FALSE),,if(K33=L33,JOIN("""",""Static: "",K33),JOIN("""",""Min:  "",K33, CHAR(10),""Max: "",L33)))"),"")</f>
        <v/>
      </c>
      <c r="K33" s="55" t="str">
        <f t="array" ref="K33">_xlfn.XLOOKUP(B33,'Up Min'!A:A,'Up Min'!C:C,)</f>
        <v/>
      </c>
      <c r="L33" s="55" t="str">
        <f t="array" ref="L33">_xlfn.XLOOKUP(B33,'Up Max'!A:A,'Up Max'!C:C,)</f>
        <v/>
      </c>
      <c r="M33" s="57" t="str">
        <f t="array" ref="M33">_xlfn.XLOOKUP(B33,'Up Stats'!A:A,'Up Stats'!D:D,)</f>
        <v/>
      </c>
      <c r="N33" s="54" t="str">
        <f>IFERROR(__xludf.DUMMYFUNCTION("if(AND(O33=FALSE,P33=FALSE),,if(O33=P33,JOIN("""",""Static: "",O33),JOIN("""",""Min:  "",O33, CHAR(10),""Max: "",P33)))"),"")</f>
        <v/>
      </c>
      <c r="O33" s="55" t="str">
        <f t="array" ref="O33">_xlfn.XLOOKUP(B33,'Up Min'!A:A,'Up Min'!D:D,)</f>
        <v/>
      </c>
      <c r="P33" s="55" t="str">
        <f t="array" ref="P33">_xlfn.XLOOKUP(B33,'Up Max'!A:A,'Up Max'!D:D,)</f>
        <v/>
      </c>
      <c r="Q33" s="57" t="str">
        <f t="array" ref="Q33">_xlfn.XLOOKUP(B33,'Up Stats'!A:A,'Up Stats'!E:E,)</f>
        <v/>
      </c>
      <c r="R33" s="54" t="str">
        <f>IFERROR(__xludf.DUMMYFUNCTION("if(AND(S33=FALSE,T33=FALSE),,if(S33=T33,JOIN("""",""Static: "",S33),JOIN("""",""Min:  "",S33, CHAR(10),""Max: "",T33)))"),"")</f>
        <v/>
      </c>
      <c r="S33" s="55" t="str">
        <f t="array" ref="S33">_xlfn.XLOOKUP(B33,'Up Min'!A:A,'Up Min'!E:E,)</f>
        <v/>
      </c>
      <c r="T33" s="55" t="str">
        <f t="array" ref="T33">_xlfn.XLOOKUP(B33,'Up Max'!A:A,'Up Max'!E:E,)</f>
        <v/>
      </c>
      <c r="U33" s="57" t="str">
        <f t="array" ref="U33">_xlfn.XLOOKUP(B33,'Up Stats'!A:A,'Up Stats'!F:F,)</f>
        <v/>
      </c>
      <c r="V33" s="54" t="str">
        <f>IFERROR(__xludf.DUMMYFUNCTION("if(AND(W33=FALSE,X33=FALSE),,if(W33=X33,JOIN("""",""Static: "",W33),JOIN("""",""Min:  "",W33, CHAR(10),""Max: "",X33)))"),"")</f>
        <v/>
      </c>
      <c r="W33" s="55" t="str">
        <f t="array" ref="W33">_xlfn.XLOOKUP(B33,'Up Min'!A:A,'Up Min'!F:F,)</f>
        <v/>
      </c>
      <c r="X33" s="55" t="str">
        <f t="array" ref="X33">_xlfn.XLOOKUP(B33,'Up Max'!A:A,'Up Max'!F:F,)</f>
        <v/>
      </c>
      <c r="Y33" s="57" t="str">
        <f t="array" ref="Y33">_xlfn.XLOOKUP(B33,'Up Stats'!A:A,'Up Stats'!G:G,)</f>
        <v/>
      </c>
      <c r="Z33" s="54" t="str">
        <f>IFERROR(__xludf.DUMMYFUNCTION("if(AND(AA33=FALSE,AB33=FALSE),,if(AA33=AB33,JOIN("""",""Static: "",AA33),JOIN("""",""Min:  "",AA33, CHAR(10),""Max: "",AB33)))"),"")</f>
        <v/>
      </c>
      <c r="AA33" s="55" t="str">
        <f t="array" ref="AA33">_xlfn.XLOOKUP(B33,'Up Min'!A:A,'Up Min'!G:G,)</f>
        <v/>
      </c>
      <c r="AB33" s="55" t="str">
        <f t="array" ref="AB33">_xlfn.XLOOKUP(B33,'Up Max'!A:A,'Up Max'!G:G,)</f>
        <v/>
      </c>
      <c r="AC33" s="57" t="str">
        <f t="array" ref="AC33">_xlfn.XLOOKUP(B33,'Up Stats'!A:A,'Up Stats'!H:H,)</f>
        <v/>
      </c>
      <c r="AD33" s="54" t="str">
        <f>IFERROR(__xludf.DUMMYFUNCTION("if(AND(AE33=FALSE,AF33=FALSE),,if(AE33=AF33,JOIN("""",""Static: "",AE33),JOIN("""",""Min:  "",AE33, CHAR(10),""Max: "",AF33)))"),"")</f>
        <v/>
      </c>
      <c r="AE33" s="55" t="str">
        <f t="array" ref="AE33">_xlfn.XLOOKUP(B33,'Up Min'!A:A,'Up Min'!H:H,)</f>
        <v/>
      </c>
      <c r="AF33" s="55" t="str">
        <f t="array" ref="AF33">_xlfn.XLOOKUP(B33,'Up Max'!A:A,'Up Max'!H:H,)</f>
        <v/>
      </c>
      <c r="AG33" s="57" t="str">
        <f t="array" ref="AG33">_xlfn.XLOOKUP(B33,'Up Stats'!A:A,'Up Stats'!I:I,)</f>
        <v/>
      </c>
      <c r="AH33" s="54" t="str">
        <f>IFERROR(__xludf.DUMMYFUNCTION("if(AND(AI33=FALSE,AJ33=FALSE),,if(AI33=AJ33,JOIN("""",""Static: "",AI33),JOIN("""",""Min:  "",AI33, CHAR(10),""Max: "",AJ33)))"),"")</f>
        <v/>
      </c>
      <c r="AI33" s="55" t="str">
        <f t="array" ref="AI33">_xlfn.XLOOKUP(B33,'Up Min'!A:A,'Up Min'!I:I,)</f>
        <v/>
      </c>
      <c r="AJ33" s="55" t="str">
        <f t="array" ref="AJ33">_xlfn.XLOOKUP(B33,'Up Max'!A:A,'Up Max'!I:I,)</f>
        <v/>
      </c>
      <c r="AK33" s="57" t="str">
        <f t="array" ref="AK33">_xlfn.XLOOKUP(B33,'Up Stats'!A:A,'Up Stats'!J:J,)</f>
        <v/>
      </c>
      <c r="AL33" s="54" t="str">
        <f>IFERROR(__xludf.DUMMYFUNCTION("if(AND(AM33=FALSE,AN33=FALSE),,if(AM33=AN33,JOIN("""",""Static: "",AM33),JOIN("""",""Min:  "",AM33, CHAR(10),""Max: "",AN33)))"),"")</f>
        <v/>
      </c>
      <c r="AM33" s="55" t="str">
        <f t="array" ref="AM33">_xlfn.XLOOKUP(B33,'Up Min'!A:A,'Up Min'!J:J,)</f>
        <v/>
      </c>
      <c r="AN33" s="55" t="str">
        <f t="array" ref="AN33">_xlfn.XLOOKUP(B33,'Up Max'!A:A,'Up Max'!J:J,)</f>
        <v/>
      </c>
      <c r="AO33" s="51" t="str">
        <f t="array" ref="AO33">CONCATENATE(_xlfn.XLOOKUP(B33,'Up Cells'!A:A,'Up Cells'!B:B,))</f>
        <v>3</v>
      </c>
      <c r="AP33" s="51" t="str">
        <f t="array" ref="AP33">CONCATENATE(_xlfn.XLOOKUP(B33,'Up Rarity'!A:A,'Up Rarity'!B:B,),CHAR(10),"-")</f>
        <v>Standard
-</v>
      </c>
    </row>
    <row r="34">
      <c r="A34" s="84" t="str">
        <f t="array" ref="A34">_xlfn.XLOOKUP(B34,'Up Icon'!A:A,'Up Icon'!B:B,)</f>
        <v/>
      </c>
      <c r="B34" s="89" t="str">
        <f t="array" ref="B34">HYPERLINK(_xlfn.XLOOKUP('Up Names'!G31,'Up Wiki'!A:A,'Up Wiki'!B:B,),'Up Names'!G31)</f>
        <v>Stabilizers</v>
      </c>
      <c r="C34" s="67" t="str">
        <f t="array" ref="C34">_xlfn.XLOOKUP(B34,'Up Desc'!A:A,'Up Desc'!B:B,)</f>
        <v>Spread is reduced.</v>
      </c>
      <c r="D34" s="37" t="str">
        <f t="array" ref="D34">_xlfn.XLOOKUP(B34,'Up Turbo'!A:A,'Up Turbo'!B:B,)</f>
        <v>n/a</v>
      </c>
      <c r="E34" s="39" t="str">
        <f t="array" ref="E34">_xlfn.XLOOKUP(B34,'Up Stats'!A:A,'Up Stats'!B:B,)</f>
        <v>Horizontal Spread</v>
      </c>
      <c r="F34" s="40" t="str">
        <f>IFERROR(__xludf.DUMMYFUNCTION("if(AND(G34=FALSE,H34=FALSE),,if(G34=H34,JOIN("""",""Static: "",G34),JOIN("""",""Min:  "",G34, CHAR(10),""Max: "",H34)))"),"Min:  -20%
Max: -10%")</f>
        <v>Min:  -20%
Max: -10%</v>
      </c>
      <c r="G34" s="41">
        <f t="array" ref="G34">_xlfn.XLOOKUP(B34,'Up Min'!A:A,'Up Min'!B:B,)</f>
        <v>-0.2</v>
      </c>
      <c r="H34" s="41">
        <f t="array" ref="H34">_xlfn.XLOOKUP(B34,'Up Max'!A:A,'Up Max'!B:B,)</f>
        <v>-0.1</v>
      </c>
      <c r="I34" s="39" t="str">
        <f t="array" ref="I34">_xlfn.XLOOKUP(B34,'Up Stats'!A:A,'Up Stats'!C:C,)</f>
        <v>Vertical Spread</v>
      </c>
      <c r="J34" s="40" t="str">
        <f>IFERROR(__xludf.DUMMYFUNCTION("if(AND(K34=FALSE,L34=FALSE),,if(K34=L34,JOIN("""",""Static: "",K34),JOIN("""",""Min:  "",K34, CHAR(10),""Max: "",L34)))"),"Min:  -20%
Max: -10%")</f>
        <v>Min:  -20%
Max: -10%</v>
      </c>
      <c r="K34" s="41">
        <f t="array" ref="K34">_xlfn.XLOOKUP(B34,'Up Min'!A:A,'Up Min'!C:C,)</f>
        <v>-0.2</v>
      </c>
      <c r="L34" s="41">
        <f t="array" ref="L34">_xlfn.XLOOKUP(B34,'Up Max'!A:A,'Up Max'!C:C,)</f>
        <v>-0.1</v>
      </c>
      <c r="M34" s="39" t="str">
        <f t="array" ref="M34">_xlfn.XLOOKUP(B34,'Up Stats'!A:A,'Up Stats'!D:D,)</f>
        <v/>
      </c>
      <c r="N34" s="40" t="str">
        <f>IFERROR(__xludf.DUMMYFUNCTION("if(AND(O34=FALSE,P34=FALSE),,if(O34=P34,JOIN("""",""Static: "",O34),JOIN("""",""Min:  "",O34, CHAR(10),""Max: "",P34)))"),"")</f>
        <v/>
      </c>
      <c r="O34" s="42" t="str">
        <f t="array" ref="O34">_xlfn.XLOOKUP(B34,'Up Min'!A:A,'Up Min'!D:D,)</f>
        <v/>
      </c>
      <c r="P34" s="42" t="str">
        <f t="array" ref="P34">_xlfn.XLOOKUP(B34,'Up Max'!A:A,'Up Max'!D:D,)</f>
        <v/>
      </c>
      <c r="Q34" s="48" t="str">
        <f t="array" ref="Q34">_xlfn.XLOOKUP(B34,'Up Stats'!A:A,'Up Stats'!E:E,)</f>
        <v/>
      </c>
      <c r="R34" s="40" t="str">
        <f>IFERROR(__xludf.DUMMYFUNCTION("if(AND(S34=FALSE,T34=FALSE),,if(S34=T34,JOIN("""",""Static: "",S34),JOIN("""",""Min:  "",S34, CHAR(10),""Max: "",T34)))"),"")</f>
        <v/>
      </c>
      <c r="S34" s="42" t="str">
        <f t="array" ref="S34">_xlfn.XLOOKUP(B34,'Up Min'!A:A,'Up Min'!E:E,)</f>
        <v/>
      </c>
      <c r="T34" s="42" t="str">
        <f t="array" ref="T34">_xlfn.XLOOKUP(B34,'Up Max'!A:A,'Up Max'!E:E,)</f>
        <v/>
      </c>
      <c r="U34" s="48" t="str">
        <f t="array" ref="U34">_xlfn.XLOOKUP(B34,'Up Stats'!A:A,'Up Stats'!F:F,)</f>
        <v/>
      </c>
      <c r="V34" s="40" t="str">
        <f>IFERROR(__xludf.DUMMYFUNCTION("if(AND(W34=FALSE,X34=FALSE),,if(W34=X34,JOIN("""",""Static: "",W34),JOIN("""",""Min:  "",W34, CHAR(10),""Max: "",X34)))"),"")</f>
        <v/>
      </c>
      <c r="W34" s="42" t="str">
        <f t="array" ref="W34">_xlfn.XLOOKUP(B34,'Up Min'!A:A,'Up Min'!F:F,)</f>
        <v/>
      </c>
      <c r="X34" s="42" t="str">
        <f t="array" ref="X34">_xlfn.XLOOKUP(B34,'Up Max'!A:A,'Up Max'!F:F,)</f>
        <v/>
      </c>
      <c r="Y34" s="48" t="str">
        <f t="array" ref="Y34">_xlfn.XLOOKUP(B34,'Up Stats'!A:A,'Up Stats'!G:G,)</f>
        <v/>
      </c>
      <c r="Z34" s="40" t="str">
        <f>IFERROR(__xludf.DUMMYFUNCTION("if(AND(AA34=FALSE,AB34=FALSE),,if(AA34=AB34,JOIN("""",""Static: "",AA34),JOIN("""",""Min:  "",AA34, CHAR(10),""Max: "",AB34)))"),"")</f>
        <v/>
      </c>
      <c r="AA34" s="42" t="str">
        <f t="array" ref="AA34">_xlfn.XLOOKUP(B34,'Up Min'!A:A,'Up Min'!G:G,)</f>
        <v/>
      </c>
      <c r="AB34" s="42" t="str">
        <f t="array" ref="AB34">_xlfn.XLOOKUP(B34,'Up Max'!A:A,'Up Max'!G:G,)</f>
        <v/>
      </c>
      <c r="AC34" s="48" t="str">
        <f t="array" ref="AC34">_xlfn.XLOOKUP(B34,'Up Stats'!A:A,'Up Stats'!H:H,)</f>
        <v/>
      </c>
      <c r="AD34" s="40" t="str">
        <f>IFERROR(__xludf.DUMMYFUNCTION("if(AND(AE34=FALSE,AF34=FALSE),,if(AE34=AF34,JOIN("""",""Static: "",AE34),JOIN("""",""Min:  "",AE34, CHAR(10),""Max: "",AF34)))"),"")</f>
        <v/>
      </c>
      <c r="AE34" s="42" t="str">
        <f t="array" ref="AE34">_xlfn.XLOOKUP(B34,'Up Min'!A:A,'Up Min'!H:H,)</f>
        <v/>
      </c>
      <c r="AF34" s="42" t="str">
        <f t="array" ref="AF34">_xlfn.XLOOKUP(B34,'Up Max'!A:A,'Up Max'!H:H,)</f>
        <v/>
      </c>
      <c r="AG34" s="48" t="str">
        <f t="array" ref="AG34">_xlfn.XLOOKUP(B34,'Up Stats'!A:A,'Up Stats'!I:I,)</f>
        <v/>
      </c>
      <c r="AH34" s="40" t="str">
        <f>IFERROR(__xludf.DUMMYFUNCTION("if(AND(AI34=FALSE,AJ34=FALSE),,if(AI34=AJ34,JOIN("""",""Static: "",AI34),JOIN("""",""Min:  "",AI34, CHAR(10),""Max: "",AJ34)))"),"")</f>
        <v/>
      </c>
      <c r="AI34" s="42" t="str">
        <f t="array" ref="AI34">_xlfn.XLOOKUP(B34,'Up Min'!A:A,'Up Min'!I:I,)</f>
        <v/>
      </c>
      <c r="AJ34" s="42" t="str">
        <f t="array" ref="AJ34">_xlfn.XLOOKUP(B34,'Up Max'!A:A,'Up Max'!I:I,)</f>
        <v/>
      </c>
      <c r="AK34" s="48" t="str">
        <f t="array" ref="AK34">_xlfn.XLOOKUP(B34,'Up Stats'!A:A,'Up Stats'!J:J,)</f>
        <v/>
      </c>
      <c r="AL34" s="40" t="str">
        <f>IFERROR(__xludf.DUMMYFUNCTION("if(AND(AM34=FALSE,AN34=FALSE),,if(AM34=AN34,JOIN("""",""Static: "",AM34),JOIN("""",""Min:  "",AM34, CHAR(10),""Max: "",AN34)))"),"")</f>
        <v/>
      </c>
      <c r="AM34" s="42" t="str">
        <f t="array" ref="AM34">_xlfn.XLOOKUP(B34,'Up Min'!A:A,'Up Min'!J:J,)</f>
        <v/>
      </c>
      <c r="AN34" s="42" t="str">
        <f t="array" ref="AN34">_xlfn.XLOOKUP(B34,'Up Max'!A:A,'Up Max'!J:J,)</f>
        <v/>
      </c>
      <c r="AO34" s="34" t="str">
        <f t="array" ref="AO34">CONCATENATE(_xlfn.XLOOKUP(B34,'Up Cells'!A:A,'Up Cells'!B:B,))</f>
        <v>2</v>
      </c>
      <c r="AP34" s="34" t="str">
        <f t="array" ref="AP34">CONCATENATE(_xlfn.XLOOKUP(B34,'Up Rarity'!A:A,'Up Rarity'!B:B,),CHAR(10),"-")</f>
        <v>Standard
-</v>
      </c>
    </row>
    <row r="35">
      <c r="A35" s="86" t="str">
        <f t="array" ref="A35">_xlfn.XLOOKUP(B35,'Up Icon'!A:A,'Up Icon'!B:B,)</f>
        <v/>
      </c>
      <c r="B35" s="61" t="str">
        <f t="array" ref="B35">HYPERLINK(_xlfn.XLOOKUP('Up Names'!G35,'Up Wiki'!A:A,'Up Wiki'!B:B,),'Up Names'!G35)</f>
        <v/>
      </c>
      <c r="C35" s="70" t="str">
        <f t="array" ref="C35">_xlfn.XLOOKUP(B35,'Up Desc'!A:A,'Up Desc'!B:B,)</f>
        <v/>
      </c>
      <c r="D35" s="52" t="str">
        <f t="array" ref="D35">_xlfn.XLOOKUP(B35,'Up Turbo'!A:A,'Up Turbo'!B:B,)</f>
        <v/>
      </c>
      <c r="E35" s="53" t="str">
        <f t="array" ref="E35">_xlfn.XLOOKUP(B35,'Up Stats'!A:A,'Up Stats'!B:B,)</f>
        <v/>
      </c>
      <c r="F35" s="54" t="str">
        <f>IFERROR(__xludf.DUMMYFUNCTION("if(AND(G35=FALSE,H35=FALSE),,if(G35=H35,JOIN("""",""Static: "",G35),JOIN("""",""Min:  "",G35, CHAR(10),""Max: "",H35)))"),"")</f>
        <v/>
      </c>
      <c r="G35" s="55" t="str">
        <f t="array" ref="G35">_xlfn.XLOOKUP(B35,'Up Min'!A:A,'Up Min'!B:B,)</f>
        <v/>
      </c>
      <c r="H35" s="56" t="str">
        <f t="array" ref="H35">_xlfn.XLOOKUP(B35,'Up Max'!A:A,'Up Max'!B:B,)</f>
        <v/>
      </c>
      <c r="I35" s="53" t="str">
        <f t="array" ref="I35">_xlfn.XLOOKUP(B35,'Up Stats'!A:A,'Up Stats'!C:C,)</f>
        <v/>
      </c>
      <c r="J35" s="54" t="str">
        <f>IFERROR(__xludf.DUMMYFUNCTION("if(AND(K35=FALSE,L35=FALSE),,if(K35=L35,JOIN("""",""Static: "",K35),JOIN("""",""Min:  "",K35, CHAR(10),""Max: "",L35)))"),"")</f>
        <v/>
      </c>
      <c r="K35" s="56" t="str">
        <f t="array" ref="K35">_xlfn.XLOOKUP(B35,'Up Min'!A:A,'Up Min'!C:C,)</f>
        <v/>
      </c>
      <c r="L35" s="55" t="str">
        <f t="array" ref="L35">_xlfn.XLOOKUP(B35,'Up Max'!A:A,'Up Max'!C:C,)</f>
        <v/>
      </c>
      <c r="M35" s="53" t="str">
        <f t="array" ref="M35">_xlfn.XLOOKUP(B35,'Up Stats'!A:A,'Up Stats'!D:D,)</f>
        <v/>
      </c>
      <c r="N35" s="54" t="str">
        <f>IFERROR(__xludf.DUMMYFUNCTION("if(AND(O35=FALSE,P35=FALSE),,if(O35=P35,JOIN("""",""Static: "",O35),JOIN("""",""Min:  "",O35, CHAR(10),""Max: "",P35)))"),"")</f>
        <v/>
      </c>
      <c r="O35" s="55" t="str">
        <f t="array" ref="O35">_xlfn.XLOOKUP(B35,'Up Min'!A:A,'Up Min'!D:D,)</f>
        <v/>
      </c>
      <c r="P35" s="55" t="str">
        <f t="array" ref="P35">_xlfn.XLOOKUP(B35,'Up Max'!A:A,'Up Max'!D:D,)</f>
        <v/>
      </c>
      <c r="Q35" s="57" t="str">
        <f t="array" ref="Q35">_xlfn.XLOOKUP(B35,'Up Stats'!A:A,'Up Stats'!E:E,)</f>
        <v/>
      </c>
      <c r="R35" s="54" t="str">
        <f>IFERROR(__xludf.DUMMYFUNCTION("if(AND(S35=FALSE,T35=FALSE),,if(S35=T35,JOIN("""",""Static: "",S35),JOIN("""",""Min:  "",S35, CHAR(10),""Max: "",T35)))"),"")</f>
        <v/>
      </c>
      <c r="S35" s="55" t="str">
        <f t="array" ref="S35">_xlfn.XLOOKUP(B35,'Up Min'!A:A,'Up Min'!E:E,)</f>
        <v/>
      </c>
      <c r="T35" s="55" t="str">
        <f t="array" ref="T35">_xlfn.XLOOKUP(B35,'Up Max'!A:A,'Up Max'!E:E,)</f>
        <v/>
      </c>
      <c r="U35" s="57" t="str">
        <f t="array" ref="U35">_xlfn.XLOOKUP(B35,'Up Stats'!A:A,'Up Stats'!F:F,)</f>
        <v/>
      </c>
      <c r="V35" s="54" t="str">
        <f>IFERROR(__xludf.DUMMYFUNCTION("if(AND(W35=FALSE,X35=FALSE),,if(W35=X35,JOIN("""",""Static: "",W35),JOIN("""",""Min:  "",W35, CHAR(10),""Max: "",X35)))"),"")</f>
        <v/>
      </c>
      <c r="W35" s="55" t="str">
        <f t="array" ref="W35">_xlfn.XLOOKUP(B35,'Up Min'!A:A,'Up Min'!F:F,)</f>
        <v/>
      </c>
      <c r="X35" s="55" t="str">
        <f t="array" ref="X35">_xlfn.XLOOKUP(B35,'Up Max'!A:A,'Up Max'!F:F,)</f>
        <v/>
      </c>
      <c r="Y35" s="57" t="str">
        <f t="array" ref="Y35">_xlfn.XLOOKUP(B35,'Up Stats'!A:A,'Up Stats'!G:G,)</f>
        <v/>
      </c>
      <c r="Z35" s="54" t="str">
        <f>IFERROR(__xludf.DUMMYFUNCTION("if(AND(AA35=FALSE,AB35=FALSE),,if(AA35=AB35,JOIN("""",""Static: "",AA35),JOIN("""",""Min:  "",AA35, CHAR(10),""Max: "",AB35)))"),"")</f>
        <v/>
      </c>
      <c r="AA35" s="55" t="str">
        <f t="array" ref="AA35">_xlfn.XLOOKUP(B35,'Up Min'!A:A,'Up Min'!G:G,)</f>
        <v/>
      </c>
      <c r="AB35" s="55" t="str">
        <f t="array" ref="AB35">_xlfn.XLOOKUP(B35,'Up Max'!A:A,'Up Max'!G:G,)</f>
        <v/>
      </c>
      <c r="AC35" s="57" t="str">
        <f t="array" ref="AC35">_xlfn.XLOOKUP(B35,'Up Stats'!A:A,'Up Stats'!H:H,)</f>
        <v/>
      </c>
      <c r="AD35" s="54" t="str">
        <f>IFERROR(__xludf.DUMMYFUNCTION("if(AND(AE35=FALSE,AF35=FALSE),,if(AE35=AF35,JOIN("""",""Static: "",AE35),JOIN("""",""Min:  "",AE35, CHAR(10),""Max: "",AF35)))"),"")</f>
        <v/>
      </c>
      <c r="AE35" s="55" t="str">
        <f t="array" ref="AE35">_xlfn.XLOOKUP(B35,'Up Min'!A:A,'Up Min'!H:H,)</f>
        <v/>
      </c>
      <c r="AF35" s="55" t="str">
        <f t="array" ref="AF35">_xlfn.XLOOKUP(B35,'Up Max'!A:A,'Up Max'!H:H,)</f>
        <v/>
      </c>
      <c r="AG35" s="57" t="str">
        <f t="array" ref="AG35">_xlfn.XLOOKUP(B35,'Up Stats'!A:A,'Up Stats'!I:I,)</f>
        <v/>
      </c>
      <c r="AH35" s="54" t="str">
        <f>IFERROR(__xludf.DUMMYFUNCTION("if(AND(AI35=FALSE,AJ35=FALSE),,if(AI35=AJ35,JOIN("""",""Static: "",AI35),JOIN("""",""Min:  "",AI35, CHAR(10),""Max: "",AJ35)))"),"")</f>
        <v/>
      </c>
      <c r="AI35" s="55" t="str">
        <f t="array" ref="AI35">_xlfn.XLOOKUP(B35,'Up Min'!A:A,'Up Min'!I:I,)</f>
        <v/>
      </c>
      <c r="AJ35" s="55" t="str">
        <f t="array" ref="AJ35">_xlfn.XLOOKUP(B35,'Up Max'!A:A,'Up Max'!I:I,)</f>
        <v/>
      </c>
      <c r="AK35" s="57" t="str">
        <f t="array" ref="AK35">_xlfn.XLOOKUP(B35,'Up Stats'!A:A,'Up Stats'!J:J,)</f>
        <v/>
      </c>
      <c r="AL35" s="54" t="str">
        <f>IFERROR(__xludf.DUMMYFUNCTION("if(AND(AM35=FALSE,AN35=FALSE),,if(AM35=AN35,JOIN("""",""Static: "",AM35),JOIN("""",""Min:  "",AM35, CHAR(10),""Max: "",AN35)))"),"")</f>
        <v/>
      </c>
      <c r="AM35" s="55" t="str">
        <f t="array" ref="AM35">_xlfn.XLOOKUP(B35,'Up Min'!A:A,'Up Min'!J:J,)</f>
        <v/>
      </c>
      <c r="AN35" s="55" t="str">
        <f t="array" ref="AN35">_xlfn.XLOOKUP(B35,'Up Max'!A:A,'Up Max'!J:J,)</f>
        <v/>
      </c>
      <c r="AO35" s="51" t="str">
        <f t="array" ref="AO35">CONCATENATE(_xlfn.XLOOKUP(B35,'Up Cells'!A:A,'Up Cells'!B:B,))</f>
        <v/>
      </c>
      <c r="AP35" s="51" t="str">
        <f t="array" ref="AP35">CONCATENATE(_xlfn.XLOOKUP(B35,'Up Rarity'!A:A,'Up Rarity'!B:B,),CHAR(10),"-")</f>
        <v>
-</v>
      </c>
    </row>
    <row r="36">
      <c r="A36" s="87" t="str">
        <f t="array" ref="A36">_xlfn.XLOOKUP(B36,'Up Icon'!A:A,'Up Icon'!B:B,)</f>
        <v/>
      </c>
      <c r="B36" s="58" t="str">
        <f t="array" ref="B36">HYPERLINK(_xlfn.XLOOKUP('Up Names'!G36,'Up Wiki'!A:A,'Up Wiki'!B:B,),'Up Names'!G36)</f>
        <v/>
      </c>
      <c r="C36" s="67" t="str">
        <f t="array" ref="C36">_xlfn.XLOOKUP(B36,'Up Desc'!A:A,'Up Desc'!B:B,)</f>
        <v/>
      </c>
      <c r="D36" s="37" t="str">
        <f t="array" ref="D36">_xlfn.XLOOKUP(B36,'Up Turbo'!A:A,'Up Turbo'!B:B,)</f>
        <v/>
      </c>
      <c r="E36" s="39" t="str">
        <f t="array" ref="E36">_xlfn.XLOOKUP(B36,'Up Stats'!A:A,'Up Stats'!B:B,)</f>
        <v/>
      </c>
      <c r="F36" s="40" t="str">
        <f>IFERROR(__xludf.DUMMYFUNCTION("if(AND(G36=FALSE,H36=FALSE),,if(G36=H36,JOIN("""",""Static: "",G36),JOIN("""",""Min:  "",G36, CHAR(10),""Max: "",H36)))"),"")</f>
        <v/>
      </c>
      <c r="G36" s="42" t="str">
        <f t="array" ref="G36">_xlfn.XLOOKUP(B36,'Up Min'!A:A,'Up Min'!B:B,)</f>
        <v/>
      </c>
      <c r="H36" s="45" t="str">
        <f t="array" ref="H36">_xlfn.XLOOKUP(B36,'Up Max'!A:A,'Up Max'!B:B,)</f>
        <v/>
      </c>
      <c r="I36" s="39" t="str">
        <f t="array" ref="I36">_xlfn.XLOOKUP(B36,'Up Stats'!A:A,'Up Stats'!C:C,)</f>
        <v/>
      </c>
      <c r="J36" s="40" t="str">
        <f>IFERROR(__xludf.DUMMYFUNCTION("if(AND(K36=FALSE,L36=FALSE),,if(K36=L36,JOIN("""",""Static: "",K36),JOIN("""",""Min:  "",K36, CHAR(10),""Max: "",L36)))"),"")</f>
        <v/>
      </c>
      <c r="K36" s="45" t="str">
        <f t="array" ref="K36">_xlfn.XLOOKUP(B36,'Up Min'!A:A,'Up Min'!C:C,)</f>
        <v/>
      </c>
      <c r="L36" s="42" t="str">
        <f t="array" ref="L36">_xlfn.XLOOKUP(B36,'Up Max'!A:A,'Up Max'!C:C,)</f>
        <v/>
      </c>
      <c r="M36" s="39" t="str">
        <f t="array" ref="M36">_xlfn.XLOOKUP(B36,'Up Stats'!A:A,'Up Stats'!D:D,)</f>
        <v/>
      </c>
      <c r="N36" s="40" t="str">
        <f>IFERROR(__xludf.DUMMYFUNCTION("if(AND(O36=FALSE,P36=FALSE),,if(O36=P36,JOIN("""",""Static: "",O36),JOIN("""",""Min:  "",O36, CHAR(10),""Max: "",P36)))"),"")</f>
        <v/>
      </c>
      <c r="O36" s="42" t="str">
        <f t="array" ref="O36">_xlfn.XLOOKUP(B36,'Up Min'!A:A,'Up Min'!D:D,)</f>
        <v/>
      </c>
      <c r="P36" s="42" t="str">
        <f t="array" ref="P36">_xlfn.XLOOKUP(B36,'Up Max'!A:A,'Up Max'!D:D,)</f>
        <v/>
      </c>
      <c r="Q36" s="48" t="str">
        <f t="array" ref="Q36">_xlfn.XLOOKUP(B36,'Up Stats'!A:A,'Up Stats'!E:E,)</f>
        <v/>
      </c>
      <c r="R36" s="40" t="str">
        <f>IFERROR(__xludf.DUMMYFUNCTION("if(AND(S36=FALSE,T36=FALSE),,if(S36=T36,JOIN("""",""Static: "",S36),JOIN("""",""Min:  "",S36, CHAR(10),""Max: "",T36)))"),"")</f>
        <v/>
      </c>
      <c r="S36" s="42" t="str">
        <f t="array" ref="S36">_xlfn.XLOOKUP(B36,'Up Min'!A:A,'Up Min'!E:E,)</f>
        <v/>
      </c>
      <c r="T36" s="42" t="str">
        <f t="array" ref="T36">_xlfn.XLOOKUP(B36,'Up Max'!A:A,'Up Max'!E:E,)</f>
        <v/>
      </c>
      <c r="U36" s="48" t="str">
        <f t="array" ref="U36">_xlfn.XLOOKUP(B36,'Up Stats'!A:A,'Up Stats'!F:F,)</f>
        <v/>
      </c>
      <c r="V36" s="40" t="str">
        <f>IFERROR(__xludf.DUMMYFUNCTION("if(AND(W36=FALSE,X36=FALSE),,if(W36=X36,JOIN("""",""Static: "",W36),JOIN("""",""Min:  "",W36, CHAR(10),""Max: "",X36)))"),"")</f>
        <v/>
      </c>
      <c r="W36" s="42" t="str">
        <f t="array" ref="W36">_xlfn.XLOOKUP(B36,'Up Min'!A:A,'Up Min'!F:F,)</f>
        <v/>
      </c>
      <c r="X36" s="42" t="str">
        <f t="array" ref="X36">_xlfn.XLOOKUP(B36,'Up Max'!A:A,'Up Max'!F:F,)</f>
        <v/>
      </c>
      <c r="Y36" s="48" t="str">
        <f t="array" ref="Y36">_xlfn.XLOOKUP(B36,'Up Stats'!A:A,'Up Stats'!G:G,)</f>
        <v/>
      </c>
      <c r="Z36" s="40" t="str">
        <f>IFERROR(__xludf.DUMMYFUNCTION("if(AND(AA36=FALSE,AB36=FALSE),,if(AA36=AB36,JOIN("""",""Static: "",AA36),JOIN("""",""Min:  "",AA36, CHAR(10),""Max: "",AB36)))"),"")</f>
        <v/>
      </c>
      <c r="AA36" s="42" t="str">
        <f t="array" ref="AA36">_xlfn.XLOOKUP(B36,'Up Min'!A:A,'Up Min'!G:G,)</f>
        <v/>
      </c>
      <c r="AB36" s="42" t="str">
        <f t="array" ref="AB36">_xlfn.XLOOKUP(B36,'Up Max'!A:A,'Up Max'!G:G,)</f>
        <v/>
      </c>
      <c r="AC36" s="48" t="str">
        <f t="array" ref="AC36">_xlfn.XLOOKUP(B36,'Up Stats'!A:A,'Up Stats'!H:H,)</f>
        <v/>
      </c>
      <c r="AD36" s="40" t="str">
        <f>IFERROR(__xludf.DUMMYFUNCTION("if(AND(AE36=FALSE,AF36=FALSE),,if(AE36=AF36,JOIN("""",""Static: "",AE36),JOIN("""",""Min:  "",AE36, CHAR(10),""Max: "",AF36)))"),"")</f>
        <v/>
      </c>
      <c r="AE36" s="42" t="str">
        <f t="array" ref="AE36">_xlfn.XLOOKUP(B36,'Up Min'!A:A,'Up Min'!H:H,)</f>
        <v/>
      </c>
      <c r="AF36" s="42" t="str">
        <f t="array" ref="AF36">_xlfn.XLOOKUP(B36,'Up Max'!A:A,'Up Max'!H:H,)</f>
        <v/>
      </c>
      <c r="AG36" s="48" t="str">
        <f t="array" ref="AG36">_xlfn.XLOOKUP(B36,'Up Stats'!A:A,'Up Stats'!I:I,)</f>
        <v/>
      </c>
      <c r="AH36" s="40" t="str">
        <f>IFERROR(__xludf.DUMMYFUNCTION("if(AND(AI36=FALSE,AJ36=FALSE),,if(AI36=AJ36,JOIN("""",""Static: "",AI36),JOIN("""",""Min:  "",AI36, CHAR(10),""Max: "",AJ36)))"),"")</f>
        <v/>
      </c>
      <c r="AI36" s="42" t="str">
        <f t="array" ref="AI36">_xlfn.XLOOKUP(B36,'Up Min'!A:A,'Up Min'!I:I,)</f>
        <v/>
      </c>
      <c r="AJ36" s="42" t="str">
        <f t="array" ref="AJ36">_xlfn.XLOOKUP(B36,'Up Max'!A:A,'Up Max'!I:I,)</f>
        <v/>
      </c>
      <c r="AK36" s="48" t="str">
        <f t="array" ref="AK36">_xlfn.XLOOKUP(B36,'Up Stats'!A:A,'Up Stats'!J:J,)</f>
        <v/>
      </c>
      <c r="AL36" s="40" t="str">
        <f>IFERROR(__xludf.DUMMYFUNCTION("if(AND(AM36=FALSE,AN36=FALSE),,if(AM36=AN36,JOIN("""",""Static: "",AM36),JOIN("""",""Min:  "",AM36, CHAR(10),""Max: "",AN36)))"),"")</f>
        <v/>
      </c>
      <c r="AM36" s="42" t="str">
        <f t="array" ref="AM36">_xlfn.XLOOKUP(B36,'Up Min'!A:A,'Up Min'!J:J,)</f>
        <v/>
      </c>
      <c r="AN36" s="42" t="str">
        <f t="array" ref="AN36">_xlfn.XLOOKUP(B36,'Up Max'!A:A,'Up Max'!J:J,)</f>
        <v/>
      </c>
      <c r="AO36" s="34" t="str">
        <f t="array" ref="AO36">CONCATENATE(_xlfn.XLOOKUP(B36,'Up Cells'!A:A,'Up Cells'!B:B,))</f>
        <v/>
      </c>
      <c r="AP36" s="34" t="str">
        <f t="array" ref="AP36">CONCATENATE(_xlfn.XLOOKUP(B36,'Up Rarity'!A:A,'Up Rarity'!B:B,),CHAR(10),"-")</f>
        <v>
-</v>
      </c>
    </row>
    <row r="37">
      <c r="A37" s="86" t="str">
        <f t="array" ref="A37">_xlfn.XLOOKUP(B37,'Up Icon'!A:A,'Up Icon'!B:B,)</f>
        <v/>
      </c>
      <c r="B37" s="61" t="str">
        <f t="array" ref="B37">HYPERLINK(_xlfn.XLOOKUP('Up Names'!G37,'Up Wiki'!A:A,'Up Wiki'!B:B,),'Up Names'!G37)</f>
        <v/>
      </c>
      <c r="C37" s="70" t="str">
        <f t="array" ref="C37">_xlfn.XLOOKUP(B37,'Up Desc'!A:A,'Up Desc'!B:B,)</f>
        <v/>
      </c>
      <c r="D37" s="52" t="str">
        <f t="array" ref="D37">_xlfn.XLOOKUP(B37,'Up Turbo'!A:A,'Up Turbo'!B:B,)</f>
        <v/>
      </c>
      <c r="E37" s="53" t="str">
        <f t="array" ref="E37">_xlfn.XLOOKUP(B37,'Up Stats'!A:A,'Up Stats'!B:B,)</f>
        <v/>
      </c>
      <c r="F37" s="54" t="str">
        <f>IFERROR(__xludf.DUMMYFUNCTION("if(AND(G37=FALSE,H37=FALSE),,if(G37=H37,JOIN("""",""Static: "",G37),JOIN("""",""Min:  "",G37, CHAR(10),""Max: "",H37)))"),"")</f>
        <v/>
      </c>
      <c r="G37" s="55" t="str">
        <f t="array" ref="G37">_xlfn.XLOOKUP(B37,'Up Min'!A:A,'Up Min'!B:B,)</f>
        <v/>
      </c>
      <c r="H37" s="56" t="str">
        <f t="array" ref="H37">_xlfn.XLOOKUP(B37,'Up Max'!A:A,'Up Max'!B:B,)</f>
        <v/>
      </c>
      <c r="I37" s="53" t="str">
        <f t="array" ref="I37">_xlfn.XLOOKUP(B37,'Up Stats'!A:A,'Up Stats'!C:C,)</f>
        <v/>
      </c>
      <c r="J37" s="54" t="str">
        <f>IFERROR(__xludf.DUMMYFUNCTION("if(AND(K37=FALSE,L37=FALSE),,if(K37=L37,JOIN("""",""Static: "",K37),JOIN("""",""Min:  "",K37, CHAR(10),""Max: "",L37)))"),"")</f>
        <v/>
      </c>
      <c r="K37" s="56" t="str">
        <f t="array" ref="K37">_xlfn.XLOOKUP(B37,'Up Min'!A:A,'Up Min'!C:C,)</f>
        <v/>
      </c>
      <c r="L37" s="55" t="str">
        <f t="array" ref="L37">_xlfn.XLOOKUP(B37,'Up Max'!A:A,'Up Max'!C:C,)</f>
        <v/>
      </c>
      <c r="M37" s="53" t="str">
        <f t="array" ref="M37">_xlfn.XLOOKUP(B37,'Up Stats'!A:A,'Up Stats'!D:D,)</f>
        <v/>
      </c>
      <c r="N37" s="54" t="str">
        <f>IFERROR(__xludf.DUMMYFUNCTION("if(AND(O37=FALSE,P37=FALSE),,if(O37=P37,JOIN("""",""Static: "",O37),JOIN("""",""Min:  "",O37, CHAR(10),""Max: "",P37)))"),"")</f>
        <v/>
      </c>
      <c r="O37" s="55" t="str">
        <f t="array" ref="O37">_xlfn.XLOOKUP(B37,'Up Min'!A:A,'Up Min'!D:D,)</f>
        <v/>
      </c>
      <c r="P37" s="55" t="str">
        <f t="array" ref="P37">_xlfn.XLOOKUP(B37,'Up Max'!A:A,'Up Max'!D:D,)</f>
        <v/>
      </c>
      <c r="Q37" s="57" t="str">
        <f t="array" ref="Q37">_xlfn.XLOOKUP(B37,'Up Stats'!A:A,'Up Stats'!E:E,)</f>
        <v/>
      </c>
      <c r="R37" s="54" t="str">
        <f>IFERROR(__xludf.DUMMYFUNCTION("if(AND(S37=FALSE,T37=FALSE),,if(S37=T37,JOIN("""",""Static: "",S37),JOIN("""",""Min:  "",S37, CHAR(10),""Max: "",T37)))"),"")</f>
        <v/>
      </c>
      <c r="S37" s="55" t="str">
        <f t="array" ref="S37">_xlfn.XLOOKUP(B37,'Up Min'!A:A,'Up Min'!E:E,)</f>
        <v/>
      </c>
      <c r="T37" s="55" t="str">
        <f t="array" ref="T37">_xlfn.XLOOKUP(B37,'Up Max'!A:A,'Up Max'!E:E,)</f>
        <v/>
      </c>
      <c r="U37" s="57" t="str">
        <f t="array" ref="U37">_xlfn.XLOOKUP(B37,'Up Stats'!A:A,'Up Stats'!F:F,)</f>
        <v/>
      </c>
      <c r="V37" s="54" t="str">
        <f>IFERROR(__xludf.DUMMYFUNCTION("if(AND(W37=FALSE,X37=FALSE),,if(W37=X37,JOIN("""",""Static: "",W37),JOIN("""",""Min:  "",W37, CHAR(10),""Max: "",X37)))"),"")</f>
        <v/>
      </c>
      <c r="W37" s="55" t="str">
        <f t="array" ref="W37">_xlfn.XLOOKUP(B37,'Up Min'!A:A,'Up Min'!F:F,)</f>
        <v/>
      </c>
      <c r="X37" s="55" t="str">
        <f t="array" ref="X37">_xlfn.XLOOKUP(B37,'Up Max'!A:A,'Up Max'!F:F,)</f>
        <v/>
      </c>
      <c r="Y37" s="57" t="str">
        <f t="array" ref="Y37">_xlfn.XLOOKUP(B37,'Up Stats'!A:A,'Up Stats'!G:G,)</f>
        <v/>
      </c>
      <c r="Z37" s="54" t="str">
        <f>IFERROR(__xludf.DUMMYFUNCTION("if(AND(AA37=FALSE,AB37=FALSE),,if(AA37=AB37,JOIN("""",""Static: "",AA37),JOIN("""",""Min:  "",AA37, CHAR(10),""Max: "",AB37)))"),"")</f>
        <v/>
      </c>
      <c r="AA37" s="55" t="str">
        <f t="array" ref="AA37">_xlfn.XLOOKUP(B37,'Up Min'!A:A,'Up Min'!G:G,)</f>
        <v/>
      </c>
      <c r="AB37" s="55" t="str">
        <f t="array" ref="AB37">_xlfn.XLOOKUP(B37,'Up Max'!A:A,'Up Max'!G:G,)</f>
        <v/>
      </c>
      <c r="AC37" s="57" t="str">
        <f t="array" ref="AC37">_xlfn.XLOOKUP(B37,'Up Stats'!A:A,'Up Stats'!H:H,)</f>
        <v/>
      </c>
      <c r="AD37" s="54" t="str">
        <f>IFERROR(__xludf.DUMMYFUNCTION("if(AND(AE37=FALSE,AF37=FALSE),,if(AE37=AF37,JOIN("""",""Static: "",AE37),JOIN("""",""Min:  "",AE37, CHAR(10),""Max: "",AF37)))"),"")</f>
        <v/>
      </c>
      <c r="AE37" s="55" t="str">
        <f t="array" ref="AE37">_xlfn.XLOOKUP(B37,'Up Min'!A:A,'Up Min'!H:H,)</f>
        <v/>
      </c>
      <c r="AF37" s="55" t="str">
        <f t="array" ref="AF37">_xlfn.XLOOKUP(B37,'Up Max'!A:A,'Up Max'!H:H,)</f>
        <v/>
      </c>
      <c r="AG37" s="57" t="str">
        <f t="array" ref="AG37">_xlfn.XLOOKUP(B37,'Up Stats'!A:A,'Up Stats'!I:I,)</f>
        <v/>
      </c>
      <c r="AH37" s="54" t="str">
        <f>IFERROR(__xludf.DUMMYFUNCTION("if(AND(AI37=FALSE,AJ37=FALSE),,if(AI37=AJ37,JOIN("""",""Static: "",AI37),JOIN("""",""Min:  "",AI37, CHAR(10),""Max: "",AJ37)))"),"")</f>
        <v/>
      </c>
      <c r="AI37" s="55" t="str">
        <f t="array" ref="AI37">_xlfn.XLOOKUP(B37,'Up Min'!A:A,'Up Min'!I:I,)</f>
        <v/>
      </c>
      <c r="AJ37" s="55" t="str">
        <f t="array" ref="AJ37">_xlfn.XLOOKUP(B37,'Up Max'!A:A,'Up Max'!I:I,)</f>
        <v/>
      </c>
      <c r="AK37" s="57" t="str">
        <f t="array" ref="AK37">_xlfn.XLOOKUP(B37,'Up Stats'!A:A,'Up Stats'!J:J,)</f>
        <v/>
      </c>
      <c r="AL37" s="54" t="str">
        <f>IFERROR(__xludf.DUMMYFUNCTION("if(AND(AM37=FALSE,AN37=FALSE),,if(AM37=AN37,JOIN("""",""Static: "",AM37),JOIN("""",""Min:  "",AM37, CHAR(10),""Max: "",AN37)))"),"")</f>
        <v/>
      </c>
      <c r="AM37" s="55" t="str">
        <f t="array" ref="AM37">_xlfn.XLOOKUP(B37,'Up Min'!A:A,'Up Min'!J:J,)</f>
        <v/>
      </c>
      <c r="AN37" s="55" t="str">
        <f t="array" ref="AN37">_xlfn.XLOOKUP(B37,'Up Max'!A:A,'Up Max'!J:J,)</f>
        <v/>
      </c>
      <c r="AO37" s="51" t="str">
        <f t="array" ref="AO37">CONCATENATE(_xlfn.XLOOKUP(B37,'Up Cells'!A:A,'Up Cells'!B:B,))</f>
        <v/>
      </c>
      <c r="AP37" s="51" t="str">
        <f t="array" ref="AP37">CONCATENATE(_xlfn.XLOOKUP(B37,'Up Rarity'!A:A,'Up Rarity'!B:B,),CHAR(10),"-")</f>
        <v>
-</v>
      </c>
    </row>
    <row r="38">
      <c r="A38" s="87" t="str">
        <f t="array" ref="A38">_xlfn.XLOOKUP(B38,'Up Icon'!A:A,'Up Icon'!B:B,)</f>
        <v/>
      </c>
      <c r="B38" s="58" t="str">
        <f t="array" ref="B38">HYPERLINK(_xlfn.XLOOKUP('Up Names'!G38,'Up Wiki'!A:A,'Up Wiki'!B:B,),'Up Names'!G38)</f>
        <v/>
      </c>
      <c r="C38" s="67" t="str">
        <f t="array" ref="C38">_xlfn.XLOOKUP(B38,'Up Desc'!A:A,'Up Desc'!B:B,)</f>
        <v/>
      </c>
      <c r="D38" s="37" t="str">
        <f t="array" ref="D38">_xlfn.XLOOKUP(B38,'Up Turbo'!A:A,'Up Turbo'!B:B,)</f>
        <v/>
      </c>
      <c r="E38" s="39" t="str">
        <f t="array" ref="E38">_xlfn.XLOOKUP(B38,'Up Stats'!A:A,'Up Stats'!B:B,)</f>
        <v/>
      </c>
      <c r="F38" s="40" t="str">
        <f>IFERROR(__xludf.DUMMYFUNCTION("if(AND(G38=FALSE,H38=FALSE),,if(G38=H38,JOIN("""",""Static: "",G38),JOIN("""",""Min:  "",G38, CHAR(10),""Max: "",H38)))"),"")</f>
        <v/>
      </c>
      <c r="G38" s="42" t="str">
        <f t="array" ref="G38">_xlfn.XLOOKUP(B38,'Up Min'!A:A,'Up Min'!B:B,)</f>
        <v/>
      </c>
      <c r="H38" s="45" t="str">
        <f t="array" ref="H38">_xlfn.XLOOKUP(B38,'Up Max'!A:A,'Up Max'!B:B,)</f>
        <v/>
      </c>
      <c r="I38" s="39" t="str">
        <f t="array" ref="I38">_xlfn.XLOOKUP(B38,'Up Stats'!A:A,'Up Stats'!C:C,)</f>
        <v/>
      </c>
      <c r="J38" s="40" t="str">
        <f>IFERROR(__xludf.DUMMYFUNCTION("if(AND(K38=FALSE,L38=FALSE),,if(K38=L38,JOIN("""",""Static: "",K38),JOIN("""",""Min:  "",K38, CHAR(10),""Max: "",L38)))"),"")</f>
        <v/>
      </c>
      <c r="K38" s="45" t="str">
        <f t="array" ref="K38">_xlfn.XLOOKUP(B38,'Up Min'!A:A,'Up Min'!C:C,)</f>
        <v/>
      </c>
      <c r="L38" s="42" t="str">
        <f t="array" ref="L38">_xlfn.XLOOKUP(B38,'Up Max'!A:A,'Up Max'!C:C,)</f>
        <v/>
      </c>
      <c r="M38" s="39" t="str">
        <f t="array" ref="M38">_xlfn.XLOOKUP(B38,'Up Stats'!A:A,'Up Stats'!D:D,)</f>
        <v/>
      </c>
      <c r="N38" s="40" t="str">
        <f>IFERROR(__xludf.DUMMYFUNCTION("if(AND(O38=FALSE,P38=FALSE),,if(O38=P38,JOIN("""",""Static: "",O38),JOIN("""",""Min:  "",O38, CHAR(10),""Max: "",P38)))"),"")</f>
        <v/>
      </c>
      <c r="O38" s="42" t="str">
        <f t="array" ref="O38">_xlfn.XLOOKUP(B38,'Up Min'!A:A,'Up Min'!D:D,)</f>
        <v/>
      </c>
      <c r="P38" s="42" t="str">
        <f t="array" ref="P38">_xlfn.XLOOKUP(B38,'Up Max'!A:A,'Up Max'!D:D,)</f>
        <v/>
      </c>
      <c r="Q38" s="48" t="str">
        <f t="array" ref="Q38">_xlfn.XLOOKUP(B38,'Up Stats'!A:A,'Up Stats'!E:E,)</f>
        <v/>
      </c>
      <c r="R38" s="40" t="str">
        <f>IFERROR(__xludf.DUMMYFUNCTION("if(AND(S38=FALSE,T38=FALSE),,if(S38=T38,JOIN("""",""Static: "",S38),JOIN("""",""Min:  "",S38, CHAR(10),""Max: "",T38)))"),"")</f>
        <v/>
      </c>
      <c r="S38" s="42" t="str">
        <f t="array" ref="S38">_xlfn.XLOOKUP(B38,'Up Min'!A:A,'Up Min'!E:E,)</f>
        <v/>
      </c>
      <c r="T38" s="42" t="str">
        <f t="array" ref="T38">_xlfn.XLOOKUP(B38,'Up Max'!A:A,'Up Max'!E:E,)</f>
        <v/>
      </c>
      <c r="U38" s="48" t="str">
        <f t="array" ref="U38">_xlfn.XLOOKUP(B38,'Up Stats'!A:A,'Up Stats'!F:F,)</f>
        <v/>
      </c>
      <c r="V38" s="40" t="str">
        <f>IFERROR(__xludf.DUMMYFUNCTION("if(AND(W38=FALSE,X38=FALSE),,if(W38=X38,JOIN("""",""Static: "",W38),JOIN("""",""Min:  "",W38, CHAR(10),""Max: "",X38)))"),"")</f>
        <v/>
      </c>
      <c r="W38" s="42" t="str">
        <f t="array" ref="W38">_xlfn.XLOOKUP(B38,'Up Min'!A:A,'Up Min'!F:F,)</f>
        <v/>
      </c>
      <c r="X38" s="42" t="str">
        <f t="array" ref="X38">_xlfn.XLOOKUP(B38,'Up Max'!A:A,'Up Max'!F:F,)</f>
        <v/>
      </c>
      <c r="Y38" s="48" t="str">
        <f t="array" ref="Y38">_xlfn.XLOOKUP(B38,'Up Stats'!A:A,'Up Stats'!G:G,)</f>
        <v/>
      </c>
      <c r="Z38" s="40" t="str">
        <f>IFERROR(__xludf.DUMMYFUNCTION("if(AND(AA38=FALSE,AB38=FALSE),,if(AA38=AB38,JOIN("""",""Static: "",AA38),JOIN("""",""Min:  "",AA38, CHAR(10),""Max: "",AB38)))"),"")</f>
        <v/>
      </c>
      <c r="AA38" s="42" t="str">
        <f t="array" ref="AA38">_xlfn.XLOOKUP(B38,'Up Min'!A:A,'Up Min'!G:G,)</f>
        <v/>
      </c>
      <c r="AB38" s="42" t="str">
        <f t="array" ref="AB38">_xlfn.XLOOKUP(B38,'Up Max'!A:A,'Up Max'!G:G,)</f>
        <v/>
      </c>
      <c r="AC38" s="48" t="str">
        <f t="array" ref="AC38">_xlfn.XLOOKUP(B38,'Up Stats'!A:A,'Up Stats'!H:H,)</f>
        <v/>
      </c>
      <c r="AD38" s="40" t="str">
        <f>IFERROR(__xludf.DUMMYFUNCTION("if(AND(AE38=FALSE,AF38=FALSE),,if(AE38=AF38,JOIN("""",""Static: "",AE38),JOIN("""",""Min:  "",AE38, CHAR(10),""Max: "",AF38)))"),"")</f>
        <v/>
      </c>
      <c r="AE38" s="42" t="str">
        <f t="array" ref="AE38">_xlfn.XLOOKUP(B38,'Up Min'!A:A,'Up Min'!H:H,)</f>
        <v/>
      </c>
      <c r="AF38" s="42" t="str">
        <f t="array" ref="AF38">_xlfn.XLOOKUP(B38,'Up Max'!A:A,'Up Max'!H:H,)</f>
        <v/>
      </c>
      <c r="AG38" s="48" t="str">
        <f t="array" ref="AG38">_xlfn.XLOOKUP(B38,'Up Stats'!A:A,'Up Stats'!I:I,)</f>
        <v/>
      </c>
      <c r="AH38" s="40" t="str">
        <f>IFERROR(__xludf.DUMMYFUNCTION("if(AND(AI38=FALSE,AJ38=FALSE),,if(AI38=AJ38,JOIN("""",""Static: "",AI38),JOIN("""",""Min:  "",AI38, CHAR(10),""Max: "",AJ38)))"),"")</f>
        <v/>
      </c>
      <c r="AI38" s="42" t="str">
        <f t="array" ref="AI38">_xlfn.XLOOKUP(B38,'Up Min'!A:A,'Up Min'!I:I,)</f>
        <v/>
      </c>
      <c r="AJ38" s="42" t="str">
        <f t="array" ref="AJ38">_xlfn.XLOOKUP(B38,'Up Max'!A:A,'Up Max'!I:I,)</f>
        <v/>
      </c>
      <c r="AK38" s="48" t="str">
        <f t="array" ref="AK38">_xlfn.XLOOKUP(B38,'Up Stats'!A:A,'Up Stats'!J:J,)</f>
        <v/>
      </c>
      <c r="AL38" s="40" t="str">
        <f>IFERROR(__xludf.DUMMYFUNCTION("if(AND(AM38=FALSE,AN38=FALSE),,if(AM38=AN38,JOIN("""",""Static: "",AM38),JOIN("""",""Min:  "",AM38, CHAR(10),""Max: "",AN38)))"),"")</f>
        <v/>
      </c>
      <c r="AM38" s="42" t="str">
        <f t="array" ref="AM38">_xlfn.XLOOKUP(B38,'Up Min'!A:A,'Up Min'!J:J,)</f>
        <v/>
      </c>
      <c r="AN38" s="42" t="str">
        <f t="array" ref="AN38">_xlfn.XLOOKUP(B38,'Up Max'!A:A,'Up Max'!J:J,)</f>
        <v/>
      </c>
      <c r="AO38" s="34" t="str">
        <f t="array" ref="AO38">CONCATENATE(_xlfn.XLOOKUP(B38,'Up Cells'!A:A,'Up Cells'!B:B,))</f>
        <v/>
      </c>
      <c r="AP38" s="34" t="str">
        <f t="array" ref="AP38">CONCATENATE(_xlfn.XLOOKUP(B38,'Up Rarity'!A:A,'Up Rarity'!B:B,),CHAR(10),"-")</f>
        <v>
-</v>
      </c>
    </row>
    <row r="39">
      <c r="A39" s="86" t="str">
        <f t="array" ref="A39">_xlfn.XLOOKUP(B39,'Up Icon'!A:A,'Up Icon'!B:B,)</f>
        <v/>
      </c>
      <c r="B39" s="61" t="str">
        <f t="array" ref="B39">HYPERLINK(_xlfn.XLOOKUP('Up Names'!G39,'Up Wiki'!A:A,'Up Wiki'!B:B,),'Up Names'!G39)</f>
        <v/>
      </c>
      <c r="C39" s="70" t="str">
        <f t="array" ref="C39">_xlfn.XLOOKUP(B39,'Up Desc'!A:A,'Up Desc'!B:B,)</f>
        <v/>
      </c>
      <c r="D39" s="52" t="str">
        <f t="array" ref="D39">_xlfn.XLOOKUP(B39,'Up Turbo'!A:A,'Up Turbo'!B:B,)</f>
        <v/>
      </c>
      <c r="E39" s="53" t="str">
        <f t="array" ref="E39">_xlfn.XLOOKUP(B39,'Up Stats'!A:A,'Up Stats'!B:B,)</f>
        <v/>
      </c>
      <c r="F39" s="54" t="str">
        <f>IFERROR(__xludf.DUMMYFUNCTION("if(AND(G39=FALSE,H39=FALSE),,if(G39=H39,JOIN("""",""Static: "",G39),JOIN("""",""Min:  "",G39, CHAR(10),""Max: "",H39)))"),"")</f>
        <v/>
      </c>
      <c r="G39" s="55" t="str">
        <f t="array" ref="G39">_xlfn.XLOOKUP(B39,'Up Min'!A:A,'Up Min'!B:B,)</f>
        <v/>
      </c>
      <c r="H39" s="56" t="str">
        <f t="array" ref="H39">_xlfn.XLOOKUP(B39,'Up Max'!A:A,'Up Max'!B:B,)</f>
        <v/>
      </c>
      <c r="I39" s="53" t="str">
        <f t="array" ref="I39">_xlfn.XLOOKUP(B39,'Up Stats'!A:A,'Up Stats'!C:C,)</f>
        <v/>
      </c>
      <c r="J39" s="54" t="str">
        <f>IFERROR(__xludf.DUMMYFUNCTION("if(AND(K39=FALSE,L39=FALSE),,if(K39=L39,JOIN("""",""Static: "",K39),JOIN("""",""Min:  "",K39, CHAR(10),""Max: "",L39)))"),"")</f>
        <v/>
      </c>
      <c r="K39" s="56" t="str">
        <f t="array" ref="K39">_xlfn.XLOOKUP(B39,'Up Min'!A:A,'Up Min'!C:C,)</f>
        <v/>
      </c>
      <c r="L39" s="55" t="str">
        <f t="array" ref="L39">_xlfn.XLOOKUP(B39,'Up Max'!A:A,'Up Max'!C:C,)</f>
        <v/>
      </c>
      <c r="M39" s="53" t="str">
        <f t="array" ref="M39">_xlfn.XLOOKUP(B39,'Up Stats'!A:A,'Up Stats'!D:D,)</f>
        <v/>
      </c>
      <c r="N39" s="54" t="str">
        <f>IFERROR(__xludf.DUMMYFUNCTION("if(AND(O39=FALSE,P39=FALSE),,if(O39=P39,JOIN("""",""Static: "",O39),JOIN("""",""Min:  "",O39, CHAR(10),""Max: "",P39)))"),"")</f>
        <v/>
      </c>
      <c r="O39" s="55" t="str">
        <f t="array" ref="O39">_xlfn.XLOOKUP(B39,'Up Min'!A:A,'Up Min'!D:D,)</f>
        <v/>
      </c>
      <c r="P39" s="55" t="str">
        <f t="array" ref="P39">_xlfn.XLOOKUP(B39,'Up Max'!A:A,'Up Max'!D:D,)</f>
        <v/>
      </c>
      <c r="Q39" s="57" t="str">
        <f t="array" ref="Q39">_xlfn.XLOOKUP(B39,'Up Stats'!A:A,'Up Stats'!E:E,)</f>
        <v/>
      </c>
      <c r="R39" s="54" t="str">
        <f>IFERROR(__xludf.DUMMYFUNCTION("if(AND(S39=FALSE,T39=FALSE),,if(S39=T39,JOIN("""",""Static: "",S39),JOIN("""",""Min:  "",S39, CHAR(10),""Max: "",T39)))"),"")</f>
        <v/>
      </c>
      <c r="S39" s="55" t="str">
        <f t="array" ref="S39">_xlfn.XLOOKUP(B39,'Up Min'!A:A,'Up Min'!E:E,)</f>
        <v/>
      </c>
      <c r="T39" s="55" t="str">
        <f t="array" ref="T39">_xlfn.XLOOKUP(B39,'Up Max'!A:A,'Up Max'!E:E,)</f>
        <v/>
      </c>
      <c r="U39" s="57" t="str">
        <f t="array" ref="U39">_xlfn.XLOOKUP(B39,'Up Stats'!A:A,'Up Stats'!F:F,)</f>
        <v/>
      </c>
      <c r="V39" s="54" t="str">
        <f>IFERROR(__xludf.DUMMYFUNCTION("if(AND(W39=FALSE,X39=FALSE),,if(W39=X39,JOIN("""",""Static: "",W39),JOIN("""",""Min:  "",W39, CHAR(10),""Max: "",X39)))"),"")</f>
        <v/>
      </c>
      <c r="W39" s="55" t="str">
        <f t="array" ref="W39">_xlfn.XLOOKUP(B39,'Up Min'!A:A,'Up Min'!F:F,)</f>
        <v/>
      </c>
      <c r="X39" s="55" t="str">
        <f t="array" ref="X39">_xlfn.XLOOKUP(B39,'Up Max'!A:A,'Up Max'!F:F,)</f>
        <v/>
      </c>
      <c r="Y39" s="57" t="str">
        <f t="array" ref="Y39">_xlfn.XLOOKUP(B39,'Up Stats'!A:A,'Up Stats'!G:G,)</f>
        <v/>
      </c>
      <c r="Z39" s="54" t="str">
        <f>IFERROR(__xludf.DUMMYFUNCTION("if(AND(AA39=FALSE,AB39=FALSE),,if(AA39=AB39,JOIN("""",""Static: "",AA39),JOIN("""",""Min:  "",AA39, CHAR(10),""Max: "",AB39)))"),"")</f>
        <v/>
      </c>
      <c r="AA39" s="55" t="str">
        <f t="array" ref="AA39">_xlfn.XLOOKUP(B39,'Up Min'!A:A,'Up Min'!G:G,)</f>
        <v/>
      </c>
      <c r="AB39" s="55" t="str">
        <f t="array" ref="AB39">_xlfn.XLOOKUP(B39,'Up Max'!A:A,'Up Max'!G:G,)</f>
        <v/>
      </c>
      <c r="AC39" s="57" t="str">
        <f t="array" ref="AC39">_xlfn.XLOOKUP(B39,'Up Stats'!A:A,'Up Stats'!H:H,)</f>
        <v/>
      </c>
      <c r="AD39" s="54" t="str">
        <f>IFERROR(__xludf.DUMMYFUNCTION("if(AND(AE39=FALSE,AF39=FALSE),,if(AE39=AF39,JOIN("""",""Static: "",AE39),JOIN("""",""Min:  "",AE39, CHAR(10),""Max: "",AF39)))"),"")</f>
        <v/>
      </c>
      <c r="AE39" s="55" t="str">
        <f t="array" ref="AE39">_xlfn.XLOOKUP(B39,'Up Min'!A:A,'Up Min'!H:H,)</f>
        <v/>
      </c>
      <c r="AF39" s="55" t="str">
        <f t="array" ref="AF39">_xlfn.XLOOKUP(B39,'Up Max'!A:A,'Up Max'!H:H,)</f>
        <v/>
      </c>
      <c r="AG39" s="57" t="str">
        <f t="array" ref="AG39">_xlfn.XLOOKUP(B39,'Up Stats'!A:A,'Up Stats'!I:I,)</f>
        <v/>
      </c>
      <c r="AH39" s="54" t="str">
        <f>IFERROR(__xludf.DUMMYFUNCTION("if(AND(AI39=FALSE,AJ39=FALSE),,if(AI39=AJ39,JOIN("""",""Static: "",AI39),JOIN("""",""Min:  "",AI39, CHAR(10),""Max: "",AJ39)))"),"")</f>
        <v/>
      </c>
      <c r="AI39" s="55" t="str">
        <f t="array" ref="AI39">_xlfn.XLOOKUP(B39,'Up Min'!A:A,'Up Min'!I:I,)</f>
        <v/>
      </c>
      <c r="AJ39" s="55" t="str">
        <f t="array" ref="AJ39">_xlfn.XLOOKUP(B39,'Up Max'!A:A,'Up Max'!I:I,)</f>
        <v/>
      </c>
      <c r="AK39" s="57" t="str">
        <f t="array" ref="AK39">_xlfn.XLOOKUP(B39,'Up Stats'!A:A,'Up Stats'!J:J,)</f>
        <v/>
      </c>
      <c r="AL39" s="54" t="str">
        <f>IFERROR(__xludf.DUMMYFUNCTION("if(AND(AM39=FALSE,AN39=FALSE),,if(AM39=AN39,JOIN("""",""Static: "",AM39),JOIN("""",""Min:  "",AM39, CHAR(10),""Max: "",AN39)))"),"")</f>
        <v/>
      </c>
      <c r="AM39" s="55" t="str">
        <f t="array" ref="AM39">_xlfn.XLOOKUP(B39,'Up Min'!A:A,'Up Min'!J:J,)</f>
        <v/>
      </c>
      <c r="AN39" s="55" t="str">
        <f t="array" ref="AN39">_xlfn.XLOOKUP(B39,'Up Max'!A:A,'Up Max'!J:J,)</f>
        <v/>
      </c>
      <c r="AO39" s="51" t="str">
        <f t="array" ref="AO39">CONCATENATE(_xlfn.XLOOKUP(B39,'Up Cells'!A:A,'Up Cells'!B:B,))</f>
        <v/>
      </c>
      <c r="AP39" s="51" t="str">
        <f t="array" ref="AP39">CONCATENATE(_xlfn.XLOOKUP(B39,'Up Rarity'!A:A,'Up Rarity'!B:B,),CHAR(10),"-")</f>
        <v>
-</v>
      </c>
    </row>
    <row r="40">
      <c r="A40" s="87" t="str">
        <f t="array" ref="A40">_xlfn.XLOOKUP(B40,'Up Icon'!A:A,'Up Icon'!B:B,)</f>
        <v/>
      </c>
      <c r="B40" s="58" t="str">
        <f t="array" ref="B40">HYPERLINK(_xlfn.XLOOKUP('Up Names'!G40,'Up Wiki'!A:A,'Up Wiki'!B:B,),'Up Names'!G40)</f>
        <v/>
      </c>
      <c r="C40" s="67" t="str">
        <f t="array" ref="C40">_xlfn.XLOOKUP(B40,'Up Desc'!A:A,'Up Desc'!B:B,)</f>
        <v/>
      </c>
      <c r="D40" s="37" t="str">
        <f t="array" ref="D40">_xlfn.XLOOKUP(B40,'Up Turbo'!A:A,'Up Turbo'!B:B,)</f>
        <v/>
      </c>
      <c r="E40" s="39" t="str">
        <f t="array" ref="E40">_xlfn.XLOOKUP(B40,'Up Stats'!A:A,'Up Stats'!B:B,)</f>
        <v/>
      </c>
      <c r="F40" s="40" t="str">
        <f>IFERROR(__xludf.DUMMYFUNCTION("if(AND(G40=FALSE,H40=FALSE),,if(G40=H40,JOIN("""",""Static: "",G40),JOIN("""",""Min:  "",G40, CHAR(10),""Max: "",H40)))"),"")</f>
        <v/>
      </c>
      <c r="G40" s="42" t="str">
        <f t="array" ref="G40">_xlfn.XLOOKUP(B40,'Up Min'!A:A,'Up Min'!B:B,)</f>
        <v/>
      </c>
      <c r="H40" s="45" t="str">
        <f t="array" ref="H40">_xlfn.XLOOKUP(B40,'Up Max'!A:A,'Up Max'!B:B,)</f>
        <v/>
      </c>
      <c r="I40" s="39" t="str">
        <f t="array" ref="I40">_xlfn.XLOOKUP(B40,'Up Stats'!A:A,'Up Stats'!C:C,)</f>
        <v/>
      </c>
      <c r="J40" s="40" t="str">
        <f>IFERROR(__xludf.DUMMYFUNCTION("if(AND(K40=FALSE,L40=FALSE),,if(K40=L40,JOIN("""",""Static: "",K40),JOIN("""",""Min:  "",K40, CHAR(10),""Max: "",L40)))"),"")</f>
        <v/>
      </c>
      <c r="K40" s="45" t="str">
        <f t="array" ref="K40">_xlfn.XLOOKUP(B40,'Up Min'!A:A,'Up Min'!C:C,)</f>
        <v/>
      </c>
      <c r="L40" s="42" t="str">
        <f t="array" ref="L40">_xlfn.XLOOKUP(B40,'Up Max'!A:A,'Up Max'!C:C,)</f>
        <v/>
      </c>
      <c r="M40" s="39" t="str">
        <f t="array" ref="M40">_xlfn.XLOOKUP(B40,'Up Stats'!A:A,'Up Stats'!D:D,)</f>
        <v/>
      </c>
      <c r="N40" s="40" t="str">
        <f>IFERROR(__xludf.DUMMYFUNCTION("if(AND(O40=FALSE,P40=FALSE),,if(O40=P40,JOIN("""",""Static: "",O40),JOIN("""",""Min:  "",O40, CHAR(10),""Max: "",P40)))"),"")</f>
        <v/>
      </c>
      <c r="O40" s="42" t="str">
        <f t="array" ref="O40">_xlfn.XLOOKUP(B40,'Up Min'!A:A,'Up Min'!D:D,)</f>
        <v/>
      </c>
      <c r="P40" s="42" t="str">
        <f t="array" ref="P40">_xlfn.XLOOKUP(B40,'Up Max'!A:A,'Up Max'!D:D,)</f>
        <v/>
      </c>
      <c r="Q40" s="48" t="str">
        <f t="array" ref="Q40">_xlfn.XLOOKUP(B40,'Up Stats'!A:A,'Up Stats'!E:E,)</f>
        <v/>
      </c>
      <c r="R40" s="40" t="str">
        <f>IFERROR(__xludf.DUMMYFUNCTION("if(AND(S40=FALSE,T40=FALSE),,if(S40=T40,JOIN("""",""Static: "",S40),JOIN("""",""Min:  "",S40, CHAR(10),""Max: "",T40)))"),"")</f>
        <v/>
      </c>
      <c r="S40" s="42" t="str">
        <f t="array" ref="S40">_xlfn.XLOOKUP(B40,'Up Min'!A:A,'Up Min'!E:E,)</f>
        <v/>
      </c>
      <c r="T40" s="42" t="str">
        <f t="array" ref="T40">_xlfn.XLOOKUP(B40,'Up Max'!A:A,'Up Max'!E:E,)</f>
        <v/>
      </c>
      <c r="U40" s="48" t="str">
        <f t="array" ref="U40">_xlfn.XLOOKUP(B40,'Up Stats'!A:A,'Up Stats'!F:F,)</f>
        <v/>
      </c>
      <c r="V40" s="40" t="str">
        <f>IFERROR(__xludf.DUMMYFUNCTION("if(AND(W40=FALSE,X40=FALSE),,if(W40=X40,JOIN("""",""Static: "",W40),JOIN("""",""Min:  "",W40, CHAR(10),""Max: "",X40)))"),"")</f>
        <v/>
      </c>
      <c r="W40" s="42" t="str">
        <f t="array" ref="W40">_xlfn.XLOOKUP(B40,'Up Min'!A:A,'Up Min'!F:F,)</f>
        <v/>
      </c>
      <c r="X40" s="42" t="str">
        <f t="array" ref="X40">_xlfn.XLOOKUP(B40,'Up Max'!A:A,'Up Max'!F:F,)</f>
        <v/>
      </c>
      <c r="Y40" s="48" t="str">
        <f t="array" ref="Y40">_xlfn.XLOOKUP(B40,'Up Stats'!A:A,'Up Stats'!G:G,)</f>
        <v/>
      </c>
      <c r="Z40" s="40" t="str">
        <f>IFERROR(__xludf.DUMMYFUNCTION("if(AND(AA40=FALSE,AB40=FALSE),,if(AA40=AB40,JOIN("""",""Static: "",AA40),JOIN("""",""Min:  "",AA40, CHAR(10),""Max: "",AB40)))"),"")</f>
        <v/>
      </c>
      <c r="AA40" s="42" t="str">
        <f t="array" ref="AA40">_xlfn.XLOOKUP(B40,'Up Min'!A:A,'Up Min'!G:G,)</f>
        <v/>
      </c>
      <c r="AB40" s="42" t="str">
        <f t="array" ref="AB40">_xlfn.XLOOKUP(B40,'Up Max'!A:A,'Up Max'!G:G,)</f>
        <v/>
      </c>
      <c r="AC40" s="48" t="str">
        <f t="array" ref="AC40">_xlfn.XLOOKUP(B40,'Up Stats'!A:A,'Up Stats'!H:H,)</f>
        <v/>
      </c>
      <c r="AD40" s="40" t="str">
        <f>IFERROR(__xludf.DUMMYFUNCTION("if(AND(AE40=FALSE,AF40=FALSE),,if(AE40=AF40,JOIN("""",""Static: "",AE40),JOIN("""",""Min:  "",AE40, CHAR(10),""Max: "",AF40)))"),"")</f>
        <v/>
      </c>
      <c r="AE40" s="42" t="str">
        <f t="array" ref="AE40">_xlfn.XLOOKUP(B40,'Up Min'!A:A,'Up Min'!H:H,)</f>
        <v/>
      </c>
      <c r="AF40" s="42" t="str">
        <f t="array" ref="AF40">_xlfn.XLOOKUP(B40,'Up Max'!A:A,'Up Max'!H:H,)</f>
        <v/>
      </c>
      <c r="AG40" s="48" t="str">
        <f t="array" ref="AG40">_xlfn.XLOOKUP(B40,'Up Stats'!A:A,'Up Stats'!I:I,)</f>
        <v/>
      </c>
      <c r="AH40" s="40" t="str">
        <f>IFERROR(__xludf.DUMMYFUNCTION("if(AND(AI40=FALSE,AJ40=FALSE),,if(AI40=AJ40,JOIN("""",""Static: "",AI40),JOIN("""",""Min:  "",AI40, CHAR(10),""Max: "",AJ40)))"),"")</f>
        <v/>
      </c>
      <c r="AI40" s="42" t="str">
        <f t="array" ref="AI40">_xlfn.XLOOKUP(B40,'Up Min'!A:A,'Up Min'!I:I,)</f>
        <v/>
      </c>
      <c r="AJ40" s="42" t="str">
        <f t="array" ref="AJ40">_xlfn.XLOOKUP(B40,'Up Max'!A:A,'Up Max'!I:I,)</f>
        <v/>
      </c>
      <c r="AK40" s="48" t="str">
        <f t="array" ref="AK40">_xlfn.XLOOKUP(B40,'Up Stats'!A:A,'Up Stats'!J:J,)</f>
        <v/>
      </c>
      <c r="AL40" s="40" t="str">
        <f>IFERROR(__xludf.DUMMYFUNCTION("if(AND(AM40=FALSE,AN40=FALSE),,if(AM40=AN40,JOIN("""",""Static: "",AM40),JOIN("""",""Min:  "",AM40, CHAR(10),""Max: "",AN40)))"),"")</f>
        <v/>
      </c>
      <c r="AM40" s="42" t="str">
        <f t="array" ref="AM40">_xlfn.XLOOKUP(B40,'Up Min'!A:A,'Up Min'!J:J,)</f>
        <v/>
      </c>
      <c r="AN40" s="42" t="str">
        <f t="array" ref="AN40">_xlfn.XLOOKUP(B40,'Up Max'!A:A,'Up Max'!J:J,)</f>
        <v/>
      </c>
      <c r="AO40" s="34" t="str">
        <f t="array" ref="AO40">CONCATENATE(_xlfn.XLOOKUP(B40,'Up Cells'!A:A,'Up Cells'!B:B,))</f>
        <v/>
      </c>
      <c r="AP40" s="34" t="str">
        <f t="array" ref="AP40">CONCATENATE(_xlfn.XLOOKUP(B40,'Up Rarity'!A:A,'Up Rarity'!B:B,),CHAR(10),"-")</f>
        <v>
-</v>
      </c>
    </row>
    <row r="41">
      <c r="A41" s="86" t="str">
        <f t="array" ref="A41">_xlfn.XLOOKUP(B41,'Up Icon'!A:A,'Up Icon'!B:B,)</f>
        <v/>
      </c>
      <c r="B41" s="61" t="str">
        <f t="array" ref="B41">HYPERLINK(_xlfn.XLOOKUP('Up Names'!G41,'Up Wiki'!A:A,'Up Wiki'!B:B,),'Up Names'!G41)</f>
        <v/>
      </c>
      <c r="C41" s="70" t="str">
        <f t="array" ref="C41">_xlfn.XLOOKUP(B41,'Up Desc'!A:A,'Up Desc'!B:B,)</f>
        <v/>
      </c>
      <c r="D41" s="52" t="str">
        <f t="array" ref="D41">_xlfn.XLOOKUP(B41,'Up Turbo'!A:A,'Up Turbo'!B:B,)</f>
        <v/>
      </c>
      <c r="E41" s="53" t="str">
        <f t="array" ref="E41">_xlfn.XLOOKUP(B41,'Up Stats'!A:A,'Up Stats'!B:B,)</f>
        <v/>
      </c>
      <c r="F41" s="54" t="str">
        <f>IFERROR(__xludf.DUMMYFUNCTION("if(AND(G41=FALSE,H41=FALSE),,if(G41=H41,JOIN("""",""Static: "",G41),JOIN("""",""Min:  "",G41, CHAR(10),""Max: "",H41)))"),"")</f>
        <v/>
      </c>
      <c r="G41" s="55" t="str">
        <f t="array" ref="G41">_xlfn.XLOOKUP(B41,'Up Min'!A:A,'Up Min'!B:B,)</f>
        <v/>
      </c>
      <c r="H41" s="56" t="str">
        <f t="array" ref="H41">_xlfn.XLOOKUP(B41,'Up Max'!A:A,'Up Max'!B:B,)</f>
        <v/>
      </c>
      <c r="I41" s="53" t="str">
        <f t="array" ref="I41">_xlfn.XLOOKUP(B41,'Up Stats'!A:A,'Up Stats'!C:C,)</f>
        <v/>
      </c>
      <c r="J41" s="54" t="str">
        <f>IFERROR(__xludf.DUMMYFUNCTION("if(AND(K41=FALSE,L41=FALSE),,if(K41=L41,JOIN("""",""Static: "",K41),JOIN("""",""Min:  "",K41, CHAR(10),""Max: "",L41)))"),"")</f>
        <v/>
      </c>
      <c r="K41" s="56" t="str">
        <f t="array" ref="K41">_xlfn.XLOOKUP(B41,'Up Min'!A:A,'Up Min'!C:C,)</f>
        <v/>
      </c>
      <c r="L41" s="55" t="str">
        <f t="array" ref="L41">_xlfn.XLOOKUP(B41,'Up Max'!A:A,'Up Max'!C:C,)</f>
        <v/>
      </c>
      <c r="M41" s="53" t="str">
        <f t="array" ref="M41">_xlfn.XLOOKUP(B41,'Up Stats'!A:A,'Up Stats'!D:D,)</f>
        <v/>
      </c>
      <c r="N41" s="54" t="str">
        <f>IFERROR(__xludf.DUMMYFUNCTION("if(AND(O41=FALSE,P41=FALSE),,if(O41=P41,JOIN("""",""Static: "",O41),JOIN("""",""Min:  "",O41, CHAR(10),""Max: "",P41)))"),"")</f>
        <v/>
      </c>
      <c r="O41" s="55" t="str">
        <f t="array" ref="O41">_xlfn.XLOOKUP(B41,'Up Min'!A:A,'Up Min'!D:D,)</f>
        <v/>
      </c>
      <c r="P41" s="55" t="str">
        <f t="array" ref="P41">_xlfn.XLOOKUP(B41,'Up Max'!A:A,'Up Max'!D:D,)</f>
        <v/>
      </c>
      <c r="Q41" s="57" t="str">
        <f t="array" ref="Q41">_xlfn.XLOOKUP(B41,'Up Stats'!A:A,'Up Stats'!E:E,)</f>
        <v/>
      </c>
      <c r="R41" s="54" t="str">
        <f>IFERROR(__xludf.DUMMYFUNCTION("if(AND(S41=FALSE,T41=FALSE),,if(S41=T41,JOIN("""",""Static: "",S41),JOIN("""",""Min:  "",S41, CHAR(10),""Max: "",T41)))"),"")</f>
        <v/>
      </c>
      <c r="S41" s="55" t="str">
        <f t="array" ref="S41">_xlfn.XLOOKUP(B41,'Up Min'!A:A,'Up Min'!E:E,)</f>
        <v/>
      </c>
      <c r="T41" s="55" t="str">
        <f t="array" ref="T41">_xlfn.XLOOKUP(B41,'Up Max'!A:A,'Up Max'!E:E,)</f>
        <v/>
      </c>
      <c r="U41" s="57" t="str">
        <f t="array" ref="U41">_xlfn.XLOOKUP(B41,'Up Stats'!A:A,'Up Stats'!F:F,)</f>
        <v/>
      </c>
      <c r="V41" s="54" t="str">
        <f>IFERROR(__xludf.DUMMYFUNCTION("if(AND(W41=FALSE,X41=FALSE),,if(W41=X41,JOIN("""",""Static: "",W41),JOIN("""",""Min:  "",W41, CHAR(10),""Max: "",X41)))"),"")</f>
        <v/>
      </c>
      <c r="W41" s="55" t="str">
        <f t="array" ref="W41">_xlfn.XLOOKUP(B41,'Up Min'!A:A,'Up Min'!F:F,)</f>
        <v/>
      </c>
      <c r="X41" s="55" t="str">
        <f t="array" ref="X41">_xlfn.XLOOKUP(B41,'Up Max'!A:A,'Up Max'!F:F,)</f>
        <v/>
      </c>
      <c r="Y41" s="57" t="str">
        <f t="array" ref="Y41">_xlfn.XLOOKUP(B41,'Up Stats'!A:A,'Up Stats'!G:G,)</f>
        <v/>
      </c>
      <c r="Z41" s="54" t="str">
        <f>IFERROR(__xludf.DUMMYFUNCTION("if(AND(AA41=FALSE,AB41=FALSE),,if(AA41=AB41,JOIN("""",""Static: "",AA41),JOIN("""",""Min:  "",AA41, CHAR(10),""Max: "",AB41)))"),"")</f>
        <v/>
      </c>
      <c r="AA41" s="55" t="str">
        <f t="array" ref="AA41">_xlfn.XLOOKUP(B41,'Up Min'!A:A,'Up Min'!G:G,)</f>
        <v/>
      </c>
      <c r="AB41" s="55" t="str">
        <f t="array" ref="AB41">_xlfn.XLOOKUP(B41,'Up Max'!A:A,'Up Max'!G:G,)</f>
        <v/>
      </c>
      <c r="AC41" s="57" t="str">
        <f t="array" ref="AC41">_xlfn.XLOOKUP(B41,'Up Stats'!A:A,'Up Stats'!H:H,)</f>
        <v/>
      </c>
      <c r="AD41" s="54" t="str">
        <f>IFERROR(__xludf.DUMMYFUNCTION("if(AND(AE41=FALSE,AF41=FALSE),,if(AE41=AF41,JOIN("""",""Static: "",AE41),JOIN("""",""Min:  "",AE41, CHAR(10),""Max: "",AF41)))"),"")</f>
        <v/>
      </c>
      <c r="AE41" s="55" t="str">
        <f t="array" ref="AE41">_xlfn.XLOOKUP(B41,'Up Min'!A:A,'Up Min'!H:H,)</f>
        <v/>
      </c>
      <c r="AF41" s="55" t="str">
        <f t="array" ref="AF41">_xlfn.XLOOKUP(B41,'Up Max'!A:A,'Up Max'!H:H,)</f>
        <v/>
      </c>
      <c r="AG41" s="57" t="str">
        <f t="array" ref="AG41">_xlfn.XLOOKUP(B41,'Up Stats'!A:A,'Up Stats'!I:I,)</f>
        <v/>
      </c>
      <c r="AH41" s="54" t="str">
        <f>IFERROR(__xludf.DUMMYFUNCTION("if(AND(AI41=FALSE,AJ41=FALSE),,if(AI41=AJ41,JOIN("""",""Static: "",AI41),JOIN("""",""Min:  "",AI41, CHAR(10),""Max: "",AJ41)))"),"")</f>
        <v/>
      </c>
      <c r="AI41" s="55" t="str">
        <f t="array" ref="AI41">_xlfn.XLOOKUP(B41,'Up Min'!A:A,'Up Min'!I:I,)</f>
        <v/>
      </c>
      <c r="AJ41" s="55" t="str">
        <f t="array" ref="AJ41">_xlfn.XLOOKUP(B41,'Up Max'!A:A,'Up Max'!I:I,)</f>
        <v/>
      </c>
      <c r="AK41" s="57" t="str">
        <f t="array" ref="AK41">_xlfn.XLOOKUP(B41,'Up Stats'!A:A,'Up Stats'!J:J,)</f>
        <v/>
      </c>
      <c r="AL41" s="54" t="str">
        <f>IFERROR(__xludf.DUMMYFUNCTION("if(AND(AM41=FALSE,AN41=FALSE),,if(AM41=AN41,JOIN("""",""Static: "",AM41),JOIN("""",""Min:  "",AM41, CHAR(10),""Max: "",AN41)))"),"")</f>
        <v/>
      </c>
      <c r="AM41" s="55" t="str">
        <f t="array" ref="AM41">_xlfn.XLOOKUP(B41,'Up Min'!A:A,'Up Min'!J:J,)</f>
        <v/>
      </c>
      <c r="AN41" s="55" t="str">
        <f t="array" ref="AN41">_xlfn.XLOOKUP(B41,'Up Max'!A:A,'Up Max'!J:J,)</f>
        <v/>
      </c>
      <c r="AO41" s="51" t="str">
        <f t="array" ref="AO41">CONCATENATE(_xlfn.XLOOKUP(B41,'Up Cells'!A:A,'Up Cells'!B:B,))</f>
        <v/>
      </c>
      <c r="AP41" s="51" t="str">
        <f t="array" ref="AP41">CONCATENATE(_xlfn.XLOOKUP(B41,'Up Rarity'!A:A,'Up Rarity'!B:B,),CHAR(10),"-")</f>
        <v>
-</v>
      </c>
    </row>
    <row r="42">
      <c r="A42" s="87" t="str">
        <f t="array" ref="A42">_xlfn.XLOOKUP(B42,'Up Icon'!A:A,'Up Icon'!B:B,)</f>
        <v/>
      </c>
      <c r="B42" s="58" t="str">
        <f t="array" ref="B42">HYPERLINK(_xlfn.XLOOKUP('Up Names'!G42,'Up Wiki'!A:A,'Up Wiki'!B:B,),'Up Names'!G42)</f>
        <v/>
      </c>
      <c r="C42" s="67" t="str">
        <f t="array" ref="C42">_xlfn.XLOOKUP(B42,'Up Desc'!A:A,'Up Desc'!B:B,)</f>
        <v/>
      </c>
      <c r="D42" s="37" t="str">
        <f t="array" ref="D42">_xlfn.XLOOKUP(B42,'Up Turbo'!A:A,'Up Turbo'!B:B,)</f>
        <v/>
      </c>
      <c r="E42" s="39" t="str">
        <f t="array" ref="E42">_xlfn.XLOOKUP(B42,'Up Stats'!A:A,'Up Stats'!B:B,)</f>
        <v/>
      </c>
      <c r="F42" s="40" t="str">
        <f>IFERROR(__xludf.DUMMYFUNCTION("if(AND(G42=FALSE,H42=FALSE),,if(G42=H42,JOIN("""",""Static: "",G42),JOIN("""",""Min:  "",G42, CHAR(10),""Max: "",H42)))"),"")</f>
        <v/>
      </c>
      <c r="G42" s="42" t="str">
        <f t="array" ref="G42">_xlfn.XLOOKUP(B42,'Up Min'!A:A,'Up Min'!B:B,)</f>
        <v/>
      </c>
      <c r="H42" s="45" t="str">
        <f t="array" ref="H42">_xlfn.XLOOKUP(B42,'Up Max'!A:A,'Up Max'!B:B,)</f>
        <v/>
      </c>
      <c r="I42" s="39" t="str">
        <f t="array" ref="I42">_xlfn.XLOOKUP(B42,'Up Stats'!A:A,'Up Stats'!C:C,)</f>
        <v/>
      </c>
      <c r="J42" s="40" t="str">
        <f>IFERROR(__xludf.DUMMYFUNCTION("if(AND(K42=FALSE,L42=FALSE),,if(K42=L42,JOIN("""",""Static: "",K42),JOIN("""",""Min:  "",K42, CHAR(10),""Max: "",L42)))"),"")</f>
        <v/>
      </c>
      <c r="K42" s="45" t="str">
        <f t="array" ref="K42">_xlfn.XLOOKUP(B42,'Up Min'!A:A,'Up Min'!C:C,)</f>
        <v/>
      </c>
      <c r="L42" s="42" t="str">
        <f t="array" ref="L42">_xlfn.XLOOKUP(B42,'Up Max'!A:A,'Up Max'!C:C,)</f>
        <v/>
      </c>
      <c r="M42" s="39" t="str">
        <f t="array" ref="M42">_xlfn.XLOOKUP(B42,'Up Stats'!A:A,'Up Stats'!D:D,)</f>
        <v/>
      </c>
      <c r="N42" s="40" t="str">
        <f>IFERROR(__xludf.DUMMYFUNCTION("if(AND(O42=FALSE,P42=FALSE),,if(O42=P42,JOIN("""",""Static: "",O42),JOIN("""",""Min:  "",O42, CHAR(10),""Max: "",P42)))"),"")</f>
        <v/>
      </c>
      <c r="O42" s="42" t="str">
        <f t="array" ref="O42">_xlfn.XLOOKUP(B42,'Up Min'!A:A,'Up Min'!D:D,)</f>
        <v/>
      </c>
      <c r="P42" s="42" t="str">
        <f t="array" ref="P42">_xlfn.XLOOKUP(B42,'Up Max'!A:A,'Up Max'!D:D,)</f>
        <v/>
      </c>
      <c r="Q42" s="48" t="str">
        <f t="array" ref="Q42">_xlfn.XLOOKUP(B42,'Up Stats'!A:A,'Up Stats'!E:E,)</f>
        <v/>
      </c>
      <c r="R42" s="40" t="str">
        <f>IFERROR(__xludf.DUMMYFUNCTION("if(AND(S42=FALSE,T42=FALSE),,if(S42=T42,JOIN("""",""Static: "",S42),JOIN("""",""Min:  "",S42, CHAR(10),""Max: "",T42)))"),"")</f>
        <v/>
      </c>
      <c r="S42" s="42" t="str">
        <f t="array" ref="S42">_xlfn.XLOOKUP(B42,'Up Min'!A:A,'Up Min'!E:E,)</f>
        <v/>
      </c>
      <c r="T42" s="42" t="str">
        <f t="array" ref="T42">_xlfn.XLOOKUP(B42,'Up Max'!A:A,'Up Max'!E:E,)</f>
        <v/>
      </c>
      <c r="U42" s="48" t="str">
        <f t="array" ref="U42">_xlfn.XLOOKUP(B42,'Up Stats'!A:A,'Up Stats'!F:F,)</f>
        <v/>
      </c>
      <c r="V42" s="40" t="str">
        <f>IFERROR(__xludf.DUMMYFUNCTION("if(AND(W42=FALSE,X42=FALSE),,if(W42=X42,JOIN("""",""Static: "",W42),JOIN("""",""Min:  "",W42, CHAR(10),""Max: "",X42)))"),"")</f>
        <v/>
      </c>
      <c r="W42" s="42" t="str">
        <f t="array" ref="W42">_xlfn.XLOOKUP(B42,'Up Min'!A:A,'Up Min'!F:F,)</f>
        <v/>
      </c>
      <c r="X42" s="42" t="str">
        <f t="array" ref="X42">_xlfn.XLOOKUP(B42,'Up Max'!A:A,'Up Max'!F:F,)</f>
        <v/>
      </c>
      <c r="Y42" s="48" t="str">
        <f t="array" ref="Y42">_xlfn.XLOOKUP(B42,'Up Stats'!A:A,'Up Stats'!G:G,)</f>
        <v/>
      </c>
      <c r="Z42" s="40" t="str">
        <f>IFERROR(__xludf.DUMMYFUNCTION("if(AND(AA42=FALSE,AB42=FALSE),,if(AA42=AB42,JOIN("""",""Static: "",AA42),JOIN("""",""Min:  "",AA42, CHAR(10),""Max: "",AB42)))"),"")</f>
        <v/>
      </c>
      <c r="AA42" s="42" t="str">
        <f t="array" ref="AA42">_xlfn.XLOOKUP(B42,'Up Min'!A:A,'Up Min'!G:G,)</f>
        <v/>
      </c>
      <c r="AB42" s="42" t="str">
        <f t="array" ref="AB42">_xlfn.XLOOKUP(B42,'Up Max'!A:A,'Up Max'!G:G,)</f>
        <v/>
      </c>
      <c r="AC42" s="48" t="str">
        <f t="array" ref="AC42">_xlfn.XLOOKUP(B42,'Up Stats'!A:A,'Up Stats'!H:H,)</f>
        <v/>
      </c>
      <c r="AD42" s="40" t="str">
        <f>IFERROR(__xludf.DUMMYFUNCTION("if(AND(AE42=FALSE,AF42=FALSE),,if(AE42=AF42,JOIN("""",""Static: "",AE42),JOIN("""",""Min:  "",AE42, CHAR(10),""Max: "",AF42)))"),"")</f>
        <v/>
      </c>
      <c r="AE42" s="42" t="str">
        <f t="array" ref="AE42">_xlfn.XLOOKUP(B42,'Up Min'!A:A,'Up Min'!H:H,)</f>
        <v/>
      </c>
      <c r="AF42" s="42" t="str">
        <f t="array" ref="AF42">_xlfn.XLOOKUP(B42,'Up Max'!A:A,'Up Max'!H:H,)</f>
        <v/>
      </c>
      <c r="AG42" s="48" t="str">
        <f t="array" ref="AG42">_xlfn.XLOOKUP(B42,'Up Stats'!A:A,'Up Stats'!I:I,)</f>
        <v/>
      </c>
      <c r="AH42" s="40" t="str">
        <f>IFERROR(__xludf.DUMMYFUNCTION("if(AND(AI42=FALSE,AJ42=FALSE),,if(AI42=AJ42,JOIN("""",""Static: "",AI42),JOIN("""",""Min:  "",AI42, CHAR(10),""Max: "",AJ42)))"),"")</f>
        <v/>
      </c>
      <c r="AI42" s="42" t="str">
        <f t="array" ref="AI42">_xlfn.XLOOKUP(B42,'Up Min'!A:A,'Up Min'!I:I,)</f>
        <v/>
      </c>
      <c r="AJ42" s="42" t="str">
        <f t="array" ref="AJ42">_xlfn.XLOOKUP(B42,'Up Max'!A:A,'Up Max'!I:I,)</f>
        <v/>
      </c>
      <c r="AK42" s="48" t="str">
        <f t="array" ref="AK42">_xlfn.XLOOKUP(B42,'Up Stats'!A:A,'Up Stats'!J:J,)</f>
        <v/>
      </c>
      <c r="AL42" s="40" t="str">
        <f>IFERROR(__xludf.DUMMYFUNCTION("if(AND(AM42=FALSE,AN42=FALSE),,if(AM42=AN42,JOIN("""",""Static: "",AM42),JOIN("""",""Min:  "",AM42, CHAR(10),""Max: "",AN42)))"),"")</f>
        <v/>
      </c>
      <c r="AM42" s="42" t="str">
        <f t="array" ref="AM42">_xlfn.XLOOKUP(B42,'Up Min'!A:A,'Up Min'!J:J,)</f>
        <v/>
      </c>
      <c r="AN42" s="42" t="str">
        <f t="array" ref="AN42">_xlfn.XLOOKUP(B42,'Up Max'!A:A,'Up Max'!J:J,)</f>
        <v/>
      </c>
      <c r="AO42" s="34" t="str">
        <f t="array" ref="AO42">CONCATENATE(_xlfn.XLOOKUP(B42,'Up Cells'!A:A,'Up Cells'!B:B,))</f>
        <v/>
      </c>
      <c r="AP42" s="34" t="str">
        <f t="array" ref="AP42">CONCATENATE(_xlfn.XLOOKUP(B42,'Up Rarity'!A:A,'Up Rarity'!B:B,),CHAR(10),"-")</f>
        <v>
-</v>
      </c>
    </row>
    <row r="43">
      <c r="A43" s="86" t="str">
        <f t="array" ref="A43">_xlfn.XLOOKUP(B43,'Up Icon'!A:A,'Up Icon'!B:B,)</f>
        <v/>
      </c>
      <c r="B43" s="61" t="str">
        <f t="array" ref="B43">HYPERLINK(_xlfn.XLOOKUP('Up Names'!G43,'Up Wiki'!A:A,'Up Wiki'!B:B,),'Up Names'!G43)</f>
        <v/>
      </c>
      <c r="C43" s="70" t="str">
        <f t="array" ref="C43">_xlfn.XLOOKUP(B43,'Up Desc'!A:A,'Up Desc'!B:B,)</f>
        <v/>
      </c>
      <c r="D43" s="52" t="str">
        <f t="array" ref="D43">_xlfn.XLOOKUP(B43,'Up Turbo'!A:A,'Up Turbo'!B:B,)</f>
        <v/>
      </c>
      <c r="E43" s="53" t="str">
        <f t="array" ref="E43">_xlfn.XLOOKUP(B43,'Up Stats'!A:A,'Up Stats'!B:B,)</f>
        <v/>
      </c>
      <c r="F43" s="54" t="str">
        <f>IFERROR(__xludf.DUMMYFUNCTION("if(AND(G43=FALSE,H43=FALSE),,if(G43=H43,JOIN("""",""Static: "",G43),JOIN("""",""Min:  "",G43, CHAR(10),""Max: "",H43)))"),"")</f>
        <v/>
      </c>
      <c r="G43" s="55" t="str">
        <f t="array" ref="G43">_xlfn.XLOOKUP(B43,'Up Min'!A:A,'Up Min'!B:B,)</f>
        <v/>
      </c>
      <c r="H43" s="56" t="str">
        <f t="array" ref="H43">_xlfn.XLOOKUP(B43,'Up Max'!A:A,'Up Max'!B:B,)</f>
        <v/>
      </c>
      <c r="I43" s="53" t="str">
        <f t="array" ref="I43">_xlfn.XLOOKUP(B43,'Up Stats'!A:A,'Up Stats'!C:C,)</f>
        <v/>
      </c>
      <c r="J43" s="54" t="str">
        <f>IFERROR(__xludf.DUMMYFUNCTION("if(AND(K43=FALSE,L43=FALSE),,if(K43=L43,JOIN("""",""Static: "",K43),JOIN("""",""Min:  "",K43, CHAR(10),""Max: "",L43)))"),"")</f>
        <v/>
      </c>
      <c r="K43" s="56" t="str">
        <f t="array" ref="K43">_xlfn.XLOOKUP(B43,'Up Min'!A:A,'Up Min'!C:C,)</f>
        <v/>
      </c>
      <c r="L43" s="55" t="str">
        <f t="array" ref="L43">_xlfn.XLOOKUP(B43,'Up Max'!A:A,'Up Max'!C:C,)</f>
        <v/>
      </c>
      <c r="M43" s="53" t="str">
        <f t="array" ref="M43">_xlfn.XLOOKUP(B43,'Up Stats'!A:A,'Up Stats'!D:D,)</f>
        <v/>
      </c>
      <c r="N43" s="54" t="str">
        <f>IFERROR(__xludf.DUMMYFUNCTION("if(AND(O43=FALSE,P43=FALSE),,if(O43=P43,JOIN("""",""Static: "",O43),JOIN("""",""Min:  "",O43, CHAR(10),""Max: "",P43)))"),"")</f>
        <v/>
      </c>
      <c r="O43" s="55" t="str">
        <f t="array" ref="O43">_xlfn.XLOOKUP(B43,'Up Min'!A:A,'Up Min'!D:D,)</f>
        <v/>
      </c>
      <c r="P43" s="55" t="str">
        <f t="array" ref="P43">_xlfn.XLOOKUP(B43,'Up Max'!A:A,'Up Max'!D:D,)</f>
        <v/>
      </c>
      <c r="Q43" s="57" t="str">
        <f t="array" ref="Q43">_xlfn.XLOOKUP(B43,'Up Stats'!A:A,'Up Stats'!E:E,)</f>
        <v/>
      </c>
      <c r="R43" s="54" t="str">
        <f>IFERROR(__xludf.DUMMYFUNCTION("if(AND(S43=FALSE,T43=FALSE),,if(S43=T43,JOIN("""",""Static: "",S43),JOIN("""",""Min:  "",S43, CHAR(10),""Max: "",T43)))"),"")</f>
        <v/>
      </c>
      <c r="S43" s="55" t="str">
        <f t="array" ref="S43">_xlfn.XLOOKUP(B43,'Up Min'!A:A,'Up Min'!E:E,)</f>
        <v/>
      </c>
      <c r="T43" s="55" t="str">
        <f t="array" ref="T43">_xlfn.XLOOKUP(B43,'Up Max'!A:A,'Up Max'!E:E,)</f>
        <v/>
      </c>
      <c r="U43" s="57" t="str">
        <f t="array" ref="U43">_xlfn.XLOOKUP(B43,'Up Stats'!A:A,'Up Stats'!F:F,)</f>
        <v/>
      </c>
      <c r="V43" s="54" t="str">
        <f>IFERROR(__xludf.DUMMYFUNCTION("if(AND(W43=FALSE,X43=FALSE),,if(W43=X43,JOIN("""",""Static: "",W43),JOIN("""",""Min:  "",W43, CHAR(10),""Max: "",X43)))"),"")</f>
        <v/>
      </c>
      <c r="W43" s="55" t="str">
        <f t="array" ref="W43">_xlfn.XLOOKUP(B43,'Up Min'!A:A,'Up Min'!F:F,)</f>
        <v/>
      </c>
      <c r="X43" s="55" t="str">
        <f t="array" ref="X43">_xlfn.XLOOKUP(B43,'Up Max'!A:A,'Up Max'!F:F,)</f>
        <v/>
      </c>
      <c r="Y43" s="57" t="str">
        <f t="array" ref="Y43">_xlfn.XLOOKUP(B43,'Up Stats'!A:A,'Up Stats'!G:G,)</f>
        <v/>
      </c>
      <c r="Z43" s="54" t="str">
        <f>IFERROR(__xludf.DUMMYFUNCTION("if(AND(AA43=FALSE,AB43=FALSE),,if(AA43=AB43,JOIN("""",""Static: "",AA43),JOIN("""",""Min:  "",AA43, CHAR(10),""Max: "",AB43)))"),"")</f>
        <v/>
      </c>
      <c r="AA43" s="55" t="str">
        <f t="array" ref="AA43">_xlfn.XLOOKUP(B43,'Up Min'!A:A,'Up Min'!G:G,)</f>
        <v/>
      </c>
      <c r="AB43" s="55" t="str">
        <f t="array" ref="AB43">_xlfn.XLOOKUP(B43,'Up Max'!A:A,'Up Max'!G:G,)</f>
        <v/>
      </c>
      <c r="AC43" s="57" t="str">
        <f t="array" ref="AC43">_xlfn.XLOOKUP(B43,'Up Stats'!A:A,'Up Stats'!H:H,)</f>
        <v/>
      </c>
      <c r="AD43" s="54" t="str">
        <f>IFERROR(__xludf.DUMMYFUNCTION("if(AND(AE43=FALSE,AF43=FALSE),,if(AE43=AF43,JOIN("""",""Static: "",AE43),JOIN("""",""Min:  "",AE43, CHAR(10),""Max: "",AF43)))"),"")</f>
        <v/>
      </c>
      <c r="AE43" s="55" t="str">
        <f t="array" ref="AE43">_xlfn.XLOOKUP(B43,'Up Min'!A:A,'Up Min'!H:H,)</f>
        <v/>
      </c>
      <c r="AF43" s="55" t="str">
        <f t="array" ref="AF43">_xlfn.XLOOKUP(B43,'Up Max'!A:A,'Up Max'!H:H,)</f>
        <v/>
      </c>
      <c r="AG43" s="57" t="str">
        <f t="array" ref="AG43">_xlfn.XLOOKUP(B43,'Up Stats'!A:A,'Up Stats'!I:I,)</f>
        <v/>
      </c>
      <c r="AH43" s="54" t="str">
        <f>IFERROR(__xludf.DUMMYFUNCTION("if(AND(AI43=FALSE,AJ43=FALSE),,if(AI43=AJ43,JOIN("""",""Static: "",AI43),JOIN("""",""Min:  "",AI43, CHAR(10),""Max: "",AJ43)))"),"")</f>
        <v/>
      </c>
      <c r="AI43" s="55" t="str">
        <f t="array" ref="AI43">_xlfn.XLOOKUP(B43,'Up Min'!A:A,'Up Min'!I:I,)</f>
        <v/>
      </c>
      <c r="AJ43" s="55" t="str">
        <f t="array" ref="AJ43">_xlfn.XLOOKUP(B43,'Up Max'!A:A,'Up Max'!I:I,)</f>
        <v/>
      </c>
      <c r="AK43" s="57" t="str">
        <f t="array" ref="AK43">_xlfn.XLOOKUP(B43,'Up Stats'!A:A,'Up Stats'!J:J,)</f>
        <v/>
      </c>
      <c r="AL43" s="54" t="str">
        <f>IFERROR(__xludf.DUMMYFUNCTION("if(AND(AM43=FALSE,AN43=FALSE),,if(AM43=AN43,JOIN("""",""Static: "",AM43),JOIN("""",""Min:  "",AM43, CHAR(10),""Max: "",AN43)))"),"")</f>
        <v/>
      </c>
      <c r="AM43" s="55" t="str">
        <f t="array" ref="AM43">_xlfn.XLOOKUP(B43,'Up Min'!A:A,'Up Min'!J:J,)</f>
        <v/>
      </c>
      <c r="AN43" s="55" t="str">
        <f t="array" ref="AN43">_xlfn.XLOOKUP(B43,'Up Max'!A:A,'Up Max'!J:J,)</f>
        <v/>
      </c>
      <c r="AO43" s="51" t="str">
        <f t="array" ref="AO43">CONCATENATE(_xlfn.XLOOKUP(B43,'Up Cells'!A:A,'Up Cells'!B:B,))</f>
        <v/>
      </c>
      <c r="AP43" s="51" t="str">
        <f t="array" ref="AP43">CONCATENATE(_xlfn.XLOOKUP(B43,'Up Rarity'!A:A,'Up Rarity'!B:B,),CHAR(10),"-")</f>
        <v>
-</v>
      </c>
    </row>
    <row r="44">
      <c r="A44" s="87" t="str">
        <f t="array" ref="A44">_xlfn.XLOOKUP(B44,'Up Icon'!A:A,'Up Icon'!B:B,)</f>
        <v/>
      </c>
      <c r="B44" s="58" t="str">
        <f t="array" ref="B44">HYPERLINK(_xlfn.XLOOKUP('Up Names'!G44,'Up Wiki'!A:A,'Up Wiki'!B:B,),'Up Names'!G44)</f>
        <v/>
      </c>
      <c r="C44" s="67" t="str">
        <f t="array" ref="C44">_xlfn.XLOOKUP(B44,'Up Desc'!A:A,'Up Desc'!B:B,)</f>
        <v/>
      </c>
      <c r="D44" s="37" t="str">
        <f t="array" ref="D44">_xlfn.XLOOKUP(B44,'Up Turbo'!A:A,'Up Turbo'!B:B,)</f>
        <v/>
      </c>
      <c r="E44" s="39" t="str">
        <f t="array" ref="E44">_xlfn.XLOOKUP(B44,'Up Stats'!A:A,'Up Stats'!B:B,)</f>
        <v/>
      </c>
      <c r="F44" s="40" t="str">
        <f>IFERROR(__xludf.DUMMYFUNCTION("if(AND(G44=FALSE,H44=FALSE),,if(G44=H44,JOIN("""",""Static: "",G44),JOIN("""",""Min:  "",G44, CHAR(10),""Max: "",H44)))"),"")</f>
        <v/>
      </c>
      <c r="G44" s="42" t="str">
        <f t="array" ref="G44">_xlfn.XLOOKUP(B44,'Up Min'!A:A,'Up Min'!B:B,)</f>
        <v/>
      </c>
      <c r="H44" s="45" t="str">
        <f t="array" ref="H44">_xlfn.XLOOKUP(B44,'Up Max'!A:A,'Up Max'!B:B,)</f>
        <v/>
      </c>
      <c r="I44" s="39" t="str">
        <f t="array" ref="I44">_xlfn.XLOOKUP(B44,'Up Stats'!A:A,'Up Stats'!C:C,)</f>
        <v/>
      </c>
      <c r="J44" s="40" t="str">
        <f>IFERROR(__xludf.DUMMYFUNCTION("if(AND(K44=FALSE,L44=FALSE),,if(K44=L44,JOIN("""",""Static: "",K44),JOIN("""",""Min:  "",K44, CHAR(10),""Max: "",L44)))"),"")</f>
        <v/>
      </c>
      <c r="K44" s="45" t="str">
        <f t="array" ref="K44">_xlfn.XLOOKUP(B44,'Up Min'!A:A,'Up Min'!C:C,)</f>
        <v/>
      </c>
      <c r="L44" s="42" t="str">
        <f t="array" ref="L44">_xlfn.XLOOKUP(B44,'Up Max'!A:A,'Up Max'!C:C,)</f>
        <v/>
      </c>
      <c r="M44" s="39" t="str">
        <f t="array" ref="M44">_xlfn.XLOOKUP(B44,'Up Stats'!A:A,'Up Stats'!D:D,)</f>
        <v/>
      </c>
      <c r="N44" s="40" t="str">
        <f>IFERROR(__xludf.DUMMYFUNCTION("if(AND(O44=FALSE,P44=FALSE),,if(O44=P44,JOIN("""",""Static: "",O44),JOIN("""",""Min:  "",O44, CHAR(10),""Max: "",P44)))"),"")</f>
        <v/>
      </c>
      <c r="O44" s="42" t="str">
        <f t="array" ref="O44">_xlfn.XLOOKUP(B44,'Up Min'!A:A,'Up Min'!D:D,)</f>
        <v/>
      </c>
      <c r="P44" s="42" t="str">
        <f t="array" ref="P44">_xlfn.XLOOKUP(B44,'Up Max'!A:A,'Up Max'!D:D,)</f>
        <v/>
      </c>
      <c r="Q44" s="48" t="str">
        <f t="array" ref="Q44">_xlfn.XLOOKUP(B44,'Up Stats'!A:A,'Up Stats'!E:E,)</f>
        <v/>
      </c>
      <c r="R44" s="40" t="str">
        <f>IFERROR(__xludf.DUMMYFUNCTION("if(AND(S44=FALSE,T44=FALSE),,if(S44=T44,JOIN("""",""Static: "",S44),JOIN("""",""Min:  "",S44, CHAR(10),""Max: "",T44)))"),"")</f>
        <v/>
      </c>
      <c r="S44" s="42" t="str">
        <f t="array" ref="S44">_xlfn.XLOOKUP(B44,'Up Min'!A:A,'Up Min'!E:E,)</f>
        <v/>
      </c>
      <c r="T44" s="42" t="str">
        <f t="array" ref="T44">_xlfn.XLOOKUP(B44,'Up Max'!A:A,'Up Max'!E:E,)</f>
        <v/>
      </c>
      <c r="U44" s="48" t="str">
        <f t="array" ref="U44">_xlfn.XLOOKUP(B44,'Up Stats'!A:A,'Up Stats'!F:F,)</f>
        <v/>
      </c>
      <c r="V44" s="40" t="str">
        <f>IFERROR(__xludf.DUMMYFUNCTION("if(AND(W44=FALSE,X44=FALSE),,if(W44=X44,JOIN("""",""Static: "",W44),JOIN("""",""Min:  "",W44, CHAR(10),""Max: "",X44)))"),"")</f>
        <v/>
      </c>
      <c r="W44" s="42" t="str">
        <f t="array" ref="W44">_xlfn.XLOOKUP(B44,'Up Min'!A:A,'Up Min'!F:F,)</f>
        <v/>
      </c>
      <c r="X44" s="42" t="str">
        <f t="array" ref="X44">_xlfn.XLOOKUP(B44,'Up Max'!A:A,'Up Max'!F:F,)</f>
        <v/>
      </c>
      <c r="Y44" s="48" t="str">
        <f t="array" ref="Y44">_xlfn.XLOOKUP(B44,'Up Stats'!A:A,'Up Stats'!G:G,)</f>
        <v/>
      </c>
      <c r="Z44" s="40" t="str">
        <f>IFERROR(__xludf.DUMMYFUNCTION("if(AND(AA44=FALSE,AB44=FALSE),,if(AA44=AB44,JOIN("""",""Static: "",AA44),JOIN("""",""Min:  "",AA44, CHAR(10),""Max: "",AB44)))"),"")</f>
        <v/>
      </c>
      <c r="AA44" s="42" t="str">
        <f t="array" ref="AA44">_xlfn.XLOOKUP(B44,'Up Min'!A:A,'Up Min'!G:G,)</f>
        <v/>
      </c>
      <c r="AB44" s="42" t="str">
        <f t="array" ref="AB44">_xlfn.XLOOKUP(B44,'Up Max'!A:A,'Up Max'!G:G,)</f>
        <v/>
      </c>
      <c r="AC44" s="48" t="str">
        <f t="array" ref="AC44">_xlfn.XLOOKUP(B44,'Up Stats'!A:A,'Up Stats'!H:H,)</f>
        <v/>
      </c>
      <c r="AD44" s="40" t="str">
        <f>IFERROR(__xludf.DUMMYFUNCTION("if(AND(AE44=FALSE,AF44=FALSE),,if(AE44=AF44,JOIN("""",""Static: "",AE44),JOIN("""",""Min:  "",AE44, CHAR(10),""Max: "",AF44)))"),"")</f>
        <v/>
      </c>
      <c r="AE44" s="42" t="str">
        <f t="array" ref="AE44">_xlfn.XLOOKUP(B44,'Up Min'!A:A,'Up Min'!H:H,)</f>
        <v/>
      </c>
      <c r="AF44" s="42" t="str">
        <f t="array" ref="AF44">_xlfn.XLOOKUP(B44,'Up Max'!A:A,'Up Max'!H:H,)</f>
        <v/>
      </c>
      <c r="AG44" s="48" t="str">
        <f t="array" ref="AG44">_xlfn.XLOOKUP(B44,'Up Stats'!A:A,'Up Stats'!I:I,)</f>
        <v/>
      </c>
      <c r="AH44" s="40" t="str">
        <f>IFERROR(__xludf.DUMMYFUNCTION("if(AND(AI44=FALSE,AJ44=FALSE),,if(AI44=AJ44,JOIN("""",""Static: "",AI44),JOIN("""",""Min:  "",AI44, CHAR(10),""Max: "",AJ44)))"),"")</f>
        <v/>
      </c>
      <c r="AI44" s="42" t="str">
        <f t="array" ref="AI44">_xlfn.XLOOKUP(B44,'Up Min'!A:A,'Up Min'!I:I,)</f>
        <v/>
      </c>
      <c r="AJ44" s="42" t="str">
        <f t="array" ref="AJ44">_xlfn.XLOOKUP(B44,'Up Max'!A:A,'Up Max'!I:I,)</f>
        <v/>
      </c>
      <c r="AK44" s="48" t="str">
        <f t="array" ref="AK44">_xlfn.XLOOKUP(B44,'Up Stats'!A:A,'Up Stats'!J:J,)</f>
        <v/>
      </c>
      <c r="AL44" s="40" t="str">
        <f>IFERROR(__xludf.DUMMYFUNCTION("if(AND(AM44=FALSE,AN44=FALSE),,if(AM44=AN44,JOIN("""",""Static: "",AM44),JOIN("""",""Min:  "",AM44, CHAR(10),""Max: "",AN44)))"),"")</f>
        <v/>
      </c>
      <c r="AM44" s="42" t="str">
        <f t="array" ref="AM44">_xlfn.XLOOKUP(B44,'Up Min'!A:A,'Up Min'!J:J,)</f>
        <v/>
      </c>
      <c r="AN44" s="42" t="str">
        <f t="array" ref="AN44">_xlfn.XLOOKUP(B44,'Up Max'!A:A,'Up Max'!J:J,)</f>
        <v/>
      </c>
      <c r="AO44" s="34" t="str">
        <f t="array" ref="AO44">CONCATENATE(_xlfn.XLOOKUP(B44,'Up Cells'!A:A,'Up Cells'!B:B,))</f>
        <v/>
      </c>
      <c r="AP44" s="34" t="str">
        <f t="array" ref="AP44">CONCATENATE(_xlfn.XLOOKUP(B44,'Up Rarity'!A:A,'Up Rarity'!B:B,),CHAR(10),"-")</f>
        <v>
-</v>
      </c>
    </row>
    <row r="45">
      <c r="A45" s="86" t="str">
        <f t="array" ref="A45">_xlfn.XLOOKUP(B45,'Up Icon'!A:A,'Up Icon'!B:B,)</f>
        <v/>
      </c>
      <c r="B45" s="61" t="str">
        <f t="array" ref="B45">HYPERLINK(_xlfn.XLOOKUP('Up Names'!G45,'Up Wiki'!A:A,'Up Wiki'!B:B,),'Up Names'!G45)</f>
        <v/>
      </c>
      <c r="C45" s="70" t="str">
        <f t="array" ref="C45">_xlfn.XLOOKUP(B45,'Up Desc'!A:A,'Up Desc'!B:B,)</f>
        <v/>
      </c>
      <c r="D45" s="52" t="str">
        <f t="array" ref="D45">_xlfn.XLOOKUP(B45,'Up Turbo'!A:A,'Up Turbo'!B:B,)</f>
        <v/>
      </c>
      <c r="E45" s="53" t="str">
        <f t="array" ref="E45">_xlfn.XLOOKUP(B45,'Up Stats'!A:A,'Up Stats'!B:B,)</f>
        <v/>
      </c>
      <c r="F45" s="54" t="str">
        <f>IFERROR(__xludf.DUMMYFUNCTION("if(AND(G45=FALSE,H45=FALSE),,if(G45=H45,JOIN("""",""Static: "",G45),JOIN("""",""Min:  "",G45, CHAR(10),""Max: "",H45)))"),"")</f>
        <v/>
      </c>
      <c r="G45" s="55" t="str">
        <f t="array" ref="G45">_xlfn.XLOOKUP(B45,'Up Min'!A:A,'Up Min'!B:B,)</f>
        <v/>
      </c>
      <c r="H45" s="56" t="str">
        <f t="array" ref="H45">_xlfn.XLOOKUP(B45,'Up Max'!A:A,'Up Max'!B:B,)</f>
        <v/>
      </c>
      <c r="I45" s="53" t="str">
        <f t="array" ref="I45">_xlfn.XLOOKUP(B45,'Up Stats'!A:A,'Up Stats'!C:C,)</f>
        <v/>
      </c>
      <c r="J45" s="54" t="str">
        <f>IFERROR(__xludf.DUMMYFUNCTION("if(AND(K45=FALSE,L45=FALSE),,if(K45=L45,JOIN("""",""Static: "",K45),JOIN("""",""Min:  "",K45, CHAR(10),""Max: "",L45)))"),"")</f>
        <v/>
      </c>
      <c r="K45" s="56" t="str">
        <f t="array" ref="K45">_xlfn.XLOOKUP(B45,'Up Min'!A:A,'Up Min'!C:C,)</f>
        <v/>
      </c>
      <c r="L45" s="55" t="str">
        <f t="array" ref="L45">_xlfn.XLOOKUP(B45,'Up Max'!A:A,'Up Max'!C:C,)</f>
        <v/>
      </c>
      <c r="M45" s="53" t="str">
        <f t="array" ref="M45">_xlfn.XLOOKUP(B45,'Up Stats'!A:A,'Up Stats'!D:D,)</f>
        <v/>
      </c>
      <c r="N45" s="54" t="str">
        <f>IFERROR(__xludf.DUMMYFUNCTION("if(AND(O45=FALSE,P45=FALSE),,if(O45=P45,JOIN("""",""Static: "",O45),JOIN("""",""Min:  "",O45, CHAR(10),""Max: "",P45)))"),"")</f>
        <v/>
      </c>
      <c r="O45" s="55" t="str">
        <f t="array" ref="O45">_xlfn.XLOOKUP(B45,'Up Min'!A:A,'Up Min'!D:D,)</f>
        <v/>
      </c>
      <c r="P45" s="55" t="str">
        <f t="array" ref="P45">_xlfn.XLOOKUP(B45,'Up Max'!A:A,'Up Max'!D:D,)</f>
        <v/>
      </c>
      <c r="Q45" s="57" t="str">
        <f t="array" ref="Q45">_xlfn.XLOOKUP(B45,'Up Stats'!A:A,'Up Stats'!E:E,)</f>
        <v/>
      </c>
      <c r="R45" s="54" t="str">
        <f>IFERROR(__xludf.DUMMYFUNCTION("if(AND(S45=FALSE,T45=FALSE),,if(S45=T45,JOIN("""",""Static: "",S45),JOIN("""",""Min:  "",S45, CHAR(10),""Max: "",T45)))"),"")</f>
        <v/>
      </c>
      <c r="S45" s="55" t="str">
        <f t="array" ref="S45">_xlfn.XLOOKUP(B45,'Up Min'!A:A,'Up Min'!E:E,)</f>
        <v/>
      </c>
      <c r="T45" s="55" t="str">
        <f t="array" ref="T45">_xlfn.XLOOKUP(B45,'Up Max'!A:A,'Up Max'!E:E,)</f>
        <v/>
      </c>
      <c r="U45" s="57" t="str">
        <f t="array" ref="U45">_xlfn.XLOOKUP(B45,'Up Stats'!A:A,'Up Stats'!F:F,)</f>
        <v/>
      </c>
      <c r="V45" s="54" t="str">
        <f>IFERROR(__xludf.DUMMYFUNCTION("if(AND(W45=FALSE,X45=FALSE),,if(W45=X45,JOIN("""",""Static: "",W45),JOIN("""",""Min:  "",W45, CHAR(10),""Max: "",X45)))"),"")</f>
        <v/>
      </c>
      <c r="W45" s="55" t="str">
        <f t="array" ref="W45">_xlfn.XLOOKUP(B45,'Up Min'!A:A,'Up Min'!F:F,)</f>
        <v/>
      </c>
      <c r="X45" s="55" t="str">
        <f t="array" ref="X45">_xlfn.XLOOKUP(B45,'Up Max'!A:A,'Up Max'!F:F,)</f>
        <v/>
      </c>
      <c r="Y45" s="57" t="str">
        <f t="array" ref="Y45">_xlfn.XLOOKUP(B45,'Up Stats'!A:A,'Up Stats'!G:G,)</f>
        <v/>
      </c>
      <c r="Z45" s="54" t="str">
        <f>IFERROR(__xludf.DUMMYFUNCTION("if(AND(AA45=FALSE,AB45=FALSE),,if(AA45=AB45,JOIN("""",""Static: "",AA45),JOIN("""",""Min:  "",AA45, CHAR(10),""Max: "",AB45)))"),"")</f>
        <v/>
      </c>
      <c r="AA45" s="55" t="str">
        <f t="array" ref="AA45">_xlfn.XLOOKUP(B45,'Up Min'!A:A,'Up Min'!G:G,)</f>
        <v/>
      </c>
      <c r="AB45" s="55" t="str">
        <f t="array" ref="AB45">_xlfn.XLOOKUP(B45,'Up Max'!A:A,'Up Max'!G:G,)</f>
        <v/>
      </c>
      <c r="AC45" s="57" t="str">
        <f t="array" ref="AC45">_xlfn.XLOOKUP(B45,'Up Stats'!A:A,'Up Stats'!H:H,)</f>
        <v/>
      </c>
      <c r="AD45" s="54" t="str">
        <f>IFERROR(__xludf.DUMMYFUNCTION("if(AND(AE45=FALSE,AF45=FALSE),,if(AE45=AF45,JOIN("""",""Static: "",AE45),JOIN("""",""Min:  "",AE45, CHAR(10),""Max: "",AF45)))"),"")</f>
        <v/>
      </c>
      <c r="AE45" s="55" t="str">
        <f t="array" ref="AE45">_xlfn.XLOOKUP(B45,'Up Min'!A:A,'Up Min'!H:H,)</f>
        <v/>
      </c>
      <c r="AF45" s="55" t="str">
        <f t="array" ref="AF45">_xlfn.XLOOKUP(B45,'Up Max'!A:A,'Up Max'!H:H,)</f>
        <v/>
      </c>
      <c r="AG45" s="57" t="str">
        <f t="array" ref="AG45">_xlfn.XLOOKUP(B45,'Up Stats'!A:A,'Up Stats'!I:I,)</f>
        <v/>
      </c>
      <c r="AH45" s="54" t="str">
        <f>IFERROR(__xludf.DUMMYFUNCTION("if(AND(AI45=FALSE,AJ45=FALSE),,if(AI45=AJ45,JOIN("""",""Static: "",AI45),JOIN("""",""Min:  "",AI45, CHAR(10),""Max: "",AJ45)))"),"")</f>
        <v/>
      </c>
      <c r="AI45" s="55" t="str">
        <f t="array" ref="AI45">_xlfn.XLOOKUP(B45,'Up Min'!A:A,'Up Min'!I:I,)</f>
        <v/>
      </c>
      <c r="AJ45" s="55" t="str">
        <f t="array" ref="AJ45">_xlfn.XLOOKUP(B45,'Up Max'!A:A,'Up Max'!I:I,)</f>
        <v/>
      </c>
      <c r="AK45" s="57" t="str">
        <f t="array" ref="AK45">_xlfn.XLOOKUP(B45,'Up Stats'!A:A,'Up Stats'!J:J,)</f>
        <v/>
      </c>
      <c r="AL45" s="54" t="str">
        <f>IFERROR(__xludf.DUMMYFUNCTION("if(AND(AM45=FALSE,AN45=FALSE),,if(AM45=AN45,JOIN("""",""Static: "",AM45),JOIN("""",""Min:  "",AM45, CHAR(10),""Max: "",AN45)))"),"")</f>
        <v/>
      </c>
      <c r="AM45" s="55" t="str">
        <f t="array" ref="AM45">_xlfn.XLOOKUP(B45,'Up Min'!A:A,'Up Min'!J:J,)</f>
        <v/>
      </c>
      <c r="AN45" s="55" t="str">
        <f t="array" ref="AN45">_xlfn.XLOOKUP(B45,'Up Max'!A:A,'Up Max'!J:J,)</f>
        <v/>
      </c>
      <c r="AO45" s="51" t="str">
        <f t="array" ref="AO45">CONCATENATE(_xlfn.XLOOKUP(B45,'Up Cells'!A:A,'Up Cells'!B:B,))</f>
        <v/>
      </c>
      <c r="AP45" s="51" t="str">
        <f t="array" ref="AP45">CONCATENATE(_xlfn.XLOOKUP(B45,'Up Rarity'!A:A,'Up Rarity'!B:B,),CHAR(10),"-")</f>
        <v>
-</v>
      </c>
    </row>
    <row r="46">
      <c r="A46" s="87" t="str">
        <f t="array" ref="A46">_xlfn.XLOOKUP(B46,'Up Icon'!A:A,'Up Icon'!B:B,)</f>
        <v/>
      </c>
      <c r="B46" s="58" t="str">
        <f t="array" ref="B46">HYPERLINK(_xlfn.XLOOKUP('Up Names'!G46,'Up Wiki'!A:A,'Up Wiki'!B:B,),'Up Names'!G46)</f>
        <v/>
      </c>
      <c r="C46" s="67" t="str">
        <f t="array" ref="C46">_xlfn.XLOOKUP(B46,'Up Desc'!A:A,'Up Desc'!B:B,)</f>
        <v/>
      </c>
      <c r="D46" s="37" t="str">
        <f t="array" ref="D46">_xlfn.XLOOKUP(B46,'Up Turbo'!A:A,'Up Turbo'!B:B,)</f>
        <v/>
      </c>
      <c r="E46" s="39" t="str">
        <f t="array" ref="E46">_xlfn.XLOOKUP(B46,'Up Stats'!A:A,'Up Stats'!B:B,)</f>
        <v/>
      </c>
      <c r="F46" s="40" t="str">
        <f>IFERROR(__xludf.DUMMYFUNCTION("if(AND(G46=FALSE,H46=FALSE),,if(G46=H46,JOIN("""",""Static: "",G46),JOIN("""",""Min:  "",G46, CHAR(10),""Max: "",H46)))"),"")</f>
        <v/>
      </c>
      <c r="G46" s="42" t="str">
        <f t="array" ref="G46">_xlfn.XLOOKUP(B46,'Up Min'!A:A,'Up Min'!B:B,)</f>
        <v/>
      </c>
      <c r="H46" s="45" t="str">
        <f t="array" ref="H46">_xlfn.XLOOKUP(B46,'Up Max'!A:A,'Up Max'!B:B,)</f>
        <v/>
      </c>
      <c r="I46" s="39" t="str">
        <f t="array" ref="I46">_xlfn.XLOOKUP(B46,'Up Stats'!A:A,'Up Stats'!C:C,)</f>
        <v/>
      </c>
      <c r="J46" s="40" t="str">
        <f>IFERROR(__xludf.DUMMYFUNCTION("if(AND(K46=FALSE,L46=FALSE),,if(K46=L46,JOIN("""",""Static: "",K46),JOIN("""",""Min:  "",K46, CHAR(10),""Max: "",L46)))"),"")</f>
        <v/>
      </c>
      <c r="K46" s="45" t="str">
        <f t="array" ref="K46">_xlfn.XLOOKUP(B46,'Up Min'!A:A,'Up Min'!C:C,)</f>
        <v/>
      </c>
      <c r="L46" s="42" t="str">
        <f t="array" ref="L46">_xlfn.XLOOKUP(B46,'Up Max'!A:A,'Up Max'!C:C,)</f>
        <v/>
      </c>
      <c r="M46" s="39" t="str">
        <f t="array" ref="M46">_xlfn.XLOOKUP(B46,'Up Stats'!A:A,'Up Stats'!D:D,)</f>
        <v/>
      </c>
      <c r="N46" s="40" t="str">
        <f>IFERROR(__xludf.DUMMYFUNCTION("if(AND(O46=FALSE,P46=FALSE),,if(O46=P46,JOIN("""",""Static: "",O46),JOIN("""",""Min:  "",O46, CHAR(10),""Max: "",P46)))"),"")</f>
        <v/>
      </c>
      <c r="O46" s="42" t="str">
        <f t="array" ref="O46">_xlfn.XLOOKUP(B46,'Up Min'!A:A,'Up Min'!D:D,)</f>
        <v/>
      </c>
      <c r="P46" s="42" t="str">
        <f t="array" ref="P46">_xlfn.XLOOKUP(B46,'Up Max'!A:A,'Up Max'!D:D,)</f>
        <v/>
      </c>
      <c r="Q46" s="48" t="str">
        <f t="array" ref="Q46">_xlfn.XLOOKUP(B46,'Up Stats'!A:A,'Up Stats'!E:E,)</f>
        <v/>
      </c>
      <c r="R46" s="40" t="str">
        <f>IFERROR(__xludf.DUMMYFUNCTION("if(AND(S46=FALSE,T46=FALSE),,if(S46=T46,JOIN("""",""Static: "",S46),JOIN("""",""Min:  "",S46, CHAR(10),""Max: "",T46)))"),"")</f>
        <v/>
      </c>
      <c r="S46" s="42" t="str">
        <f t="array" ref="S46">_xlfn.XLOOKUP(B46,'Up Min'!A:A,'Up Min'!E:E,)</f>
        <v/>
      </c>
      <c r="T46" s="42" t="str">
        <f t="array" ref="T46">_xlfn.XLOOKUP(B46,'Up Max'!A:A,'Up Max'!E:E,)</f>
        <v/>
      </c>
      <c r="U46" s="48" t="str">
        <f t="array" ref="U46">_xlfn.XLOOKUP(B46,'Up Stats'!A:A,'Up Stats'!F:F,)</f>
        <v/>
      </c>
      <c r="V46" s="40" t="str">
        <f>IFERROR(__xludf.DUMMYFUNCTION("if(AND(W46=FALSE,X46=FALSE),,if(W46=X46,JOIN("""",""Static: "",W46),JOIN("""",""Min:  "",W46, CHAR(10),""Max: "",X46)))"),"")</f>
        <v/>
      </c>
      <c r="W46" s="42" t="str">
        <f t="array" ref="W46">_xlfn.XLOOKUP(B46,'Up Min'!A:A,'Up Min'!F:F,)</f>
        <v/>
      </c>
      <c r="X46" s="42" t="str">
        <f t="array" ref="X46">_xlfn.XLOOKUP(B46,'Up Max'!A:A,'Up Max'!F:F,)</f>
        <v/>
      </c>
      <c r="Y46" s="48" t="str">
        <f t="array" ref="Y46">_xlfn.XLOOKUP(B46,'Up Stats'!A:A,'Up Stats'!G:G,)</f>
        <v/>
      </c>
      <c r="Z46" s="40" t="str">
        <f>IFERROR(__xludf.DUMMYFUNCTION("if(AND(AA46=FALSE,AB46=FALSE),,if(AA46=AB46,JOIN("""",""Static: "",AA46),JOIN("""",""Min:  "",AA46, CHAR(10),""Max: "",AB46)))"),"")</f>
        <v/>
      </c>
      <c r="AA46" s="42" t="str">
        <f t="array" ref="AA46">_xlfn.XLOOKUP(B46,'Up Min'!A:A,'Up Min'!G:G,)</f>
        <v/>
      </c>
      <c r="AB46" s="42" t="str">
        <f t="array" ref="AB46">_xlfn.XLOOKUP(B46,'Up Max'!A:A,'Up Max'!G:G,)</f>
        <v/>
      </c>
      <c r="AC46" s="48" t="str">
        <f t="array" ref="AC46">_xlfn.XLOOKUP(B46,'Up Stats'!A:A,'Up Stats'!H:H,)</f>
        <v/>
      </c>
      <c r="AD46" s="40" t="str">
        <f>IFERROR(__xludf.DUMMYFUNCTION("if(AND(AE46=FALSE,AF46=FALSE),,if(AE46=AF46,JOIN("""",""Static: "",AE46),JOIN("""",""Min:  "",AE46, CHAR(10),""Max: "",AF46)))"),"")</f>
        <v/>
      </c>
      <c r="AE46" s="42" t="str">
        <f t="array" ref="AE46">_xlfn.XLOOKUP(B46,'Up Min'!A:A,'Up Min'!H:H,)</f>
        <v/>
      </c>
      <c r="AF46" s="42" t="str">
        <f t="array" ref="AF46">_xlfn.XLOOKUP(B46,'Up Max'!A:A,'Up Max'!H:H,)</f>
        <v/>
      </c>
      <c r="AG46" s="48" t="str">
        <f t="array" ref="AG46">_xlfn.XLOOKUP(B46,'Up Stats'!A:A,'Up Stats'!I:I,)</f>
        <v/>
      </c>
      <c r="AH46" s="40" t="str">
        <f>IFERROR(__xludf.DUMMYFUNCTION("if(AND(AI46=FALSE,AJ46=FALSE),,if(AI46=AJ46,JOIN("""",""Static: "",AI46),JOIN("""",""Min:  "",AI46, CHAR(10),""Max: "",AJ46)))"),"")</f>
        <v/>
      </c>
      <c r="AI46" s="42" t="str">
        <f t="array" ref="AI46">_xlfn.XLOOKUP(B46,'Up Min'!A:A,'Up Min'!I:I,)</f>
        <v/>
      </c>
      <c r="AJ46" s="42" t="str">
        <f t="array" ref="AJ46">_xlfn.XLOOKUP(B46,'Up Max'!A:A,'Up Max'!I:I,)</f>
        <v/>
      </c>
      <c r="AK46" s="48" t="str">
        <f t="array" ref="AK46">_xlfn.XLOOKUP(B46,'Up Stats'!A:A,'Up Stats'!J:J,)</f>
        <v/>
      </c>
      <c r="AL46" s="40" t="str">
        <f>IFERROR(__xludf.DUMMYFUNCTION("if(AND(AM46=FALSE,AN46=FALSE),,if(AM46=AN46,JOIN("""",""Static: "",AM46),JOIN("""",""Min:  "",AM46, CHAR(10),""Max: "",AN46)))"),"")</f>
        <v/>
      </c>
      <c r="AM46" s="42" t="str">
        <f t="array" ref="AM46">_xlfn.XLOOKUP(B46,'Up Min'!A:A,'Up Min'!J:J,)</f>
        <v/>
      </c>
      <c r="AN46" s="42" t="str">
        <f t="array" ref="AN46">_xlfn.XLOOKUP(B46,'Up Max'!A:A,'Up Max'!J:J,)</f>
        <v/>
      </c>
      <c r="AO46" s="34" t="str">
        <f t="array" ref="AO46">CONCATENATE(_xlfn.XLOOKUP(B46,'Up Cells'!A:A,'Up Cells'!B:B,))</f>
        <v/>
      </c>
      <c r="AP46" s="34" t="str">
        <f t="array" ref="AP46">CONCATENATE(_xlfn.XLOOKUP(B46,'Up Rarity'!A:A,'Up Rarity'!B:B,),CHAR(10),"-")</f>
        <v>
-</v>
      </c>
    </row>
    <row r="47">
      <c r="A47" s="86" t="str">
        <f t="array" ref="A47">_xlfn.XLOOKUP(B47,'Up Icon'!A:A,'Up Icon'!B:B,)</f>
        <v/>
      </c>
      <c r="B47" s="61" t="str">
        <f t="array" ref="B47">HYPERLINK(_xlfn.XLOOKUP('Up Names'!G47,'Up Wiki'!A:A,'Up Wiki'!B:B,),'Up Names'!G47)</f>
        <v/>
      </c>
      <c r="C47" s="70" t="str">
        <f t="array" ref="C47">_xlfn.XLOOKUP(B47,'Up Desc'!A:A,'Up Desc'!B:B,)</f>
        <v/>
      </c>
      <c r="D47" s="52" t="str">
        <f t="array" ref="D47">_xlfn.XLOOKUP(B47,'Up Turbo'!A:A,'Up Turbo'!B:B,)</f>
        <v/>
      </c>
      <c r="E47" s="53" t="str">
        <f t="array" ref="E47">_xlfn.XLOOKUP(B47,'Up Stats'!A:A,'Up Stats'!B:B,)</f>
        <v/>
      </c>
      <c r="F47" s="54" t="str">
        <f>IFERROR(__xludf.DUMMYFUNCTION("if(AND(G47=FALSE,H47=FALSE),,if(G47=H47,JOIN("""",""Static: "",G47),JOIN("""",""Min:  "",G47, CHAR(10),""Max: "",H47)))"),"")</f>
        <v/>
      </c>
      <c r="G47" s="55" t="str">
        <f t="array" ref="G47">_xlfn.XLOOKUP(B47,'Up Min'!A:A,'Up Min'!B:B,)</f>
        <v/>
      </c>
      <c r="H47" s="56" t="str">
        <f t="array" ref="H47">_xlfn.XLOOKUP(B47,'Up Max'!A:A,'Up Max'!B:B,)</f>
        <v/>
      </c>
      <c r="I47" s="53" t="str">
        <f t="array" ref="I47">_xlfn.XLOOKUP(B47,'Up Stats'!A:A,'Up Stats'!C:C,)</f>
        <v/>
      </c>
      <c r="J47" s="54" t="str">
        <f>IFERROR(__xludf.DUMMYFUNCTION("if(AND(K47=FALSE,L47=FALSE),,if(K47=L47,JOIN("""",""Static: "",K47),JOIN("""",""Min:  "",K47, CHAR(10),""Max: "",L47)))"),"")</f>
        <v/>
      </c>
      <c r="K47" s="56" t="str">
        <f t="array" ref="K47">_xlfn.XLOOKUP(B47,'Up Min'!A:A,'Up Min'!C:C,)</f>
        <v/>
      </c>
      <c r="L47" s="55" t="str">
        <f t="array" ref="L47">_xlfn.XLOOKUP(B47,'Up Max'!A:A,'Up Max'!C:C,)</f>
        <v/>
      </c>
      <c r="M47" s="53" t="str">
        <f t="array" ref="M47">_xlfn.XLOOKUP(B47,'Up Stats'!A:A,'Up Stats'!D:D,)</f>
        <v/>
      </c>
      <c r="N47" s="54" t="str">
        <f>IFERROR(__xludf.DUMMYFUNCTION("if(AND(O47=FALSE,P47=FALSE),,if(O47=P47,JOIN("""",""Static: "",O47),JOIN("""",""Min:  "",O47, CHAR(10),""Max: "",P47)))"),"")</f>
        <v/>
      </c>
      <c r="O47" s="55" t="str">
        <f t="array" ref="O47">_xlfn.XLOOKUP(B47,'Up Min'!A:A,'Up Min'!D:D,)</f>
        <v/>
      </c>
      <c r="P47" s="55" t="str">
        <f t="array" ref="P47">_xlfn.XLOOKUP(B47,'Up Max'!A:A,'Up Max'!D:D,)</f>
        <v/>
      </c>
      <c r="Q47" s="57" t="str">
        <f t="array" ref="Q47">_xlfn.XLOOKUP(B47,'Up Stats'!A:A,'Up Stats'!E:E,)</f>
        <v/>
      </c>
      <c r="R47" s="54" t="str">
        <f>IFERROR(__xludf.DUMMYFUNCTION("if(AND(S47=FALSE,T47=FALSE),,if(S47=T47,JOIN("""",""Static: "",S47),JOIN("""",""Min:  "",S47, CHAR(10),""Max: "",T47)))"),"")</f>
        <v/>
      </c>
      <c r="S47" s="55" t="str">
        <f t="array" ref="S47">_xlfn.XLOOKUP(B47,'Up Min'!A:A,'Up Min'!E:E,)</f>
        <v/>
      </c>
      <c r="T47" s="55" t="str">
        <f t="array" ref="T47">_xlfn.XLOOKUP(B47,'Up Max'!A:A,'Up Max'!E:E,)</f>
        <v/>
      </c>
      <c r="U47" s="57" t="str">
        <f t="array" ref="U47">_xlfn.XLOOKUP(B47,'Up Stats'!A:A,'Up Stats'!F:F,)</f>
        <v/>
      </c>
      <c r="V47" s="54" t="str">
        <f>IFERROR(__xludf.DUMMYFUNCTION("if(AND(W47=FALSE,X47=FALSE),,if(W47=X47,JOIN("""",""Static: "",W47),JOIN("""",""Min:  "",W47, CHAR(10),""Max: "",X47)))"),"")</f>
        <v/>
      </c>
      <c r="W47" s="55" t="str">
        <f t="array" ref="W47">_xlfn.XLOOKUP(B47,'Up Min'!A:A,'Up Min'!F:F,)</f>
        <v/>
      </c>
      <c r="X47" s="55" t="str">
        <f t="array" ref="X47">_xlfn.XLOOKUP(B47,'Up Max'!A:A,'Up Max'!F:F,)</f>
        <v/>
      </c>
      <c r="Y47" s="57" t="str">
        <f t="array" ref="Y47">_xlfn.XLOOKUP(B47,'Up Stats'!A:A,'Up Stats'!G:G,)</f>
        <v/>
      </c>
      <c r="Z47" s="54" t="str">
        <f>IFERROR(__xludf.DUMMYFUNCTION("if(AND(AA47=FALSE,AB47=FALSE),,if(AA47=AB47,JOIN("""",""Static: "",AA47),JOIN("""",""Min:  "",AA47, CHAR(10),""Max: "",AB47)))"),"")</f>
        <v/>
      </c>
      <c r="AA47" s="55" t="str">
        <f t="array" ref="AA47">_xlfn.XLOOKUP(B47,'Up Min'!A:A,'Up Min'!G:G,)</f>
        <v/>
      </c>
      <c r="AB47" s="55" t="str">
        <f t="array" ref="AB47">_xlfn.XLOOKUP(B47,'Up Max'!A:A,'Up Max'!G:G,)</f>
        <v/>
      </c>
      <c r="AC47" s="57" t="str">
        <f t="array" ref="AC47">_xlfn.XLOOKUP(B47,'Up Stats'!A:A,'Up Stats'!H:H,)</f>
        <v/>
      </c>
      <c r="AD47" s="54" t="str">
        <f>IFERROR(__xludf.DUMMYFUNCTION("if(AND(AE47=FALSE,AF47=FALSE),,if(AE47=AF47,JOIN("""",""Static: "",AE47),JOIN("""",""Min:  "",AE47, CHAR(10),""Max: "",AF47)))"),"")</f>
        <v/>
      </c>
      <c r="AE47" s="55" t="str">
        <f t="array" ref="AE47">_xlfn.XLOOKUP(B47,'Up Min'!A:A,'Up Min'!H:H,)</f>
        <v/>
      </c>
      <c r="AF47" s="55" t="str">
        <f t="array" ref="AF47">_xlfn.XLOOKUP(B47,'Up Max'!A:A,'Up Max'!H:H,)</f>
        <v/>
      </c>
      <c r="AG47" s="57" t="str">
        <f t="array" ref="AG47">_xlfn.XLOOKUP(B47,'Up Stats'!A:A,'Up Stats'!I:I,)</f>
        <v/>
      </c>
      <c r="AH47" s="54" t="str">
        <f>IFERROR(__xludf.DUMMYFUNCTION("if(AND(AI47=FALSE,AJ47=FALSE),,if(AI47=AJ47,JOIN("""",""Static: "",AI47),JOIN("""",""Min:  "",AI47, CHAR(10),""Max: "",AJ47)))"),"")</f>
        <v/>
      </c>
      <c r="AI47" s="55" t="str">
        <f t="array" ref="AI47">_xlfn.XLOOKUP(B47,'Up Min'!A:A,'Up Min'!I:I,)</f>
        <v/>
      </c>
      <c r="AJ47" s="55" t="str">
        <f t="array" ref="AJ47">_xlfn.XLOOKUP(B47,'Up Max'!A:A,'Up Max'!I:I,)</f>
        <v/>
      </c>
      <c r="AK47" s="57" t="str">
        <f t="array" ref="AK47">_xlfn.XLOOKUP(B47,'Up Stats'!A:A,'Up Stats'!J:J,)</f>
        <v/>
      </c>
      <c r="AL47" s="54" t="str">
        <f>IFERROR(__xludf.DUMMYFUNCTION("if(AND(AM47=FALSE,AN47=FALSE),,if(AM47=AN47,JOIN("""",""Static: "",AM47),JOIN("""",""Min:  "",AM47, CHAR(10),""Max: "",AN47)))"),"")</f>
        <v/>
      </c>
      <c r="AM47" s="55" t="str">
        <f t="array" ref="AM47">_xlfn.XLOOKUP(B47,'Up Min'!A:A,'Up Min'!J:J,)</f>
        <v/>
      </c>
      <c r="AN47" s="55" t="str">
        <f t="array" ref="AN47">_xlfn.XLOOKUP(B47,'Up Max'!A:A,'Up Max'!J:J,)</f>
        <v/>
      </c>
      <c r="AO47" s="51" t="str">
        <f t="array" ref="AO47">CONCATENATE(_xlfn.XLOOKUP(B47,'Up Cells'!A:A,'Up Cells'!B:B,))</f>
        <v/>
      </c>
      <c r="AP47" s="51" t="str">
        <f t="array" ref="AP47">CONCATENATE(_xlfn.XLOOKUP(B47,'Up Rarity'!A:A,'Up Rarity'!B:B,),CHAR(10),"-")</f>
        <v>
-</v>
      </c>
    </row>
  </sheetData>
  <autoFilter ref="$A$1:$AP$47">
    <sortState ref="A1:AP47">
      <sortCondition descending="1" sortBy="cellColor" ref="AP1:AP47" dxfId="2"/>
    </sortState>
  </autoFilter>
  <conditionalFormatting sqref="AO1:AP47">
    <cfRule type="containsText" dxfId="3" priority="1" operator="containsText" text="Oddity">
      <formula>NOT(ISERROR(SEARCH(("Oddity"),(AO1))))</formula>
    </cfRule>
  </conditionalFormatting>
  <conditionalFormatting sqref="AO1:AP47">
    <cfRule type="containsText" dxfId="4" priority="2" operator="containsText" text="Exotic">
      <formula>NOT(ISERROR(SEARCH(("Exotic"),(AO1))))</formula>
    </cfRule>
  </conditionalFormatting>
  <conditionalFormatting sqref="AO1:AP47">
    <cfRule type="containsText" dxfId="5" priority="3" operator="containsText" text="Epic">
      <formula>NOT(ISERROR(SEARCH(("Epic"),(AO1))))</formula>
    </cfRule>
  </conditionalFormatting>
  <conditionalFormatting sqref="AO1:AP47">
    <cfRule type="containsText" dxfId="6" priority="4" operator="containsText" text="Rare">
      <formula>NOT(ISERROR(SEARCH(("Rare"),(AO1))))</formula>
    </cfRule>
  </conditionalFormatting>
  <conditionalFormatting sqref="AO1:AP47">
    <cfRule type="containsText" dxfId="7" priority="5" operator="containsText" text="Standard">
      <formula>NOT(ISERROR(SEARCH(("Standard"),(AO1))))</formula>
    </cfRule>
  </conditionalFormatting>
  <conditionalFormatting sqref="AO1:AP47">
    <cfRule type="containsText" dxfId="8" priority="6" operator="containsText" text="Contraband">
      <formula>NOT(ISERROR(SEARCH(("Contraband"),(AO1))))</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12.63"/>
    <col customWidth="1" min="3" max="4" width="31.38"/>
    <col customWidth="1" min="5" max="6" width="12.63"/>
    <col customWidth="1" hidden="1" min="7" max="8" width="12.63"/>
    <col customWidth="1" min="9" max="10" width="12.63"/>
    <col customWidth="1" hidden="1" min="11" max="12" width="12.63"/>
    <col customWidth="1" min="13" max="14" width="12.63"/>
    <col customWidth="1" hidden="1" min="15" max="16" width="12.63"/>
    <col customWidth="1" min="17" max="18" width="12.63"/>
    <col customWidth="1" hidden="1" min="19" max="20" width="12.63"/>
    <col customWidth="1" min="21" max="22" width="12.63"/>
    <col customWidth="1" hidden="1" min="23" max="24" width="12.63"/>
    <col customWidth="1" min="25" max="26" width="12.63"/>
    <col customWidth="1" hidden="1" min="27" max="28" width="12.63"/>
    <col customWidth="1" min="29" max="30" width="12.63"/>
    <col customWidth="1" hidden="1" min="31" max="32" width="12.63"/>
    <col customWidth="1" min="33" max="34" width="12.63"/>
    <col customWidth="1" hidden="1" min="35" max="36" width="12.63"/>
    <col customWidth="1" min="37" max="38" width="12.63"/>
    <col customWidth="1" hidden="1" min="39" max="40" width="12.63"/>
    <col customWidth="1" min="41" max="42" width="8.25"/>
  </cols>
  <sheetData>
    <row r="1">
      <c r="A1" s="28" t="s">
        <v>1</v>
      </c>
      <c r="B1" s="9" t="s">
        <v>2</v>
      </c>
      <c r="C1" s="9" t="s">
        <v>3</v>
      </c>
      <c r="D1" s="11" t="s">
        <v>4</v>
      </c>
      <c r="E1" s="16" t="s">
        <v>6</v>
      </c>
      <c r="F1" s="19" t="s">
        <v>7</v>
      </c>
      <c r="G1" s="21" t="s">
        <v>8</v>
      </c>
      <c r="H1" s="25" t="s">
        <v>9</v>
      </c>
      <c r="I1" s="29" t="s">
        <v>6</v>
      </c>
      <c r="J1" s="19" t="s">
        <v>7</v>
      </c>
      <c r="K1" s="21" t="s">
        <v>8</v>
      </c>
      <c r="L1" s="21" t="s">
        <v>9</v>
      </c>
      <c r="M1" s="29" t="s">
        <v>6</v>
      </c>
      <c r="N1" s="19" t="s">
        <v>7</v>
      </c>
      <c r="O1" s="21" t="s">
        <v>8</v>
      </c>
      <c r="P1" s="21" t="s">
        <v>9</v>
      </c>
      <c r="Q1" s="16" t="s">
        <v>6</v>
      </c>
      <c r="R1" s="19" t="s">
        <v>7</v>
      </c>
      <c r="S1" s="25" t="s">
        <v>8</v>
      </c>
      <c r="T1" s="21" t="s">
        <v>9</v>
      </c>
      <c r="U1" s="16" t="s">
        <v>6</v>
      </c>
      <c r="V1" s="19" t="s">
        <v>7</v>
      </c>
      <c r="W1" s="25" t="s">
        <v>8</v>
      </c>
      <c r="X1" s="25" t="s">
        <v>9</v>
      </c>
      <c r="Y1" s="16" t="s">
        <v>6</v>
      </c>
      <c r="Z1" s="19" t="s">
        <v>7</v>
      </c>
      <c r="AA1" s="21" t="s">
        <v>8</v>
      </c>
      <c r="AB1" s="25" t="s">
        <v>9</v>
      </c>
      <c r="AC1" s="29" t="s">
        <v>6</v>
      </c>
      <c r="AD1" s="19" t="s">
        <v>7</v>
      </c>
      <c r="AE1" s="21" t="s">
        <v>8</v>
      </c>
      <c r="AF1" s="21" t="s">
        <v>9</v>
      </c>
      <c r="AG1" s="16" t="s">
        <v>6</v>
      </c>
      <c r="AH1" s="19" t="s">
        <v>7</v>
      </c>
      <c r="AI1" s="21" t="s">
        <v>8</v>
      </c>
      <c r="AJ1" s="21" t="s">
        <v>9</v>
      </c>
      <c r="AK1" s="16" t="s">
        <v>6</v>
      </c>
      <c r="AL1" s="19" t="s">
        <v>7</v>
      </c>
      <c r="AM1" s="21" t="s">
        <v>8</v>
      </c>
      <c r="AN1" s="21" t="s">
        <v>9</v>
      </c>
      <c r="AO1" s="11" t="s">
        <v>12</v>
      </c>
      <c r="AP1" s="22" t="s">
        <v>13</v>
      </c>
    </row>
    <row r="2">
      <c r="A2" s="31" t="str">
        <f t="array" ref="A2">_xlfn.XLOOKUP(B2,'Up Icon'!A:A,'Up Icon'!B:B,)</f>
        <v/>
      </c>
      <c r="B2" s="34" t="str">
        <f t="array" ref="B2">HYPERLINK(_xlfn.XLOOKUP('Up Names'!H32,'Up Wiki'!A:A,'Up Wiki'!B:B,),'Up Names'!H32)</f>
        <v>Edge Fault</v>
      </c>
      <c r="C2" s="37" t="str">
        <f t="array" ref="C2">_xlfn.XLOOKUP(B2,'Up Desc'!A:A,'Up Desc'!B:B,)</f>
        <v>Increases the size of your upgrade grid.</v>
      </c>
      <c r="D2" s="37" t="str">
        <f t="array" ref="D2">_xlfn.XLOOKUP(B2,'Up Turbo'!A:A,'Up Turbo'!B:B,)</f>
        <v>n/a</v>
      </c>
      <c r="E2" s="39" t="str">
        <f t="array" ref="E2">_xlfn.XLOOKUP(B2,'Up Stats'!A:A,'Up Stats'!B:B,)</f>
        <v/>
      </c>
      <c r="F2" s="40" t="str">
        <f>IFERROR(__xludf.DUMMYFUNCTION("if(AND(G2=FALSE,H2=FALSE),,if(G2=H2,JOIN("""",""Static: "",G2),JOIN("""",""Min:  "",G2, CHAR(10),""Max: "",H2)))"),"")</f>
        <v/>
      </c>
      <c r="G2" s="42" t="str">
        <f t="array" ref="G2">_xlfn.XLOOKUP(B2,'Up Min'!A:A,'Up Min'!B:B,)</f>
        <v/>
      </c>
      <c r="H2" s="45" t="str">
        <f t="array" ref="H2">_xlfn.XLOOKUP(B2,'Up Max'!A:A,'Up Max'!B:B,)</f>
        <v/>
      </c>
      <c r="I2" s="39" t="str">
        <f t="array" ref="I2">_xlfn.XLOOKUP(B2,'Up Stats'!A:A,'Up Stats'!C:C,)</f>
        <v/>
      </c>
      <c r="J2" s="40" t="str">
        <f>IFERROR(__xludf.DUMMYFUNCTION("if(AND(K2=FALSE,L2=FALSE),,if(K2=L2,JOIN("""",""Static: "",K2),JOIN("""",""Min:  "",K2, CHAR(10),""Max: "",L2)))"),"")</f>
        <v/>
      </c>
      <c r="K2" s="42" t="str">
        <f t="array" ref="K2">_xlfn.XLOOKUP(B2,'Up Min'!A:A,'Up Min'!C:C,)</f>
        <v/>
      </c>
      <c r="L2" s="42" t="str">
        <f t="array" ref="L2">_xlfn.XLOOKUP(B2,'Up Max'!A:A,'Up Max'!C:C,)</f>
        <v/>
      </c>
      <c r="M2" s="48" t="str">
        <f t="array" ref="M2">_xlfn.XLOOKUP(B2,'Up Stats'!A:A,'Up Stats'!D:D,)</f>
        <v/>
      </c>
      <c r="N2" s="40" t="str">
        <f>IFERROR(__xludf.DUMMYFUNCTION("if(AND(O2=FALSE,P2=FALSE),,if(O2=P2,JOIN("""",""Static: "",O2),JOIN("""",""Min:  "",O2, CHAR(10),""Max: "",P2)))"),"")</f>
        <v/>
      </c>
      <c r="O2" s="42" t="str">
        <f t="array" ref="O2">_xlfn.XLOOKUP(B2,'Up Min'!A:A,'Up Min'!D:D,)</f>
        <v/>
      </c>
      <c r="P2" s="42" t="str">
        <f t="array" ref="P2">_xlfn.XLOOKUP(B2,'Up Max'!A:A,'Up Max'!D:D,)</f>
        <v/>
      </c>
      <c r="Q2" s="48" t="str">
        <f t="array" ref="Q2">_xlfn.XLOOKUP(B2,'Up Stats'!A:A,'Up Stats'!E:E,)</f>
        <v/>
      </c>
      <c r="R2" s="40" t="str">
        <f>IFERROR(__xludf.DUMMYFUNCTION("if(AND(S2=FALSE,T2=FALSE),,if(S2=T2,JOIN("""",""Static: "",S2),JOIN("""",""Min:  "",S2, CHAR(10),""Max: "",T2)))"),"")</f>
        <v/>
      </c>
      <c r="S2" s="42" t="str">
        <f t="array" ref="S2">_xlfn.XLOOKUP(B2,'Up Min'!A:A,'Up Min'!E:E,)</f>
        <v/>
      </c>
      <c r="T2" s="42" t="str">
        <f t="array" ref="T2">_xlfn.XLOOKUP(B2,'Up Max'!A:A,'Up Max'!E:E,)</f>
        <v/>
      </c>
      <c r="U2" s="48" t="str">
        <f t="array" ref="U2">_xlfn.XLOOKUP(B2,'Up Stats'!A:A,'Up Stats'!F:F,)</f>
        <v/>
      </c>
      <c r="V2" s="40" t="str">
        <f>IFERROR(__xludf.DUMMYFUNCTION("if(AND(W2=FALSE,X2=FALSE),,if(W2=X2,JOIN("""",""Static: "",W2),JOIN("""",""Min:  "",W2, CHAR(10),""Max: "",X2)))"),"")</f>
        <v/>
      </c>
      <c r="W2" s="42" t="str">
        <f t="array" ref="W2">_xlfn.XLOOKUP(B2,'Up Min'!A:A,'Up Min'!F:F,)</f>
        <v/>
      </c>
      <c r="X2" s="42" t="str">
        <f t="array" ref="X2">_xlfn.XLOOKUP(B2,'Up Max'!A:A,'Up Max'!F:F,)</f>
        <v/>
      </c>
      <c r="Y2" s="48" t="str">
        <f t="array" ref="Y2">_xlfn.XLOOKUP(B2,'Up Stats'!A:A,'Up Stats'!G:G,)</f>
        <v/>
      </c>
      <c r="Z2" s="40" t="str">
        <f>IFERROR(__xludf.DUMMYFUNCTION("if(AND(AA2=FALSE,AB2=FALSE),,if(AA2=AB2,JOIN("""",""Static: "",AA2),JOIN("""",""Min:  "",AA2, CHAR(10),""Max: "",AB2)))"),"")</f>
        <v/>
      </c>
      <c r="AA2" s="42" t="str">
        <f t="array" ref="AA2">_xlfn.XLOOKUP(B2,'Up Min'!A:A,'Up Min'!G:G,)</f>
        <v/>
      </c>
      <c r="AB2" s="42" t="str">
        <f t="array" ref="AB2">_xlfn.XLOOKUP(B2,'Up Max'!A:A,'Up Max'!G:G,)</f>
        <v/>
      </c>
      <c r="AC2" s="48" t="str">
        <f t="array" ref="AC2">_xlfn.XLOOKUP(B2,'Up Stats'!A:A,'Up Stats'!H:H,)</f>
        <v/>
      </c>
      <c r="AD2" s="40" t="str">
        <f>IFERROR(__xludf.DUMMYFUNCTION("if(AND(AE2=FALSE,AF2=FALSE),,if(AE2=AF2,JOIN("""",""Static: "",AE2),JOIN("""",""Min:  "",AE2, CHAR(10),""Max: "",AF2)))"),"")</f>
        <v/>
      </c>
      <c r="AE2" s="42" t="str">
        <f t="array" ref="AE2">_xlfn.XLOOKUP(B2,'Up Min'!A:A,'Up Min'!H:H,)</f>
        <v/>
      </c>
      <c r="AF2" s="42" t="str">
        <f t="array" ref="AF2">_xlfn.XLOOKUP(B2,'Up Max'!A:A,'Up Max'!H:H,)</f>
        <v/>
      </c>
      <c r="AG2" s="48" t="str">
        <f t="array" ref="AG2">_xlfn.XLOOKUP(B2,'Up Stats'!A:A,'Up Stats'!I:I,)</f>
        <v/>
      </c>
      <c r="AH2" s="40" t="str">
        <f>IFERROR(__xludf.DUMMYFUNCTION("if(AND(AI2=FALSE,AJ2=FALSE),,if(AI2=AJ2,JOIN("""",""Static: "",AI2),JOIN("""",""Min:  "",AI2, CHAR(10),""Max: "",AJ2)))"),"")</f>
        <v/>
      </c>
      <c r="AI2" s="42" t="str">
        <f t="array" ref="AI2">_xlfn.XLOOKUP(B2,'Up Min'!A:A,'Up Min'!I:I,)</f>
        <v/>
      </c>
      <c r="AJ2" s="42" t="str">
        <f t="array" ref="AJ2">_xlfn.XLOOKUP(B2,'Up Max'!A:A,'Up Max'!I:I,)</f>
        <v/>
      </c>
      <c r="AK2" s="48" t="str">
        <f t="array" ref="AK2">_xlfn.XLOOKUP(B2,'Up Stats'!A:A,'Up Stats'!J:J,)</f>
        <v/>
      </c>
      <c r="AL2" s="40" t="str">
        <f>IFERROR(__xludf.DUMMYFUNCTION("if(AND(AM2=FALSE,AN2=FALSE),,if(AM2=AN2,JOIN("""",""Static: "",AM2),JOIN("""",""Min:  "",AM2, CHAR(10),""Max: "",AN2)))"),"")</f>
        <v/>
      </c>
      <c r="AM2" s="42" t="str">
        <f t="array" ref="AM2">_xlfn.XLOOKUP(B2,'Up Min'!A:A,'Up Min'!J:J,)</f>
        <v/>
      </c>
      <c r="AN2" s="42" t="str">
        <f t="array" ref="AN2">_xlfn.XLOOKUP(B2,'Up Max'!A:A,'Up Max'!J:J,)</f>
        <v/>
      </c>
      <c r="AO2" s="34" t="str">
        <f t="array" ref="AO2">CONCATENATE(_xlfn.XLOOKUP(B2,'Up Cells'!A:A,'Up Cells'!B:B,))</f>
        <v>1</v>
      </c>
      <c r="AP2" s="34" t="str">
        <f t="array" ref="AP2">CONCATENATE(_xlfn.XLOOKUP(B2,'Up Rarity'!A:A,'Up Rarity'!B:B,),CHAR(10),"-")</f>
        <v>Contraband
-</v>
      </c>
    </row>
    <row r="3">
      <c r="A3" s="31" t="str">
        <f t="array" ref="A3">_xlfn.XLOOKUP(B3,'Up Icon'!A:A,'Up Icon'!B:B,)</f>
        <v/>
      </c>
      <c r="B3" s="51" t="str">
        <f t="array" ref="B3">HYPERLINK(_xlfn.XLOOKUP('Up Names'!H33,'Up Wiki'!A:A,'Up Wiki'!B:B,),'Up Names'!H33)</f>
        <v>Multiversal Thievery</v>
      </c>
      <c r="C3" s="52" t="str">
        <f t="array" ref="C3">_xlfn.XLOOKUP(B3,'Up Desc'!A:A,'Up Desc'!B:B,)</f>
        <v>Commandeers 1 column from each of your other upgrade grids.</v>
      </c>
      <c r="D3" s="52" t="str">
        <f t="array" ref="D3">_xlfn.XLOOKUP(B3,'Up Turbo'!A:A,'Up Turbo'!B:B,)</f>
        <v>n/a</v>
      </c>
      <c r="E3" s="53" t="str">
        <f t="array" ref="E3">_xlfn.XLOOKUP(B3,'Up Stats'!A:A,'Up Stats'!B:B,)</f>
        <v/>
      </c>
      <c r="F3" s="54" t="str">
        <f>IFERROR(__xludf.DUMMYFUNCTION("if(AND(G3=FALSE,H3=FALSE),,if(G3=H3,JOIN("""",""Static: "",G3),JOIN("""",""Min:  "",G3, CHAR(10),""Max: "",H3)))"),"")</f>
        <v/>
      </c>
      <c r="G3" s="55" t="str">
        <f t="array" ref="G3">_xlfn.XLOOKUP(B3,'Up Min'!A:A,'Up Min'!B:B,)</f>
        <v/>
      </c>
      <c r="H3" s="56" t="str">
        <f t="array" ref="H3">_xlfn.XLOOKUP(B3,'Up Max'!A:A,'Up Max'!B:B,)</f>
        <v/>
      </c>
      <c r="I3" s="53" t="str">
        <f t="array" ref="I3">_xlfn.XLOOKUP(B3,'Up Stats'!A:A,'Up Stats'!C:C,)</f>
        <v/>
      </c>
      <c r="J3" s="54" t="str">
        <f>IFERROR(__xludf.DUMMYFUNCTION("if(AND(K3=FALSE,L3=FALSE),,if(K3=L3,JOIN("""",""Static: "",K3),JOIN("""",""Min:  "",K3, CHAR(10),""Max: "",L3)))"),"")</f>
        <v/>
      </c>
      <c r="K3" s="55" t="str">
        <f t="array" ref="K3">_xlfn.XLOOKUP(B3,'Up Min'!A:A,'Up Min'!C:C,)</f>
        <v/>
      </c>
      <c r="L3" s="55" t="str">
        <f t="array" ref="L3">_xlfn.XLOOKUP(B3,'Up Max'!A:A,'Up Max'!C:C,)</f>
        <v/>
      </c>
      <c r="M3" s="57" t="str">
        <f t="array" ref="M3">_xlfn.XLOOKUP(B3,'Up Stats'!A:A,'Up Stats'!D:D,)</f>
        <v/>
      </c>
      <c r="N3" s="54" t="str">
        <f>IFERROR(__xludf.DUMMYFUNCTION("if(AND(O3=FALSE,P3=FALSE),,if(O3=P3,JOIN("""",""Static: "",O3),JOIN("""",""Min:  "",O3, CHAR(10),""Max: "",P3)))"),"")</f>
        <v/>
      </c>
      <c r="O3" s="55" t="str">
        <f t="array" ref="O3">_xlfn.XLOOKUP(B3,'Up Min'!A:A,'Up Min'!D:D,)</f>
        <v/>
      </c>
      <c r="P3" s="55" t="str">
        <f t="array" ref="P3">_xlfn.XLOOKUP(B3,'Up Max'!A:A,'Up Max'!D:D,)</f>
        <v/>
      </c>
      <c r="Q3" s="57" t="str">
        <f t="array" ref="Q3">_xlfn.XLOOKUP(B3,'Up Stats'!A:A,'Up Stats'!E:E,)</f>
        <v/>
      </c>
      <c r="R3" s="54" t="str">
        <f>IFERROR(__xludf.DUMMYFUNCTION("if(AND(S3=FALSE,T3=FALSE),,if(S3=T3,JOIN("""",""Static: "",S3),JOIN("""",""Min:  "",S3, CHAR(10),""Max: "",T3)))"),"")</f>
        <v/>
      </c>
      <c r="S3" s="55" t="str">
        <f t="array" ref="S3">_xlfn.XLOOKUP(B3,'Up Min'!A:A,'Up Min'!E:E,)</f>
        <v/>
      </c>
      <c r="T3" s="55" t="str">
        <f t="array" ref="T3">_xlfn.XLOOKUP(B3,'Up Max'!A:A,'Up Max'!E:E,)</f>
        <v/>
      </c>
      <c r="U3" s="57" t="str">
        <f t="array" ref="U3">_xlfn.XLOOKUP(B3,'Up Stats'!A:A,'Up Stats'!F:F,)</f>
        <v/>
      </c>
      <c r="V3" s="54" t="str">
        <f>IFERROR(__xludf.DUMMYFUNCTION("if(AND(W3=FALSE,X3=FALSE),,if(W3=X3,JOIN("""",""Static: "",W3),JOIN("""",""Min:  "",W3, CHAR(10),""Max: "",X3)))"),"")</f>
        <v/>
      </c>
      <c r="W3" s="55" t="str">
        <f t="array" ref="W3">_xlfn.XLOOKUP(B3,'Up Min'!A:A,'Up Min'!F:F,)</f>
        <v/>
      </c>
      <c r="X3" s="55" t="str">
        <f t="array" ref="X3">_xlfn.XLOOKUP(B3,'Up Max'!A:A,'Up Max'!F:F,)</f>
        <v/>
      </c>
      <c r="Y3" s="57" t="str">
        <f t="array" ref="Y3">_xlfn.XLOOKUP(B3,'Up Stats'!A:A,'Up Stats'!G:G,)</f>
        <v/>
      </c>
      <c r="Z3" s="54" t="str">
        <f>IFERROR(__xludf.DUMMYFUNCTION("if(AND(AA3=FALSE,AB3=FALSE),,if(AA3=AB3,JOIN("""",""Static: "",AA3),JOIN("""",""Min:  "",AA3, CHAR(10),""Max: "",AB3)))"),"")</f>
        <v/>
      </c>
      <c r="AA3" s="55" t="str">
        <f t="array" ref="AA3">_xlfn.XLOOKUP(B3,'Up Min'!A:A,'Up Min'!G:G,)</f>
        <v/>
      </c>
      <c r="AB3" s="55" t="str">
        <f t="array" ref="AB3">_xlfn.XLOOKUP(B3,'Up Max'!A:A,'Up Max'!G:G,)</f>
        <v/>
      </c>
      <c r="AC3" s="57" t="str">
        <f t="array" ref="AC3">_xlfn.XLOOKUP(B3,'Up Stats'!A:A,'Up Stats'!H:H,)</f>
        <v/>
      </c>
      <c r="AD3" s="54" t="str">
        <f>IFERROR(__xludf.DUMMYFUNCTION("if(AND(AE3=FALSE,AF3=FALSE),,if(AE3=AF3,JOIN("""",""Static: "",AE3),JOIN("""",""Min:  "",AE3, CHAR(10),""Max: "",AF3)))"),"")</f>
        <v/>
      </c>
      <c r="AE3" s="55" t="str">
        <f t="array" ref="AE3">_xlfn.XLOOKUP(B3,'Up Min'!A:A,'Up Min'!H:H,)</f>
        <v/>
      </c>
      <c r="AF3" s="55" t="str">
        <f t="array" ref="AF3">_xlfn.XLOOKUP(B3,'Up Max'!A:A,'Up Max'!H:H,)</f>
        <v/>
      </c>
      <c r="AG3" s="57" t="str">
        <f t="array" ref="AG3">_xlfn.XLOOKUP(B3,'Up Stats'!A:A,'Up Stats'!I:I,)</f>
        <v/>
      </c>
      <c r="AH3" s="54" t="str">
        <f>IFERROR(__xludf.DUMMYFUNCTION("if(AND(AI3=FALSE,AJ3=FALSE),,if(AI3=AJ3,JOIN("""",""Static: "",AI3),JOIN("""",""Min:  "",AI3, CHAR(10),""Max: "",AJ3)))"),"")</f>
        <v/>
      </c>
      <c r="AI3" s="55" t="str">
        <f t="array" ref="AI3">_xlfn.XLOOKUP(B3,'Up Min'!A:A,'Up Min'!I:I,)</f>
        <v/>
      </c>
      <c r="AJ3" s="55" t="str">
        <f t="array" ref="AJ3">_xlfn.XLOOKUP(B3,'Up Max'!A:A,'Up Max'!I:I,)</f>
        <v/>
      </c>
      <c r="AK3" s="57" t="str">
        <f t="array" ref="AK3">_xlfn.XLOOKUP(B3,'Up Stats'!A:A,'Up Stats'!J:J,)</f>
        <v/>
      </c>
      <c r="AL3" s="54" t="str">
        <f>IFERROR(__xludf.DUMMYFUNCTION("if(AND(AM3=FALSE,AN3=FALSE),,if(AM3=AN3,JOIN("""",""Static: "",AM3),JOIN("""",""Min:  "",AM3, CHAR(10),""Max: "",AN3)))"),"")</f>
        <v/>
      </c>
      <c r="AM3" s="55" t="str">
        <f t="array" ref="AM3">_xlfn.XLOOKUP(B3,'Up Min'!A:A,'Up Min'!J:J,)</f>
        <v/>
      </c>
      <c r="AN3" s="55" t="str">
        <f t="array" ref="AN3">_xlfn.XLOOKUP(B3,'Up Max'!A:A,'Up Max'!J:J,)</f>
        <v/>
      </c>
      <c r="AO3" s="51" t="str">
        <f t="array" ref="AO3">CONCATENATE(_xlfn.XLOOKUP(B3,'Up Cells'!A:A,'Up Cells'!B:B,))</f>
        <v>1</v>
      </c>
      <c r="AP3" s="51" t="str">
        <f t="array" ref="AP3">CONCATENATE(_xlfn.XLOOKUP(B3,'Up Rarity'!A:A,'Up Rarity'!B:B,),CHAR(10),"-")</f>
        <v>Contraband
-</v>
      </c>
    </row>
    <row r="4">
      <c r="A4" s="60" t="str">
        <f t="array" ref="A4">_xlfn.XLOOKUP(B4,'Up Icon'!A:A,'Up Icon'!B:B,)</f>
        <v/>
      </c>
      <c r="B4" s="34" t="str">
        <f t="array" ref="B4">HYPERLINK(_xlfn.XLOOKUP('Up Names'!H34,'Up Wiki'!A:A,'Up Wiki'!B:B,),'Up Names'!H34)</f>
        <v>Boundary Incursion</v>
      </c>
      <c r="C4" s="37" t="str">
        <f t="array" ref="C4">_xlfn.XLOOKUP(B4,'Up Desc'!A:A,'Up Desc'!B:B,)</f>
        <v>Increases the size of your upgrade grid.</v>
      </c>
      <c r="D4" s="37" t="str">
        <f t="array" ref="D4">_xlfn.XLOOKUP(B4,'Up Turbo'!A:A,'Up Turbo'!B:B,)</f>
        <v>n/a</v>
      </c>
      <c r="E4" s="39" t="str">
        <f t="array" ref="E4">_xlfn.XLOOKUP(B4,'Up Stats'!A:A,'Up Stats'!B:B,)</f>
        <v/>
      </c>
      <c r="F4" s="40" t="str">
        <f>IFERROR(__xludf.DUMMYFUNCTION("if(AND(G4=FALSE,H4=FALSE),,if(G4=H4,JOIN("""",""Static: "",G4),JOIN("""",""Min:  "",G4, CHAR(10),""Max: "",H4)))"),"")</f>
        <v/>
      </c>
      <c r="G4" s="42" t="str">
        <f t="array" ref="G4">_xlfn.XLOOKUP(B4,'Up Min'!A:A,'Up Min'!B:B,)</f>
        <v/>
      </c>
      <c r="H4" s="45" t="str">
        <f t="array" ref="H4">_xlfn.XLOOKUP(B4,'Up Max'!A:A,'Up Max'!B:B,)</f>
        <v/>
      </c>
      <c r="I4" s="39" t="str">
        <f t="array" ref="I4">_xlfn.XLOOKUP(B4,'Up Stats'!A:A,'Up Stats'!C:C,)</f>
        <v/>
      </c>
      <c r="J4" s="40" t="str">
        <f>IFERROR(__xludf.DUMMYFUNCTION("if(AND(K4=FALSE,L4=FALSE),,if(K4=L4,JOIN("""",""Static: "",K4),JOIN("""",""Min:  "",K4, CHAR(10),""Max: "",L4)))"),"")</f>
        <v/>
      </c>
      <c r="K4" s="42" t="str">
        <f t="array" ref="K4">_xlfn.XLOOKUP(B4,'Up Min'!A:A,'Up Min'!C:C,)</f>
        <v/>
      </c>
      <c r="L4" s="42" t="str">
        <f t="array" ref="L4">_xlfn.XLOOKUP(B4,'Up Max'!A:A,'Up Max'!C:C,)</f>
        <v/>
      </c>
      <c r="M4" s="48" t="str">
        <f t="array" ref="M4">_xlfn.XLOOKUP(B4,'Up Stats'!A:A,'Up Stats'!D:D,)</f>
        <v/>
      </c>
      <c r="N4" s="40" t="str">
        <f>IFERROR(__xludf.DUMMYFUNCTION("if(AND(O4=FALSE,P4=FALSE),,if(O4=P4,JOIN("""",""Static: "",O4),JOIN("""",""Min:  "",O4, CHAR(10),""Max: "",P4)))"),"")</f>
        <v/>
      </c>
      <c r="O4" s="42" t="str">
        <f t="array" ref="O4">_xlfn.XLOOKUP(B4,'Up Min'!A:A,'Up Min'!D:D,)</f>
        <v/>
      </c>
      <c r="P4" s="42" t="str">
        <f t="array" ref="P4">_xlfn.XLOOKUP(B4,'Up Max'!A:A,'Up Max'!D:D,)</f>
        <v/>
      </c>
      <c r="Q4" s="48" t="str">
        <f t="array" ref="Q4">_xlfn.XLOOKUP(B4,'Up Stats'!A:A,'Up Stats'!E:E,)</f>
        <v/>
      </c>
      <c r="R4" s="40" t="str">
        <f>IFERROR(__xludf.DUMMYFUNCTION("if(AND(S4=FALSE,T4=FALSE),,if(S4=T4,JOIN("""",""Static: "",S4),JOIN("""",""Min:  "",S4, CHAR(10),""Max: "",T4)))"),"")</f>
        <v/>
      </c>
      <c r="S4" s="42" t="str">
        <f t="array" ref="S4">_xlfn.XLOOKUP(B4,'Up Min'!A:A,'Up Min'!E:E,)</f>
        <v/>
      </c>
      <c r="T4" s="42" t="str">
        <f t="array" ref="T4">_xlfn.XLOOKUP(B4,'Up Max'!A:A,'Up Max'!E:E,)</f>
        <v/>
      </c>
      <c r="U4" s="48" t="str">
        <f t="array" ref="U4">_xlfn.XLOOKUP(B4,'Up Stats'!A:A,'Up Stats'!F:F,)</f>
        <v/>
      </c>
      <c r="V4" s="40" t="str">
        <f>IFERROR(__xludf.DUMMYFUNCTION("if(AND(W4=FALSE,X4=FALSE),,if(W4=X4,JOIN("""",""Static: "",W4),JOIN("""",""Min:  "",W4, CHAR(10),""Max: "",X4)))"),"")</f>
        <v/>
      </c>
      <c r="W4" s="42" t="str">
        <f t="array" ref="W4">_xlfn.XLOOKUP(B4,'Up Min'!A:A,'Up Min'!F:F,)</f>
        <v/>
      </c>
      <c r="X4" s="42" t="str">
        <f t="array" ref="X4">_xlfn.XLOOKUP(B4,'Up Max'!A:A,'Up Max'!F:F,)</f>
        <v/>
      </c>
      <c r="Y4" s="48" t="str">
        <f t="array" ref="Y4">_xlfn.XLOOKUP(B4,'Up Stats'!A:A,'Up Stats'!G:G,)</f>
        <v/>
      </c>
      <c r="Z4" s="40" t="str">
        <f>IFERROR(__xludf.DUMMYFUNCTION("if(AND(AA4=FALSE,AB4=FALSE),,if(AA4=AB4,JOIN("""",""Static: "",AA4),JOIN("""",""Min:  "",AA4, CHAR(10),""Max: "",AB4)))"),"")</f>
        <v/>
      </c>
      <c r="AA4" s="42" t="str">
        <f t="array" ref="AA4">_xlfn.XLOOKUP(B4,'Up Min'!A:A,'Up Min'!G:G,)</f>
        <v/>
      </c>
      <c r="AB4" s="42" t="str">
        <f t="array" ref="AB4">_xlfn.XLOOKUP(B4,'Up Max'!A:A,'Up Max'!G:G,)</f>
        <v/>
      </c>
      <c r="AC4" s="48" t="str">
        <f t="array" ref="AC4">_xlfn.XLOOKUP(B4,'Up Stats'!A:A,'Up Stats'!H:H,)</f>
        <v/>
      </c>
      <c r="AD4" s="40" t="str">
        <f>IFERROR(__xludf.DUMMYFUNCTION("if(AND(AE4=FALSE,AF4=FALSE),,if(AE4=AF4,JOIN("""",""Static: "",AE4),JOIN("""",""Min:  "",AE4, CHAR(10),""Max: "",AF4)))"),"")</f>
        <v/>
      </c>
      <c r="AE4" s="42" t="str">
        <f t="array" ref="AE4">_xlfn.XLOOKUP(B4,'Up Min'!A:A,'Up Min'!H:H,)</f>
        <v/>
      </c>
      <c r="AF4" s="42" t="str">
        <f t="array" ref="AF4">_xlfn.XLOOKUP(B4,'Up Max'!A:A,'Up Max'!H:H,)</f>
        <v/>
      </c>
      <c r="AG4" s="48" t="str">
        <f t="array" ref="AG4">_xlfn.XLOOKUP(B4,'Up Stats'!A:A,'Up Stats'!I:I,)</f>
        <v/>
      </c>
      <c r="AH4" s="40" t="str">
        <f>IFERROR(__xludf.DUMMYFUNCTION("if(AND(AI4=FALSE,AJ4=FALSE),,if(AI4=AJ4,JOIN("""",""Static: "",AI4),JOIN("""",""Min:  "",AI4, CHAR(10),""Max: "",AJ4)))"),"")</f>
        <v/>
      </c>
      <c r="AI4" s="42" t="str">
        <f t="array" ref="AI4">_xlfn.XLOOKUP(B4,'Up Min'!A:A,'Up Min'!I:I,)</f>
        <v/>
      </c>
      <c r="AJ4" s="42" t="str">
        <f t="array" ref="AJ4">_xlfn.XLOOKUP(B4,'Up Max'!A:A,'Up Max'!I:I,)</f>
        <v/>
      </c>
      <c r="AK4" s="48" t="str">
        <f t="array" ref="AK4">_xlfn.XLOOKUP(B4,'Up Stats'!A:A,'Up Stats'!J:J,)</f>
        <v/>
      </c>
      <c r="AL4" s="40" t="str">
        <f>IFERROR(__xludf.DUMMYFUNCTION("if(AND(AM4=FALSE,AN4=FALSE),,if(AM4=AN4,JOIN("""",""Static: "",AM4),JOIN("""",""Min:  "",AM4, CHAR(10),""Max: "",AN4)))"),"")</f>
        <v/>
      </c>
      <c r="AM4" s="42" t="str">
        <f t="array" ref="AM4">_xlfn.XLOOKUP(B4,'Up Min'!A:A,'Up Min'!J:J,)</f>
        <v/>
      </c>
      <c r="AN4" s="42" t="str">
        <f t="array" ref="AN4">_xlfn.XLOOKUP(B4,'Up Max'!A:A,'Up Max'!J:J,)</f>
        <v/>
      </c>
      <c r="AO4" s="34" t="str">
        <f t="array" ref="AO4">CONCATENATE(_xlfn.XLOOKUP(B4,'Up Cells'!A:A,'Up Cells'!B:B,))</f>
        <v>1</v>
      </c>
      <c r="AP4" s="34" t="str">
        <f t="array" ref="AP4">CONCATENATE(_xlfn.XLOOKUP(B4,'Up Rarity'!A:A,'Up Rarity'!B:B,),CHAR(10),"-")</f>
        <v>Oddity
-</v>
      </c>
    </row>
    <row r="5">
      <c r="A5" s="62" t="str">
        <f t="array" ref="A5">_xlfn.XLOOKUP(B5,'Up Icon'!A:A,'Up Icon'!B:B,)</f>
        <v/>
      </c>
      <c r="B5" s="63" t="str">
        <f t="array" ref="B5">HYPERLINK(_xlfn.XLOOKUP('Up Names'!H2,'Up Wiki'!A:A,'Up Wiki'!B:B,),'Up Names'!H2)</f>
        <v>Bailing Water</v>
      </c>
      <c r="C5" s="52" t="str">
        <f t="array" ref="C5">_xlfn.XLOOKUP(B5,'Up Desc'!A:A,'Up Desc'!B:B,)</f>
        <v>Toss a ball of water when you reload. Reload speed is increased.</v>
      </c>
      <c r="D5" s="52" t="str">
        <f t="array" ref="D5">_xlfn.XLOOKUP(B5,'Up Turbo'!A:A,'Up Turbo'!B:B,)</f>
        <v>Reload Speed is increased when your magazine is empty.
Reload Speed: [+38% - +42%]</v>
      </c>
      <c r="E5" s="53" t="str">
        <f t="array" ref="E5">_xlfn.XLOOKUP(B5,'Up Stats'!A:A,'Up Stats'!B:B,)</f>
        <v>Explosion Size</v>
      </c>
      <c r="F5" s="54" t="str">
        <f>IFERROR(__xludf.DUMMYFUNCTION("if(AND(G5=FALSE,H5=FALSE),,if(G5=H5,JOIN("""",""Static: "",G5),JOIN("""",""Min:  "",G5, CHAR(10),""Max: "",H5)))"),"Min:  5.75
Max: 9")</f>
        <v>Min:  5.75
Max: 9</v>
      </c>
      <c r="G5" s="64">
        <f t="array" ref="G5">_xlfn.XLOOKUP(B5,'Up Min'!A:A,'Up Min'!B:B,)</f>
        <v>5.75</v>
      </c>
      <c r="H5" s="65">
        <f t="array" ref="H5">_xlfn.XLOOKUP(B5,'Up Max'!A:A,'Up Max'!B:B,)</f>
        <v>9</v>
      </c>
      <c r="I5" s="53" t="str">
        <f t="array" ref="I5">_xlfn.XLOOKUP(B5,'Up Stats'!A:A,'Up Stats'!C:C,)</f>
        <v>Reload Speed</v>
      </c>
      <c r="J5" s="54" t="str">
        <f>IFERROR(__xludf.DUMMYFUNCTION("if(AND(K5=FALSE,L5=FALSE),,if(K5=L5,JOIN("""",""Static: "",K5),JOIN("""",""Min:  "",K5, CHAR(10),""Max: "",L5)))"),"Min:  33.33%
Max: 19.05%")</f>
        <v>Min:  33.33%
Max: 19.05%</v>
      </c>
      <c r="K5" s="71">
        <f t="array" ref="K5">_xlfn.XLOOKUP(B5,'Up Min'!A:A,'Up Min'!C:C,)</f>
        <v>0.3333</v>
      </c>
      <c r="L5" s="71">
        <f t="array" ref="L5">_xlfn.XLOOKUP(B5,'Up Max'!A:A,'Up Max'!C:C,)</f>
        <v>0.1905</v>
      </c>
      <c r="M5" s="53" t="str">
        <f t="array" ref="M5">_xlfn.XLOOKUP(B5,'Up Stats'!A:A,'Up Stats'!D:D,)</f>
        <v/>
      </c>
      <c r="N5" s="54" t="str">
        <f>IFERROR(__xludf.DUMMYFUNCTION("if(AND(O5=FALSE,P5=FALSE),,if(O5=P5,JOIN("""",""Static: "",O5),JOIN("""",""Min:  "",O5, CHAR(10),""Max: "",P5)))"),"")</f>
        <v/>
      </c>
      <c r="O5" s="55" t="str">
        <f t="array" ref="O5">_xlfn.XLOOKUP(B5,'Up Min'!A:A,'Up Min'!D:D,)</f>
        <v/>
      </c>
      <c r="P5" s="55" t="str">
        <f t="array" ref="P5">_xlfn.XLOOKUP(B5,'Up Max'!A:A,'Up Max'!D:D,)</f>
        <v/>
      </c>
      <c r="Q5" s="57" t="str">
        <f t="array" ref="Q5">_xlfn.XLOOKUP(B5,'Up Stats'!A:A,'Up Stats'!E:E,)</f>
        <v/>
      </c>
      <c r="R5" s="54" t="str">
        <f>IFERROR(__xludf.DUMMYFUNCTION("if(AND(S5=FALSE,T5=FALSE),,if(S5=T5,JOIN("""",""Static: "",S5),JOIN("""",""Min:  "",S5, CHAR(10),""Max: "",T5)))"),"")</f>
        <v/>
      </c>
      <c r="S5" s="55" t="str">
        <f t="array" ref="S5">_xlfn.XLOOKUP(B5,'Up Min'!A:A,'Up Min'!E:E,)</f>
        <v/>
      </c>
      <c r="T5" s="55" t="str">
        <f t="array" ref="T5">_xlfn.XLOOKUP(B5,'Up Max'!A:A,'Up Max'!E:E,)</f>
        <v/>
      </c>
      <c r="U5" s="57" t="str">
        <f t="array" ref="U5">_xlfn.XLOOKUP(B5,'Up Stats'!A:A,'Up Stats'!F:F,)</f>
        <v/>
      </c>
      <c r="V5" s="54" t="str">
        <f>IFERROR(__xludf.DUMMYFUNCTION("if(AND(W5=FALSE,X5=FALSE),,if(W5=X5,JOIN("""",""Static: "",W5),JOIN("""",""Min:  "",W5, CHAR(10),""Max: "",X5)))"),"")</f>
        <v/>
      </c>
      <c r="W5" s="55" t="str">
        <f t="array" ref="W5">_xlfn.XLOOKUP(B5,'Up Min'!A:A,'Up Min'!F:F,)</f>
        <v/>
      </c>
      <c r="X5" s="55" t="str">
        <f t="array" ref="X5">_xlfn.XLOOKUP(B5,'Up Max'!A:A,'Up Max'!F:F,)</f>
        <v/>
      </c>
      <c r="Y5" s="57" t="str">
        <f t="array" ref="Y5">_xlfn.XLOOKUP(B5,'Up Stats'!A:A,'Up Stats'!G:G,)</f>
        <v/>
      </c>
      <c r="Z5" s="54" t="str">
        <f>IFERROR(__xludf.DUMMYFUNCTION("if(AND(AA5=FALSE,AB5=FALSE),,if(AA5=AB5,JOIN("""",""Static: "",AA5),JOIN("""",""Min:  "",AA5, CHAR(10),""Max: "",AB5)))"),"")</f>
        <v/>
      </c>
      <c r="AA5" s="55" t="str">
        <f t="array" ref="AA5">_xlfn.XLOOKUP(B5,'Up Min'!A:A,'Up Min'!G:G,)</f>
        <v/>
      </c>
      <c r="AB5" s="55" t="str">
        <f t="array" ref="AB5">_xlfn.XLOOKUP(B5,'Up Max'!A:A,'Up Max'!G:G,)</f>
        <v/>
      </c>
      <c r="AC5" s="57" t="str">
        <f t="array" ref="AC5">_xlfn.XLOOKUP(B5,'Up Stats'!A:A,'Up Stats'!H:H,)</f>
        <v/>
      </c>
      <c r="AD5" s="54" t="str">
        <f>IFERROR(__xludf.DUMMYFUNCTION("if(AND(AE5=FALSE,AF5=FALSE),,if(AE5=AF5,JOIN("""",""Static: "",AE5),JOIN("""",""Min:  "",AE5, CHAR(10),""Max: "",AF5)))"),"")</f>
        <v/>
      </c>
      <c r="AE5" s="55" t="str">
        <f t="array" ref="AE5">_xlfn.XLOOKUP(B5,'Up Min'!A:A,'Up Min'!H:H,)</f>
        <v/>
      </c>
      <c r="AF5" s="55" t="str">
        <f t="array" ref="AF5">_xlfn.XLOOKUP(B5,'Up Max'!A:A,'Up Max'!H:H,)</f>
        <v/>
      </c>
      <c r="AG5" s="57" t="str">
        <f t="array" ref="AG5">_xlfn.XLOOKUP(B5,'Up Stats'!A:A,'Up Stats'!I:I,)</f>
        <v/>
      </c>
      <c r="AH5" s="54" t="str">
        <f>IFERROR(__xludf.DUMMYFUNCTION("if(AND(AI5=FALSE,AJ5=FALSE),,if(AI5=AJ5,JOIN("""",""Static: "",AI5),JOIN("""",""Min:  "",AI5, CHAR(10),""Max: "",AJ5)))"),"")</f>
        <v/>
      </c>
      <c r="AI5" s="55" t="str">
        <f t="array" ref="AI5">_xlfn.XLOOKUP(B5,'Up Min'!A:A,'Up Min'!I:I,)</f>
        <v/>
      </c>
      <c r="AJ5" s="55" t="str">
        <f t="array" ref="AJ5">_xlfn.XLOOKUP(B5,'Up Max'!A:A,'Up Max'!I:I,)</f>
        <v/>
      </c>
      <c r="AK5" s="57" t="str">
        <f t="array" ref="AK5">_xlfn.XLOOKUP(B5,'Up Stats'!A:A,'Up Stats'!J:J,)</f>
        <v/>
      </c>
      <c r="AL5" s="54" t="str">
        <f>IFERROR(__xludf.DUMMYFUNCTION("if(AND(AM5=FALSE,AN5=FALSE),,if(AM5=AN5,JOIN("""",""Static: "",AM5),JOIN("""",""Min:  "",AM5, CHAR(10),""Max: "",AN5)))"),"")</f>
        <v/>
      </c>
      <c r="AM5" s="55" t="str">
        <f t="array" ref="AM5">_xlfn.XLOOKUP(B5,'Up Min'!A:A,'Up Min'!J:J,)</f>
        <v/>
      </c>
      <c r="AN5" s="55" t="str">
        <f t="array" ref="AN5">_xlfn.XLOOKUP(B5,'Up Max'!A:A,'Up Max'!J:J,)</f>
        <v/>
      </c>
      <c r="AO5" s="51" t="str">
        <f t="array" ref="AO5">CONCATENATE(_xlfn.XLOOKUP(B5,'Up Cells'!A:A,'Up Cells'!B:B,))</f>
        <v>5</v>
      </c>
      <c r="AP5" s="51" t="str">
        <f t="array" ref="AP5">CONCATENATE(_xlfn.XLOOKUP(B5,'Up Rarity'!A:A,'Up Rarity'!B:B,),CHAR(10),"-")</f>
        <v>Exotic
-</v>
      </c>
    </row>
    <row r="6">
      <c r="A6" s="62" t="str">
        <f t="array" ref="A6">_xlfn.XLOOKUP(B6,'Up Icon'!A:A,'Up Icon'!B:B,)</f>
        <v/>
      </c>
      <c r="B6" s="66" t="str">
        <f t="array" ref="B6">HYPERLINK(_xlfn.XLOOKUP('Up Names'!H3,'Up Wiki'!A:A,'Up Wiki'!B:B,),'Up Names'!H3)</f>
        <v>Heaven's Fury</v>
      </c>
      <c r="C6" s="67" t="str">
        <f t="array" ref="C6">_xlfn.XLOOKUP(B6,'Up Desc'!A:A,'Up Desc'!B:B,)</f>
        <v>Dealing damage has a chance to smite the area in shocking lightning strikes.</v>
      </c>
      <c r="D6" s="37" t="str">
        <f t="array" ref="D6">_xlfn.XLOOKUP(B6,'Up Turbo'!A:A,'Up Turbo'!B:B,)</f>
        <v>Strikes have a chance to also Soak targets.
Chance: [8.5% - 10%]</v>
      </c>
      <c r="E6" s="39" t="str">
        <f t="array" ref="E6">_xlfn.XLOOKUP(B6,'Up Stats'!A:A,'Up Stats'!B:B,)</f>
        <v>Chance</v>
      </c>
      <c r="F6" s="40" t="str">
        <f>IFERROR(__xludf.DUMMYFUNCTION("if(AND(G6=FALSE,H6=FALSE),,if(G6=H6,JOIN("""",""Static: "",G6),JOIN("""",""Min:  "",G6, CHAR(10),""Max: "",H6)))"),"Min:  21%
Max: 25.20%")</f>
        <v>Min:  21%
Max: 25.20%</v>
      </c>
      <c r="G6" s="41">
        <f t="array" ref="G6">_xlfn.XLOOKUP(B6,'Up Min'!A:A,'Up Min'!B:B,)</f>
        <v>0.21</v>
      </c>
      <c r="H6" s="78">
        <f t="array" ref="H6">_xlfn.XLOOKUP(B6,'Up Max'!A:A,'Up Max'!B:B,)</f>
        <v>0.252</v>
      </c>
      <c r="I6" s="39" t="str">
        <f t="array" ref="I6">_xlfn.XLOOKUP(B6,'Up Stats'!A:A,'Up Stats'!C:C,)</f>
        <v>Smite Radius</v>
      </c>
      <c r="J6" s="40" t="str">
        <f>IFERROR(__xludf.DUMMYFUNCTION("if(AND(K6=FALSE,L6=FALSE),,if(K6=L6,JOIN("""",""Static: "",K6),JOIN("""",""Min:  "",K6, CHAR(10),""Max: "",L6)))"),"Min:  3
Max: 6")</f>
        <v>Min:  3
Max: 6</v>
      </c>
      <c r="K6" s="68">
        <f t="array" ref="K6">_xlfn.XLOOKUP(B6,'Up Min'!A:A,'Up Min'!C:C,)</f>
        <v>3</v>
      </c>
      <c r="L6" s="69">
        <f t="array" ref="L6">_xlfn.XLOOKUP(B6,'Up Max'!A:A,'Up Max'!C:C,)</f>
        <v>6</v>
      </c>
      <c r="M6" s="39" t="str">
        <f t="array" ref="M6">_xlfn.XLOOKUP(B6,'Up Stats'!A:A,'Up Stats'!D:D,)</f>
        <v>Smite Count</v>
      </c>
      <c r="N6" s="40" t="str">
        <f>IFERROR(__xludf.DUMMYFUNCTION("if(AND(O6=FALSE,P6=FALSE),,if(O6=P6,JOIN("""",""Static: "",O6),JOIN("""",""Min:  "",O6, CHAR(10),""Max: "",P6)))"),"Min:  4
Max: 6")</f>
        <v>Min:  4
Max: 6</v>
      </c>
      <c r="O6" s="68">
        <f t="array" ref="O6">_xlfn.XLOOKUP(B6,'Up Min'!A:A,'Up Min'!D:D,)</f>
        <v>4</v>
      </c>
      <c r="P6" s="68">
        <f t="array" ref="P6">_xlfn.XLOOKUP(B6,'Up Max'!A:A,'Up Max'!D:D,)</f>
        <v>6</v>
      </c>
      <c r="Q6" s="48" t="str">
        <f t="array" ref="Q6">_xlfn.XLOOKUP(B6,'Up Stats'!A:A,'Up Stats'!E:E,)</f>
        <v/>
      </c>
      <c r="R6" s="40" t="str">
        <f>IFERROR(__xludf.DUMMYFUNCTION("if(AND(S6=FALSE,T6=FALSE),,if(S6=T6,JOIN("""",""Static: "",S6),JOIN("""",""Min:  "",S6, CHAR(10),""Max: "",T6)))"),"")</f>
        <v/>
      </c>
      <c r="S6" s="45" t="str">
        <f t="array" ref="S6">_xlfn.XLOOKUP(B6,'Up Min'!A:A,'Up Min'!E:E,)</f>
        <v/>
      </c>
      <c r="T6" s="42" t="str">
        <f t="array" ref="T6">_xlfn.XLOOKUP(B6,'Up Max'!A:A,'Up Max'!E:E,)</f>
        <v/>
      </c>
      <c r="U6" s="48" t="str">
        <f t="array" ref="U6">_xlfn.XLOOKUP(B6,'Up Stats'!A:A,'Up Stats'!F:F,)</f>
        <v/>
      </c>
      <c r="V6" s="40" t="str">
        <f>IFERROR(__xludf.DUMMYFUNCTION("if(AND(W6=FALSE,X6=FALSE),,if(W6=X6,JOIN("""",""Static: "",W6),JOIN("""",""Min:  "",W6, CHAR(10),""Max: "",X6)))"),"")</f>
        <v/>
      </c>
      <c r="W6" s="42" t="str">
        <f t="array" ref="W6">_xlfn.XLOOKUP(B6,'Up Min'!A:A,'Up Min'!F:F,)</f>
        <v/>
      </c>
      <c r="X6" s="42" t="str">
        <f t="array" ref="X6">_xlfn.XLOOKUP(B6,'Up Max'!A:A,'Up Max'!F:F,)</f>
        <v/>
      </c>
      <c r="Y6" s="48" t="str">
        <f t="array" ref="Y6">_xlfn.XLOOKUP(B6,'Up Stats'!A:A,'Up Stats'!G:G,)</f>
        <v/>
      </c>
      <c r="Z6" s="40" t="str">
        <f>IFERROR(__xludf.DUMMYFUNCTION("if(AND(AA6=FALSE,AB6=FALSE),,if(AA6=AB6,JOIN("""",""Static: "",AA6),JOIN("""",""Min:  "",AA6, CHAR(10),""Max: "",AB6)))"),"")</f>
        <v/>
      </c>
      <c r="AA6" s="42" t="str">
        <f t="array" ref="AA6">_xlfn.XLOOKUP(B6,'Up Min'!A:A,'Up Min'!G:G,)</f>
        <v/>
      </c>
      <c r="AB6" s="42" t="str">
        <f t="array" ref="AB6">_xlfn.XLOOKUP(B6,'Up Max'!A:A,'Up Max'!G:G,)</f>
        <v/>
      </c>
      <c r="AC6" s="48" t="str">
        <f t="array" ref="AC6">_xlfn.XLOOKUP(B6,'Up Stats'!A:A,'Up Stats'!H:H,)</f>
        <v/>
      </c>
      <c r="AD6" s="40" t="str">
        <f>IFERROR(__xludf.DUMMYFUNCTION("if(AND(AE6=FALSE,AF6=FALSE),,if(AE6=AF6,JOIN("""",""Static: "",AE6),JOIN("""",""Min:  "",AE6, CHAR(10),""Max: "",AF6)))"),"")</f>
        <v/>
      </c>
      <c r="AE6" s="42" t="str">
        <f t="array" ref="AE6">_xlfn.XLOOKUP(B6,'Up Min'!A:A,'Up Min'!H:H,)</f>
        <v/>
      </c>
      <c r="AF6" s="42" t="str">
        <f t="array" ref="AF6">_xlfn.XLOOKUP(B6,'Up Max'!A:A,'Up Max'!H:H,)</f>
        <v/>
      </c>
      <c r="AG6" s="48" t="str">
        <f t="array" ref="AG6">_xlfn.XLOOKUP(B6,'Up Stats'!A:A,'Up Stats'!I:I,)</f>
        <v/>
      </c>
      <c r="AH6" s="40" t="str">
        <f>IFERROR(__xludf.DUMMYFUNCTION("if(AND(AI6=FALSE,AJ6=FALSE),,if(AI6=AJ6,JOIN("""",""Static: "",AI6),JOIN("""",""Min:  "",AI6, CHAR(10),""Max: "",AJ6)))"),"")</f>
        <v/>
      </c>
      <c r="AI6" s="42" t="str">
        <f t="array" ref="AI6">_xlfn.XLOOKUP(B6,'Up Min'!A:A,'Up Min'!I:I,)</f>
        <v/>
      </c>
      <c r="AJ6" s="42" t="str">
        <f t="array" ref="AJ6">_xlfn.XLOOKUP(B6,'Up Max'!A:A,'Up Max'!I:I,)</f>
        <v/>
      </c>
      <c r="AK6" s="48" t="str">
        <f t="array" ref="AK6">_xlfn.XLOOKUP(B6,'Up Stats'!A:A,'Up Stats'!J:J,)</f>
        <v/>
      </c>
      <c r="AL6" s="40" t="str">
        <f>IFERROR(__xludf.DUMMYFUNCTION("if(AND(AM6=FALSE,AN6=FALSE),,if(AM6=AN6,JOIN("""",""Static: "",AM6),JOIN("""",""Min:  "",AM6, CHAR(10),""Max: "",AN6)))"),"")</f>
        <v/>
      </c>
      <c r="AM6" s="42" t="str">
        <f t="array" ref="AM6">_xlfn.XLOOKUP(B6,'Up Min'!A:A,'Up Min'!J:J,)</f>
        <v/>
      </c>
      <c r="AN6" s="42" t="str">
        <f t="array" ref="AN6">_xlfn.XLOOKUP(B6,'Up Max'!A:A,'Up Max'!J:J,)</f>
        <v/>
      </c>
      <c r="AO6" s="34" t="str">
        <f t="array" ref="AO6">CONCATENATE(_xlfn.XLOOKUP(B6,'Up Cells'!A:A,'Up Cells'!B:B,))</f>
        <v>5</v>
      </c>
      <c r="AP6" s="34" t="str">
        <f t="array" ref="AP6">CONCATENATE(_xlfn.XLOOKUP(B6,'Up Rarity'!A:A,'Up Rarity'!B:B,),CHAR(10),"-")</f>
        <v>Exotic
-</v>
      </c>
    </row>
    <row r="7">
      <c r="A7" s="62" t="str">
        <f t="array" ref="A7">_xlfn.XLOOKUP(B7,'Up Icon'!A:A,'Up Icon'!B:B,)</f>
        <v/>
      </c>
      <c r="B7" s="63" t="str">
        <f t="array" ref="B7">HYPERLINK(_xlfn.XLOOKUP('Up Names'!H4,'Up Wiki'!A:A,'Up Wiki'!B:B,),'Up Names'!H4)</f>
        <v>Shredify</v>
      </c>
      <c r="C7" s="52" t="str">
        <f t="array" ref="C7">_xlfn.XLOOKUP(B7,'Up Desc'!A:A,'Up Desc'!B:B,)</f>
        <v>Continuous firing spins up to a much faster fire rate.</v>
      </c>
      <c r="D7" s="52" t="str">
        <f t="array" ref="D7">_xlfn.XLOOKUP(B7,'Up Turbo'!A:A,'Up Turbo'!B:B,)</f>
        <v>Ammo Capacity: {+36 - +44]</v>
      </c>
      <c r="E7" s="53" t="str">
        <f t="array" ref="E7">_xlfn.XLOOKUP(B7,'Up Stats'!A:A,'Up Stats'!B:B,)</f>
        <v>Ammo Capacity</v>
      </c>
      <c r="F7" s="54" t="str">
        <f>IFERROR(__xludf.DUMMYFUNCTION("if(AND(G7=FALSE,H7=FALSE),,if(G7=H7,JOIN("""",""Static: "",G7),JOIN("""",""Min:  "",G7, CHAR(10),""Max: "",H7)))"),"Static: 90")</f>
        <v>Static: 90</v>
      </c>
      <c r="G7" s="64">
        <f t="array" ref="G7">_xlfn.XLOOKUP(B7,'Up Min'!A:A,'Up Min'!B:B,)</f>
        <v>90</v>
      </c>
      <c r="H7" s="65">
        <f t="array" ref="H7">_xlfn.XLOOKUP(B7,'Up Max'!A:A,'Up Max'!B:B,)</f>
        <v>90</v>
      </c>
      <c r="I7" s="53" t="str">
        <f t="array" ref="I7">_xlfn.XLOOKUP(B7,'Up Stats'!A:A,'Up Stats'!C:C,)</f>
        <v>Duration</v>
      </c>
      <c r="J7" s="54" t="str">
        <f>IFERROR(__xludf.DUMMYFUNCTION("if(AND(K7=FALSE,L7=FALSE),,if(K7=L7,JOIN("""",""Static: "",K7),JOIN("""",""Min:  "",K7, CHAR(10),""Max: "",L7)))"),"Min:  5
Max: 7")</f>
        <v>Min:  5
Max: 7</v>
      </c>
      <c r="K7" s="65">
        <f t="array" ref="K7">_xlfn.XLOOKUP(B7,'Up Min'!A:A,'Up Min'!C:C,)</f>
        <v>5</v>
      </c>
      <c r="L7" s="64">
        <f t="array" ref="L7">_xlfn.XLOOKUP(B7,'Up Max'!A:A,'Up Max'!C:C,)</f>
        <v>7</v>
      </c>
      <c r="M7" s="53" t="str">
        <f t="array" ref="M7">_xlfn.XLOOKUP(B7,'Up Stats'!A:A,'Up Stats'!D:D,)</f>
        <v>Max Fire Rate</v>
      </c>
      <c r="N7" s="54" t="str">
        <f>IFERROR(__xludf.DUMMYFUNCTION("if(AND(O7=FALSE,P7=FALSE),,if(O7=P7,JOIN("""",""Static: "",O7),JOIN("""",""Min:  "",O7, CHAR(10),""Max: "",P7)))"),"Min:  233.33%
Max: 177.78%")</f>
        <v>Min:  233.33%
Max: 177.78%</v>
      </c>
      <c r="O7" s="71">
        <f t="array" ref="O7">_xlfn.XLOOKUP(B7,'Up Min'!A:A,'Up Min'!D:D,)</f>
        <v>2.3333</v>
      </c>
      <c r="P7" s="71">
        <f t="array" ref="P7">_xlfn.XLOOKUP(B7,'Up Max'!A:A,'Up Max'!D:D,)</f>
        <v>1.7778</v>
      </c>
      <c r="Q7" s="57" t="str">
        <f t="array" ref="Q7">_xlfn.XLOOKUP(B7,'Up Stats'!A:A,'Up Stats'!E:E,)</f>
        <v>Fire Rate</v>
      </c>
      <c r="R7" s="54" t="str">
        <f>IFERROR(__xludf.DUMMYFUNCTION("if(AND(S7=FALSE,T7=FALSE),,if(S7=T7,JOIN("""",""Static: "",S7),JOIN("""",""Min:  "",S7, CHAR(10),""Max: "",T7)))"),"Min:  -28.57%
Max: -35.90%")</f>
        <v>Min:  -28.57%
Max: -35.90%</v>
      </c>
      <c r="S7" s="71">
        <f t="array" ref="S7">_xlfn.XLOOKUP(B7,'Up Min'!A:A,'Up Min'!E:E,)</f>
        <v>-0.2857</v>
      </c>
      <c r="T7" s="71">
        <f t="array" ref="T7">_xlfn.XLOOKUP(B7,'Up Max'!A:A,'Up Max'!E:E,)</f>
        <v>-0.359</v>
      </c>
      <c r="U7" s="53" t="str">
        <f t="array" ref="U7">_xlfn.XLOOKUP(B7,'Up Stats'!A:A,'Up Stats'!F:F,)</f>
        <v>Damage</v>
      </c>
      <c r="V7" s="54" t="str">
        <f>IFERROR(__xludf.DUMMYFUNCTION("if(AND(W7=FALSE,X7=FALSE),,if(W7=X7,JOIN("""",""Static: "",W7),JOIN("""",""Min:  "",W7, CHAR(10),""Max: "",X7)))"),"Min:  -20%
Max: -17%")</f>
        <v>Min:  -20%
Max: -17%</v>
      </c>
      <c r="W7" s="59">
        <f t="array" ref="W7">_xlfn.XLOOKUP(B7,'Up Min'!A:A,'Up Min'!F:F,)</f>
        <v>-0.2</v>
      </c>
      <c r="X7" s="59">
        <f t="array" ref="X7">_xlfn.XLOOKUP(B7,'Up Max'!A:A,'Up Max'!F:F,)</f>
        <v>-0.17</v>
      </c>
      <c r="Y7" s="53" t="str">
        <f t="array" ref="Y7">_xlfn.XLOOKUP(B7,'Up Stats'!A:A,'Up Stats'!G:G,)</f>
        <v/>
      </c>
      <c r="Z7" s="54" t="str">
        <f>IFERROR(__xludf.DUMMYFUNCTION("if(AND(AA7=FALSE,AB7=FALSE),,if(AA7=AB7,JOIN("""",""Static: "",AA7),JOIN("""",""Min:  "",AA7, CHAR(10),""Max: "",AB7)))"),"")</f>
        <v/>
      </c>
      <c r="AA7" s="55" t="str">
        <f t="array" ref="AA7">_xlfn.XLOOKUP(B7,'Up Min'!A:A,'Up Min'!G:G,)</f>
        <v/>
      </c>
      <c r="AB7" s="56" t="str">
        <f t="array" ref="AB7">_xlfn.XLOOKUP(B7,'Up Max'!A:A,'Up Max'!G:G,)</f>
        <v/>
      </c>
      <c r="AC7" s="53" t="str">
        <f t="array" ref="AC7">_xlfn.XLOOKUP(B7,'Up Stats'!A:A,'Up Stats'!H:H,)</f>
        <v/>
      </c>
      <c r="AD7" s="54" t="str">
        <f>IFERROR(__xludf.DUMMYFUNCTION("if(AND(AE7=FALSE,AF7=FALSE),,if(AE7=AF7,JOIN("""",""Static: "",AE7),JOIN("""",""Min:  "",AE7, CHAR(10),""Max: "",AF7)))"),"")</f>
        <v/>
      </c>
      <c r="AE7" s="55" t="str">
        <f t="array" ref="AE7">_xlfn.XLOOKUP(B7,'Up Min'!A:A,'Up Min'!H:H,)</f>
        <v/>
      </c>
      <c r="AF7" s="55" t="str">
        <f t="array" ref="AF7">_xlfn.XLOOKUP(B7,'Up Max'!A:A,'Up Max'!H:H,)</f>
        <v/>
      </c>
      <c r="AG7" s="57" t="str">
        <f t="array" ref="AG7">_xlfn.XLOOKUP(B7,'Up Stats'!A:A,'Up Stats'!I:I,)</f>
        <v/>
      </c>
      <c r="AH7" s="54" t="str">
        <f>IFERROR(__xludf.DUMMYFUNCTION("if(AND(AI7=FALSE,AJ7=FALSE),,if(AI7=AJ7,JOIN("""",""Static: "",AI7),JOIN("""",""Min:  "",AI7, CHAR(10),""Max: "",AJ7)))"),"")</f>
        <v/>
      </c>
      <c r="AI7" s="55" t="str">
        <f t="array" ref="AI7">_xlfn.XLOOKUP(B7,'Up Min'!A:A,'Up Min'!I:I,)</f>
        <v/>
      </c>
      <c r="AJ7" s="55" t="str">
        <f t="array" ref="AJ7">_xlfn.XLOOKUP(B7,'Up Max'!A:A,'Up Max'!I:I,)</f>
        <v/>
      </c>
      <c r="AK7" s="57" t="str">
        <f t="array" ref="AK7">_xlfn.XLOOKUP(B7,'Up Stats'!A:A,'Up Stats'!J:J,)</f>
        <v/>
      </c>
      <c r="AL7" s="54" t="str">
        <f>IFERROR(__xludf.DUMMYFUNCTION("if(AND(AM7=FALSE,AN7=FALSE),,if(AM7=AN7,JOIN("""",""Static: "",AM7),JOIN("""",""Min:  "",AM7, CHAR(10),""Max: "",AN7)))"),"")</f>
        <v/>
      </c>
      <c r="AM7" s="55" t="str">
        <f t="array" ref="AM7">_xlfn.XLOOKUP(B7,'Up Min'!A:A,'Up Min'!J:J,)</f>
        <v/>
      </c>
      <c r="AN7" s="55" t="str">
        <f t="array" ref="AN7">_xlfn.XLOOKUP(B7,'Up Max'!A:A,'Up Max'!J:J,)</f>
        <v/>
      </c>
      <c r="AO7" s="51" t="str">
        <f t="array" ref="AO7">CONCATENATE(_xlfn.XLOOKUP(B7,'Up Cells'!A:A,'Up Cells'!B:B,))</f>
        <v>7</v>
      </c>
      <c r="AP7" s="51" t="str">
        <f t="array" ref="AP7">CONCATENATE(_xlfn.XLOOKUP(B7,'Up Rarity'!A:A,'Up Rarity'!B:B,),CHAR(10),"-")</f>
        <v>Exotic
-</v>
      </c>
    </row>
    <row r="8">
      <c r="A8" s="62" t="str">
        <f t="array" ref="A8">_xlfn.XLOOKUP(B8,'Up Icon'!A:A,'Up Icon'!B:B,)</f>
        <v/>
      </c>
      <c r="B8" s="66" t="str">
        <f t="array" ref="B8">HYPERLINK(_xlfn.XLOOKUP('Up Names'!H5,'Up Wiki'!A:A,'Up Wiki'!B:B,),'Up Names'!H5)</f>
        <v>Thrill of the Fight</v>
      </c>
      <c r="C8" s="37" t="str">
        <f t="array" ref="C8">_xlfn.XLOOKUP(B8,'Up Desc'!A:A,'Up Desc'!B:B,)</f>
        <v>Killing a core grants additional charge to your ability that's closest to full charge.</v>
      </c>
      <c r="D8" s="37" t="str">
        <f t="array" ref="D8">_xlfn.XLOOKUP(B8,'Up Turbo'!A:A,'Up Turbo'!B:B,)</f>
        <v>Also recharges your least charged ability.
Charge: [+0.49 - +0.53]</v>
      </c>
      <c r="E8" s="39" t="str">
        <f t="array" ref="E8">_xlfn.XLOOKUP(B8,'Up Stats'!A:A,'Up Stats'!B:B,)</f>
        <v>Charge</v>
      </c>
      <c r="F8" s="40" t="str">
        <f>IFERROR(__xludf.DUMMYFUNCTION("if(AND(G8=FALSE,H8=FALSE),,if(G8=H8,JOIN("""",""Static: "",G8),JOIN("""",""Min:  "",G8, CHAR(10),""Max: "",H8)))"),"Min:  2.1
Max: 2.7")</f>
        <v>Min:  2.1
Max: 2.7</v>
      </c>
      <c r="G8" s="69">
        <f t="array" ref="G8">_xlfn.XLOOKUP(B8,'Up Min'!A:A,'Up Min'!B:B,)</f>
        <v>2.1</v>
      </c>
      <c r="H8" s="68">
        <f t="array" ref="H8">_xlfn.XLOOKUP(B8,'Up Max'!A:A,'Up Max'!B:B,)</f>
        <v>2.7</v>
      </c>
      <c r="I8" s="39" t="str">
        <f t="array" ref="I8">_xlfn.XLOOKUP(B8,'Up Stats'!A:A,'Up Stats'!C:C,)</f>
        <v/>
      </c>
      <c r="J8" s="40" t="str">
        <f>IFERROR(__xludf.DUMMYFUNCTION("if(AND(K8=FALSE,L8=FALSE),,if(K8=L8,JOIN("""",""Static: "",K8),JOIN("""",""Min:  "",K8, CHAR(10),""Max: "",L8)))"),"")</f>
        <v/>
      </c>
      <c r="K8" s="42" t="str">
        <f t="array" ref="K8">_xlfn.XLOOKUP(B8,'Up Min'!A:A,'Up Min'!C:C,)</f>
        <v/>
      </c>
      <c r="L8" s="42" t="str">
        <f t="array" ref="L8">_xlfn.XLOOKUP(B8,'Up Max'!A:A,'Up Max'!C:C,)</f>
        <v/>
      </c>
      <c r="M8" s="48" t="str">
        <f t="array" ref="M8">_xlfn.XLOOKUP(B8,'Up Stats'!A:A,'Up Stats'!D:D,)</f>
        <v/>
      </c>
      <c r="N8" s="40" t="str">
        <f>IFERROR(__xludf.DUMMYFUNCTION("if(AND(O8=FALSE,P8=FALSE),,if(O8=P8,JOIN("""",""Static: "",O8),JOIN("""",""Min:  "",O8, CHAR(10),""Max: "",P8)))"),"")</f>
        <v/>
      </c>
      <c r="O8" s="42" t="str">
        <f t="array" ref="O8">_xlfn.XLOOKUP(B8,'Up Min'!A:A,'Up Min'!D:D,)</f>
        <v/>
      </c>
      <c r="P8" s="42" t="str">
        <f t="array" ref="P8">_xlfn.XLOOKUP(B8,'Up Max'!A:A,'Up Max'!D:D,)</f>
        <v/>
      </c>
      <c r="Q8" s="48" t="str">
        <f t="array" ref="Q8">_xlfn.XLOOKUP(B8,'Up Stats'!A:A,'Up Stats'!E:E,)</f>
        <v/>
      </c>
      <c r="R8" s="40" t="str">
        <f>IFERROR(__xludf.DUMMYFUNCTION("if(AND(S8=FALSE,T8=FALSE),,if(S8=T8,JOIN("""",""Static: "",S8),JOIN("""",""Min:  "",S8, CHAR(10),""Max: "",T8)))"),"")</f>
        <v/>
      </c>
      <c r="S8" s="42" t="str">
        <f t="array" ref="S8">_xlfn.XLOOKUP(B8,'Up Min'!A:A,'Up Min'!E:E,)</f>
        <v/>
      </c>
      <c r="T8" s="42" t="str">
        <f t="array" ref="T8">_xlfn.XLOOKUP(B8,'Up Max'!A:A,'Up Max'!E:E,)</f>
        <v/>
      </c>
      <c r="U8" s="48" t="str">
        <f t="array" ref="U8">_xlfn.XLOOKUP(B8,'Up Stats'!A:A,'Up Stats'!F:F,)</f>
        <v/>
      </c>
      <c r="V8" s="40" t="str">
        <f>IFERROR(__xludf.DUMMYFUNCTION("if(AND(W8=FALSE,X8=FALSE),,if(W8=X8,JOIN("""",""Static: "",W8),JOIN("""",""Min:  "",W8, CHAR(10),""Max: "",X8)))"),"")</f>
        <v/>
      </c>
      <c r="W8" s="42" t="str">
        <f t="array" ref="W8">_xlfn.XLOOKUP(B8,'Up Min'!A:A,'Up Min'!F:F,)</f>
        <v/>
      </c>
      <c r="X8" s="42" t="str">
        <f t="array" ref="X8">_xlfn.XLOOKUP(B8,'Up Max'!A:A,'Up Max'!F:F,)</f>
        <v/>
      </c>
      <c r="Y8" s="48" t="str">
        <f t="array" ref="Y8">_xlfn.XLOOKUP(B8,'Up Stats'!A:A,'Up Stats'!G:G,)</f>
        <v/>
      </c>
      <c r="Z8" s="40" t="str">
        <f>IFERROR(__xludf.DUMMYFUNCTION("if(AND(AA8=FALSE,AB8=FALSE),,if(AA8=AB8,JOIN("""",""Static: "",AA8),JOIN("""",""Min:  "",AA8, CHAR(10),""Max: "",AB8)))"),"")</f>
        <v/>
      </c>
      <c r="AA8" s="42" t="str">
        <f t="array" ref="AA8">_xlfn.XLOOKUP(B8,'Up Min'!A:A,'Up Min'!G:G,)</f>
        <v/>
      </c>
      <c r="AB8" s="42" t="str">
        <f t="array" ref="AB8">_xlfn.XLOOKUP(B8,'Up Max'!A:A,'Up Max'!G:G,)</f>
        <v/>
      </c>
      <c r="AC8" s="48" t="str">
        <f t="array" ref="AC8">_xlfn.XLOOKUP(B8,'Up Stats'!A:A,'Up Stats'!H:H,)</f>
        <v/>
      </c>
      <c r="AD8" s="40" t="str">
        <f>IFERROR(__xludf.DUMMYFUNCTION("if(AND(AE8=FALSE,AF8=FALSE),,if(AE8=AF8,JOIN("""",""Static: "",AE8),JOIN("""",""Min:  "",AE8, CHAR(10),""Max: "",AF8)))"),"")</f>
        <v/>
      </c>
      <c r="AE8" s="42" t="str">
        <f t="array" ref="AE8">_xlfn.XLOOKUP(B8,'Up Min'!A:A,'Up Min'!H:H,)</f>
        <v/>
      </c>
      <c r="AF8" s="42" t="str">
        <f t="array" ref="AF8">_xlfn.XLOOKUP(B8,'Up Max'!A:A,'Up Max'!H:H,)</f>
        <v/>
      </c>
      <c r="AG8" s="48" t="str">
        <f t="array" ref="AG8">_xlfn.XLOOKUP(B8,'Up Stats'!A:A,'Up Stats'!I:I,)</f>
        <v/>
      </c>
      <c r="AH8" s="40" t="str">
        <f>IFERROR(__xludf.DUMMYFUNCTION("if(AND(AI8=FALSE,AJ8=FALSE),,if(AI8=AJ8,JOIN("""",""Static: "",AI8),JOIN("""",""Min:  "",AI8, CHAR(10),""Max: "",AJ8)))"),"")</f>
        <v/>
      </c>
      <c r="AI8" s="42" t="str">
        <f t="array" ref="AI8">_xlfn.XLOOKUP(B8,'Up Min'!A:A,'Up Min'!I:I,)</f>
        <v/>
      </c>
      <c r="AJ8" s="42" t="str">
        <f t="array" ref="AJ8">_xlfn.XLOOKUP(B8,'Up Max'!A:A,'Up Max'!I:I,)</f>
        <v/>
      </c>
      <c r="AK8" s="48" t="str">
        <f t="array" ref="AK8">_xlfn.XLOOKUP(B8,'Up Stats'!A:A,'Up Stats'!J:J,)</f>
        <v/>
      </c>
      <c r="AL8" s="40" t="str">
        <f>IFERROR(__xludf.DUMMYFUNCTION("if(AND(AM8=FALSE,AN8=FALSE),,if(AM8=AN8,JOIN("""",""Static: "",AM8),JOIN("""",""Min:  "",AM8, CHAR(10),""Max: "",AN8)))"),"")</f>
        <v/>
      </c>
      <c r="AM8" s="42" t="str">
        <f t="array" ref="AM8">_xlfn.XLOOKUP(B8,'Up Min'!A:A,'Up Min'!J:J,)</f>
        <v/>
      </c>
      <c r="AN8" s="42" t="str">
        <f t="array" ref="AN8">_xlfn.XLOOKUP(B8,'Up Max'!A:A,'Up Max'!J:J,)</f>
        <v/>
      </c>
      <c r="AO8" s="34" t="str">
        <f t="array" ref="AO8">CONCATENATE(_xlfn.XLOOKUP(B8,'Up Cells'!A:A,'Up Cells'!B:B,))</f>
        <v>5</v>
      </c>
      <c r="AP8" s="34" t="str">
        <f t="array" ref="AP8">CONCATENATE(_xlfn.XLOOKUP(B8,'Up Rarity'!A:A,'Up Rarity'!B:B,),CHAR(10),"-")</f>
        <v>Exotic
-</v>
      </c>
    </row>
    <row r="9">
      <c r="A9" s="75" t="str">
        <f t="array" ref="A9">_xlfn.XLOOKUP(B9,'Up Icon'!A:A,'Up Icon'!B:B,)</f>
        <v/>
      </c>
      <c r="B9" s="63" t="str">
        <f t="array" ref="B9">HYPERLINK(_xlfn.XLOOKUP('Up Names'!H6,'Up Wiki'!A:A,'Up Wiki'!B:B,),'Up Names'!H6)</f>
        <v>Acid Shot</v>
      </c>
      <c r="C9" s="52" t="str">
        <f t="array" ref="C9">_xlfn.XLOOKUP(B9,'Up Desc'!A:A,'Up Desc'!B:B,)</f>
        <v>Bullets apply acid.</v>
      </c>
      <c r="D9" s="52" t="str">
        <f t="array" ref="D9">_xlfn.XLOOKUP(B9,'Up Turbo'!A:A,'Up Turbo'!B:B,)</f>
        <v>n/a</v>
      </c>
      <c r="E9" s="53" t="str">
        <f t="array" ref="E9">_xlfn.XLOOKUP(B9,'Up Stats'!A:A,'Up Stats'!B:B,)</f>
        <v>Element</v>
      </c>
      <c r="F9" s="54" t="str">
        <f>IFERROR(__xludf.DUMMYFUNCTION("if(AND(G9=FALSE,H9=FALSE),,if(G9=H9,JOIN("""",""Static: "",G9),JOIN("""",""Min:  "",G9, CHAR(10),""Max: "",H9)))"),"Min:  0.6
Max: 0.76")</f>
        <v>Min:  0.6
Max: 0.76</v>
      </c>
      <c r="G9" s="64">
        <f t="array" ref="G9">_xlfn.XLOOKUP(B9,'Up Min'!A:A,'Up Min'!B:B,)</f>
        <v>0.6</v>
      </c>
      <c r="H9" s="65">
        <f t="array" ref="H9">_xlfn.XLOOKUP(B9,'Up Max'!A:A,'Up Max'!B:B,)</f>
        <v>0.76</v>
      </c>
      <c r="I9" s="53" t="str">
        <f t="array" ref="I9">_xlfn.XLOOKUP(B9,'Up Stats'!A:A,'Up Stats'!C:C,)</f>
        <v/>
      </c>
      <c r="J9" s="54" t="str">
        <f>IFERROR(__xludf.DUMMYFUNCTION("if(AND(K9=FALSE,L9=FALSE),,if(K9=L9,JOIN("""",""Static: "",K9),JOIN("""",""Min:  "",K9, CHAR(10),""Max: "",L9)))"),"")</f>
        <v/>
      </c>
      <c r="K9" s="55" t="str">
        <f t="array" ref="K9">_xlfn.XLOOKUP(B9,'Up Min'!A:A,'Up Min'!C:C,)</f>
        <v/>
      </c>
      <c r="L9" s="55" t="str">
        <f t="array" ref="L9">_xlfn.XLOOKUP(B9,'Up Max'!A:A,'Up Max'!C:C,)</f>
        <v/>
      </c>
      <c r="M9" s="57" t="str">
        <f t="array" ref="M9">_xlfn.XLOOKUP(B9,'Up Stats'!A:A,'Up Stats'!D:D,)</f>
        <v/>
      </c>
      <c r="N9" s="54" t="str">
        <f>IFERROR(__xludf.DUMMYFUNCTION("if(AND(O9=FALSE,P9=FALSE),,if(O9=P9,JOIN("""",""Static: "",O9),JOIN("""",""Min:  "",O9, CHAR(10),""Max: "",P9)))"),"")</f>
        <v/>
      </c>
      <c r="O9" s="55" t="str">
        <f t="array" ref="O9">_xlfn.XLOOKUP(B9,'Up Min'!A:A,'Up Min'!D:D,)</f>
        <v/>
      </c>
      <c r="P9" s="55" t="str">
        <f t="array" ref="P9">_xlfn.XLOOKUP(B9,'Up Max'!A:A,'Up Max'!D:D,)</f>
        <v/>
      </c>
      <c r="Q9" s="57" t="str">
        <f t="array" ref="Q9">_xlfn.XLOOKUP(B9,'Up Stats'!A:A,'Up Stats'!E:E,)</f>
        <v/>
      </c>
      <c r="R9" s="54" t="str">
        <f>IFERROR(__xludf.DUMMYFUNCTION("if(AND(S9=FALSE,T9=FALSE),,if(S9=T9,JOIN("""",""Static: "",S9),JOIN("""",""Min:  "",S9, CHAR(10),""Max: "",T9)))"),"")</f>
        <v/>
      </c>
      <c r="S9" s="55" t="str">
        <f t="array" ref="S9">_xlfn.XLOOKUP(B9,'Up Min'!A:A,'Up Min'!E:E,)</f>
        <v/>
      </c>
      <c r="T9" s="55" t="str">
        <f t="array" ref="T9">_xlfn.XLOOKUP(B9,'Up Max'!A:A,'Up Max'!E:E,)</f>
        <v/>
      </c>
      <c r="U9" s="57" t="str">
        <f t="array" ref="U9">_xlfn.XLOOKUP(B9,'Up Stats'!A:A,'Up Stats'!F:F,)</f>
        <v/>
      </c>
      <c r="V9" s="54" t="str">
        <f>IFERROR(__xludf.DUMMYFUNCTION("if(AND(W9=FALSE,X9=FALSE),,if(W9=X9,JOIN("""",""Static: "",W9),JOIN("""",""Min:  "",W9, CHAR(10),""Max: "",X9)))"),"")</f>
        <v/>
      </c>
      <c r="W9" s="55" t="str">
        <f t="array" ref="W9">_xlfn.XLOOKUP(B9,'Up Min'!A:A,'Up Min'!F:F,)</f>
        <v/>
      </c>
      <c r="X9" s="55" t="str">
        <f t="array" ref="X9">_xlfn.XLOOKUP(B9,'Up Max'!A:A,'Up Max'!F:F,)</f>
        <v/>
      </c>
      <c r="Y9" s="57" t="str">
        <f t="array" ref="Y9">_xlfn.XLOOKUP(B9,'Up Stats'!A:A,'Up Stats'!G:G,)</f>
        <v/>
      </c>
      <c r="Z9" s="54" t="str">
        <f>IFERROR(__xludf.DUMMYFUNCTION("if(AND(AA9=FALSE,AB9=FALSE),,if(AA9=AB9,JOIN("""",""Static: "",AA9),JOIN("""",""Min:  "",AA9, CHAR(10),""Max: "",AB9)))"),"")</f>
        <v/>
      </c>
      <c r="AA9" s="55" t="str">
        <f t="array" ref="AA9">_xlfn.XLOOKUP(B9,'Up Min'!A:A,'Up Min'!G:G,)</f>
        <v/>
      </c>
      <c r="AB9" s="55" t="str">
        <f t="array" ref="AB9">_xlfn.XLOOKUP(B9,'Up Max'!A:A,'Up Max'!G:G,)</f>
        <v/>
      </c>
      <c r="AC9" s="57" t="str">
        <f t="array" ref="AC9">_xlfn.XLOOKUP(B9,'Up Stats'!A:A,'Up Stats'!H:H,)</f>
        <v/>
      </c>
      <c r="AD9" s="54" t="str">
        <f>IFERROR(__xludf.DUMMYFUNCTION("if(AND(AE9=FALSE,AF9=FALSE),,if(AE9=AF9,JOIN("""",""Static: "",AE9),JOIN("""",""Min:  "",AE9, CHAR(10),""Max: "",AF9)))"),"")</f>
        <v/>
      </c>
      <c r="AE9" s="55" t="str">
        <f t="array" ref="AE9">_xlfn.XLOOKUP(B9,'Up Min'!A:A,'Up Min'!H:H,)</f>
        <v/>
      </c>
      <c r="AF9" s="55" t="str">
        <f t="array" ref="AF9">_xlfn.XLOOKUP(B9,'Up Max'!A:A,'Up Max'!H:H,)</f>
        <v/>
      </c>
      <c r="AG9" s="57" t="str">
        <f t="array" ref="AG9">_xlfn.XLOOKUP(B9,'Up Stats'!A:A,'Up Stats'!I:I,)</f>
        <v/>
      </c>
      <c r="AH9" s="54" t="str">
        <f>IFERROR(__xludf.DUMMYFUNCTION("if(AND(AI9=FALSE,AJ9=FALSE),,if(AI9=AJ9,JOIN("""",""Static: "",AI9),JOIN("""",""Min:  "",AI9, CHAR(10),""Max: "",AJ9)))"),"")</f>
        <v/>
      </c>
      <c r="AI9" s="55" t="str">
        <f t="array" ref="AI9">_xlfn.XLOOKUP(B9,'Up Min'!A:A,'Up Min'!I:I,)</f>
        <v/>
      </c>
      <c r="AJ9" s="55" t="str">
        <f t="array" ref="AJ9">_xlfn.XLOOKUP(B9,'Up Max'!A:A,'Up Max'!I:I,)</f>
        <v/>
      </c>
      <c r="AK9" s="57" t="str">
        <f t="array" ref="AK9">_xlfn.XLOOKUP(B9,'Up Stats'!A:A,'Up Stats'!J:J,)</f>
        <v/>
      </c>
      <c r="AL9" s="54" t="str">
        <f>IFERROR(__xludf.DUMMYFUNCTION("if(AND(AM9=FALSE,AN9=FALSE),,if(AM9=AN9,JOIN("""",""Static: "",AM9),JOIN("""",""Min:  "",AM9, CHAR(10),""Max: "",AN9)))"),"")</f>
        <v/>
      </c>
      <c r="AM9" s="55" t="str">
        <f t="array" ref="AM9">_xlfn.XLOOKUP(B9,'Up Min'!A:A,'Up Min'!J:J,)</f>
        <v/>
      </c>
      <c r="AN9" s="55" t="str">
        <f t="array" ref="AN9">_xlfn.XLOOKUP(B9,'Up Max'!A:A,'Up Max'!J:J,)</f>
        <v/>
      </c>
      <c r="AO9" s="51" t="str">
        <f t="array" ref="AO9">CONCATENATE(_xlfn.XLOOKUP(B9,'Up Cells'!A:A,'Up Cells'!B:B,))</f>
        <v>4</v>
      </c>
      <c r="AP9" s="51" t="str">
        <f t="array" ref="AP9">CONCATENATE(_xlfn.XLOOKUP(B9,'Up Rarity'!A:A,'Up Rarity'!B:B,),CHAR(10),"-")</f>
        <v>Epic
-</v>
      </c>
    </row>
    <row r="10">
      <c r="A10" s="75" t="str">
        <f t="array" ref="A10">_xlfn.XLOOKUP(B10,'Up Icon'!A:A,'Up Icon'!B:B,)</f>
        <v/>
      </c>
      <c r="B10" s="66" t="str">
        <f t="array" ref="B10">HYPERLINK(_xlfn.XLOOKUP('Up Names'!H7,'Up Wiki'!A:A,'Up Wiki'!B:B,),'Up Names'!H7)</f>
        <v>Corrosive Reaction</v>
      </c>
      <c r="C10" s="37" t="str">
        <f t="array" ref="C10">_xlfn.XLOOKUP(B10,'Up Desc'!A:A,'Up Desc'!B:B,)</f>
        <v>Damage is increased for a short time after you are corroded.</v>
      </c>
      <c r="D10" s="37" t="str">
        <f t="array" ref="D10">_xlfn.XLOOKUP(B10,'Up Turbo'!A:A,'Up Turbo'!B:B,)</f>
        <v>n/a</v>
      </c>
      <c r="E10" s="39" t="str">
        <f t="array" ref="E10">_xlfn.XLOOKUP(B10,'Up Stats'!A:A,'Up Stats'!B:B,)</f>
        <v>Damage</v>
      </c>
      <c r="F10" s="40" t="str">
        <f>IFERROR(__xludf.DUMMYFUNCTION("if(AND(G10=FALSE,H10=FALSE),,if(G10=H10,JOIN("""",""Static: "",G10),JOIN("""",""Min:  "",G10, CHAR(10),""Max: "",H10)))"),"Min:  70%
Max: 110%")</f>
        <v>Min:  70%
Max: 110%</v>
      </c>
      <c r="G10" s="41">
        <f t="array" ref="G10">_xlfn.XLOOKUP(B10,'Up Min'!A:A,'Up Min'!B:B,)</f>
        <v>0.7</v>
      </c>
      <c r="H10" s="41">
        <f t="array" ref="H10">_xlfn.XLOOKUP(B10,'Up Max'!A:A,'Up Max'!B:B,)</f>
        <v>1.1</v>
      </c>
      <c r="I10" s="39" t="str">
        <f t="array" ref="I10">_xlfn.XLOOKUP(B10,'Up Stats'!A:A,'Up Stats'!C:C,)</f>
        <v>Duration</v>
      </c>
      <c r="J10" s="40" t="str">
        <f>IFERROR(__xludf.DUMMYFUNCTION("if(AND(K10=FALSE,L10=FALSE),,if(K10=L10,JOIN("""",""Static: "",K10),JOIN("""",""Min:  "",K10, CHAR(10),""Max: "",L10)))"),"Min:  2
Max: 3.2")</f>
        <v>Min:  2
Max: 3.2</v>
      </c>
      <c r="K10" s="68">
        <f t="array" ref="K10">_xlfn.XLOOKUP(B10,'Up Min'!A:A,'Up Min'!C:C,)</f>
        <v>2</v>
      </c>
      <c r="L10" s="69">
        <f t="array" ref="L10">_xlfn.XLOOKUP(B10,'Up Max'!A:A,'Up Max'!C:C,)</f>
        <v>3.2</v>
      </c>
      <c r="M10" s="39" t="str">
        <f t="array" ref="M10">_xlfn.XLOOKUP(B10,'Up Stats'!A:A,'Up Stats'!D:D,)</f>
        <v/>
      </c>
      <c r="N10" s="40" t="str">
        <f>IFERROR(__xludf.DUMMYFUNCTION("if(AND(O10=FALSE,P10=FALSE),,if(O10=P10,JOIN("""",""Static: "",O10),JOIN("""",""Min:  "",O10, CHAR(10),""Max: "",P10)))"),"")</f>
        <v/>
      </c>
      <c r="O10" s="42" t="str">
        <f t="array" ref="O10">_xlfn.XLOOKUP(B10,'Up Min'!A:A,'Up Min'!D:D,)</f>
        <v/>
      </c>
      <c r="P10" s="42" t="str">
        <f t="array" ref="P10">_xlfn.XLOOKUP(B10,'Up Max'!A:A,'Up Max'!D:D,)</f>
        <v/>
      </c>
      <c r="Q10" s="48" t="str">
        <f t="array" ref="Q10">_xlfn.XLOOKUP(B10,'Up Stats'!A:A,'Up Stats'!E:E,)</f>
        <v/>
      </c>
      <c r="R10" s="40" t="str">
        <f>IFERROR(__xludf.DUMMYFUNCTION("if(AND(S10=FALSE,T10=FALSE),,if(S10=T10,JOIN("""",""Static: "",S10),JOIN("""",""Min:  "",S10, CHAR(10),""Max: "",T10)))"),"")</f>
        <v/>
      </c>
      <c r="S10" s="42" t="str">
        <f t="array" ref="S10">_xlfn.XLOOKUP(B10,'Up Min'!A:A,'Up Min'!E:E,)</f>
        <v/>
      </c>
      <c r="T10" s="42" t="str">
        <f t="array" ref="T10">_xlfn.XLOOKUP(B10,'Up Max'!A:A,'Up Max'!E:E,)</f>
        <v/>
      </c>
      <c r="U10" s="48" t="str">
        <f t="array" ref="U10">_xlfn.XLOOKUP(B10,'Up Stats'!A:A,'Up Stats'!F:F,)</f>
        <v/>
      </c>
      <c r="V10" s="40" t="str">
        <f>IFERROR(__xludf.DUMMYFUNCTION("if(AND(W10=FALSE,X10=FALSE),,if(W10=X10,JOIN("""",""Static: "",W10),JOIN("""",""Min:  "",W10, CHAR(10),""Max: "",X10)))"),"")</f>
        <v/>
      </c>
      <c r="W10" s="42" t="str">
        <f t="array" ref="W10">_xlfn.XLOOKUP(B10,'Up Min'!A:A,'Up Min'!F:F,)</f>
        <v/>
      </c>
      <c r="X10" s="42" t="str">
        <f t="array" ref="X10">_xlfn.XLOOKUP(B10,'Up Max'!A:A,'Up Max'!F:F,)</f>
        <v/>
      </c>
      <c r="Y10" s="48" t="str">
        <f t="array" ref="Y10">_xlfn.XLOOKUP(B10,'Up Stats'!A:A,'Up Stats'!G:G,)</f>
        <v/>
      </c>
      <c r="Z10" s="40" t="str">
        <f>IFERROR(__xludf.DUMMYFUNCTION("if(AND(AA10=FALSE,AB10=FALSE),,if(AA10=AB10,JOIN("""",""Static: "",AA10),JOIN("""",""Min:  "",AA10, CHAR(10),""Max: "",AB10)))"),"")</f>
        <v/>
      </c>
      <c r="AA10" s="42" t="str">
        <f t="array" ref="AA10">_xlfn.XLOOKUP(B10,'Up Min'!A:A,'Up Min'!G:G,)</f>
        <v/>
      </c>
      <c r="AB10" s="42" t="str">
        <f t="array" ref="AB10">_xlfn.XLOOKUP(B10,'Up Max'!A:A,'Up Max'!G:G,)</f>
        <v/>
      </c>
      <c r="AC10" s="48" t="str">
        <f t="array" ref="AC10">_xlfn.XLOOKUP(B10,'Up Stats'!A:A,'Up Stats'!H:H,)</f>
        <v/>
      </c>
      <c r="AD10" s="40" t="str">
        <f>IFERROR(__xludf.DUMMYFUNCTION("if(AND(AE10=FALSE,AF10=FALSE),,if(AE10=AF10,JOIN("""",""Static: "",AE10),JOIN("""",""Min:  "",AE10, CHAR(10),""Max: "",AF10)))"),"")</f>
        <v/>
      </c>
      <c r="AE10" s="42" t="str">
        <f t="array" ref="AE10">_xlfn.XLOOKUP(B10,'Up Min'!A:A,'Up Min'!H:H,)</f>
        <v/>
      </c>
      <c r="AF10" s="42" t="str">
        <f t="array" ref="AF10">_xlfn.XLOOKUP(B10,'Up Max'!A:A,'Up Max'!H:H,)</f>
        <v/>
      </c>
      <c r="AG10" s="48" t="str">
        <f t="array" ref="AG10">_xlfn.XLOOKUP(B10,'Up Stats'!A:A,'Up Stats'!I:I,)</f>
        <v/>
      </c>
      <c r="AH10" s="40" t="str">
        <f>IFERROR(__xludf.DUMMYFUNCTION("if(AND(AI10=FALSE,AJ10=FALSE),,if(AI10=AJ10,JOIN("""",""Static: "",AI10),JOIN("""",""Min:  "",AI10, CHAR(10),""Max: "",AJ10)))"),"")</f>
        <v/>
      </c>
      <c r="AI10" s="42" t="str">
        <f t="array" ref="AI10">_xlfn.XLOOKUP(B10,'Up Min'!A:A,'Up Min'!I:I,)</f>
        <v/>
      </c>
      <c r="AJ10" s="42" t="str">
        <f t="array" ref="AJ10">_xlfn.XLOOKUP(B10,'Up Max'!A:A,'Up Max'!I:I,)</f>
        <v/>
      </c>
      <c r="AK10" s="48" t="str">
        <f t="array" ref="AK10">_xlfn.XLOOKUP(B10,'Up Stats'!A:A,'Up Stats'!J:J,)</f>
        <v/>
      </c>
      <c r="AL10" s="40" t="str">
        <f>IFERROR(__xludf.DUMMYFUNCTION("if(AND(AM10=FALSE,AN10=FALSE),,if(AM10=AN10,JOIN("""",""Static: "",AM10),JOIN("""",""Min:  "",AM10, CHAR(10),""Max: "",AN10)))"),"")</f>
        <v/>
      </c>
      <c r="AM10" s="42" t="str">
        <f t="array" ref="AM10">_xlfn.XLOOKUP(B10,'Up Min'!A:A,'Up Min'!J:J,)</f>
        <v/>
      </c>
      <c r="AN10" s="42" t="str">
        <f t="array" ref="AN10">_xlfn.XLOOKUP(B10,'Up Max'!A:A,'Up Max'!J:J,)</f>
        <v/>
      </c>
      <c r="AO10" s="34" t="str">
        <f t="array" ref="AO10">CONCATENATE(_xlfn.XLOOKUP(B10,'Up Cells'!A:A,'Up Cells'!B:B,))</f>
        <v>5</v>
      </c>
      <c r="AP10" s="34" t="str">
        <f t="array" ref="AP10">CONCATENATE(_xlfn.XLOOKUP(B10,'Up Rarity'!A:A,'Up Rarity'!B:B,),CHAR(10),"-")</f>
        <v>Epic
-</v>
      </c>
    </row>
    <row r="11">
      <c r="A11" s="75" t="str">
        <f t="array" ref="A11">_xlfn.XLOOKUP(B11,'Up Icon'!A:A,'Up Icon'!B:B,)</f>
        <v/>
      </c>
      <c r="B11" s="63" t="str">
        <f t="array" ref="B11">HYPERLINK(_xlfn.XLOOKUP('Up Names'!H8,'Up Wiki'!A:A,'Up Wiki'!B:B,),'Up Names'!H8)</f>
        <v>Cross-Deck</v>
      </c>
      <c r="C11" s="52" t="str">
        <f t="array" ref="C11">_xlfn.XLOOKUP(B11,'Up Desc'!A:A,'Up Desc'!B:B,)</f>
        <v>Slide speed is briefly increased after killing a target.</v>
      </c>
      <c r="D11" s="52" t="str">
        <f t="array" ref="D11">_xlfn.XLOOKUP(B11,'Up Turbo'!A:A,'Up Turbo'!B:B,)</f>
        <v>n/a</v>
      </c>
      <c r="E11" s="53" t="str">
        <f t="array" ref="E11">_xlfn.XLOOKUP(B11,'Up Stats'!A:A,'Up Stats'!B:B,)</f>
        <v>Duration</v>
      </c>
      <c r="F11" s="54" t="str">
        <f>IFERROR(__xludf.DUMMYFUNCTION("if(AND(G11=FALSE,H11=FALSE),,if(G11=H11,JOIN("""",""Static: "",G11),JOIN("""",""Min:  "",G11, CHAR(10),""Max: "",H11)))"),"Min:  2
Max: 2.7")</f>
        <v>Min:  2
Max: 2.7</v>
      </c>
      <c r="G11" s="64">
        <f t="array" ref="G11">_xlfn.XLOOKUP(B11,'Up Min'!A:A,'Up Min'!B:B,)</f>
        <v>2</v>
      </c>
      <c r="H11" s="65">
        <f t="array" ref="H11">_xlfn.XLOOKUP(B11,'Up Max'!A:A,'Up Max'!B:B,)</f>
        <v>2.7</v>
      </c>
      <c r="I11" s="53" t="str">
        <f t="array" ref="I11">_xlfn.XLOOKUP(B11,'Up Stats'!A:A,'Up Stats'!C:C,)</f>
        <v>Slide Speed</v>
      </c>
      <c r="J11" s="54" t="str">
        <f>IFERROR(__xludf.DUMMYFUNCTION("if(AND(K11=FALSE,L11=FALSE),,if(K11=L11,JOIN("""",""Static: "",K11),JOIN("""",""Min:  "",K11, CHAR(10),""Max: "",L11)))"),"Min:  8.26
Max: 11.76")</f>
        <v>Min:  8.26
Max: 11.76</v>
      </c>
      <c r="K11" s="65">
        <f t="array" ref="K11">_xlfn.XLOOKUP(B11,'Up Min'!A:A,'Up Min'!C:C,)</f>
        <v>8.26</v>
      </c>
      <c r="L11" s="64">
        <f t="array" ref="L11">_xlfn.XLOOKUP(B11,'Up Max'!A:A,'Up Max'!C:C,)</f>
        <v>11.76</v>
      </c>
      <c r="M11" s="53" t="str">
        <f t="array" ref="M11">_xlfn.XLOOKUP(B11,'Up Stats'!A:A,'Up Stats'!D:D,)</f>
        <v/>
      </c>
      <c r="N11" s="54" t="str">
        <f>IFERROR(__xludf.DUMMYFUNCTION("if(AND(O11=FALSE,P11=FALSE),,if(O11=P11,JOIN("""",""Static: "",O11),JOIN("""",""Min:  "",O11, CHAR(10),""Max: "",P11)))"),"")</f>
        <v/>
      </c>
      <c r="O11" s="55" t="str">
        <f t="array" ref="O11">_xlfn.XLOOKUP(B11,'Up Min'!A:A,'Up Min'!D:D,)</f>
        <v/>
      </c>
      <c r="P11" s="55" t="str">
        <f t="array" ref="P11">_xlfn.XLOOKUP(B11,'Up Max'!A:A,'Up Max'!D:D,)</f>
        <v/>
      </c>
      <c r="Q11" s="57" t="str">
        <f t="array" ref="Q11">_xlfn.XLOOKUP(B11,'Up Stats'!A:A,'Up Stats'!E:E,)</f>
        <v/>
      </c>
      <c r="R11" s="54" t="str">
        <f>IFERROR(__xludf.DUMMYFUNCTION("if(AND(S11=FALSE,T11=FALSE),,if(S11=T11,JOIN("""",""Static: "",S11),JOIN("""",""Min:  "",S11, CHAR(10),""Max: "",T11)))"),"")</f>
        <v/>
      </c>
      <c r="S11" s="55" t="str">
        <f t="array" ref="S11">_xlfn.XLOOKUP(B11,'Up Min'!A:A,'Up Min'!E:E,)</f>
        <v/>
      </c>
      <c r="T11" s="55" t="str">
        <f t="array" ref="T11">_xlfn.XLOOKUP(B11,'Up Max'!A:A,'Up Max'!E:E,)</f>
        <v/>
      </c>
      <c r="U11" s="57" t="str">
        <f t="array" ref="U11">_xlfn.XLOOKUP(B11,'Up Stats'!A:A,'Up Stats'!F:F,)</f>
        <v/>
      </c>
      <c r="V11" s="54" t="str">
        <f>IFERROR(__xludf.DUMMYFUNCTION("if(AND(W11=FALSE,X11=FALSE),,if(W11=X11,JOIN("""",""Static: "",W11),JOIN("""",""Min:  "",W11, CHAR(10),""Max: "",X11)))"),"")</f>
        <v/>
      </c>
      <c r="W11" s="55" t="str">
        <f t="array" ref="W11">_xlfn.XLOOKUP(B11,'Up Min'!A:A,'Up Min'!F:F,)</f>
        <v/>
      </c>
      <c r="X11" s="55" t="str">
        <f t="array" ref="X11">_xlfn.XLOOKUP(B11,'Up Max'!A:A,'Up Max'!F:F,)</f>
        <v/>
      </c>
      <c r="Y11" s="57" t="str">
        <f t="array" ref="Y11">_xlfn.XLOOKUP(B11,'Up Stats'!A:A,'Up Stats'!G:G,)</f>
        <v/>
      </c>
      <c r="Z11" s="54" t="str">
        <f>IFERROR(__xludf.DUMMYFUNCTION("if(AND(AA11=FALSE,AB11=FALSE),,if(AA11=AB11,JOIN("""",""Static: "",AA11),JOIN("""",""Min:  "",AA11, CHAR(10),""Max: "",AB11)))"),"")</f>
        <v/>
      </c>
      <c r="AA11" s="55" t="str">
        <f t="array" ref="AA11">_xlfn.XLOOKUP(B11,'Up Min'!A:A,'Up Min'!G:G,)</f>
        <v/>
      </c>
      <c r="AB11" s="55" t="str">
        <f t="array" ref="AB11">_xlfn.XLOOKUP(B11,'Up Max'!A:A,'Up Max'!G:G,)</f>
        <v/>
      </c>
      <c r="AC11" s="57" t="str">
        <f t="array" ref="AC11">_xlfn.XLOOKUP(B11,'Up Stats'!A:A,'Up Stats'!H:H,)</f>
        <v/>
      </c>
      <c r="AD11" s="54" t="str">
        <f>IFERROR(__xludf.DUMMYFUNCTION("if(AND(AE11=FALSE,AF11=FALSE),,if(AE11=AF11,JOIN("""",""Static: "",AE11),JOIN("""",""Min:  "",AE11, CHAR(10),""Max: "",AF11)))"),"")</f>
        <v/>
      </c>
      <c r="AE11" s="55" t="str">
        <f t="array" ref="AE11">_xlfn.XLOOKUP(B11,'Up Min'!A:A,'Up Min'!H:H,)</f>
        <v/>
      </c>
      <c r="AF11" s="55" t="str">
        <f t="array" ref="AF11">_xlfn.XLOOKUP(B11,'Up Max'!A:A,'Up Max'!H:H,)</f>
        <v/>
      </c>
      <c r="AG11" s="57" t="str">
        <f t="array" ref="AG11">_xlfn.XLOOKUP(B11,'Up Stats'!A:A,'Up Stats'!I:I,)</f>
        <v/>
      </c>
      <c r="AH11" s="54" t="str">
        <f>IFERROR(__xludf.DUMMYFUNCTION("if(AND(AI11=FALSE,AJ11=FALSE),,if(AI11=AJ11,JOIN("""",""Static: "",AI11),JOIN("""",""Min:  "",AI11, CHAR(10),""Max: "",AJ11)))"),"")</f>
        <v/>
      </c>
      <c r="AI11" s="55" t="str">
        <f t="array" ref="AI11">_xlfn.XLOOKUP(B11,'Up Min'!A:A,'Up Min'!I:I,)</f>
        <v/>
      </c>
      <c r="AJ11" s="55" t="str">
        <f t="array" ref="AJ11">_xlfn.XLOOKUP(B11,'Up Max'!A:A,'Up Max'!I:I,)</f>
        <v/>
      </c>
      <c r="AK11" s="57" t="str">
        <f t="array" ref="AK11">_xlfn.XLOOKUP(B11,'Up Stats'!A:A,'Up Stats'!J:J,)</f>
        <v/>
      </c>
      <c r="AL11" s="54" t="str">
        <f>IFERROR(__xludf.DUMMYFUNCTION("if(AND(AM11=FALSE,AN11=FALSE),,if(AM11=AN11,JOIN("""",""Static: "",AM11),JOIN("""",""Min:  "",AM11, CHAR(10),""Max: "",AN11)))"),"")</f>
        <v/>
      </c>
      <c r="AM11" s="55" t="str">
        <f t="array" ref="AM11">_xlfn.XLOOKUP(B11,'Up Min'!A:A,'Up Min'!J:J,)</f>
        <v/>
      </c>
      <c r="AN11" s="55" t="str">
        <f t="array" ref="AN11">_xlfn.XLOOKUP(B11,'Up Max'!A:A,'Up Max'!J:J,)</f>
        <v/>
      </c>
      <c r="AO11" s="51" t="str">
        <f t="array" ref="AO11">CONCATENATE(_xlfn.XLOOKUP(B11,'Up Cells'!A:A,'Up Cells'!B:B,))</f>
        <v>3</v>
      </c>
      <c r="AP11" s="51" t="str">
        <f t="array" ref="AP11">CONCATENATE(_xlfn.XLOOKUP(B11,'Up Rarity'!A:A,'Up Rarity'!B:B,),CHAR(10),"-")</f>
        <v>Epic
-</v>
      </c>
    </row>
    <row r="12">
      <c r="A12" s="75" t="str">
        <f t="array" ref="A12">_xlfn.XLOOKUP(B12,'Up Icon'!A:A,'Up Icon'!B:B,)</f>
        <v/>
      </c>
      <c r="B12" s="66" t="str">
        <f t="array" ref="B12">HYPERLINK(_xlfn.XLOOKUP('Up Names'!H9,'Up Wiki'!A:A,'Up Wiki'!B:B,),'Up Names'!H9)</f>
        <v>Fire in the Hold</v>
      </c>
      <c r="C12" s="37" t="str">
        <f t="array" ref="C12">_xlfn.XLOOKUP(B12,'Up Desc'!A:A,'Up Desc'!B:B,)</f>
        <v>Fire rate is increased after igniting a target.</v>
      </c>
      <c r="D12" s="37" t="str">
        <f t="array" ref="D12">_xlfn.XLOOKUP(B12,'Up Turbo'!A:A,'Up Turbo'!B:B,)</f>
        <v>n/a</v>
      </c>
      <c r="E12" s="39" t="str">
        <f t="array" ref="E12">_xlfn.XLOOKUP(B12,'Up Stats'!A:A,'Up Stats'!B:B,)</f>
        <v>Fire Rate</v>
      </c>
      <c r="F12" s="40" t="str">
        <f>IFERROR(__xludf.DUMMYFUNCTION("if(AND(G12=FALSE,H12=FALSE),,if(G12=H12,JOIN("""",""Static: "",G12),JOIN("""",""Min:  "",G12, CHAR(10),""Max: "",H12)))"),"Min:  28.21%
Max: 19.05%")</f>
        <v>Min:  28.21%
Max: 19.05%</v>
      </c>
      <c r="G12" s="78">
        <f t="array" ref="G12">_xlfn.XLOOKUP(B12,'Up Min'!A:A,'Up Min'!B:B,)</f>
        <v>0.2821</v>
      </c>
      <c r="H12" s="78">
        <f t="array" ref="H12">_xlfn.XLOOKUP(B12,'Up Max'!A:A,'Up Max'!B:B,)</f>
        <v>0.1905</v>
      </c>
      <c r="I12" s="39" t="str">
        <f t="array" ref="I12">_xlfn.XLOOKUP(B12,'Up Stats'!A:A,'Up Stats'!C:C,)</f>
        <v>Duration</v>
      </c>
      <c r="J12" s="40" t="str">
        <f>IFERROR(__xludf.DUMMYFUNCTION("if(AND(K12=FALSE,L12=FALSE),,if(K12=L12,JOIN("""",""Static: "",K12),JOIN("""",""Min:  "",K12, CHAR(10),""Max: "",L12)))"),"Min:  0.95
Max: 1.35")</f>
        <v>Min:  0.95
Max: 1.35</v>
      </c>
      <c r="K12" s="68">
        <f t="array" ref="K12">_xlfn.XLOOKUP(B12,'Up Min'!A:A,'Up Min'!C:C,)</f>
        <v>0.95</v>
      </c>
      <c r="L12" s="69">
        <f t="array" ref="L12">_xlfn.XLOOKUP(B12,'Up Max'!A:A,'Up Max'!C:C,)</f>
        <v>1.35</v>
      </c>
      <c r="M12" s="39" t="str">
        <f t="array" ref="M12">_xlfn.XLOOKUP(B12,'Up Stats'!A:A,'Up Stats'!D:D,)</f>
        <v/>
      </c>
      <c r="N12" s="40" t="str">
        <f>IFERROR(__xludf.DUMMYFUNCTION("if(AND(O12=FALSE,P12=FALSE),,if(O12=P12,JOIN("""",""Static: "",O12),JOIN("""",""Min:  "",O12, CHAR(10),""Max: "",P12)))"),"")</f>
        <v/>
      </c>
      <c r="O12" s="42" t="str">
        <f t="array" ref="O12">_xlfn.XLOOKUP(B12,'Up Min'!A:A,'Up Min'!D:D,)</f>
        <v/>
      </c>
      <c r="P12" s="42" t="str">
        <f t="array" ref="P12">_xlfn.XLOOKUP(B12,'Up Max'!A:A,'Up Max'!D:D,)</f>
        <v/>
      </c>
      <c r="Q12" s="48" t="str">
        <f t="array" ref="Q12">_xlfn.XLOOKUP(B12,'Up Stats'!A:A,'Up Stats'!E:E,)</f>
        <v/>
      </c>
      <c r="R12" s="40" t="str">
        <f>IFERROR(__xludf.DUMMYFUNCTION("if(AND(S12=FALSE,T12=FALSE),,if(S12=T12,JOIN("""",""Static: "",S12),JOIN("""",""Min:  "",S12, CHAR(10),""Max: "",T12)))"),"")</f>
        <v/>
      </c>
      <c r="S12" s="42" t="str">
        <f t="array" ref="S12">_xlfn.XLOOKUP(B12,'Up Min'!A:A,'Up Min'!E:E,)</f>
        <v/>
      </c>
      <c r="T12" s="42" t="str">
        <f t="array" ref="T12">_xlfn.XLOOKUP(B12,'Up Max'!A:A,'Up Max'!E:E,)</f>
        <v/>
      </c>
      <c r="U12" s="48" t="str">
        <f t="array" ref="U12">_xlfn.XLOOKUP(B12,'Up Stats'!A:A,'Up Stats'!F:F,)</f>
        <v/>
      </c>
      <c r="V12" s="40" t="str">
        <f>IFERROR(__xludf.DUMMYFUNCTION("if(AND(W12=FALSE,X12=FALSE),,if(W12=X12,JOIN("""",""Static: "",W12),JOIN("""",""Min:  "",W12, CHAR(10),""Max: "",X12)))"),"")</f>
        <v/>
      </c>
      <c r="W12" s="42" t="str">
        <f t="array" ref="W12">_xlfn.XLOOKUP(B12,'Up Min'!A:A,'Up Min'!F:F,)</f>
        <v/>
      </c>
      <c r="X12" s="42" t="str">
        <f t="array" ref="X12">_xlfn.XLOOKUP(B12,'Up Max'!A:A,'Up Max'!F:F,)</f>
        <v/>
      </c>
      <c r="Y12" s="48" t="str">
        <f t="array" ref="Y12">_xlfn.XLOOKUP(B12,'Up Stats'!A:A,'Up Stats'!G:G,)</f>
        <v/>
      </c>
      <c r="Z12" s="40" t="str">
        <f>IFERROR(__xludf.DUMMYFUNCTION("if(AND(AA12=FALSE,AB12=FALSE),,if(AA12=AB12,JOIN("""",""Static: "",AA12),JOIN("""",""Min:  "",AA12, CHAR(10),""Max: "",AB12)))"),"")</f>
        <v/>
      </c>
      <c r="AA12" s="42" t="str">
        <f t="array" ref="AA12">_xlfn.XLOOKUP(B12,'Up Min'!A:A,'Up Min'!G:G,)</f>
        <v/>
      </c>
      <c r="AB12" s="42" t="str">
        <f t="array" ref="AB12">_xlfn.XLOOKUP(B12,'Up Max'!A:A,'Up Max'!G:G,)</f>
        <v/>
      </c>
      <c r="AC12" s="48" t="str">
        <f t="array" ref="AC12">_xlfn.XLOOKUP(B12,'Up Stats'!A:A,'Up Stats'!H:H,)</f>
        <v/>
      </c>
      <c r="AD12" s="40" t="str">
        <f>IFERROR(__xludf.DUMMYFUNCTION("if(AND(AE12=FALSE,AF12=FALSE),,if(AE12=AF12,JOIN("""",""Static: "",AE12),JOIN("""",""Min:  "",AE12, CHAR(10),""Max: "",AF12)))"),"")</f>
        <v/>
      </c>
      <c r="AE12" s="42" t="str">
        <f t="array" ref="AE12">_xlfn.XLOOKUP(B12,'Up Min'!A:A,'Up Min'!H:H,)</f>
        <v/>
      </c>
      <c r="AF12" s="42" t="str">
        <f t="array" ref="AF12">_xlfn.XLOOKUP(B12,'Up Max'!A:A,'Up Max'!H:H,)</f>
        <v/>
      </c>
      <c r="AG12" s="48" t="str">
        <f t="array" ref="AG12">_xlfn.XLOOKUP(B12,'Up Stats'!A:A,'Up Stats'!I:I,)</f>
        <v/>
      </c>
      <c r="AH12" s="40" t="str">
        <f>IFERROR(__xludf.DUMMYFUNCTION("if(AND(AI12=FALSE,AJ12=FALSE),,if(AI12=AJ12,JOIN("""",""Static: "",AI12),JOIN("""",""Min:  "",AI12, CHAR(10),""Max: "",AJ12)))"),"")</f>
        <v/>
      </c>
      <c r="AI12" s="42" t="str">
        <f t="array" ref="AI12">_xlfn.XLOOKUP(B12,'Up Min'!A:A,'Up Min'!I:I,)</f>
        <v/>
      </c>
      <c r="AJ12" s="42" t="str">
        <f t="array" ref="AJ12">_xlfn.XLOOKUP(B12,'Up Max'!A:A,'Up Max'!I:I,)</f>
        <v/>
      </c>
      <c r="AK12" s="48" t="str">
        <f t="array" ref="AK12">_xlfn.XLOOKUP(B12,'Up Stats'!A:A,'Up Stats'!J:J,)</f>
        <v/>
      </c>
      <c r="AL12" s="40" t="str">
        <f>IFERROR(__xludf.DUMMYFUNCTION("if(AND(AM12=FALSE,AN12=FALSE),,if(AM12=AN12,JOIN("""",""Static: "",AM12),JOIN("""",""Min:  "",AM12, CHAR(10),""Max: "",AN12)))"),"")</f>
        <v/>
      </c>
      <c r="AM12" s="42" t="str">
        <f t="array" ref="AM12">_xlfn.XLOOKUP(B12,'Up Min'!A:A,'Up Min'!J:J,)</f>
        <v/>
      </c>
      <c r="AN12" s="42" t="str">
        <f t="array" ref="AN12">_xlfn.XLOOKUP(B12,'Up Max'!A:A,'Up Max'!J:J,)</f>
        <v/>
      </c>
      <c r="AO12" s="34" t="str">
        <f t="array" ref="AO12">CONCATENATE(_xlfn.XLOOKUP(B12,'Up Cells'!A:A,'Up Cells'!B:B,))</f>
        <v>4</v>
      </c>
      <c r="AP12" s="34" t="str">
        <f t="array" ref="AP12">CONCATENATE(_xlfn.XLOOKUP(B12,'Up Rarity'!A:A,'Up Rarity'!B:B,),CHAR(10),"-")</f>
        <v>Epic
-</v>
      </c>
    </row>
    <row r="13">
      <c r="A13" s="75" t="str">
        <f t="array" ref="A13">_xlfn.XLOOKUP(B13,'Up Icon'!A:A,'Up Icon'!B:B,)</f>
        <v/>
      </c>
      <c r="B13" s="63" t="str">
        <f t="array" ref="B13">HYPERLINK(_xlfn.XLOOKUP('Up Names'!H10,'Up Wiki'!A:A,'Up Wiki'!B:B,),'Up Names'!H10)</f>
        <v>Fire Shot</v>
      </c>
      <c r="C13" s="52" t="str">
        <f t="array" ref="C13">_xlfn.XLOOKUP(B13,'Up Desc'!A:A,'Up Desc'!B:B,)</f>
        <v>Bullets apply fire.</v>
      </c>
      <c r="D13" s="52" t="str">
        <f t="array" ref="D13">_xlfn.XLOOKUP(B13,'Up Turbo'!A:A,'Up Turbo'!B:B,)</f>
        <v>n/a</v>
      </c>
      <c r="E13" s="53" t="str">
        <f t="array" ref="E13">_xlfn.XLOOKUP(B13,'Up Stats'!A:A,'Up Stats'!B:B,)</f>
        <v>Element</v>
      </c>
      <c r="F13" s="54" t="str">
        <f>IFERROR(__xludf.DUMMYFUNCTION("if(AND(G13=FALSE,H13=FALSE),,if(G13=H13,JOIN("""",""Static: "",G13),JOIN("""",""Min:  "",G13, CHAR(10),""Max: "",H13)))"),"Min:  0.6
Max: 0.76")</f>
        <v>Min:  0.6
Max: 0.76</v>
      </c>
      <c r="G13" s="64">
        <f t="array" ref="G13">_xlfn.XLOOKUP(B13,'Up Min'!A:A,'Up Min'!B:B,)</f>
        <v>0.6</v>
      </c>
      <c r="H13" s="65">
        <f t="array" ref="H13">_xlfn.XLOOKUP(B13,'Up Max'!A:A,'Up Max'!B:B,)</f>
        <v>0.76</v>
      </c>
      <c r="I13" s="53" t="str">
        <f t="array" ref="I13">_xlfn.XLOOKUP(B13,'Up Stats'!A:A,'Up Stats'!C:C,)</f>
        <v/>
      </c>
      <c r="J13" s="54" t="str">
        <f>IFERROR(__xludf.DUMMYFUNCTION("if(AND(K13=FALSE,L13=FALSE),,if(K13=L13,JOIN("""",""Static: "",K13),JOIN("""",""Min:  "",K13, CHAR(10),""Max: "",L13)))"),"")</f>
        <v/>
      </c>
      <c r="K13" s="72" t="str">
        <f t="array" ref="K13">_xlfn.XLOOKUP(B13,'Up Min'!A:A,'Up Min'!C:C,)</f>
        <v/>
      </c>
      <c r="L13" s="72" t="str">
        <f t="array" ref="L13">_xlfn.XLOOKUP(B13,'Up Max'!A:A,'Up Max'!C:C,)</f>
        <v/>
      </c>
      <c r="M13" s="57" t="str">
        <f t="array" ref="M13">_xlfn.XLOOKUP(B13,'Up Stats'!A:A,'Up Stats'!D:D,)</f>
        <v/>
      </c>
      <c r="N13" s="54" t="str">
        <f>IFERROR(__xludf.DUMMYFUNCTION("if(AND(O13=FALSE,P13=FALSE),,if(O13=P13,JOIN("""",""Static: "",O13),JOIN("""",""Min:  "",O13, CHAR(10),""Max: "",P13)))"),"")</f>
        <v/>
      </c>
      <c r="O13" s="55" t="str">
        <f t="array" ref="O13">_xlfn.XLOOKUP(B13,'Up Min'!A:A,'Up Min'!D:D,)</f>
        <v/>
      </c>
      <c r="P13" s="55" t="str">
        <f t="array" ref="P13">_xlfn.XLOOKUP(B13,'Up Max'!A:A,'Up Max'!D:D,)</f>
        <v/>
      </c>
      <c r="Q13" s="57" t="str">
        <f t="array" ref="Q13">_xlfn.XLOOKUP(B13,'Up Stats'!A:A,'Up Stats'!E:E,)</f>
        <v/>
      </c>
      <c r="R13" s="54" t="str">
        <f>IFERROR(__xludf.DUMMYFUNCTION("if(AND(S13=FALSE,T13=FALSE),,if(S13=T13,JOIN("""",""Static: "",S13),JOIN("""",""Min:  "",S13, CHAR(10),""Max: "",T13)))"),"")</f>
        <v/>
      </c>
      <c r="S13" s="55" t="str">
        <f t="array" ref="S13">_xlfn.XLOOKUP(B13,'Up Min'!A:A,'Up Min'!E:E,)</f>
        <v/>
      </c>
      <c r="T13" s="55" t="str">
        <f t="array" ref="T13">_xlfn.XLOOKUP(B13,'Up Max'!A:A,'Up Max'!E:E,)</f>
        <v/>
      </c>
      <c r="U13" s="57" t="str">
        <f t="array" ref="U13">_xlfn.XLOOKUP(B13,'Up Stats'!A:A,'Up Stats'!F:F,)</f>
        <v/>
      </c>
      <c r="V13" s="54" t="str">
        <f>IFERROR(__xludf.DUMMYFUNCTION("if(AND(W13=FALSE,X13=FALSE),,if(W13=X13,JOIN("""",""Static: "",W13),JOIN("""",""Min:  "",W13, CHAR(10),""Max: "",X13)))"),"")</f>
        <v/>
      </c>
      <c r="W13" s="55" t="str">
        <f t="array" ref="W13">_xlfn.XLOOKUP(B13,'Up Min'!A:A,'Up Min'!F:F,)</f>
        <v/>
      </c>
      <c r="X13" s="55" t="str">
        <f t="array" ref="X13">_xlfn.XLOOKUP(B13,'Up Max'!A:A,'Up Max'!F:F,)</f>
        <v/>
      </c>
      <c r="Y13" s="57" t="str">
        <f t="array" ref="Y13">_xlfn.XLOOKUP(B13,'Up Stats'!A:A,'Up Stats'!G:G,)</f>
        <v/>
      </c>
      <c r="Z13" s="54" t="str">
        <f>IFERROR(__xludf.DUMMYFUNCTION("if(AND(AA13=FALSE,AB13=FALSE),,if(AA13=AB13,JOIN("""",""Static: "",AA13),JOIN("""",""Min:  "",AA13, CHAR(10),""Max: "",AB13)))"),"")</f>
        <v/>
      </c>
      <c r="AA13" s="55" t="str">
        <f t="array" ref="AA13">_xlfn.XLOOKUP(B13,'Up Min'!A:A,'Up Min'!G:G,)</f>
        <v/>
      </c>
      <c r="AB13" s="55" t="str">
        <f t="array" ref="AB13">_xlfn.XLOOKUP(B13,'Up Max'!A:A,'Up Max'!G:G,)</f>
        <v/>
      </c>
      <c r="AC13" s="57" t="str">
        <f t="array" ref="AC13">_xlfn.XLOOKUP(B13,'Up Stats'!A:A,'Up Stats'!H:H,)</f>
        <v/>
      </c>
      <c r="AD13" s="54" t="str">
        <f>IFERROR(__xludf.DUMMYFUNCTION("if(AND(AE13=FALSE,AF13=FALSE),,if(AE13=AF13,JOIN("""",""Static: "",AE13),JOIN("""",""Min:  "",AE13, CHAR(10),""Max: "",AF13)))"),"")</f>
        <v/>
      </c>
      <c r="AE13" s="55" t="str">
        <f t="array" ref="AE13">_xlfn.XLOOKUP(B13,'Up Min'!A:A,'Up Min'!H:H,)</f>
        <v/>
      </c>
      <c r="AF13" s="55" t="str">
        <f t="array" ref="AF13">_xlfn.XLOOKUP(B13,'Up Max'!A:A,'Up Max'!H:H,)</f>
        <v/>
      </c>
      <c r="AG13" s="57" t="str">
        <f t="array" ref="AG13">_xlfn.XLOOKUP(B13,'Up Stats'!A:A,'Up Stats'!I:I,)</f>
        <v/>
      </c>
      <c r="AH13" s="54" t="str">
        <f>IFERROR(__xludf.DUMMYFUNCTION("if(AND(AI13=FALSE,AJ13=FALSE),,if(AI13=AJ13,JOIN("""",""Static: "",AI13),JOIN("""",""Min:  "",AI13, CHAR(10),""Max: "",AJ13)))"),"")</f>
        <v/>
      </c>
      <c r="AI13" s="55" t="str">
        <f t="array" ref="AI13">_xlfn.XLOOKUP(B13,'Up Min'!A:A,'Up Min'!I:I,)</f>
        <v/>
      </c>
      <c r="AJ13" s="55" t="str">
        <f t="array" ref="AJ13">_xlfn.XLOOKUP(B13,'Up Max'!A:A,'Up Max'!I:I,)</f>
        <v/>
      </c>
      <c r="AK13" s="57" t="str">
        <f t="array" ref="AK13">_xlfn.XLOOKUP(B13,'Up Stats'!A:A,'Up Stats'!J:J,)</f>
        <v/>
      </c>
      <c r="AL13" s="54" t="str">
        <f>IFERROR(__xludf.DUMMYFUNCTION("if(AND(AM13=FALSE,AN13=FALSE),,if(AM13=AN13,JOIN("""",""Static: "",AM13),JOIN("""",""Min:  "",AM13, CHAR(10),""Max: "",AN13)))"),"")</f>
        <v/>
      </c>
      <c r="AM13" s="55" t="str">
        <f t="array" ref="AM13">_xlfn.XLOOKUP(B13,'Up Min'!A:A,'Up Min'!J:J,)</f>
        <v/>
      </c>
      <c r="AN13" s="55" t="str">
        <f t="array" ref="AN13">_xlfn.XLOOKUP(B13,'Up Max'!A:A,'Up Max'!J:J,)</f>
        <v/>
      </c>
      <c r="AO13" s="51" t="str">
        <f t="array" ref="AO13">CONCATENATE(_xlfn.XLOOKUP(B13,'Up Cells'!A:A,'Up Cells'!B:B,))</f>
        <v>4</v>
      </c>
      <c r="AP13" s="51" t="str">
        <f t="array" ref="AP13">CONCATENATE(_xlfn.XLOOKUP(B13,'Up Rarity'!A:A,'Up Rarity'!B:B,),CHAR(10),"-")</f>
        <v>Epic
-</v>
      </c>
    </row>
    <row r="14">
      <c r="A14" s="75" t="str">
        <f t="array" ref="A14">_xlfn.XLOOKUP(B14,'Up Icon'!A:A,'Up Icon'!B:B,)</f>
        <v/>
      </c>
      <c r="B14" s="66" t="str">
        <f t="array" ref="B14">HYPERLINK(_xlfn.XLOOKUP('Up Names'!H11,'Up Wiki'!A:A,'Up Wiki'!B:B,),'Up Names'!H11)</f>
        <v>Hornet Hunting</v>
      </c>
      <c r="C14" s="37" t="str">
        <f t="array" ref="C14">_xlfn.XLOOKUP(B14,'Up Desc'!A:A,'Up Desc'!B:B,)</f>
        <v>Move extremely fast after killing a hornet.</v>
      </c>
      <c r="D14" s="37" t="str">
        <f t="array" ref="D14">_xlfn.XLOOKUP(B14,'Up Turbo'!A:A,'Up Turbo'!B:B,)</f>
        <v>n/a</v>
      </c>
      <c r="E14" s="39" t="str">
        <f t="array" ref="E14">_xlfn.XLOOKUP(B14,'Up Stats'!A:A,'Up Stats'!B:B,)</f>
        <v>Speed</v>
      </c>
      <c r="F14" s="40" t="str">
        <f>IFERROR(__xludf.DUMMYFUNCTION("if(AND(G14=FALSE,H14=FALSE),,if(G14=H14,JOIN("""",""Static: "",G14),JOIN("""",""Min:  "",G14, CHAR(10),""Max: "",H14)))"),"Min:  20
Max: 30")</f>
        <v>Min:  20
Max: 30</v>
      </c>
      <c r="G14" s="69">
        <f t="array" ref="G14">_xlfn.XLOOKUP(B14,'Up Min'!A:A,'Up Min'!B:B,)</f>
        <v>20</v>
      </c>
      <c r="H14" s="68">
        <f t="array" ref="H14">_xlfn.XLOOKUP(B14,'Up Max'!A:A,'Up Max'!B:B,)</f>
        <v>30</v>
      </c>
      <c r="I14" s="39" t="str">
        <f t="array" ref="I14">_xlfn.XLOOKUP(B14,'Up Stats'!A:A,'Up Stats'!C:C,)</f>
        <v>Duration</v>
      </c>
      <c r="J14" s="40" t="str">
        <f>IFERROR(__xludf.DUMMYFUNCTION("if(AND(K14=FALSE,L14=FALSE),,if(K14=L14,JOIN("""",""Static: "",K14),JOIN("""",""Min:  "",K14, CHAR(10),""Max: "",L14)))"),"Min:  3.87
Max: 6.5")</f>
        <v>Min:  3.87
Max: 6.5</v>
      </c>
      <c r="K14" s="68">
        <f t="array" ref="K14">_xlfn.XLOOKUP(B14,'Up Min'!A:A,'Up Min'!C:C,)</f>
        <v>3.87</v>
      </c>
      <c r="L14" s="69">
        <f t="array" ref="L14">_xlfn.XLOOKUP(B14,'Up Max'!A:A,'Up Max'!C:C,)</f>
        <v>6.5</v>
      </c>
      <c r="M14" s="39" t="str">
        <f t="array" ref="M14">_xlfn.XLOOKUP(B14,'Up Stats'!A:A,'Up Stats'!D:D,)</f>
        <v/>
      </c>
      <c r="N14" s="40" t="str">
        <f>IFERROR(__xludf.DUMMYFUNCTION("if(AND(O14=FALSE,P14=FALSE),,if(O14=P14,JOIN("""",""Static: "",O14),JOIN("""",""Min:  "",O14, CHAR(10),""Max: "",P14)))"),"")</f>
        <v/>
      </c>
      <c r="O14" s="42" t="str">
        <f t="array" ref="O14">_xlfn.XLOOKUP(B14,'Up Min'!A:A,'Up Min'!D:D,)</f>
        <v/>
      </c>
      <c r="P14" s="42" t="str">
        <f t="array" ref="P14">_xlfn.XLOOKUP(B14,'Up Max'!A:A,'Up Max'!D:D,)</f>
        <v/>
      </c>
      <c r="Q14" s="48" t="str">
        <f t="array" ref="Q14">_xlfn.XLOOKUP(B14,'Up Stats'!A:A,'Up Stats'!E:E,)</f>
        <v/>
      </c>
      <c r="R14" s="40" t="str">
        <f>IFERROR(__xludf.DUMMYFUNCTION("if(AND(S14=FALSE,T14=FALSE),,if(S14=T14,JOIN("""",""Static: "",S14),JOIN("""",""Min:  "",S14, CHAR(10),""Max: "",T14)))"),"")</f>
        <v/>
      </c>
      <c r="S14" s="42" t="str">
        <f t="array" ref="S14">_xlfn.XLOOKUP(B14,'Up Min'!A:A,'Up Min'!E:E,)</f>
        <v/>
      </c>
      <c r="T14" s="42" t="str">
        <f t="array" ref="T14">_xlfn.XLOOKUP(B14,'Up Max'!A:A,'Up Max'!E:E,)</f>
        <v/>
      </c>
      <c r="U14" s="48" t="str">
        <f t="array" ref="U14">_xlfn.XLOOKUP(B14,'Up Stats'!A:A,'Up Stats'!F:F,)</f>
        <v/>
      </c>
      <c r="V14" s="40" t="str">
        <f>IFERROR(__xludf.DUMMYFUNCTION("if(AND(W14=FALSE,X14=FALSE),,if(W14=X14,JOIN("""",""Static: "",W14),JOIN("""",""Min:  "",W14, CHAR(10),""Max: "",X14)))"),"")</f>
        <v/>
      </c>
      <c r="W14" s="42" t="str">
        <f t="array" ref="W14">_xlfn.XLOOKUP(B14,'Up Min'!A:A,'Up Min'!F:F,)</f>
        <v/>
      </c>
      <c r="X14" s="42" t="str">
        <f t="array" ref="X14">_xlfn.XLOOKUP(B14,'Up Max'!A:A,'Up Max'!F:F,)</f>
        <v/>
      </c>
      <c r="Y14" s="48" t="str">
        <f t="array" ref="Y14">_xlfn.XLOOKUP(B14,'Up Stats'!A:A,'Up Stats'!G:G,)</f>
        <v/>
      </c>
      <c r="Z14" s="40" t="str">
        <f>IFERROR(__xludf.DUMMYFUNCTION("if(AND(AA14=FALSE,AB14=FALSE),,if(AA14=AB14,JOIN("""",""Static: "",AA14),JOIN("""",""Min:  "",AA14, CHAR(10),""Max: "",AB14)))"),"")</f>
        <v/>
      </c>
      <c r="AA14" s="42" t="str">
        <f t="array" ref="AA14">_xlfn.XLOOKUP(B14,'Up Min'!A:A,'Up Min'!G:G,)</f>
        <v/>
      </c>
      <c r="AB14" s="42" t="str">
        <f t="array" ref="AB14">_xlfn.XLOOKUP(B14,'Up Max'!A:A,'Up Max'!G:G,)</f>
        <v/>
      </c>
      <c r="AC14" s="48" t="str">
        <f t="array" ref="AC14">_xlfn.XLOOKUP(B14,'Up Stats'!A:A,'Up Stats'!H:H,)</f>
        <v/>
      </c>
      <c r="AD14" s="40" t="str">
        <f>IFERROR(__xludf.DUMMYFUNCTION("if(AND(AE14=FALSE,AF14=FALSE),,if(AE14=AF14,JOIN("""",""Static: "",AE14),JOIN("""",""Min:  "",AE14, CHAR(10),""Max: "",AF14)))"),"")</f>
        <v/>
      </c>
      <c r="AE14" s="42" t="str">
        <f t="array" ref="AE14">_xlfn.XLOOKUP(B14,'Up Min'!A:A,'Up Min'!H:H,)</f>
        <v/>
      </c>
      <c r="AF14" s="42" t="str">
        <f t="array" ref="AF14">_xlfn.XLOOKUP(B14,'Up Max'!A:A,'Up Max'!H:H,)</f>
        <v/>
      </c>
      <c r="AG14" s="48" t="str">
        <f t="array" ref="AG14">_xlfn.XLOOKUP(B14,'Up Stats'!A:A,'Up Stats'!I:I,)</f>
        <v/>
      </c>
      <c r="AH14" s="40" t="str">
        <f>IFERROR(__xludf.DUMMYFUNCTION("if(AND(AI14=FALSE,AJ14=FALSE),,if(AI14=AJ14,JOIN("""",""Static: "",AI14),JOIN("""",""Min:  "",AI14, CHAR(10),""Max: "",AJ14)))"),"")</f>
        <v/>
      </c>
      <c r="AI14" s="42" t="str">
        <f t="array" ref="AI14">_xlfn.XLOOKUP(B14,'Up Min'!A:A,'Up Min'!I:I,)</f>
        <v/>
      </c>
      <c r="AJ14" s="42" t="str">
        <f t="array" ref="AJ14">_xlfn.XLOOKUP(B14,'Up Max'!A:A,'Up Max'!I:I,)</f>
        <v/>
      </c>
      <c r="AK14" s="48" t="str">
        <f t="array" ref="AK14">_xlfn.XLOOKUP(B14,'Up Stats'!A:A,'Up Stats'!J:J,)</f>
        <v/>
      </c>
      <c r="AL14" s="40" t="str">
        <f>IFERROR(__xludf.DUMMYFUNCTION("if(AND(AM14=FALSE,AN14=FALSE),,if(AM14=AN14,JOIN("""",""Static: "",AM14),JOIN("""",""Min:  "",AM14, CHAR(10),""Max: "",AN14)))"),"")</f>
        <v/>
      </c>
      <c r="AM14" s="42" t="str">
        <f t="array" ref="AM14">_xlfn.XLOOKUP(B14,'Up Min'!A:A,'Up Min'!J:J,)</f>
        <v/>
      </c>
      <c r="AN14" s="42" t="str">
        <f t="array" ref="AN14">_xlfn.XLOOKUP(B14,'Up Max'!A:A,'Up Max'!J:J,)</f>
        <v/>
      </c>
      <c r="AO14" s="34" t="str">
        <f t="array" ref="AO14">CONCATENATE(_xlfn.XLOOKUP(B14,'Up Cells'!A:A,'Up Cells'!B:B,))</f>
        <v>2</v>
      </c>
      <c r="AP14" s="34" t="str">
        <f t="array" ref="AP14">CONCATENATE(_xlfn.XLOOKUP(B14,'Up Rarity'!A:A,'Up Rarity'!B:B,),CHAR(10),"-")</f>
        <v>Epic
-</v>
      </c>
    </row>
    <row r="15">
      <c r="A15" s="75" t="str">
        <f t="array" ref="A15">_xlfn.XLOOKUP(B15,'Up Icon'!A:A,'Up Icon'!B:B,)</f>
        <v/>
      </c>
      <c r="B15" s="63" t="str">
        <f t="array" ref="B15">HYPERLINK(_xlfn.XLOOKUP('Up Names'!H12,'Up Wiki'!A:A,'Up Wiki'!B:B,),'Up Names'!H12)</f>
        <v>Plunder</v>
      </c>
      <c r="C15" s="52" t="str">
        <f t="array" ref="C15">_xlfn.XLOOKUP(B15,'Up Desc'!A:A,'Up Desc'!B:B,)</f>
        <v>Killing a core has a chance to refund a larget amount of ammo.</v>
      </c>
      <c r="D15" s="52" t="str">
        <f t="array" ref="D15">_xlfn.XLOOKUP(B15,'Up Turbo'!A:A,'Up Turbo'!B:B,)</f>
        <v>n/a</v>
      </c>
      <c r="E15" s="53" t="str">
        <f t="array" ref="E15">_xlfn.XLOOKUP(B15,'Up Stats'!A:A,'Up Stats'!B:B,)</f>
        <v>Chance</v>
      </c>
      <c r="F15" s="54" t="str">
        <f>IFERROR(__xludf.DUMMYFUNCTION("if(AND(G15=FALSE,H15=FALSE),,if(G15=H15,JOIN("""",""Static: "",G15),JOIN("""",""Min:  "",G15, CHAR(10),""Max: "",H15)))"),"Min:  25%
Max: 30%")</f>
        <v>Min:  25%
Max: 30%</v>
      </c>
      <c r="G15" s="59">
        <f t="array" ref="G15">_xlfn.XLOOKUP(B15,'Up Min'!A:A,'Up Min'!B:B,)</f>
        <v>0.25</v>
      </c>
      <c r="H15" s="59">
        <f t="array" ref="H15">_xlfn.XLOOKUP(B15,'Up Max'!A:A,'Up Max'!B:B,)</f>
        <v>0.3</v>
      </c>
      <c r="I15" s="53" t="str">
        <f t="array" ref="I15">_xlfn.XLOOKUP(B15,'Up Stats'!A:A,'Up Stats'!C:C,)</f>
        <v>Ammo Refunded</v>
      </c>
      <c r="J15" s="54" t="str">
        <f>IFERROR(__xludf.DUMMYFUNCTION("if(AND(K15=FALSE,L15=FALSE),,if(K15=L15,JOIN("""",""Static: "",K15),JOIN("""",""Min:  "",K15, CHAR(10),""Max: "",L15)))"),"Min:  37
Max: 60")</f>
        <v>Min:  37
Max: 60</v>
      </c>
      <c r="K15" s="65">
        <f t="array" ref="K15">_xlfn.XLOOKUP(B15,'Up Min'!A:A,'Up Min'!C:C,)</f>
        <v>37</v>
      </c>
      <c r="L15" s="64">
        <f t="array" ref="L15">_xlfn.XLOOKUP(B15,'Up Max'!A:A,'Up Max'!C:C,)</f>
        <v>60</v>
      </c>
      <c r="M15" s="53" t="str">
        <f t="array" ref="M15">_xlfn.XLOOKUP(B15,'Up Stats'!A:A,'Up Stats'!D:D,)</f>
        <v/>
      </c>
      <c r="N15" s="54" t="str">
        <f>IFERROR(__xludf.DUMMYFUNCTION("if(AND(O15=FALSE,P15=FALSE),,if(O15=P15,JOIN("""",""Static: "",O15),JOIN("""",""Min:  "",O15, CHAR(10),""Max: "",P15)))"),"")</f>
        <v/>
      </c>
      <c r="O15" s="55" t="str">
        <f t="array" ref="O15">_xlfn.XLOOKUP(B15,'Up Min'!A:A,'Up Min'!D:D,)</f>
        <v/>
      </c>
      <c r="P15" s="55" t="str">
        <f t="array" ref="P15">_xlfn.XLOOKUP(B15,'Up Max'!A:A,'Up Max'!D:D,)</f>
        <v/>
      </c>
      <c r="Q15" s="57" t="str">
        <f t="array" ref="Q15">_xlfn.XLOOKUP(B15,'Up Stats'!A:A,'Up Stats'!E:E,)</f>
        <v/>
      </c>
      <c r="R15" s="54" t="str">
        <f>IFERROR(__xludf.DUMMYFUNCTION("if(AND(S15=FALSE,T15=FALSE),,if(S15=T15,JOIN("""",""Static: "",S15),JOIN("""",""Min:  "",S15, CHAR(10),""Max: "",T15)))"),"")</f>
        <v/>
      </c>
      <c r="S15" s="55" t="str">
        <f t="array" ref="S15">_xlfn.XLOOKUP(B15,'Up Min'!A:A,'Up Min'!E:E,)</f>
        <v/>
      </c>
      <c r="T15" s="55" t="str">
        <f t="array" ref="T15">_xlfn.XLOOKUP(B15,'Up Max'!A:A,'Up Max'!E:E,)</f>
        <v/>
      </c>
      <c r="U15" s="57" t="str">
        <f t="array" ref="U15">_xlfn.XLOOKUP(B15,'Up Stats'!A:A,'Up Stats'!F:F,)</f>
        <v/>
      </c>
      <c r="V15" s="54" t="str">
        <f>IFERROR(__xludf.DUMMYFUNCTION("if(AND(W15=FALSE,X15=FALSE),,if(W15=X15,JOIN("""",""Static: "",W15),JOIN("""",""Min:  "",W15, CHAR(10),""Max: "",X15)))"),"")</f>
        <v/>
      </c>
      <c r="W15" s="55" t="str">
        <f t="array" ref="W15">_xlfn.XLOOKUP(B15,'Up Min'!A:A,'Up Min'!F:F,)</f>
        <v/>
      </c>
      <c r="X15" s="55" t="str">
        <f t="array" ref="X15">_xlfn.XLOOKUP(B15,'Up Max'!A:A,'Up Max'!F:F,)</f>
        <v/>
      </c>
      <c r="Y15" s="57" t="str">
        <f t="array" ref="Y15">_xlfn.XLOOKUP(B15,'Up Stats'!A:A,'Up Stats'!G:G,)</f>
        <v/>
      </c>
      <c r="Z15" s="54" t="str">
        <f>IFERROR(__xludf.DUMMYFUNCTION("if(AND(AA15=FALSE,AB15=FALSE),,if(AA15=AB15,JOIN("""",""Static: "",AA15),JOIN("""",""Min:  "",AA15, CHAR(10),""Max: "",AB15)))"),"")</f>
        <v/>
      </c>
      <c r="AA15" s="55" t="str">
        <f t="array" ref="AA15">_xlfn.XLOOKUP(B15,'Up Min'!A:A,'Up Min'!G:G,)</f>
        <v/>
      </c>
      <c r="AB15" s="55" t="str">
        <f t="array" ref="AB15">_xlfn.XLOOKUP(B15,'Up Max'!A:A,'Up Max'!G:G,)</f>
        <v/>
      </c>
      <c r="AC15" s="57" t="str">
        <f t="array" ref="AC15">_xlfn.XLOOKUP(B15,'Up Stats'!A:A,'Up Stats'!H:H,)</f>
        <v/>
      </c>
      <c r="AD15" s="54" t="str">
        <f>IFERROR(__xludf.DUMMYFUNCTION("if(AND(AE15=FALSE,AF15=FALSE),,if(AE15=AF15,JOIN("""",""Static: "",AE15),JOIN("""",""Min:  "",AE15, CHAR(10),""Max: "",AF15)))"),"")</f>
        <v/>
      </c>
      <c r="AE15" s="55" t="str">
        <f t="array" ref="AE15">_xlfn.XLOOKUP(B15,'Up Min'!A:A,'Up Min'!H:H,)</f>
        <v/>
      </c>
      <c r="AF15" s="55" t="str">
        <f t="array" ref="AF15">_xlfn.XLOOKUP(B15,'Up Max'!A:A,'Up Max'!H:H,)</f>
        <v/>
      </c>
      <c r="AG15" s="57" t="str">
        <f t="array" ref="AG15">_xlfn.XLOOKUP(B15,'Up Stats'!A:A,'Up Stats'!I:I,)</f>
        <v/>
      </c>
      <c r="AH15" s="54" t="str">
        <f>IFERROR(__xludf.DUMMYFUNCTION("if(AND(AI15=FALSE,AJ15=FALSE),,if(AI15=AJ15,JOIN("""",""Static: "",AI15),JOIN("""",""Min:  "",AI15, CHAR(10),""Max: "",AJ15)))"),"")</f>
        <v/>
      </c>
      <c r="AI15" s="55" t="str">
        <f t="array" ref="AI15">_xlfn.XLOOKUP(B15,'Up Min'!A:A,'Up Min'!I:I,)</f>
        <v/>
      </c>
      <c r="AJ15" s="55" t="str">
        <f t="array" ref="AJ15">_xlfn.XLOOKUP(B15,'Up Max'!A:A,'Up Max'!I:I,)</f>
        <v/>
      </c>
      <c r="AK15" s="57" t="str">
        <f t="array" ref="AK15">_xlfn.XLOOKUP(B15,'Up Stats'!A:A,'Up Stats'!J:J,)</f>
        <v/>
      </c>
      <c r="AL15" s="54" t="str">
        <f>IFERROR(__xludf.DUMMYFUNCTION("if(AND(AM15=FALSE,AN15=FALSE),,if(AM15=AN15,JOIN("""",""Static: "",AM15),JOIN("""",""Min:  "",AM15, CHAR(10),""Max: "",AN15)))"),"")</f>
        <v/>
      </c>
      <c r="AM15" s="55" t="str">
        <f t="array" ref="AM15">_xlfn.XLOOKUP(B15,'Up Min'!A:A,'Up Min'!J:J,)</f>
        <v/>
      </c>
      <c r="AN15" s="55" t="str">
        <f t="array" ref="AN15">_xlfn.XLOOKUP(B15,'Up Max'!A:A,'Up Max'!J:J,)</f>
        <v/>
      </c>
      <c r="AO15" s="51" t="str">
        <f t="array" ref="AO15">CONCATENATE(_xlfn.XLOOKUP(B15,'Up Cells'!A:A,'Up Cells'!B:B,))</f>
        <v>4</v>
      </c>
      <c r="AP15" s="51" t="str">
        <f t="array" ref="AP15">CONCATENATE(_xlfn.XLOOKUP(B15,'Up Rarity'!A:A,'Up Rarity'!B:B,),CHAR(10),"-")</f>
        <v>Epic
-</v>
      </c>
    </row>
    <row r="16">
      <c r="A16" s="75" t="str">
        <f t="array" ref="A16">_xlfn.XLOOKUP(B16,'Up Icon'!A:A,'Up Icon'!B:B,)</f>
        <v/>
      </c>
      <c r="B16" s="66" t="str">
        <f t="array" ref="B16">HYPERLINK(_xlfn.XLOOKUP('Up Names'!H13,'Up Wiki'!A:A,'Up Wiki'!B:B,),'Up Names'!H13)</f>
        <v>Rot Advantage</v>
      </c>
      <c r="C16" s="67" t="str">
        <f t="array" ref="C16">_xlfn.XLOOKUP(B16,'Up Desc'!A:A,'Up Desc'!B:B,)</f>
        <v>You deal extra damage to corroded targets.</v>
      </c>
      <c r="D16" s="37" t="str">
        <f t="array" ref="D16">_xlfn.XLOOKUP(B16,'Up Turbo'!A:A,'Up Turbo'!B:B,)</f>
        <v>n/a</v>
      </c>
      <c r="E16" s="39" t="str">
        <f t="array" ref="E16">_xlfn.XLOOKUP(B16,'Up Stats'!A:A,'Up Stats'!B:B,)</f>
        <v>Damage</v>
      </c>
      <c r="F16" s="40" t="str">
        <f>IFERROR(__xludf.DUMMYFUNCTION("if(AND(G16=FALSE,H16=FALSE),,if(G16=H16,JOIN("""",""Static: "",G16),JOIN("""",""Min:  "",G16, CHAR(10),""Max: "",H16)))"),"Min:  30%
Max: 40%")</f>
        <v>Min:  30%
Max: 40%</v>
      </c>
      <c r="G16" s="41">
        <f t="array" ref="G16">_xlfn.XLOOKUP(B16,'Up Min'!A:A,'Up Min'!B:B,)</f>
        <v>0.3</v>
      </c>
      <c r="H16" s="41">
        <f t="array" ref="H16">_xlfn.XLOOKUP(B16,'Up Max'!A:A,'Up Max'!B:B,)</f>
        <v>0.4</v>
      </c>
      <c r="I16" s="39" t="str">
        <f t="array" ref="I16">_xlfn.XLOOKUP(B16,'Up Stats'!A:A,'Up Stats'!C:C,)</f>
        <v/>
      </c>
      <c r="J16" s="40" t="str">
        <f>IFERROR(__xludf.DUMMYFUNCTION("if(AND(K16=FALSE,L16=FALSE),,if(K16=L16,JOIN("""",""Static: "",K16),JOIN("""",""Min:  "",K16, CHAR(10),""Max: "",L16)))"),"")</f>
        <v/>
      </c>
      <c r="K16" s="42" t="str">
        <f t="array" ref="K16">_xlfn.XLOOKUP(B16,'Up Min'!A:A,'Up Min'!C:C,)</f>
        <v/>
      </c>
      <c r="L16" s="42" t="str">
        <f t="array" ref="L16">_xlfn.XLOOKUP(B16,'Up Max'!A:A,'Up Max'!C:C,)</f>
        <v/>
      </c>
      <c r="M16" s="48" t="str">
        <f t="array" ref="M16">_xlfn.XLOOKUP(B16,'Up Stats'!A:A,'Up Stats'!D:D,)</f>
        <v/>
      </c>
      <c r="N16" s="40" t="str">
        <f>IFERROR(__xludf.DUMMYFUNCTION("if(AND(O16=FALSE,P16=FALSE),,if(O16=P16,JOIN("""",""Static: "",O16),JOIN("""",""Min:  "",O16, CHAR(10),""Max: "",P16)))"),"")</f>
        <v/>
      </c>
      <c r="O16" s="74" t="str">
        <f t="array" ref="O16">_xlfn.XLOOKUP(B16,'Up Min'!A:A,'Up Min'!D:D,)</f>
        <v/>
      </c>
      <c r="P16" s="74" t="str">
        <f t="array" ref="P16">_xlfn.XLOOKUP(B16,'Up Max'!A:A,'Up Max'!D:D,)</f>
        <v/>
      </c>
      <c r="Q16" s="48" t="str">
        <f t="array" ref="Q16">_xlfn.XLOOKUP(B16,'Up Stats'!A:A,'Up Stats'!E:E,)</f>
        <v/>
      </c>
      <c r="R16" s="40" t="str">
        <f>IFERROR(__xludf.DUMMYFUNCTION("if(AND(S16=FALSE,T16=FALSE),,if(S16=T16,JOIN("""",""Static: "",S16),JOIN("""",""Min:  "",S16, CHAR(10),""Max: "",T16)))"),"")</f>
        <v/>
      </c>
      <c r="S16" s="42" t="str">
        <f t="array" ref="S16">_xlfn.XLOOKUP(B16,'Up Min'!A:A,'Up Min'!E:E,)</f>
        <v/>
      </c>
      <c r="T16" s="42" t="str">
        <f t="array" ref="T16">_xlfn.XLOOKUP(B16,'Up Max'!A:A,'Up Max'!E:E,)</f>
        <v/>
      </c>
      <c r="U16" s="48" t="str">
        <f t="array" ref="U16">_xlfn.XLOOKUP(B16,'Up Stats'!A:A,'Up Stats'!F:F,)</f>
        <v/>
      </c>
      <c r="V16" s="40" t="str">
        <f>IFERROR(__xludf.DUMMYFUNCTION("if(AND(W16=FALSE,X16=FALSE),,if(W16=X16,JOIN("""",""Static: "",W16),JOIN("""",""Min:  "",W16, CHAR(10),""Max: "",X16)))"),"")</f>
        <v/>
      </c>
      <c r="W16" s="42" t="str">
        <f t="array" ref="W16">_xlfn.XLOOKUP(B16,'Up Min'!A:A,'Up Min'!F:F,)</f>
        <v/>
      </c>
      <c r="X16" s="42" t="str">
        <f t="array" ref="X16">_xlfn.XLOOKUP(B16,'Up Max'!A:A,'Up Max'!F:F,)</f>
        <v/>
      </c>
      <c r="Y16" s="48" t="str">
        <f t="array" ref="Y16">_xlfn.XLOOKUP(B16,'Up Stats'!A:A,'Up Stats'!G:G,)</f>
        <v/>
      </c>
      <c r="Z16" s="40" t="str">
        <f>IFERROR(__xludf.DUMMYFUNCTION("if(AND(AA16=FALSE,AB16=FALSE),,if(AA16=AB16,JOIN("""",""Static: "",AA16),JOIN("""",""Min:  "",AA16, CHAR(10),""Max: "",AB16)))"),"")</f>
        <v/>
      </c>
      <c r="AA16" s="42" t="str">
        <f t="array" ref="AA16">_xlfn.XLOOKUP(B16,'Up Min'!A:A,'Up Min'!G:G,)</f>
        <v/>
      </c>
      <c r="AB16" s="42" t="str">
        <f t="array" ref="AB16">_xlfn.XLOOKUP(B16,'Up Max'!A:A,'Up Max'!G:G,)</f>
        <v/>
      </c>
      <c r="AC16" s="48" t="str">
        <f t="array" ref="AC16">_xlfn.XLOOKUP(B16,'Up Stats'!A:A,'Up Stats'!H:H,)</f>
        <v/>
      </c>
      <c r="AD16" s="40" t="str">
        <f>IFERROR(__xludf.DUMMYFUNCTION("if(AND(AE16=FALSE,AF16=FALSE),,if(AE16=AF16,JOIN("""",""Static: "",AE16),JOIN("""",""Min:  "",AE16, CHAR(10),""Max: "",AF16)))"),"")</f>
        <v/>
      </c>
      <c r="AE16" s="42" t="str">
        <f t="array" ref="AE16">_xlfn.XLOOKUP(B16,'Up Min'!A:A,'Up Min'!H:H,)</f>
        <v/>
      </c>
      <c r="AF16" s="42" t="str">
        <f t="array" ref="AF16">_xlfn.XLOOKUP(B16,'Up Max'!A:A,'Up Max'!H:H,)</f>
        <v/>
      </c>
      <c r="AG16" s="48" t="str">
        <f t="array" ref="AG16">_xlfn.XLOOKUP(B16,'Up Stats'!A:A,'Up Stats'!I:I,)</f>
        <v/>
      </c>
      <c r="AH16" s="40" t="str">
        <f>IFERROR(__xludf.DUMMYFUNCTION("if(AND(AI16=FALSE,AJ16=FALSE),,if(AI16=AJ16,JOIN("""",""Static: "",AI16),JOIN("""",""Min:  "",AI16, CHAR(10),""Max: "",AJ16)))"),"")</f>
        <v/>
      </c>
      <c r="AI16" s="42" t="str">
        <f t="array" ref="AI16">_xlfn.XLOOKUP(B16,'Up Min'!A:A,'Up Min'!I:I,)</f>
        <v/>
      </c>
      <c r="AJ16" s="42" t="str">
        <f t="array" ref="AJ16">_xlfn.XLOOKUP(B16,'Up Max'!A:A,'Up Max'!I:I,)</f>
        <v/>
      </c>
      <c r="AK16" s="48" t="str">
        <f t="array" ref="AK16">_xlfn.XLOOKUP(B16,'Up Stats'!A:A,'Up Stats'!J:J,)</f>
        <v/>
      </c>
      <c r="AL16" s="40" t="str">
        <f>IFERROR(__xludf.DUMMYFUNCTION("if(AND(AM16=FALSE,AN16=FALSE),,if(AM16=AN16,JOIN("""",""Static: "",AM16),JOIN("""",""Min:  "",AM16, CHAR(10),""Max: "",AN16)))"),"")</f>
        <v/>
      </c>
      <c r="AM16" s="42" t="str">
        <f t="array" ref="AM16">_xlfn.XLOOKUP(B16,'Up Min'!A:A,'Up Min'!J:J,)</f>
        <v/>
      </c>
      <c r="AN16" s="42" t="str">
        <f t="array" ref="AN16">_xlfn.XLOOKUP(B16,'Up Max'!A:A,'Up Max'!J:J,)</f>
        <v/>
      </c>
      <c r="AO16" s="34" t="str">
        <f t="array" ref="AO16">CONCATENATE(_xlfn.XLOOKUP(B16,'Up Cells'!A:A,'Up Cells'!B:B,))</f>
        <v>4</v>
      </c>
      <c r="AP16" s="34" t="str">
        <f t="array" ref="AP16">CONCATENATE(_xlfn.XLOOKUP(B16,'Up Rarity'!A:A,'Up Rarity'!B:B,),CHAR(10),"-")</f>
        <v>Epic
-</v>
      </c>
    </row>
    <row r="17">
      <c r="A17" s="75" t="str">
        <f t="array" ref="A17">_xlfn.XLOOKUP(B17,'Up Icon'!A:A,'Up Icon'!B:B,)</f>
        <v/>
      </c>
      <c r="B17" s="63" t="str">
        <f t="array" ref="B17">HYPERLINK(_xlfn.XLOOKUP('Up Names'!H14,'Up Wiki'!A:A,'Up Wiki'!B:B,),'Up Names'!H14)</f>
        <v>Tailwind</v>
      </c>
      <c r="C17" s="52" t="str">
        <f t="array" ref="C17">_xlfn.XLOOKUP(B17,'Up Desc'!A:A,'Up Desc'!B:B,)</f>
        <v>Electrocuting a target with another weapon grants you stacks of Tailwind. Consume stacks by firing the Trident to move faster.</v>
      </c>
      <c r="D17" s="52" t="str">
        <f t="array" ref="D17">_xlfn.XLOOKUP(B17,'Up Turbo'!A:A,'Up Turbo'!B:B,)</f>
        <v>n/a</v>
      </c>
      <c r="E17" s="53" t="str">
        <f t="array" ref="E17">_xlfn.XLOOKUP(B17,'Up Stats'!A:A,'Up Stats'!B:B,)</f>
        <v>Efficiency</v>
      </c>
      <c r="F17" s="54" t="str">
        <f>IFERROR(__xludf.DUMMYFUNCTION("if(AND(G17=FALSE,H17=FALSE),,if(G17=H17,JOIN("""",""Static: "",G17),JOIN("""",""Min:  "",G17, CHAR(10),""Max: "",H17)))"),"Min:  1.6
Max: 2.4")</f>
        <v>Min:  1.6
Max: 2.4</v>
      </c>
      <c r="G17" s="64">
        <f t="array" ref="G17">_xlfn.XLOOKUP(B17,'Up Min'!A:A,'Up Min'!B:B,)</f>
        <v>1.6</v>
      </c>
      <c r="H17" s="65">
        <f t="array" ref="H17">_xlfn.XLOOKUP(B17,'Up Max'!A:A,'Up Max'!B:B,)</f>
        <v>2.4</v>
      </c>
      <c r="I17" s="53" t="str">
        <f t="array" ref="I17">_xlfn.XLOOKUP(B17,'Up Stats'!A:A,'Up Stats'!C:C,)</f>
        <v>Speed</v>
      </c>
      <c r="J17" s="54" t="str">
        <f>IFERROR(__xludf.DUMMYFUNCTION("if(AND(K17=FALSE,L17=FALSE),,if(K17=L17,JOIN("""",""Static: "",K17),JOIN("""",""Min:  "",K17, CHAR(10),""Max: "",L17)))"),"Min:  8.8
Max: 11.7")</f>
        <v>Min:  8.8
Max: 11.7</v>
      </c>
      <c r="K17" s="65">
        <f t="array" ref="K17">_xlfn.XLOOKUP(B17,'Up Min'!A:A,'Up Min'!C:C,)</f>
        <v>8.8</v>
      </c>
      <c r="L17" s="64">
        <f t="array" ref="L17">_xlfn.XLOOKUP(B17,'Up Max'!A:A,'Up Max'!C:C,)</f>
        <v>11.7</v>
      </c>
      <c r="M17" s="53" t="str">
        <f t="array" ref="M17">_xlfn.XLOOKUP(B17,'Up Stats'!A:A,'Up Stats'!D:D,)</f>
        <v/>
      </c>
      <c r="N17" s="54" t="str">
        <f>IFERROR(__xludf.DUMMYFUNCTION("if(AND(O17=FALSE,P17=FALSE),,if(O17=P17,JOIN("""",""Static: "",O17),JOIN("""",""Min:  "",O17, CHAR(10),""Max: "",P17)))"),"")</f>
        <v/>
      </c>
      <c r="O17" s="55" t="str">
        <f t="array" ref="O17">_xlfn.XLOOKUP(B17,'Up Min'!A:A,'Up Min'!D:D,)</f>
        <v/>
      </c>
      <c r="P17" s="55" t="str">
        <f t="array" ref="P17">_xlfn.XLOOKUP(B17,'Up Max'!A:A,'Up Max'!D:D,)</f>
        <v/>
      </c>
      <c r="Q17" s="57" t="str">
        <f t="array" ref="Q17">_xlfn.XLOOKUP(B17,'Up Stats'!A:A,'Up Stats'!E:E,)</f>
        <v/>
      </c>
      <c r="R17" s="54" t="str">
        <f>IFERROR(__xludf.DUMMYFUNCTION("if(AND(S17=FALSE,T17=FALSE),,if(S17=T17,JOIN("""",""Static: "",S17),JOIN("""",""Min:  "",S17, CHAR(10),""Max: "",T17)))"),"")</f>
        <v/>
      </c>
      <c r="S17" s="55" t="str">
        <f t="array" ref="S17">_xlfn.XLOOKUP(B17,'Up Min'!A:A,'Up Min'!E:E,)</f>
        <v/>
      </c>
      <c r="T17" s="55" t="str">
        <f t="array" ref="T17">_xlfn.XLOOKUP(B17,'Up Max'!A:A,'Up Max'!E:E,)</f>
        <v/>
      </c>
      <c r="U17" s="57" t="str">
        <f t="array" ref="U17">_xlfn.XLOOKUP(B17,'Up Stats'!A:A,'Up Stats'!F:F,)</f>
        <v/>
      </c>
      <c r="V17" s="54" t="str">
        <f>IFERROR(__xludf.DUMMYFUNCTION("if(AND(W17=FALSE,X17=FALSE),,if(W17=X17,JOIN("""",""Static: "",W17),JOIN("""",""Min:  "",W17, CHAR(10),""Max: "",X17)))"),"")</f>
        <v/>
      </c>
      <c r="W17" s="55" t="str">
        <f t="array" ref="W17">_xlfn.XLOOKUP(B17,'Up Min'!A:A,'Up Min'!F:F,)</f>
        <v/>
      </c>
      <c r="X17" s="55" t="str">
        <f t="array" ref="X17">_xlfn.XLOOKUP(B17,'Up Max'!A:A,'Up Max'!F:F,)</f>
        <v/>
      </c>
      <c r="Y17" s="57" t="str">
        <f t="array" ref="Y17">_xlfn.XLOOKUP(B17,'Up Stats'!A:A,'Up Stats'!G:G,)</f>
        <v/>
      </c>
      <c r="Z17" s="54" t="str">
        <f>IFERROR(__xludf.DUMMYFUNCTION("if(AND(AA17=FALSE,AB17=FALSE),,if(AA17=AB17,JOIN("""",""Static: "",AA17),JOIN("""",""Min:  "",AA17, CHAR(10),""Max: "",AB17)))"),"")</f>
        <v/>
      </c>
      <c r="AA17" s="55" t="str">
        <f t="array" ref="AA17">_xlfn.XLOOKUP(B17,'Up Min'!A:A,'Up Min'!G:G,)</f>
        <v/>
      </c>
      <c r="AB17" s="55" t="str">
        <f t="array" ref="AB17">_xlfn.XLOOKUP(B17,'Up Max'!A:A,'Up Max'!G:G,)</f>
        <v/>
      </c>
      <c r="AC17" s="57" t="str">
        <f t="array" ref="AC17">_xlfn.XLOOKUP(B17,'Up Stats'!A:A,'Up Stats'!H:H,)</f>
        <v/>
      </c>
      <c r="AD17" s="54" t="str">
        <f>IFERROR(__xludf.DUMMYFUNCTION("if(AND(AE17=FALSE,AF17=FALSE),,if(AE17=AF17,JOIN("""",""Static: "",AE17),JOIN("""",""Min:  "",AE17, CHAR(10),""Max: "",AF17)))"),"")</f>
        <v/>
      </c>
      <c r="AE17" s="55" t="str">
        <f t="array" ref="AE17">_xlfn.XLOOKUP(B17,'Up Min'!A:A,'Up Min'!H:H,)</f>
        <v/>
      </c>
      <c r="AF17" s="55" t="str">
        <f t="array" ref="AF17">_xlfn.XLOOKUP(B17,'Up Max'!A:A,'Up Max'!H:H,)</f>
        <v/>
      </c>
      <c r="AG17" s="57" t="str">
        <f t="array" ref="AG17">_xlfn.XLOOKUP(B17,'Up Stats'!A:A,'Up Stats'!I:I,)</f>
        <v/>
      </c>
      <c r="AH17" s="54" t="str">
        <f>IFERROR(__xludf.DUMMYFUNCTION("if(AND(AI17=FALSE,AJ17=FALSE),,if(AI17=AJ17,JOIN("""",""Static: "",AI17),JOIN("""",""Min:  "",AI17, CHAR(10),""Max: "",AJ17)))"),"")</f>
        <v/>
      </c>
      <c r="AI17" s="55" t="str">
        <f t="array" ref="AI17">_xlfn.XLOOKUP(B17,'Up Min'!A:A,'Up Min'!I:I,)</f>
        <v/>
      </c>
      <c r="AJ17" s="55" t="str">
        <f t="array" ref="AJ17">_xlfn.XLOOKUP(B17,'Up Max'!A:A,'Up Max'!I:I,)</f>
        <v/>
      </c>
      <c r="AK17" s="57" t="str">
        <f t="array" ref="AK17">_xlfn.XLOOKUP(B17,'Up Stats'!A:A,'Up Stats'!J:J,)</f>
        <v/>
      </c>
      <c r="AL17" s="54" t="str">
        <f>IFERROR(__xludf.DUMMYFUNCTION("if(AND(AM17=FALSE,AN17=FALSE),,if(AM17=AN17,JOIN("""",""Static: "",AM17),JOIN("""",""Min:  "",AM17, CHAR(10),""Max: "",AN17)))"),"")</f>
        <v/>
      </c>
      <c r="AM17" s="55" t="str">
        <f t="array" ref="AM17">_xlfn.XLOOKUP(B17,'Up Min'!A:A,'Up Min'!J:J,)</f>
        <v/>
      </c>
      <c r="AN17" s="55" t="str">
        <f t="array" ref="AN17">_xlfn.XLOOKUP(B17,'Up Max'!A:A,'Up Max'!J:J,)</f>
        <v/>
      </c>
      <c r="AO17" s="51" t="str">
        <f t="array" ref="AO17">CONCATENATE(_xlfn.XLOOKUP(B17,'Up Cells'!A:A,'Up Cells'!B:B,))</f>
        <v>4</v>
      </c>
      <c r="AP17" s="51" t="str">
        <f t="array" ref="AP17">CONCATENATE(_xlfn.XLOOKUP(B17,'Up Rarity'!A:A,'Up Rarity'!B:B,),CHAR(10),"-")</f>
        <v>Epic
-</v>
      </c>
    </row>
    <row r="18">
      <c r="A18" s="75" t="str">
        <f t="array" ref="A18">_xlfn.XLOOKUP(B18,'Up Icon'!A:A,'Up Icon'!B:B,)</f>
        <v/>
      </c>
      <c r="B18" s="66" t="str">
        <f t="array" ref="B18">HYPERLINK(_xlfn.XLOOKUP('Up Names'!H15,'Up Wiki'!A:A,'Up Wiki'!B:B,),'Up Names'!H15)</f>
        <v>Tread the Line</v>
      </c>
      <c r="C18" s="67" t="str">
        <f t="array" ref="C18">_xlfn.XLOOKUP(B18,'Up Desc'!A:A,'Up Desc'!B:B,)</f>
        <v>Damage is increased for each rare cell surrounding this upgrade. Recoil is increased for each other cell.</v>
      </c>
      <c r="D18" s="37" t="str">
        <f t="array" ref="D18">_xlfn.XLOOKUP(B18,'Up Turbo'!A:A,'Up Turbo'!B:B,)</f>
        <v>n/a</v>
      </c>
      <c r="E18" s="39" t="str">
        <f t="array" ref="E18">_xlfn.XLOOKUP(B18,'Up Stats'!A:A,'Up Stats'!B:B,)</f>
        <v>Damage per Cell</v>
      </c>
      <c r="F18" s="40" t="str">
        <f>IFERROR(__xludf.DUMMYFUNCTION("if(AND(G18=FALSE,H18=FALSE),,if(G18=H18,JOIN("""",""Static: "",G18),JOIN("""",""Min:  "",G18, CHAR(10),""Max: "",H18)))"),"Min:  3%
Max: 5%")</f>
        <v>Min:  3%
Max: 5%</v>
      </c>
      <c r="G18" s="41">
        <f t="array" ref="G18">_xlfn.XLOOKUP(B18,'Up Min'!A:A,'Up Min'!B:B,)</f>
        <v>0.03</v>
      </c>
      <c r="H18" s="41">
        <f t="array" ref="H18">_xlfn.XLOOKUP(B18,'Up Max'!A:A,'Up Max'!B:B,)</f>
        <v>0.05</v>
      </c>
      <c r="I18" s="39" t="str">
        <f t="array" ref="I18">_xlfn.XLOOKUP(B18,'Up Stats'!A:A,'Up Stats'!C:C,)</f>
        <v>Recoil per Cell</v>
      </c>
      <c r="J18" s="40" t="str">
        <f>IFERROR(__xludf.DUMMYFUNCTION("if(AND(K18=FALSE,L18=FALSE),,if(K18=L18,JOIN("""",""Static: "",K18),JOIN("""",""Min:  "",K18, CHAR(10),""Max: "",L18)))"),"Min:  15%
Max: 20%")</f>
        <v>Min:  15%
Max: 20%</v>
      </c>
      <c r="K18" s="41">
        <f t="array" ref="K18">_xlfn.XLOOKUP(B18,'Up Min'!A:A,'Up Min'!C:C,)</f>
        <v>0.15</v>
      </c>
      <c r="L18" s="41">
        <f t="array" ref="L18">_xlfn.XLOOKUP(B18,'Up Max'!A:A,'Up Max'!C:C,)</f>
        <v>0.2</v>
      </c>
      <c r="M18" s="39" t="str">
        <f t="array" ref="M18">_xlfn.XLOOKUP(B18,'Up Stats'!A:A,'Up Stats'!D:D,)</f>
        <v/>
      </c>
      <c r="N18" s="40" t="str">
        <f>IFERROR(__xludf.DUMMYFUNCTION("if(AND(O18=FALSE,P18=FALSE),,if(O18=P18,JOIN("""",""Static: "",O18),JOIN("""",""Min:  "",O18, CHAR(10),""Max: "",P18)))"),"")</f>
        <v/>
      </c>
      <c r="O18" s="42" t="str">
        <f t="array" ref="O18">_xlfn.XLOOKUP(B18,'Up Min'!A:A,'Up Min'!D:D,)</f>
        <v/>
      </c>
      <c r="P18" s="42" t="str">
        <f t="array" ref="P18">_xlfn.XLOOKUP(B18,'Up Max'!A:A,'Up Max'!D:D,)</f>
        <v/>
      </c>
      <c r="Q18" s="48" t="str">
        <f t="array" ref="Q18">_xlfn.XLOOKUP(B18,'Up Stats'!A:A,'Up Stats'!E:E,)</f>
        <v/>
      </c>
      <c r="R18" s="40" t="str">
        <f>IFERROR(__xludf.DUMMYFUNCTION("if(AND(S18=FALSE,T18=FALSE),,if(S18=T18,JOIN("""",""Static: "",S18),JOIN("""",""Min:  "",S18, CHAR(10),""Max: "",T18)))"),"")</f>
        <v/>
      </c>
      <c r="S18" s="42" t="str">
        <f t="array" ref="S18">_xlfn.XLOOKUP(B18,'Up Min'!A:A,'Up Min'!E:E,)</f>
        <v/>
      </c>
      <c r="T18" s="42" t="str">
        <f t="array" ref="T18">_xlfn.XLOOKUP(B18,'Up Max'!A:A,'Up Max'!E:E,)</f>
        <v/>
      </c>
      <c r="U18" s="48" t="str">
        <f t="array" ref="U18">_xlfn.XLOOKUP(B18,'Up Stats'!A:A,'Up Stats'!F:F,)</f>
        <v/>
      </c>
      <c r="V18" s="40" t="str">
        <f>IFERROR(__xludf.DUMMYFUNCTION("if(AND(W18=FALSE,X18=FALSE),,if(W18=X18,JOIN("""",""Static: "",W18),JOIN("""",""Min:  "",W18, CHAR(10),""Max: "",X18)))"),"")</f>
        <v/>
      </c>
      <c r="W18" s="42" t="str">
        <f t="array" ref="W18">_xlfn.XLOOKUP(B18,'Up Min'!A:A,'Up Min'!F:F,)</f>
        <v/>
      </c>
      <c r="X18" s="42" t="str">
        <f t="array" ref="X18">_xlfn.XLOOKUP(B18,'Up Max'!A:A,'Up Max'!F:F,)</f>
        <v/>
      </c>
      <c r="Y18" s="48" t="str">
        <f t="array" ref="Y18">_xlfn.XLOOKUP(B18,'Up Stats'!A:A,'Up Stats'!G:G,)</f>
        <v/>
      </c>
      <c r="Z18" s="40" t="str">
        <f>IFERROR(__xludf.DUMMYFUNCTION("if(AND(AA18=FALSE,AB18=FALSE),,if(AA18=AB18,JOIN("""",""Static: "",AA18),JOIN("""",""Min:  "",AA18, CHAR(10),""Max: "",AB18)))"),"")</f>
        <v/>
      </c>
      <c r="AA18" s="42" t="str">
        <f t="array" ref="AA18">_xlfn.XLOOKUP(B18,'Up Min'!A:A,'Up Min'!G:G,)</f>
        <v/>
      </c>
      <c r="AB18" s="42" t="str">
        <f t="array" ref="AB18">_xlfn.XLOOKUP(B18,'Up Max'!A:A,'Up Max'!G:G,)</f>
        <v/>
      </c>
      <c r="AC18" s="48" t="str">
        <f t="array" ref="AC18">_xlfn.XLOOKUP(B18,'Up Stats'!A:A,'Up Stats'!H:H,)</f>
        <v/>
      </c>
      <c r="AD18" s="40" t="str">
        <f>IFERROR(__xludf.DUMMYFUNCTION("if(AND(AE18=FALSE,AF18=FALSE),,if(AE18=AF18,JOIN("""",""Static: "",AE18),JOIN("""",""Min:  "",AE18, CHAR(10),""Max: "",AF18)))"),"")</f>
        <v/>
      </c>
      <c r="AE18" s="42" t="str">
        <f t="array" ref="AE18">_xlfn.XLOOKUP(B18,'Up Min'!A:A,'Up Min'!H:H,)</f>
        <v/>
      </c>
      <c r="AF18" s="42" t="str">
        <f t="array" ref="AF18">_xlfn.XLOOKUP(B18,'Up Max'!A:A,'Up Max'!H:H,)</f>
        <v/>
      </c>
      <c r="AG18" s="48" t="str">
        <f t="array" ref="AG18">_xlfn.XLOOKUP(B18,'Up Stats'!A:A,'Up Stats'!I:I,)</f>
        <v/>
      </c>
      <c r="AH18" s="40" t="str">
        <f>IFERROR(__xludf.DUMMYFUNCTION("if(AND(AI18=FALSE,AJ18=FALSE),,if(AI18=AJ18,JOIN("""",""Static: "",AI18),JOIN("""",""Min:  "",AI18, CHAR(10),""Max: "",AJ18)))"),"")</f>
        <v/>
      </c>
      <c r="AI18" s="42" t="str">
        <f t="array" ref="AI18">_xlfn.XLOOKUP(B18,'Up Min'!A:A,'Up Min'!I:I,)</f>
        <v/>
      </c>
      <c r="AJ18" s="42" t="str">
        <f t="array" ref="AJ18">_xlfn.XLOOKUP(B18,'Up Max'!A:A,'Up Max'!I:I,)</f>
        <v/>
      </c>
      <c r="AK18" s="48" t="str">
        <f t="array" ref="AK18">_xlfn.XLOOKUP(B18,'Up Stats'!A:A,'Up Stats'!J:J,)</f>
        <v/>
      </c>
      <c r="AL18" s="40" t="str">
        <f>IFERROR(__xludf.DUMMYFUNCTION("if(AND(AM18=FALSE,AN18=FALSE),,if(AM18=AN18,JOIN("""",""Static: "",AM18),JOIN("""",""Min:  "",AM18, CHAR(10),""Max: "",AN18)))"),"")</f>
        <v/>
      </c>
      <c r="AM18" s="42" t="str">
        <f t="array" ref="AM18">_xlfn.XLOOKUP(B18,'Up Min'!A:A,'Up Min'!J:J,)</f>
        <v/>
      </c>
      <c r="AN18" s="42" t="str">
        <f t="array" ref="AN18">_xlfn.XLOOKUP(B18,'Up Max'!A:A,'Up Max'!J:J,)</f>
        <v/>
      </c>
      <c r="AO18" s="34" t="str">
        <f t="array" ref="AO18">CONCATENATE(_xlfn.XLOOKUP(B18,'Up Cells'!A:A,'Up Cells'!B:B,))</f>
        <v>2</v>
      </c>
      <c r="AP18" s="34" t="str">
        <f t="array" ref="AP18">CONCATENATE(_xlfn.XLOOKUP(B18,'Up Rarity'!A:A,'Up Rarity'!B:B,),CHAR(10),"-")</f>
        <v>Epic
-</v>
      </c>
    </row>
    <row r="19">
      <c r="A19" s="83" t="str">
        <f t="array" ref="A19">_xlfn.XLOOKUP(B19,'Up Icon'!A:A,'Up Icon'!B:B,)</f>
        <v/>
      </c>
      <c r="B19" s="63" t="str">
        <f t="array" ref="B19">HYPERLINK(_xlfn.XLOOKUP('Up Names'!H16,'Up Wiki'!A:A,'Up Wiki'!B:B,),'Up Names'!H16)</f>
        <v>Bottom Heavy</v>
      </c>
      <c r="C19" s="70" t="str">
        <f t="array" ref="C19">_xlfn.XLOOKUP(B19,'Up Desc'!A:A,'Up Desc'!B:B,)</f>
        <v>Ammo reserves are increased but recoil is more intense.</v>
      </c>
      <c r="D19" s="52" t="str">
        <f t="array" ref="D19">_xlfn.XLOOKUP(B19,'Up Turbo'!A:A,'Up Turbo'!B:B,)</f>
        <v>n/a</v>
      </c>
      <c r="E19" s="53" t="str">
        <f t="array" ref="E19">_xlfn.XLOOKUP(B19,'Up Stats'!A:A,'Up Stats'!B:B,)</f>
        <v>Ammo Capacity</v>
      </c>
      <c r="F19" s="54" t="str">
        <f>IFERROR(__xludf.DUMMYFUNCTION("if(AND(G19=FALSE,H19=FALSE),,if(G19=H19,JOIN("""",""Static: "",G19),JOIN("""",""Min:  "",G19, CHAR(10),""Max: "",H19)))"),"Min:  120
Max: 180")</f>
        <v>Min:  120
Max: 180</v>
      </c>
      <c r="G19" s="64">
        <f t="array" ref="G19">_xlfn.XLOOKUP(B19,'Up Min'!A:A,'Up Min'!B:B,)</f>
        <v>120</v>
      </c>
      <c r="H19" s="65">
        <f t="array" ref="H19">_xlfn.XLOOKUP(B19,'Up Max'!A:A,'Up Max'!B:B,)</f>
        <v>180</v>
      </c>
      <c r="I19" s="53" t="str">
        <f t="array" ref="I19">_xlfn.XLOOKUP(B19,'Up Stats'!A:A,'Up Stats'!C:C,)</f>
        <v>Horizontal Recoil</v>
      </c>
      <c r="J19" s="54" t="str">
        <f>IFERROR(__xludf.DUMMYFUNCTION("if(AND(K19=FALSE,L19=FALSE),,if(K19=L19,JOIN("""",""Static: "",K19),JOIN("""",""Min:  "",K19, CHAR(10),""Max: "",L19)))"),"Min:  12%
Max: 22%")</f>
        <v>Min:  12%
Max: 22%</v>
      </c>
      <c r="K19" s="59">
        <f t="array" ref="K19">_xlfn.XLOOKUP(B19,'Up Min'!A:A,'Up Min'!C:C,)</f>
        <v>0.12</v>
      </c>
      <c r="L19" s="59">
        <f t="array" ref="L19">_xlfn.XLOOKUP(B19,'Up Max'!A:A,'Up Max'!C:C,)</f>
        <v>0.22</v>
      </c>
      <c r="M19" s="53" t="str">
        <f t="array" ref="M19">_xlfn.XLOOKUP(B19,'Up Stats'!A:A,'Up Stats'!D:D,)</f>
        <v>Vertical Recoil</v>
      </c>
      <c r="N19" s="54" t="str">
        <f>IFERROR(__xludf.DUMMYFUNCTION("if(AND(O19=FALSE,P19=FALSE),,if(O19=P19,JOIN("""",""Static: "",O19),JOIN("""",""Min:  "",O19, CHAR(10),""Max: "",P19)))"),"Min:  12%
Max: 22%")</f>
        <v>Min:  12%
Max: 22%</v>
      </c>
      <c r="O19" s="59">
        <f t="array" ref="O19">_xlfn.XLOOKUP(B19,'Up Min'!A:A,'Up Min'!D:D,)</f>
        <v>0.12</v>
      </c>
      <c r="P19" s="59">
        <f t="array" ref="P19">_xlfn.XLOOKUP(B19,'Up Max'!A:A,'Up Max'!D:D,)</f>
        <v>0.22</v>
      </c>
      <c r="Q19" s="57" t="str">
        <f t="array" ref="Q19">_xlfn.XLOOKUP(B19,'Up Stats'!A:A,'Up Stats'!E:E,)</f>
        <v/>
      </c>
      <c r="R19" s="54" t="str">
        <f>IFERROR(__xludf.DUMMYFUNCTION("if(AND(S19=FALSE,T19=FALSE),,if(S19=T19,JOIN("""",""Static: "",S19),JOIN("""",""Min:  "",S19, CHAR(10),""Max: "",T19)))"),"")</f>
        <v/>
      </c>
      <c r="S19" s="56" t="str">
        <f t="array" ref="S19">_xlfn.XLOOKUP(B19,'Up Min'!A:A,'Up Min'!E:E,)</f>
        <v/>
      </c>
      <c r="T19" s="55" t="str">
        <f t="array" ref="T19">_xlfn.XLOOKUP(B19,'Up Max'!A:A,'Up Max'!E:E,)</f>
        <v/>
      </c>
      <c r="U19" s="57" t="str">
        <f t="array" ref="U19">_xlfn.XLOOKUP(B19,'Up Stats'!A:A,'Up Stats'!F:F,)</f>
        <v/>
      </c>
      <c r="V19" s="54" t="str">
        <f>IFERROR(__xludf.DUMMYFUNCTION("if(AND(W19=FALSE,X19=FALSE),,if(W19=X19,JOIN("""",""Static: "",W19),JOIN("""",""Min:  "",W19, CHAR(10),""Max: "",X19)))"),"")</f>
        <v/>
      </c>
      <c r="W19" s="55" t="str">
        <f t="array" ref="W19">_xlfn.XLOOKUP(B19,'Up Min'!A:A,'Up Min'!F:F,)</f>
        <v/>
      </c>
      <c r="X19" s="55" t="str">
        <f t="array" ref="X19">_xlfn.XLOOKUP(B19,'Up Max'!A:A,'Up Max'!F:F,)</f>
        <v/>
      </c>
      <c r="Y19" s="57" t="str">
        <f t="array" ref="Y19">_xlfn.XLOOKUP(B19,'Up Stats'!A:A,'Up Stats'!G:G,)</f>
        <v/>
      </c>
      <c r="Z19" s="54" t="str">
        <f>IFERROR(__xludf.DUMMYFUNCTION("if(AND(AA19=FALSE,AB19=FALSE),,if(AA19=AB19,JOIN("""",""Static: "",AA19),JOIN("""",""Min:  "",AA19, CHAR(10),""Max: "",AB19)))"),"")</f>
        <v/>
      </c>
      <c r="AA19" s="55" t="str">
        <f t="array" ref="AA19">_xlfn.XLOOKUP(B19,'Up Min'!A:A,'Up Min'!G:G,)</f>
        <v/>
      </c>
      <c r="AB19" s="55" t="str">
        <f t="array" ref="AB19">_xlfn.XLOOKUP(B19,'Up Max'!A:A,'Up Max'!G:G,)</f>
        <v/>
      </c>
      <c r="AC19" s="57" t="str">
        <f t="array" ref="AC19">_xlfn.XLOOKUP(B19,'Up Stats'!A:A,'Up Stats'!H:H,)</f>
        <v/>
      </c>
      <c r="AD19" s="54" t="str">
        <f>IFERROR(__xludf.DUMMYFUNCTION("if(AND(AE19=FALSE,AF19=FALSE),,if(AE19=AF19,JOIN("""",""Static: "",AE19),JOIN("""",""Min:  "",AE19, CHAR(10),""Max: "",AF19)))"),"")</f>
        <v/>
      </c>
      <c r="AE19" s="55" t="str">
        <f t="array" ref="AE19">_xlfn.XLOOKUP(B19,'Up Min'!A:A,'Up Min'!H:H,)</f>
        <v/>
      </c>
      <c r="AF19" s="55" t="str">
        <f t="array" ref="AF19">_xlfn.XLOOKUP(B19,'Up Max'!A:A,'Up Max'!H:H,)</f>
        <v/>
      </c>
      <c r="AG19" s="57" t="str">
        <f t="array" ref="AG19">_xlfn.XLOOKUP(B19,'Up Stats'!A:A,'Up Stats'!I:I,)</f>
        <v/>
      </c>
      <c r="AH19" s="54" t="str">
        <f>IFERROR(__xludf.DUMMYFUNCTION("if(AND(AI19=FALSE,AJ19=FALSE),,if(AI19=AJ19,JOIN("""",""Static: "",AI19),JOIN("""",""Min:  "",AI19, CHAR(10),""Max: "",AJ19)))"),"")</f>
        <v/>
      </c>
      <c r="AI19" s="55" t="str">
        <f t="array" ref="AI19">_xlfn.XLOOKUP(B19,'Up Min'!A:A,'Up Min'!I:I,)</f>
        <v/>
      </c>
      <c r="AJ19" s="55" t="str">
        <f t="array" ref="AJ19">_xlfn.XLOOKUP(B19,'Up Max'!A:A,'Up Max'!I:I,)</f>
        <v/>
      </c>
      <c r="AK19" s="57" t="str">
        <f t="array" ref="AK19">_xlfn.XLOOKUP(B19,'Up Stats'!A:A,'Up Stats'!J:J,)</f>
        <v/>
      </c>
      <c r="AL19" s="54" t="str">
        <f>IFERROR(__xludf.DUMMYFUNCTION("if(AND(AM19=FALSE,AN19=FALSE),,if(AM19=AN19,JOIN("""",""Static: "",AM19),JOIN("""",""Min:  "",AM19, CHAR(10),""Max: "",AN19)))"),"")</f>
        <v/>
      </c>
      <c r="AM19" s="55" t="str">
        <f t="array" ref="AM19">_xlfn.XLOOKUP(B19,'Up Min'!A:A,'Up Min'!J:J,)</f>
        <v/>
      </c>
      <c r="AN19" s="55" t="str">
        <f t="array" ref="AN19">_xlfn.XLOOKUP(B19,'Up Max'!A:A,'Up Max'!J:J,)</f>
        <v/>
      </c>
      <c r="AO19" s="51" t="str">
        <f t="array" ref="AO19">CONCATENATE(_xlfn.XLOOKUP(B19,'Up Cells'!A:A,'Up Cells'!B:B,))</f>
        <v>3</v>
      </c>
      <c r="AP19" s="51" t="str">
        <f t="array" ref="AP19">CONCATENATE(_xlfn.XLOOKUP(B19,'Up Rarity'!A:A,'Up Rarity'!B:B,),CHAR(10),"-")</f>
        <v>Rare
-</v>
      </c>
    </row>
    <row r="20">
      <c r="A20" s="83" t="str">
        <f t="array" ref="A20">_xlfn.XLOOKUP(B20,'Up Icon'!A:A,'Up Icon'!B:B,)</f>
        <v/>
      </c>
      <c r="B20" s="66" t="str">
        <f t="array" ref="B20">HYPERLINK(_xlfn.XLOOKUP('Up Names'!H17,'Up Wiki'!A:A,'Up Wiki'!B:B,),'Up Names'!H17)</f>
        <v>Broadside</v>
      </c>
      <c r="C20" s="37" t="str">
        <f t="array" ref="C20">_xlfn.XLOOKUP(B20,'Up Desc'!A:A,'Up Desc'!B:B,)</f>
        <v>Fire double bullets in vertical mode. Damage is reduced.</v>
      </c>
      <c r="D20" s="37" t="str">
        <f t="array" ref="D20">_xlfn.XLOOKUP(B20,'Up Turbo'!A:A,'Up Turbo'!B:B,)</f>
        <v>n/a</v>
      </c>
      <c r="E20" s="39" t="str">
        <f t="array" ref="E20">_xlfn.XLOOKUP(B20,'Up Stats'!A:A,'Up Stats'!B:B,)</f>
        <v>Damage</v>
      </c>
      <c r="F20" s="40" t="str">
        <f>IFERROR(__xludf.DUMMYFUNCTION("if(AND(G20=FALSE,H20=FALSE),,if(G20=H20,JOIN("""",""Static: "",G20),JOIN("""",""Min:  "",G20, CHAR(10),""Max: "",H20)))"),"Min:  -50%
Max: -37%")</f>
        <v>Min:  -50%
Max: -37%</v>
      </c>
      <c r="G20" s="41">
        <f t="array" ref="G20">_xlfn.XLOOKUP(B20,'Up Min'!A:A,'Up Min'!B:B,)</f>
        <v>-0.5</v>
      </c>
      <c r="H20" s="41">
        <f t="array" ref="H20">_xlfn.XLOOKUP(B20,'Up Max'!A:A,'Up Max'!B:B,)</f>
        <v>-0.37</v>
      </c>
      <c r="I20" s="39" t="str">
        <f t="array" ref="I20">_xlfn.XLOOKUP(B20,'Up Stats'!A:A,'Up Stats'!C:C,)</f>
        <v>Bullets per Shot</v>
      </c>
      <c r="J20" s="40" t="str">
        <f>IFERROR(__xludf.DUMMYFUNCTION("if(AND(K20=FALSE,L20=FALSE),,if(K20=L20,JOIN("""",""Static: "",K20),JOIN("""",""Min:  "",K20, CHAR(10),""Max: "",L20)))"),"Static: 2")</f>
        <v>Static: 2</v>
      </c>
      <c r="K20" s="68">
        <f t="array" ref="K20">_xlfn.XLOOKUP(B20,'Up Min'!A:A,'Up Min'!C:C,)</f>
        <v>2</v>
      </c>
      <c r="L20" s="69">
        <f t="array" ref="L20">_xlfn.XLOOKUP(B20,'Up Max'!A:A,'Up Max'!C:C,)</f>
        <v>2</v>
      </c>
      <c r="M20" s="39" t="str">
        <f t="array" ref="M20">_xlfn.XLOOKUP(B20,'Up Stats'!A:A,'Up Stats'!D:D,)</f>
        <v/>
      </c>
      <c r="N20" s="40" t="str">
        <f>IFERROR(__xludf.DUMMYFUNCTION("if(AND(O20=FALSE,P20=FALSE),,if(O20=P20,JOIN("""",""Static: "",O20),JOIN("""",""Min:  "",O20, CHAR(10),""Max: "",P20)))"),"")</f>
        <v/>
      </c>
      <c r="O20" s="42" t="str">
        <f t="array" ref="O20">_xlfn.XLOOKUP(B20,'Up Min'!A:A,'Up Min'!D:D,)</f>
        <v/>
      </c>
      <c r="P20" s="42" t="str">
        <f t="array" ref="P20">_xlfn.XLOOKUP(B20,'Up Max'!A:A,'Up Max'!D:D,)</f>
        <v/>
      </c>
      <c r="Q20" s="48" t="str">
        <f t="array" ref="Q20">_xlfn.XLOOKUP(B20,'Up Stats'!A:A,'Up Stats'!E:E,)</f>
        <v/>
      </c>
      <c r="R20" s="40" t="str">
        <f>IFERROR(__xludf.DUMMYFUNCTION("if(AND(S20=FALSE,T20=FALSE),,if(S20=T20,JOIN("""",""Static: "",S20),JOIN("""",""Min:  "",S20, CHAR(10),""Max: "",T20)))"),"")</f>
        <v/>
      </c>
      <c r="S20" s="42" t="str">
        <f t="array" ref="S20">_xlfn.XLOOKUP(B20,'Up Min'!A:A,'Up Min'!E:E,)</f>
        <v/>
      </c>
      <c r="T20" s="42" t="str">
        <f t="array" ref="T20">_xlfn.XLOOKUP(B20,'Up Max'!A:A,'Up Max'!E:E,)</f>
        <v/>
      </c>
      <c r="U20" s="48" t="str">
        <f t="array" ref="U20">_xlfn.XLOOKUP(B20,'Up Stats'!A:A,'Up Stats'!F:F,)</f>
        <v/>
      </c>
      <c r="V20" s="40" t="str">
        <f>IFERROR(__xludf.DUMMYFUNCTION("if(AND(W20=FALSE,X20=FALSE),,if(W20=X20,JOIN("""",""Static: "",W20),JOIN("""",""Min:  "",W20, CHAR(10),""Max: "",X20)))"),"")</f>
        <v/>
      </c>
      <c r="W20" s="42" t="str">
        <f t="array" ref="W20">_xlfn.XLOOKUP(B20,'Up Min'!A:A,'Up Min'!F:F,)</f>
        <v/>
      </c>
      <c r="X20" s="42" t="str">
        <f t="array" ref="X20">_xlfn.XLOOKUP(B20,'Up Max'!A:A,'Up Max'!F:F,)</f>
        <v/>
      </c>
      <c r="Y20" s="48" t="str">
        <f t="array" ref="Y20">_xlfn.XLOOKUP(B20,'Up Stats'!A:A,'Up Stats'!G:G,)</f>
        <v/>
      </c>
      <c r="Z20" s="40" t="str">
        <f>IFERROR(__xludf.DUMMYFUNCTION("if(AND(AA20=FALSE,AB20=FALSE),,if(AA20=AB20,JOIN("""",""Static: "",AA20),JOIN("""",""Min:  "",AA20, CHAR(10),""Max: "",AB20)))"),"")</f>
        <v/>
      </c>
      <c r="AA20" s="42" t="str">
        <f t="array" ref="AA20">_xlfn.XLOOKUP(B20,'Up Min'!A:A,'Up Min'!G:G,)</f>
        <v/>
      </c>
      <c r="AB20" s="42" t="str">
        <f t="array" ref="AB20">_xlfn.XLOOKUP(B20,'Up Max'!A:A,'Up Max'!G:G,)</f>
        <v/>
      </c>
      <c r="AC20" s="48" t="str">
        <f t="array" ref="AC20">_xlfn.XLOOKUP(B20,'Up Stats'!A:A,'Up Stats'!H:H,)</f>
        <v/>
      </c>
      <c r="AD20" s="40" t="str">
        <f>IFERROR(__xludf.DUMMYFUNCTION("if(AND(AE20=FALSE,AF20=FALSE),,if(AE20=AF20,JOIN("""",""Static: "",AE20),JOIN("""",""Min:  "",AE20, CHAR(10),""Max: "",AF20)))"),"")</f>
        <v/>
      </c>
      <c r="AE20" s="42" t="str">
        <f t="array" ref="AE20">_xlfn.XLOOKUP(B20,'Up Min'!A:A,'Up Min'!H:H,)</f>
        <v/>
      </c>
      <c r="AF20" s="42" t="str">
        <f t="array" ref="AF20">_xlfn.XLOOKUP(B20,'Up Max'!A:A,'Up Max'!H:H,)</f>
        <v/>
      </c>
      <c r="AG20" s="48" t="str">
        <f t="array" ref="AG20">_xlfn.XLOOKUP(B20,'Up Stats'!A:A,'Up Stats'!I:I,)</f>
        <v/>
      </c>
      <c r="AH20" s="40" t="str">
        <f>IFERROR(__xludf.DUMMYFUNCTION("if(AND(AI20=FALSE,AJ20=FALSE),,if(AI20=AJ20,JOIN("""",""Static: "",AI20),JOIN("""",""Min:  "",AI20, CHAR(10),""Max: "",AJ20)))"),"")</f>
        <v/>
      </c>
      <c r="AI20" s="42" t="str">
        <f t="array" ref="AI20">_xlfn.XLOOKUP(B20,'Up Min'!A:A,'Up Min'!I:I,)</f>
        <v/>
      </c>
      <c r="AJ20" s="42" t="str">
        <f t="array" ref="AJ20">_xlfn.XLOOKUP(B20,'Up Max'!A:A,'Up Max'!I:I,)</f>
        <v/>
      </c>
      <c r="AK20" s="48" t="str">
        <f t="array" ref="AK20">_xlfn.XLOOKUP(B20,'Up Stats'!A:A,'Up Stats'!J:J,)</f>
        <v/>
      </c>
      <c r="AL20" s="40" t="str">
        <f>IFERROR(__xludf.DUMMYFUNCTION("if(AND(AM20=FALSE,AN20=FALSE),,if(AM20=AN20,JOIN("""",""Static: "",AM20),JOIN("""",""Min:  "",AM20, CHAR(10),""Max: "",AN20)))"),"")</f>
        <v/>
      </c>
      <c r="AM20" s="42" t="str">
        <f t="array" ref="AM20">_xlfn.XLOOKUP(B20,'Up Min'!A:A,'Up Min'!J:J,)</f>
        <v/>
      </c>
      <c r="AN20" s="42" t="str">
        <f t="array" ref="AN20">_xlfn.XLOOKUP(B20,'Up Max'!A:A,'Up Max'!J:J,)</f>
        <v/>
      </c>
      <c r="AO20" s="34" t="str">
        <f t="array" ref="AO20">CONCATENATE(_xlfn.XLOOKUP(B20,'Up Cells'!A:A,'Up Cells'!B:B,))</f>
        <v>4</v>
      </c>
      <c r="AP20" s="34" t="str">
        <f t="array" ref="AP20">CONCATENATE(_xlfn.XLOOKUP(B20,'Up Rarity'!A:A,'Up Rarity'!B:B,),CHAR(10),"-")</f>
        <v>Rare
-</v>
      </c>
    </row>
    <row r="21">
      <c r="A21" s="83" t="str">
        <f t="array" ref="A21">_xlfn.XLOOKUP(B21,'Up Icon'!A:A,'Up Icon'!B:B,)</f>
        <v/>
      </c>
      <c r="B21" s="63" t="str">
        <f t="array" ref="B21">HYPERLINK(_xlfn.XLOOKUP('Up Names'!H18,'Up Wiki'!A:A,'Up Wiki'!B:B,),'Up Names'!H18)</f>
        <v>Compatible Ammunition</v>
      </c>
      <c r="C21" s="52" t="str">
        <f t="array" ref="C21">_xlfn.XLOOKUP(B21,'Up Desc'!A:A,'Up Desc'!B:B,)</f>
        <v>Killing a target refunds some ammo.</v>
      </c>
      <c r="D21" s="52" t="str">
        <f t="array" ref="D21">_xlfn.XLOOKUP(B21,'Up Turbo'!A:A,'Up Turbo'!B:B,)</f>
        <v>n/a</v>
      </c>
      <c r="E21" s="53" t="str">
        <f t="array" ref="E21">_xlfn.XLOOKUP(B21,'Up Stats'!A:A,'Up Stats'!B:B,)</f>
        <v>Ammo Refunded</v>
      </c>
      <c r="F21" s="54" t="str">
        <f>IFERROR(__xludf.DUMMYFUNCTION("if(AND(G21=FALSE,H21=FALSE),,if(G21=H21,JOIN("""",""Static: "",G21),JOIN("""",""Min:  "",G21, CHAR(10),""Max: "",H21)))"),"Min:  1
Max: 4")</f>
        <v>Min:  1
Max: 4</v>
      </c>
      <c r="G21" s="64">
        <f t="array" ref="G21">_xlfn.XLOOKUP(B21,'Up Min'!A:A,'Up Min'!B:B,)</f>
        <v>1</v>
      </c>
      <c r="H21" s="65">
        <f t="array" ref="H21">_xlfn.XLOOKUP(B21,'Up Max'!A:A,'Up Max'!B:B,)</f>
        <v>4</v>
      </c>
      <c r="I21" s="53" t="str">
        <f t="array" ref="I21">_xlfn.XLOOKUP(B21,'Up Stats'!A:A,'Up Stats'!C:C,)</f>
        <v/>
      </c>
      <c r="J21" s="54" t="str">
        <f>IFERROR(__xludf.DUMMYFUNCTION("if(AND(K21=FALSE,L21=FALSE),,if(K21=L21,JOIN("""",""Static: "",K21),JOIN("""",""Min:  "",K21, CHAR(10),""Max: "",L21)))"),"")</f>
        <v/>
      </c>
      <c r="K21" s="55" t="str">
        <f t="array" ref="K21">_xlfn.XLOOKUP(B21,'Up Min'!A:A,'Up Min'!C:C,)</f>
        <v/>
      </c>
      <c r="L21" s="55" t="str">
        <f t="array" ref="L21">_xlfn.XLOOKUP(B21,'Up Max'!A:A,'Up Max'!C:C,)</f>
        <v/>
      </c>
      <c r="M21" s="57" t="str">
        <f t="array" ref="M21">_xlfn.XLOOKUP(B21,'Up Stats'!A:A,'Up Stats'!D:D,)</f>
        <v/>
      </c>
      <c r="N21" s="54" t="str">
        <f>IFERROR(__xludf.DUMMYFUNCTION("if(AND(O21=FALSE,P21=FALSE),,if(O21=P21,JOIN("""",""Static: "",O21),JOIN("""",""Min:  "",O21, CHAR(10),""Max: "",P21)))"),"")</f>
        <v/>
      </c>
      <c r="O21" s="55" t="str">
        <f t="array" ref="O21">_xlfn.XLOOKUP(B21,'Up Min'!A:A,'Up Min'!D:D,)</f>
        <v/>
      </c>
      <c r="P21" s="55" t="str">
        <f t="array" ref="P21">_xlfn.XLOOKUP(B21,'Up Max'!A:A,'Up Max'!D:D,)</f>
        <v/>
      </c>
      <c r="Q21" s="57" t="str">
        <f t="array" ref="Q21">_xlfn.XLOOKUP(B21,'Up Stats'!A:A,'Up Stats'!E:E,)</f>
        <v/>
      </c>
      <c r="R21" s="54" t="str">
        <f>IFERROR(__xludf.DUMMYFUNCTION("if(AND(S21=FALSE,T21=FALSE),,if(S21=T21,JOIN("""",""Static: "",S21),JOIN("""",""Min:  "",S21, CHAR(10),""Max: "",T21)))"),"")</f>
        <v/>
      </c>
      <c r="S21" s="55" t="str">
        <f t="array" ref="S21">_xlfn.XLOOKUP(B21,'Up Min'!A:A,'Up Min'!E:E,)</f>
        <v/>
      </c>
      <c r="T21" s="55" t="str">
        <f t="array" ref="T21">_xlfn.XLOOKUP(B21,'Up Max'!A:A,'Up Max'!E:E,)</f>
        <v/>
      </c>
      <c r="U21" s="57" t="str">
        <f t="array" ref="U21">_xlfn.XLOOKUP(B21,'Up Stats'!A:A,'Up Stats'!F:F,)</f>
        <v/>
      </c>
      <c r="V21" s="54" t="str">
        <f>IFERROR(__xludf.DUMMYFUNCTION("if(AND(W21=FALSE,X21=FALSE),,if(W21=X21,JOIN("""",""Static: "",W21),JOIN("""",""Min:  "",W21, CHAR(10),""Max: "",X21)))"),"")</f>
        <v/>
      </c>
      <c r="W21" s="55" t="str">
        <f t="array" ref="W21">_xlfn.XLOOKUP(B21,'Up Min'!A:A,'Up Min'!F:F,)</f>
        <v/>
      </c>
      <c r="X21" s="55" t="str">
        <f t="array" ref="X21">_xlfn.XLOOKUP(B21,'Up Max'!A:A,'Up Max'!F:F,)</f>
        <v/>
      </c>
      <c r="Y21" s="57" t="str">
        <f t="array" ref="Y21">_xlfn.XLOOKUP(B21,'Up Stats'!A:A,'Up Stats'!G:G,)</f>
        <v/>
      </c>
      <c r="Z21" s="54" t="str">
        <f>IFERROR(__xludf.DUMMYFUNCTION("if(AND(AA21=FALSE,AB21=FALSE),,if(AA21=AB21,JOIN("""",""Static: "",AA21),JOIN("""",""Min:  "",AA21, CHAR(10),""Max: "",AB21)))"),"")</f>
        <v/>
      </c>
      <c r="AA21" s="55" t="str">
        <f t="array" ref="AA21">_xlfn.XLOOKUP(B21,'Up Min'!A:A,'Up Min'!G:G,)</f>
        <v/>
      </c>
      <c r="AB21" s="55" t="str">
        <f t="array" ref="AB21">_xlfn.XLOOKUP(B21,'Up Max'!A:A,'Up Max'!G:G,)</f>
        <v/>
      </c>
      <c r="AC21" s="57" t="str">
        <f t="array" ref="AC21">_xlfn.XLOOKUP(B21,'Up Stats'!A:A,'Up Stats'!H:H,)</f>
        <v/>
      </c>
      <c r="AD21" s="54" t="str">
        <f>IFERROR(__xludf.DUMMYFUNCTION("if(AND(AE21=FALSE,AF21=FALSE),,if(AE21=AF21,JOIN("""",""Static: "",AE21),JOIN("""",""Min:  "",AE21, CHAR(10),""Max: "",AF21)))"),"")</f>
        <v/>
      </c>
      <c r="AE21" s="55" t="str">
        <f t="array" ref="AE21">_xlfn.XLOOKUP(B21,'Up Min'!A:A,'Up Min'!H:H,)</f>
        <v/>
      </c>
      <c r="AF21" s="55" t="str">
        <f t="array" ref="AF21">_xlfn.XLOOKUP(B21,'Up Max'!A:A,'Up Max'!H:H,)</f>
        <v/>
      </c>
      <c r="AG21" s="57" t="str">
        <f t="array" ref="AG21">_xlfn.XLOOKUP(B21,'Up Stats'!A:A,'Up Stats'!I:I,)</f>
        <v/>
      </c>
      <c r="AH21" s="54" t="str">
        <f>IFERROR(__xludf.DUMMYFUNCTION("if(AND(AI21=FALSE,AJ21=FALSE),,if(AI21=AJ21,JOIN("""",""Static: "",AI21),JOIN("""",""Min:  "",AI21, CHAR(10),""Max: "",AJ21)))"),"")</f>
        <v/>
      </c>
      <c r="AI21" s="55" t="str">
        <f t="array" ref="AI21">_xlfn.XLOOKUP(B21,'Up Min'!A:A,'Up Min'!I:I,)</f>
        <v/>
      </c>
      <c r="AJ21" s="55" t="str">
        <f t="array" ref="AJ21">_xlfn.XLOOKUP(B21,'Up Max'!A:A,'Up Max'!I:I,)</f>
        <v/>
      </c>
      <c r="AK21" s="57" t="str">
        <f t="array" ref="AK21">_xlfn.XLOOKUP(B21,'Up Stats'!A:A,'Up Stats'!J:J,)</f>
        <v/>
      </c>
      <c r="AL21" s="54" t="str">
        <f>IFERROR(__xludf.DUMMYFUNCTION("if(AND(AM21=FALSE,AN21=FALSE),,if(AM21=AN21,JOIN("""",""Static: "",AM21),JOIN("""",""Min:  "",AM21, CHAR(10),""Max: "",AN21)))"),"")</f>
        <v/>
      </c>
      <c r="AM21" s="55" t="str">
        <f t="array" ref="AM21">_xlfn.XLOOKUP(B21,'Up Min'!A:A,'Up Min'!J:J,)</f>
        <v/>
      </c>
      <c r="AN21" s="55" t="str">
        <f t="array" ref="AN21">_xlfn.XLOOKUP(B21,'Up Max'!A:A,'Up Max'!J:J,)</f>
        <v/>
      </c>
      <c r="AO21" s="51" t="str">
        <f t="array" ref="AO21">CONCATENATE(_xlfn.XLOOKUP(B21,'Up Cells'!A:A,'Up Cells'!B:B,))</f>
        <v>4</v>
      </c>
      <c r="AP21" s="51" t="str">
        <f t="array" ref="AP21">CONCATENATE(_xlfn.XLOOKUP(B21,'Up Rarity'!A:A,'Up Rarity'!B:B,),CHAR(10),"-")</f>
        <v>Rare
-</v>
      </c>
    </row>
    <row r="22">
      <c r="A22" s="83" t="str">
        <f t="array" ref="A22">_xlfn.XLOOKUP(B22,'Up Icon'!A:A,'Up Icon'!B:B,)</f>
        <v/>
      </c>
      <c r="B22" s="66" t="str">
        <f t="array" ref="B22">HYPERLINK(_xlfn.XLOOKUP('Up Names'!H19,'Up Wiki'!A:A,'Up Wiki'!B:B,),'Up Names'!H19)</f>
        <v>Energy Condenser</v>
      </c>
      <c r="C22" s="37" t="str">
        <f t="array" ref="C22">_xlfn.XLOOKUP(B22,'Up Desc'!A:A,'Up Desc'!B:B,)</f>
        <v>Fire rate is increased, but you must charge up before shooting.</v>
      </c>
      <c r="D22" s="37" t="str">
        <f t="array" ref="D22">_xlfn.XLOOKUP(B22,'Up Turbo'!A:A,'Up Turbo'!B:B,)</f>
        <v>n/a</v>
      </c>
      <c r="E22" s="39" t="str">
        <f t="array" ref="E22">_xlfn.XLOOKUP(B22,'Up Stats'!A:A,'Up Stats'!B:B,)</f>
        <v>Charge Time</v>
      </c>
      <c r="F22" s="40" t="str">
        <f>IFERROR(__xludf.DUMMYFUNCTION("if(AND(G22=FALSE,H22=FALSE),,if(G22=H22,JOIN("""",""Static: "",G22),JOIN("""",""Min:  "",G22, CHAR(10),""Max: "",H22)))"),"Min:  0.15
Max: 0.3")</f>
        <v>Min:  0.15
Max: 0.3</v>
      </c>
      <c r="G22" s="69">
        <f t="array" ref="G22">_xlfn.XLOOKUP(B22,'Up Min'!A:A,'Up Min'!B:B,)</f>
        <v>0.15</v>
      </c>
      <c r="H22" s="68">
        <f t="array" ref="H22">_xlfn.XLOOKUP(B22,'Up Max'!A:A,'Up Max'!B:B,)</f>
        <v>0.3</v>
      </c>
      <c r="I22" s="39" t="str">
        <f t="array" ref="I22">_xlfn.XLOOKUP(B22,'Up Stats'!A:A,'Up Stats'!C:C,)</f>
        <v>Fire Rate</v>
      </c>
      <c r="J22" s="40" t="str">
        <f>IFERROR(__xludf.DUMMYFUNCTION("if(AND(K22=FALSE,L22=FALSE),,if(K22=L22,JOIN("""",""Static: "",K22),JOIN("""",""Min:  "",K22, CHAR(10),""Max: "",L22)))"),"Min:  29.87%
Max: 20.48%")</f>
        <v>Min:  29.87%
Max: 20.48%</v>
      </c>
      <c r="K22" s="78">
        <f t="array" ref="K22">_xlfn.XLOOKUP(B22,'Up Min'!A:A,'Up Min'!C:C,)</f>
        <v>0.2987</v>
      </c>
      <c r="L22" s="78">
        <f t="array" ref="L22">_xlfn.XLOOKUP(B22,'Up Max'!A:A,'Up Max'!C:C,)</f>
        <v>0.2048</v>
      </c>
      <c r="M22" s="39" t="str">
        <f t="array" ref="M22">_xlfn.XLOOKUP(B22,'Up Stats'!A:A,'Up Stats'!D:D,)</f>
        <v/>
      </c>
      <c r="N22" s="40" t="str">
        <f>IFERROR(__xludf.DUMMYFUNCTION("if(AND(O22=FALSE,P22=FALSE),,if(O22=P22,JOIN("""",""Static: "",O22),JOIN("""",""Min:  "",O22, CHAR(10),""Max: "",P22)))"),"")</f>
        <v/>
      </c>
      <c r="O22" s="42" t="str">
        <f t="array" ref="O22">_xlfn.XLOOKUP(B22,'Up Min'!A:A,'Up Min'!D:D,)</f>
        <v/>
      </c>
      <c r="P22" s="42" t="str">
        <f t="array" ref="P22">_xlfn.XLOOKUP(B22,'Up Max'!A:A,'Up Max'!D:D,)</f>
        <v/>
      </c>
      <c r="Q22" s="48" t="str">
        <f t="array" ref="Q22">_xlfn.XLOOKUP(B22,'Up Stats'!A:A,'Up Stats'!E:E,)</f>
        <v/>
      </c>
      <c r="R22" s="40" t="str">
        <f>IFERROR(__xludf.DUMMYFUNCTION("if(AND(S22=FALSE,T22=FALSE),,if(S22=T22,JOIN("""",""Static: "",S22),JOIN("""",""Min:  "",S22, CHAR(10),""Max: "",T22)))"),"")</f>
        <v/>
      </c>
      <c r="S22" s="42" t="str">
        <f t="array" ref="S22">_xlfn.XLOOKUP(B22,'Up Min'!A:A,'Up Min'!E:E,)</f>
        <v/>
      </c>
      <c r="T22" s="42" t="str">
        <f t="array" ref="T22">_xlfn.XLOOKUP(B22,'Up Max'!A:A,'Up Max'!E:E,)</f>
        <v/>
      </c>
      <c r="U22" s="48" t="str">
        <f t="array" ref="U22">_xlfn.XLOOKUP(B22,'Up Stats'!A:A,'Up Stats'!F:F,)</f>
        <v/>
      </c>
      <c r="V22" s="40" t="str">
        <f>IFERROR(__xludf.DUMMYFUNCTION("if(AND(W22=FALSE,X22=FALSE),,if(W22=X22,JOIN("""",""Static: "",W22),JOIN("""",""Min:  "",W22, CHAR(10),""Max: "",X22)))"),"")</f>
        <v/>
      </c>
      <c r="W22" s="42" t="str">
        <f t="array" ref="W22">_xlfn.XLOOKUP(B22,'Up Min'!A:A,'Up Min'!F:F,)</f>
        <v/>
      </c>
      <c r="X22" s="42" t="str">
        <f t="array" ref="X22">_xlfn.XLOOKUP(B22,'Up Max'!A:A,'Up Max'!F:F,)</f>
        <v/>
      </c>
      <c r="Y22" s="48" t="str">
        <f t="array" ref="Y22">_xlfn.XLOOKUP(B22,'Up Stats'!A:A,'Up Stats'!G:G,)</f>
        <v/>
      </c>
      <c r="Z22" s="40" t="str">
        <f>IFERROR(__xludf.DUMMYFUNCTION("if(AND(AA22=FALSE,AB22=FALSE),,if(AA22=AB22,JOIN("""",""Static: "",AA22),JOIN("""",""Min:  "",AA22, CHAR(10),""Max: "",AB22)))"),"")</f>
        <v/>
      </c>
      <c r="AA22" s="42" t="str">
        <f t="array" ref="AA22">_xlfn.XLOOKUP(B22,'Up Min'!A:A,'Up Min'!G:G,)</f>
        <v/>
      </c>
      <c r="AB22" s="42" t="str">
        <f t="array" ref="AB22">_xlfn.XLOOKUP(B22,'Up Max'!A:A,'Up Max'!G:G,)</f>
        <v/>
      </c>
      <c r="AC22" s="48" t="str">
        <f t="array" ref="AC22">_xlfn.XLOOKUP(B22,'Up Stats'!A:A,'Up Stats'!H:H,)</f>
        <v/>
      </c>
      <c r="AD22" s="40" t="str">
        <f>IFERROR(__xludf.DUMMYFUNCTION("if(AND(AE22=FALSE,AF22=FALSE),,if(AE22=AF22,JOIN("""",""Static: "",AE22),JOIN("""",""Min:  "",AE22, CHAR(10),""Max: "",AF22)))"),"")</f>
        <v/>
      </c>
      <c r="AE22" s="42" t="str">
        <f t="array" ref="AE22">_xlfn.XLOOKUP(B22,'Up Min'!A:A,'Up Min'!H:H,)</f>
        <v/>
      </c>
      <c r="AF22" s="42" t="str">
        <f t="array" ref="AF22">_xlfn.XLOOKUP(B22,'Up Max'!A:A,'Up Max'!H:H,)</f>
        <v/>
      </c>
      <c r="AG22" s="48" t="str">
        <f t="array" ref="AG22">_xlfn.XLOOKUP(B22,'Up Stats'!A:A,'Up Stats'!I:I,)</f>
        <v/>
      </c>
      <c r="AH22" s="40" t="str">
        <f>IFERROR(__xludf.DUMMYFUNCTION("if(AND(AI22=FALSE,AJ22=FALSE),,if(AI22=AJ22,JOIN("""",""Static: "",AI22),JOIN("""",""Min:  "",AI22, CHAR(10),""Max: "",AJ22)))"),"")</f>
        <v/>
      </c>
      <c r="AI22" s="42" t="str">
        <f t="array" ref="AI22">_xlfn.XLOOKUP(B22,'Up Min'!A:A,'Up Min'!I:I,)</f>
        <v/>
      </c>
      <c r="AJ22" s="42" t="str">
        <f t="array" ref="AJ22">_xlfn.XLOOKUP(B22,'Up Max'!A:A,'Up Max'!I:I,)</f>
        <v/>
      </c>
      <c r="AK22" s="48" t="str">
        <f t="array" ref="AK22">_xlfn.XLOOKUP(B22,'Up Stats'!A:A,'Up Stats'!J:J,)</f>
        <v/>
      </c>
      <c r="AL22" s="40" t="str">
        <f>IFERROR(__xludf.DUMMYFUNCTION("if(AND(AM22=FALSE,AN22=FALSE),,if(AM22=AN22,JOIN("""",""Static: "",AM22),JOIN("""",""Min:  "",AM22, CHAR(10),""Max: "",AN22)))"),"")</f>
        <v/>
      </c>
      <c r="AM22" s="42" t="str">
        <f t="array" ref="AM22">_xlfn.XLOOKUP(B22,'Up Min'!A:A,'Up Min'!J:J,)</f>
        <v/>
      </c>
      <c r="AN22" s="42" t="str">
        <f t="array" ref="AN22">_xlfn.XLOOKUP(B22,'Up Max'!A:A,'Up Max'!J:J,)</f>
        <v/>
      </c>
      <c r="AO22" s="34" t="str">
        <f t="array" ref="AO22">CONCATENATE(_xlfn.XLOOKUP(B22,'Up Cells'!A:A,'Up Cells'!B:B,))</f>
        <v>3</v>
      </c>
      <c r="AP22" s="34" t="str">
        <f t="array" ref="AP22">CONCATENATE(_xlfn.XLOOKUP(B22,'Up Rarity'!A:A,'Up Rarity'!B:B,),CHAR(10),"-")</f>
        <v>Rare
-</v>
      </c>
    </row>
    <row r="23">
      <c r="A23" s="83" t="str">
        <f t="array" ref="A23">_xlfn.XLOOKUP(B23,'Up Icon'!A:A,'Up Icon'!B:B,)</f>
        <v/>
      </c>
      <c r="B23" s="63" t="str">
        <f t="array" ref="B23">HYPERLINK(_xlfn.XLOOKUP('Up Names'!H20,'Up Wiki'!A:A,'Up Wiki'!B:B,),'Up Names'!H20)</f>
        <v>Gunner's Precision</v>
      </c>
      <c r="C23" s="52" t="str">
        <f t="array" ref="C23">_xlfn.XLOOKUP(B23,'Up Desc'!A:A,'Up Desc'!B:B,)</f>
        <v>Damage increased but fire rate is decreased. Firing is no longer automatic.</v>
      </c>
      <c r="D23" s="52" t="str">
        <f t="array" ref="D23">_xlfn.XLOOKUP(B23,'Up Turbo'!A:A,'Up Turbo'!B:B,)</f>
        <v>n/a</v>
      </c>
      <c r="E23" s="53" t="str">
        <f t="array" ref="E23">_xlfn.XLOOKUP(B23,'Up Stats'!A:A,'Up Stats'!B:B,)</f>
        <v>Fire Rate</v>
      </c>
      <c r="F23" s="54" t="str">
        <f>IFERROR(__xludf.DUMMYFUNCTION("if(AND(G23=FALSE,H23=FALSE),,if(G23=H23,JOIN("""",""Static: "",G23),JOIN("""",""Min:  "",G23, CHAR(10),""Max: "",H23)))"),"Min:  -33.33%
Max: -41.18%")</f>
        <v>Min:  -33.33%
Max: -41.18%</v>
      </c>
      <c r="G23" s="71">
        <f t="array" ref="G23">_xlfn.XLOOKUP(B23,'Up Min'!A:A,'Up Min'!B:B,)</f>
        <v>-0.3333</v>
      </c>
      <c r="H23" s="71">
        <f t="array" ref="H23">_xlfn.XLOOKUP(B23,'Up Max'!A:A,'Up Max'!B:B,)</f>
        <v>-0.4118</v>
      </c>
      <c r="I23" s="53" t="str">
        <f t="array" ref="I23">_xlfn.XLOOKUP(B23,'Up Stats'!A:A,'Up Stats'!C:C,)</f>
        <v>Damage</v>
      </c>
      <c r="J23" s="54" t="str">
        <f>IFERROR(__xludf.DUMMYFUNCTION("if(AND(K23=FALSE,L23=FALSE),,if(K23=L23,JOIN("""",""Static: "",K23),JOIN("""",""Min:  "",K23, CHAR(10),""Max: "",L23)))"),"Min:  120%
Max: 150%")</f>
        <v>Min:  120%
Max: 150%</v>
      </c>
      <c r="K23" s="59">
        <f t="array" ref="K23">_xlfn.XLOOKUP(B23,'Up Min'!A:A,'Up Min'!C:C,)</f>
        <v>1.2</v>
      </c>
      <c r="L23" s="59">
        <f t="array" ref="L23">_xlfn.XLOOKUP(B23,'Up Max'!A:A,'Up Max'!C:C,)</f>
        <v>1.5</v>
      </c>
      <c r="M23" s="53" t="str">
        <f t="array" ref="M23">_xlfn.XLOOKUP(B23,'Up Stats'!A:A,'Up Stats'!D:D,)</f>
        <v/>
      </c>
      <c r="N23" s="54" t="str">
        <f>IFERROR(__xludf.DUMMYFUNCTION("if(AND(O23=FALSE,P23=FALSE),,if(O23=P23,JOIN("""",""Static: "",O23),JOIN("""",""Min:  "",O23, CHAR(10),""Max: "",P23)))"),"")</f>
        <v/>
      </c>
      <c r="O23" s="55" t="str">
        <f t="array" ref="O23">_xlfn.XLOOKUP(B23,'Up Min'!A:A,'Up Min'!D:D,)</f>
        <v/>
      </c>
      <c r="P23" s="55" t="str">
        <f t="array" ref="P23">_xlfn.XLOOKUP(B23,'Up Max'!A:A,'Up Max'!D:D,)</f>
        <v/>
      </c>
      <c r="Q23" s="57" t="str">
        <f t="array" ref="Q23">_xlfn.XLOOKUP(B23,'Up Stats'!A:A,'Up Stats'!E:E,)</f>
        <v/>
      </c>
      <c r="R23" s="54" t="str">
        <f>IFERROR(__xludf.DUMMYFUNCTION("if(AND(S23=FALSE,T23=FALSE),,if(S23=T23,JOIN("""",""Static: "",S23),JOIN("""",""Min:  "",S23, CHAR(10),""Max: "",T23)))"),"")</f>
        <v/>
      </c>
      <c r="S23" s="55" t="str">
        <f t="array" ref="S23">_xlfn.XLOOKUP(B23,'Up Min'!A:A,'Up Min'!E:E,)</f>
        <v/>
      </c>
      <c r="T23" s="55" t="str">
        <f t="array" ref="T23">_xlfn.XLOOKUP(B23,'Up Max'!A:A,'Up Max'!E:E,)</f>
        <v/>
      </c>
      <c r="U23" s="57" t="str">
        <f t="array" ref="U23">_xlfn.XLOOKUP(B23,'Up Stats'!A:A,'Up Stats'!F:F,)</f>
        <v/>
      </c>
      <c r="V23" s="54" t="str">
        <f>IFERROR(__xludf.DUMMYFUNCTION("if(AND(W23=FALSE,X23=FALSE),,if(W23=X23,JOIN("""",""Static: "",W23),JOIN("""",""Min:  "",W23, CHAR(10),""Max: "",X23)))"),"")</f>
        <v/>
      </c>
      <c r="W23" s="55" t="str">
        <f t="array" ref="W23">_xlfn.XLOOKUP(B23,'Up Min'!A:A,'Up Min'!F:F,)</f>
        <v/>
      </c>
      <c r="X23" s="55" t="str">
        <f t="array" ref="X23">_xlfn.XLOOKUP(B23,'Up Max'!A:A,'Up Max'!F:F,)</f>
        <v/>
      </c>
      <c r="Y23" s="57" t="str">
        <f t="array" ref="Y23">_xlfn.XLOOKUP(B23,'Up Stats'!A:A,'Up Stats'!G:G,)</f>
        <v/>
      </c>
      <c r="Z23" s="54" t="str">
        <f>IFERROR(__xludf.DUMMYFUNCTION("if(AND(AA23=FALSE,AB23=FALSE),,if(AA23=AB23,JOIN("""",""Static: "",AA23),JOIN("""",""Min:  "",AA23, CHAR(10),""Max: "",AB23)))"),"")</f>
        <v/>
      </c>
      <c r="AA23" s="55" t="str">
        <f t="array" ref="AA23">_xlfn.XLOOKUP(B23,'Up Min'!A:A,'Up Min'!G:G,)</f>
        <v/>
      </c>
      <c r="AB23" s="55" t="str">
        <f t="array" ref="AB23">_xlfn.XLOOKUP(B23,'Up Max'!A:A,'Up Max'!G:G,)</f>
        <v/>
      </c>
      <c r="AC23" s="57" t="str">
        <f t="array" ref="AC23">_xlfn.XLOOKUP(B23,'Up Stats'!A:A,'Up Stats'!H:H,)</f>
        <v/>
      </c>
      <c r="AD23" s="54" t="str">
        <f>IFERROR(__xludf.DUMMYFUNCTION("if(AND(AE23=FALSE,AF23=FALSE),,if(AE23=AF23,JOIN("""",""Static: "",AE23),JOIN("""",""Min:  "",AE23, CHAR(10),""Max: "",AF23)))"),"")</f>
        <v/>
      </c>
      <c r="AE23" s="55" t="str">
        <f t="array" ref="AE23">_xlfn.XLOOKUP(B23,'Up Min'!A:A,'Up Min'!H:H,)</f>
        <v/>
      </c>
      <c r="AF23" s="55" t="str">
        <f t="array" ref="AF23">_xlfn.XLOOKUP(B23,'Up Max'!A:A,'Up Max'!H:H,)</f>
        <v/>
      </c>
      <c r="AG23" s="57" t="str">
        <f t="array" ref="AG23">_xlfn.XLOOKUP(B23,'Up Stats'!A:A,'Up Stats'!I:I,)</f>
        <v/>
      </c>
      <c r="AH23" s="54" t="str">
        <f>IFERROR(__xludf.DUMMYFUNCTION("if(AND(AI23=FALSE,AJ23=FALSE),,if(AI23=AJ23,JOIN("""",""Static: "",AI23),JOIN("""",""Min:  "",AI23, CHAR(10),""Max: "",AJ23)))"),"")</f>
        <v/>
      </c>
      <c r="AI23" s="55" t="str">
        <f t="array" ref="AI23">_xlfn.XLOOKUP(B23,'Up Min'!A:A,'Up Min'!I:I,)</f>
        <v/>
      </c>
      <c r="AJ23" s="55" t="str">
        <f t="array" ref="AJ23">_xlfn.XLOOKUP(B23,'Up Max'!A:A,'Up Max'!I:I,)</f>
        <v/>
      </c>
      <c r="AK23" s="57" t="str">
        <f t="array" ref="AK23">_xlfn.XLOOKUP(B23,'Up Stats'!A:A,'Up Stats'!J:J,)</f>
        <v/>
      </c>
      <c r="AL23" s="54" t="str">
        <f>IFERROR(__xludf.DUMMYFUNCTION("if(AND(AM23=FALSE,AN23=FALSE),,if(AM23=AN23,JOIN("""",""Static: "",AM23),JOIN("""",""Min:  "",AM23, CHAR(10),""Max: "",AN23)))"),"")</f>
        <v/>
      </c>
      <c r="AM23" s="55" t="str">
        <f t="array" ref="AM23">_xlfn.XLOOKUP(B23,'Up Min'!A:A,'Up Min'!J:J,)</f>
        <v/>
      </c>
      <c r="AN23" s="55" t="str">
        <f t="array" ref="AN23">_xlfn.XLOOKUP(B23,'Up Max'!A:A,'Up Max'!J:J,)</f>
        <v/>
      </c>
      <c r="AO23" s="51" t="str">
        <f t="array" ref="AO23">CONCATENATE(_xlfn.XLOOKUP(B23,'Up Cells'!A:A,'Up Cells'!B:B,))</f>
        <v>3</v>
      </c>
      <c r="AP23" s="51" t="str">
        <f t="array" ref="AP23">CONCATENATE(_xlfn.XLOOKUP(B23,'Up Rarity'!A:A,'Up Rarity'!B:B,),CHAR(10),"-")</f>
        <v>Rare
-</v>
      </c>
    </row>
    <row r="24">
      <c r="A24" s="83" t="str">
        <f t="array" ref="A24">_xlfn.XLOOKUP(B24,'Up Icon'!A:A,'Up Icon'!B:B,)</f>
        <v/>
      </c>
      <c r="B24" s="66" t="str">
        <f t="array" ref="B24">HYPERLINK(_xlfn.XLOOKUP('Up Names'!H21,'Up Wiki'!A:A,'Up Wiki'!B:B,),'Up Names'!H21)</f>
        <v>Gunpowder Finale</v>
      </c>
      <c r="C24" s="37" t="str">
        <f t="array" ref="C24">_xlfn.XLOOKUP(B24,'Up Desc'!A:A,'Up Desc'!B:B,)</f>
        <v>Your last shot deals more damage.</v>
      </c>
      <c r="D24" s="37" t="str">
        <f t="array" ref="D24">_xlfn.XLOOKUP(B24,'Up Turbo'!A:A,'Up Turbo'!B:B,)</f>
        <v>n/a</v>
      </c>
      <c r="E24" s="39" t="str">
        <f t="array" ref="E24">_xlfn.XLOOKUP(B24,'Up Stats'!A:A,'Up Stats'!B:B,)</f>
        <v>Damage</v>
      </c>
      <c r="F24" s="40" t="str">
        <f>IFERROR(__xludf.DUMMYFUNCTION("if(AND(G24=FALSE,H24=FALSE),,if(G24=H24,JOIN("""",""Static: "",G24),JOIN("""",""Min:  "",G24, CHAR(10),""Max: "",H24)))"),"Min:  300%
Max: 500%")</f>
        <v>Min:  300%
Max: 500%</v>
      </c>
      <c r="G24" s="41">
        <f t="array" ref="G24">_xlfn.XLOOKUP(B24,'Up Min'!A:A,'Up Min'!B:B,)</f>
        <v>3</v>
      </c>
      <c r="H24" s="41">
        <f t="array" ref="H24">_xlfn.XLOOKUP(B24,'Up Max'!A:A,'Up Max'!B:B,)</f>
        <v>5</v>
      </c>
      <c r="I24" s="39" t="str">
        <f t="array" ref="I24">_xlfn.XLOOKUP(B24,'Up Stats'!A:A,'Up Stats'!C:C,)</f>
        <v/>
      </c>
      <c r="J24" s="40" t="str">
        <f>IFERROR(__xludf.DUMMYFUNCTION("if(AND(K24=FALSE,L24=FALSE),,if(K24=L24,JOIN("""",""Static: "",K24),JOIN("""",""Min:  "",K24, CHAR(10),""Max: "",L24)))"),"")</f>
        <v/>
      </c>
      <c r="K24" s="42" t="str">
        <f t="array" ref="K24">_xlfn.XLOOKUP(B24,'Up Min'!A:A,'Up Min'!C:C,)</f>
        <v/>
      </c>
      <c r="L24" s="42" t="str">
        <f t="array" ref="L24">_xlfn.XLOOKUP(B24,'Up Max'!A:A,'Up Max'!C:C,)</f>
        <v/>
      </c>
      <c r="M24" s="48" t="str">
        <f t="array" ref="M24">_xlfn.XLOOKUP(B24,'Up Stats'!A:A,'Up Stats'!D:D,)</f>
        <v/>
      </c>
      <c r="N24" s="40" t="str">
        <f>IFERROR(__xludf.DUMMYFUNCTION("if(AND(O24=FALSE,P24=FALSE),,if(O24=P24,JOIN("""",""Static: "",O24),JOIN("""",""Min:  "",O24, CHAR(10),""Max: "",P24)))"),"")</f>
        <v/>
      </c>
      <c r="O24" s="42" t="str">
        <f t="array" ref="O24">_xlfn.XLOOKUP(B24,'Up Min'!A:A,'Up Min'!D:D,)</f>
        <v/>
      </c>
      <c r="P24" s="42" t="str">
        <f t="array" ref="P24">_xlfn.XLOOKUP(B24,'Up Max'!A:A,'Up Max'!D:D,)</f>
        <v/>
      </c>
      <c r="Q24" s="48" t="str">
        <f t="array" ref="Q24">_xlfn.XLOOKUP(B24,'Up Stats'!A:A,'Up Stats'!E:E,)</f>
        <v/>
      </c>
      <c r="R24" s="40" t="str">
        <f>IFERROR(__xludf.DUMMYFUNCTION("if(AND(S24=FALSE,T24=FALSE),,if(S24=T24,JOIN("""",""Static: "",S24),JOIN("""",""Min:  "",S24, CHAR(10),""Max: "",T24)))"),"")</f>
        <v/>
      </c>
      <c r="S24" s="42" t="str">
        <f t="array" ref="S24">_xlfn.XLOOKUP(B24,'Up Min'!A:A,'Up Min'!E:E,)</f>
        <v/>
      </c>
      <c r="T24" s="42" t="str">
        <f t="array" ref="T24">_xlfn.XLOOKUP(B24,'Up Max'!A:A,'Up Max'!E:E,)</f>
        <v/>
      </c>
      <c r="U24" s="48" t="str">
        <f t="array" ref="U24">_xlfn.XLOOKUP(B24,'Up Stats'!A:A,'Up Stats'!F:F,)</f>
        <v/>
      </c>
      <c r="V24" s="40" t="str">
        <f>IFERROR(__xludf.DUMMYFUNCTION("if(AND(W24=FALSE,X24=FALSE),,if(W24=X24,JOIN("""",""Static: "",W24),JOIN("""",""Min:  "",W24, CHAR(10),""Max: "",X24)))"),"")</f>
        <v/>
      </c>
      <c r="W24" s="42" t="str">
        <f t="array" ref="W24">_xlfn.XLOOKUP(B24,'Up Min'!A:A,'Up Min'!F:F,)</f>
        <v/>
      </c>
      <c r="X24" s="42" t="str">
        <f t="array" ref="X24">_xlfn.XLOOKUP(B24,'Up Max'!A:A,'Up Max'!F:F,)</f>
        <v/>
      </c>
      <c r="Y24" s="48" t="str">
        <f t="array" ref="Y24">_xlfn.XLOOKUP(B24,'Up Stats'!A:A,'Up Stats'!G:G,)</f>
        <v/>
      </c>
      <c r="Z24" s="40" t="str">
        <f>IFERROR(__xludf.DUMMYFUNCTION("if(AND(AA24=FALSE,AB24=FALSE),,if(AA24=AB24,JOIN("""",""Static: "",AA24),JOIN("""",""Min:  "",AA24, CHAR(10),""Max: "",AB24)))"),"")</f>
        <v/>
      </c>
      <c r="AA24" s="42" t="str">
        <f t="array" ref="AA24">_xlfn.XLOOKUP(B24,'Up Min'!A:A,'Up Min'!G:G,)</f>
        <v/>
      </c>
      <c r="AB24" s="42" t="str">
        <f t="array" ref="AB24">_xlfn.XLOOKUP(B24,'Up Max'!A:A,'Up Max'!G:G,)</f>
        <v/>
      </c>
      <c r="AC24" s="48" t="str">
        <f t="array" ref="AC24">_xlfn.XLOOKUP(B24,'Up Stats'!A:A,'Up Stats'!H:H,)</f>
        <v/>
      </c>
      <c r="AD24" s="40" t="str">
        <f>IFERROR(__xludf.DUMMYFUNCTION("if(AND(AE24=FALSE,AF24=FALSE),,if(AE24=AF24,JOIN("""",""Static: "",AE24),JOIN("""",""Min:  "",AE24, CHAR(10),""Max: "",AF24)))"),"")</f>
        <v/>
      </c>
      <c r="AE24" s="42" t="str">
        <f t="array" ref="AE24">_xlfn.XLOOKUP(B24,'Up Min'!A:A,'Up Min'!H:H,)</f>
        <v/>
      </c>
      <c r="AF24" s="42" t="str">
        <f t="array" ref="AF24">_xlfn.XLOOKUP(B24,'Up Max'!A:A,'Up Max'!H:H,)</f>
        <v/>
      </c>
      <c r="AG24" s="48" t="str">
        <f t="array" ref="AG24">_xlfn.XLOOKUP(B24,'Up Stats'!A:A,'Up Stats'!I:I,)</f>
        <v/>
      </c>
      <c r="AH24" s="40" t="str">
        <f>IFERROR(__xludf.DUMMYFUNCTION("if(AND(AI24=FALSE,AJ24=FALSE),,if(AI24=AJ24,JOIN("""",""Static: "",AI24),JOIN("""",""Min:  "",AI24, CHAR(10),""Max: "",AJ24)))"),"")</f>
        <v/>
      </c>
      <c r="AI24" s="42" t="str">
        <f t="array" ref="AI24">_xlfn.XLOOKUP(B24,'Up Min'!A:A,'Up Min'!I:I,)</f>
        <v/>
      </c>
      <c r="AJ24" s="42" t="str">
        <f t="array" ref="AJ24">_xlfn.XLOOKUP(B24,'Up Max'!A:A,'Up Max'!I:I,)</f>
        <v/>
      </c>
      <c r="AK24" s="48" t="str">
        <f t="array" ref="AK24">_xlfn.XLOOKUP(B24,'Up Stats'!A:A,'Up Stats'!J:J,)</f>
        <v/>
      </c>
      <c r="AL24" s="40" t="str">
        <f>IFERROR(__xludf.DUMMYFUNCTION("if(AND(AM24=FALSE,AN24=FALSE),,if(AM24=AN24,JOIN("""",""Static: "",AM24),JOIN("""",""Min:  "",AM24, CHAR(10),""Max: "",AN24)))"),"")</f>
        <v/>
      </c>
      <c r="AM24" s="42" t="str">
        <f t="array" ref="AM24">_xlfn.XLOOKUP(B24,'Up Min'!A:A,'Up Min'!J:J,)</f>
        <v/>
      </c>
      <c r="AN24" s="42" t="str">
        <f t="array" ref="AN24">_xlfn.XLOOKUP(B24,'Up Max'!A:A,'Up Max'!J:J,)</f>
        <v/>
      </c>
      <c r="AO24" s="34" t="str">
        <f t="array" ref="AO24">CONCATENATE(_xlfn.XLOOKUP(B24,'Up Cells'!A:A,'Up Cells'!B:B,))</f>
        <v>4</v>
      </c>
      <c r="AP24" s="34" t="str">
        <f t="array" ref="AP24">CONCATENATE(_xlfn.XLOOKUP(B24,'Up Rarity'!A:A,'Up Rarity'!B:B,),CHAR(10),"-")</f>
        <v>Rare
-</v>
      </c>
    </row>
    <row r="25">
      <c r="A25" s="83" t="str">
        <f t="array" ref="A25">_xlfn.XLOOKUP(B25,'Up Icon'!A:A,'Up Icon'!B:B,)</f>
        <v/>
      </c>
      <c r="B25" s="63" t="str">
        <f t="array" ref="B25">HYPERLINK(_xlfn.XLOOKUP('Up Names'!H22,'Up Wiki'!A:A,'Up Wiki'!B:B,),'Up Names'!H22)</f>
        <v>Increased Load</v>
      </c>
      <c r="C25" s="52" t="str">
        <f t="array" ref="C25">_xlfn.XLOOKUP(B25,'Up Desc'!A:A,'Up Desc'!B:B,)</f>
        <v>Magazine size is increased.</v>
      </c>
      <c r="D25" s="52" t="str">
        <f t="array" ref="D25">_xlfn.XLOOKUP(B25,'Up Turbo'!A:A,'Up Turbo'!B:B,)</f>
        <v>n/a</v>
      </c>
      <c r="E25" s="53" t="str">
        <f t="array" ref="E25">_xlfn.XLOOKUP(B25,'Up Stats'!A:A,'Up Stats'!B:B,)</f>
        <v>Magazine Size</v>
      </c>
      <c r="F25" s="54" t="str">
        <f>IFERROR(__xludf.DUMMYFUNCTION("if(AND(G25=FALSE,H25=FALSE),,if(G25=H25,JOIN("""",""Static: "",G25),JOIN("""",""Min:  "",G25, CHAR(10),""Max: "",H25)))"),"Min:  18
Max: 36")</f>
        <v>Min:  18
Max: 36</v>
      </c>
      <c r="G25" s="64">
        <f t="array" ref="G25">_xlfn.XLOOKUP(B25,'Up Min'!A:A,'Up Min'!B:B,)</f>
        <v>18</v>
      </c>
      <c r="H25" s="65">
        <f t="array" ref="H25">_xlfn.XLOOKUP(B25,'Up Max'!A:A,'Up Max'!B:B,)</f>
        <v>36</v>
      </c>
      <c r="I25" s="53" t="str">
        <f t="array" ref="I25">_xlfn.XLOOKUP(B25,'Up Stats'!A:A,'Up Stats'!C:C,)</f>
        <v/>
      </c>
      <c r="J25" s="54" t="str">
        <f>IFERROR(__xludf.DUMMYFUNCTION("if(AND(K25=FALSE,L25=FALSE),,if(K25=L25,JOIN("""",""Static: "",K25),JOIN("""",""Min:  "",K25, CHAR(10),""Max: "",L25)))"),"")</f>
        <v/>
      </c>
      <c r="K25" s="55" t="str">
        <f t="array" ref="K25">_xlfn.XLOOKUP(B25,'Up Min'!A:A,'Up Min'!C:C,)</f>
        <v/>
      </c>
      <c r="L25" s="55" t="str">
        <f t="array" ref="L25">_xlfn.XLOOKUP(B25,'Up Max'!A:A,'Up Max'!C:C,)</f>
        <v/>
      </c>
      <c r="M25" s="57" t="str">
        <f t="array" ref="M25">_xlfn.XLOOKUP(B25,'Up Stats'!A:A,'Up Stats'!D:D,)</f>
        <v/>
      </c>
      <c r="N25" s="54" t="str">
        <f>IFERROR(__xludf.DUMMYFUNCTION("if(AND(O25=FALSE,P25=FALSE),,if(O25=P25,JOIN("""",""Static: "",O25),JOIN("""",""Min:  "",O25, CHAR(10),""Max: "",P25)))"),"")</f>
        <v/>
      </c>
      <c r="O25" s="55" t="str">
        <f t="array" ref="O25">_xlfn.XLOOKUP(B25,'Up Min'!A:A,'Up Min'!D:D,)</f>
        <v/>
      </c>
      <c r="P25" s="55" t="str">
        <f t="array" ref="P25">_xlfn.XLOOKUP(B25,'Up Max'!A:A,'Up Max'!D:D,)</f>
        <v/>
      </c>
      <c r="Q25" s="57" t="str">
        <f t="array" ref="Q25">_xlfn.XLOOKUP(B25,'Up Stats'!A:A,'Up Stats'!E:E,)</f>
        <v/>
      </c>
      <c r="R25" s="54" t="str">
        <f>IFERROR(__xludf.DUMMYFUNCTION("if(AND(S25=FALSE,T25=FALSE),,if(S25=T25,JOIN("""",""Static: "",S25),JOIN("""",""Min:  "",S25, CHAR(10),""Max: "",T25)))"),"")</f>
        <v/>
      </c>
      <c r="S25" s="55" t="str">
        <f t="array" ref="S25">_xlfn.XLOOKUP(B25,'Up Min'!A:A,'Up Min'!E:E,)</f>
        <v/>
      </c>
      <c r="T25" s="55" t="str">
        <f t="array" ref="T25">_xlfn.XLOOKUP(B25,'Up Max'!A:A,'Up Max'!E:E,)</f>
        <v/>
      </c>
      <c r="U25" s="57" t="str">
        <f t="array" ref="U25">_xlfn.XLOOKUP(B25,'Up Stats'!A:A,'Up Stats'!F:F,)</f>
        <v/>
      </c>
      <c r="V25" s="54" t="str">
        <f>IFERROR(__xludf.DUMMYFUNCTION("if(AND(W25=FALSE,X25=FALSE),,if(W25=X25,JOIN("""",""Static: "",W25),JOIN("""",""Min:  "",W25, CHAR(10),""Max: "",X25)))"),"")</f>
        <v/>
      </c>
      <c r="W25" s="55" t="str">
        <f t="array" ref="W25">_xlfn.XLOOKUP(B25,'Up Min'!A:A,'Up Min'!F:F,)</f>
        <v/>
      </c>
      <c r="X25" s="55" t="str">
        <f t="array" ref="X25">_xlfn.XLOOKUP(B25,'Up Max'!A:A,'Up Max'!F:F,)</f>
        <v/>
      </c>
      <c r="Y25" s="57" t="str">
        <f t="array" ref="Y25">_xlfn.XLOOKUP(B25,'Up Stats'!A:A,'Up Stats'!G:G,)</f>
        <v/>
      </c>
      <c r="Z25" s="54" t="str">
        <f>IFERROR(__xludf.DUMMYFUNCTION("if(AND(AA25=FALSE,AB25=FALSE),,if(AA25=AB25,JOIN("""",""Static: "",AA25),JOIN("""",""Min:  "",AA25, CHAR(10),""Max: "",AB25)))"),"")</f>
        <v/>
      </c>
      <c r="AA25" s="55" t="str">
        <f t="array" ref="AA25">_xlfn.XLOOKUP(B25,'Up Min'!A:A,'Up Min'!G:G,)</f>
        <v/>
      </c>
      <c r="AB25" s="55" t="str">
        <f t="array" ref="AB25">_xlfn.XLOOKUP(B25,'Up Max'!A:A,'Up Max'!G:G,)</f>
        <v/>
      </c>
      <c r="AC25" s="57" t="str">
        <f t="array" ref="AC25">_xlfn.XLOOKUP(B25,'Up Stats'!A:A,'Up Stats'!H:H,)</f>
        <v/>
      </c>
      <c r="AD25" s="54" t="str">
        <f>IFERROR(__xludf.DUMMYFUNCTION("if(AND(AE25=FALSE,AF25=FALSE),,if(AE25=AF25,JOIN("""",""Static: "",AE25),JOIN("""",""Min:  "",AE25, CHAR(10),""Max: "",AF25)))"),"")</f>
        <v/>
      </c>
      <c r="AE25" s="55" t="str">
        <f t="array" ref="AE25">_xlfn.XLOOKUP(B25,'Up Min'!A:A,'Up Min'!H:H,)</f>
        <v/>
      </c>
      <c r="AF25" s="55" t="str">
        <f t="array" ref="AF25">_xlfn.XLOOKUP(B25,'Up Max'!A:A,'Up Max'!H:H,)</f>
        <v/>
      </c>
      <c r="AG25" s="57" t="str">
        <f t="array" ref="AG25">_xlfn.XLOOKUP(B25,'Up Stats'!A:A,'Up Stats'!I:I,)</f>
        <v/>
      </c>
      <c r="AH25" s="54" t="str">
        <f>IFERROR(__xludf.DUMMYFUNCTION("if(AND(AI25=FALSE,AJ25=FALSE),,if(AI25=AJ25,JOIN("""",""Static: "",AI25),JOIN("""",""Min:  "",AI25, CHAR(10),""Max: "",AJ25)))"),"")</f>
        <v/>
      </c>
      <c r="AI25" s="55" t="str">
        <f t="array" ref="AI25">_xlfn.XLOOKUP(B25,'Up Min'!A:A,'Up Min'!I:I,)</f>
        <v/>
      </c>
      <c r="AJ25" s="55" t="str">
        <f t="array" ref="AJ25">_xlfn.XLOOKUP(B25,'Up Max'!A:A,'Up Max'!I:I,)</f>
        <v/>
      </c>
      <c r="AK25" s="57" t="str">
        <f t="array" ref="AK25">_xlfn.XLOOKUP(B25,'Up Stats'!A:A,'Up Stats'!J:J,)</f>
        <v/>
      </c>
      <c r="AL25" s="54" t="str">
        <f>IFERROR(__xludf.DUMMYFUNCTION("if(AND(AM25=FALSE,AN25=FALSE),,if(AM25=AN25,JOIN("""",""Static: "",AM25),JOIN("""",""Min:  "",AM25, CHAR(10),""Max: "",AN25)))"),"")</f>
        <v/>
      </c>
      <c r="AM25" s="55" t="str">
        <f t="array" ref="AM25">_xlfn.XLOOKUP(B25,'Up Min'!A:A,'Up Min'!J:J,)</f>
        <v/>
      </c>
      <c r="AN25" s="55" t="str">
        <f t="array" ref="AN25">_xlfn.XLOOKUP(B25,'Up Max'!A:A,'Up Max'!J:J,)</f>
        <v/>
      </c>
      <c r="AO25" s="51" t="str">
        <f t="array" ref="AO25">CONCATENATE(_xlfn.XLOOKUP(B25,'Up Cells'!A:A,'Up Cells'!B:B,))</f>
        <v>5</v>
      </c>
      <c r="AP25" s="51" t="str">
        <f t="array" ref="AP25">CONCATENATE(_xlfn.XLOOKUP(B25,'Up Rarity'!A:A,'Up Rarity'!B:B,),CHAR(10),"-")</f>
        <v>Rare
-</v>
      </c>
    </row>
    <row r="26">
      <c r="A26" s="83" t="str">
        <f t="array" ref="A26">_xlfn.XLOOKUP(B26,'Up Icon'!A:A,'Up Icon'!B:B,)</f>
        <v/>
      </c>
      <c r="B26" s="66" t="str">
        <f t="array" ref="B26">HYPERLINK(_xlfn.XLOOKUP('Up Names'!H23,'Up Wiki'!A:A,'Up Wiki'!B:B,),'Up Names'!H23)</f>
        <v>Lone Cannoneer</v>
      </c>
      <c r="C26" s="37" t="str">
        <f t="array" ref="C26">_xlfn.XLOOKUP(B26,'Up Desc'!A:A,'Up Desc'!B:B,)</f>
        <v>Fire a single high-damage shot while aiming.</v>
      </c>
      <c r="D26" s="37" t="str">
        <f t="array" ref="D26">_xlfn.XLOOKUP(B26,'Up Turbo'!A:A,'Up Turbo'!B:B,)</f>
        <v>n/a</v>
      </c>
      <c r="E26" s="39" t="str">
        <f t="array" ref="E26">_xlfn.XLOOKUP(B26,'Up Stats'!A:A,'Up Stats'!B:B,)</f>
        <v>Damage</v>
      </c>
      <c r="F26" s="40" t="str">
        <f>IFERROR(__xludf.DUMMYFUNCTION("if(AND(G26=FALSE,H26=FALSE),,if(G26=H26,JOIN("""",""Static: "",G26),JOIN("""",""Min:  "",G26, CHAR(10),""Max: "",H26)))"),"Min:  185%
Max: 217%")</f>
        <v>Min:  185%
Max: 217%</v>
      </c>
      <c r="G26" s="41">
        <f t="array" ref="G26">_xlfn.XLOOKUP(B26,'Up Min'!A:A,'Up Min'!B:B,)</f>
        <v>1.85</v>
      </c>
      <c r="H26" s="41">
        <f t="array" ref="H26">_xlfn.XLOOKUP(B26,'Up Max'!A:A,'Up Max'!B:B,)</f>
        <v>2.17</v>
      </c>
      <c r="I26" s="39" t="str">
        <f t="array" ref="I26">_xlfn.XLOOKUP(B26,'Up Stats'!A:A,'Up Stats'!C:C,)</f>
        <v/>
      </c>
      <c r="J26" s="40" t="str">
        <f>IFERROR(__xludf.DUMMYFUNCTION("if(AND(K26=FALSE,L26=FALSE),,if(K26=L26,JOIN("""",""Static: "",K26),JOIN("""",""Min:  "",K26, CHAR(10),""Max: "",L26)))"),"")</f>
        <v/>
      </c>
      <c r="K26" s="42" t="str">
        <f t="array" ref="K26">_xlfn.XLOOKUP(B26,'Up Min'!A:A,'Up Min'!C:C,)</f>
        <v/>
      </c>
      <c r="L26" s="42" t="str">
        <f t="array" ref="L26">_xlfn.XLOOKUP(B26,'Up Max'!A:A,'Up Max'!C:C,)</f>
        <v/>
      </c>
      <c r="M26" s="48" t="str">
        <f t="array" ref="M26">_xlfn.XLOOKUP(B26,'Up Stats'!A:A,'Up Stats'!D:D,)</f>
        <v/>
      </c>
      <c r="N26" s="40" t="str">
        <f>IFERROR(__xludf.DUMMYFUNCTION("if(AND(O26=FALSE,P26=FALSE),,if(O26=P26,JOIN("""",""Static: "",O26),JOIN("""",""Min:  "",O26, CHAR(10),""Max: "",P26)))"),"")</f>
        <v/>
      </c>
      <c r="O26" s="42" t="str">
        <f t="array" ref="O26">_xlfn.XLOOKUP(B26,'Up Min'!A:A,'Up Min'!D:D,)</f>
        <v/>
      </c>
      <c r="P26" s="42" t="str">
        <f t="array" ref="P26">_xlfn.XLOOKUP(B26,'Up Max'!A:A,'Up Max'!D:D,)</f>
        <v/>
      </c>
      <c r="Q26" s="48" t="str">
        <f t="array" ref="Q26">_xlfn.XLOOKUP(B26,'Up Stats'!A:A,'Up Stats'!E:E,)</f>
        <v/>
      </c>
      <c r="R26" s="40" t="str">
        <f>IFERROR(__xludf.DUMMYFUNCTION("if(AND(S26=FALSE,T26=FALSE),,if(S26=T26,JOIN("""",""Static: "",S26),JOIN("""",""Min:  "",S26, CHAR(10),""Max: "",T26)))"),"")</f>
        <v/>
      </c>
      <c r="S26" s="42" t="str">
        <f t="array" ref="S26">_xlfn.XLOOKUP(B26,'Up Min'!A:A,'Up Min'!E:E,)</f>
        <v/>
      </c>
      <c r="T26" s="42" t="str">
        <f t="array" ref="T26">_xlfn.XLOOKUP(B26,'Up Max'!A:A,'Up Max'!E:E,)</f>
        <v/>
      </c>
      <c r="U26" s="48" t="str">
        <f t="array" ref="U26">_xlfn.XLOOKUP(B26,'Up Stats'!A:A,'Up Stats'!F:F,)</f>
        <v/>
      </c>
      <c r="V26" s="40" t="str">
        <f>IFERROR(__xludf.DUMMYFUNCTION("if(AND(W26=FALSE,X26=FALSE),,if(W26=X26,JOIN("""",""Static: "",W26),JOIN("""",""Min:  "",W26, CHAR(10),""Max: "",X26)))"),"")</f>
        <v/>
      </c>
      <c r="W26" s="42" t="str">
        <f t="array" ref="W26">_xlfn.XLOOKUP(B26,'Up Min'!A:A,'Up Min'!F:F,)</f>
        <v/>
      </c>
      <c r="X26" s="42" t="str">
        <f t="array" ref="X26">_xlfn.XLOOKUP(B26,'Up Max'!A:A,'Up Max'!F:F,)</f>
        <v/>
      </c>
      <c r="Y26" s="48" t="str">
        <f t="array" ref="Y26">_xlfn.XLOOKUP(B26,'Up Stats'!A:A,'Up Stats'!G:G,)</f>
        <v/>
      </c>
      <c r="Z26" s="40" t="str">
        <f>IFERROR(__xludf.DUMMYFUNCTION("if(AND(AA26=FALSE,AB26=FALSE),,if(AA26=AB26,JOIN("""",""Static: "",AA26),JOIN("""",""Min:  "",AA26, CHAR(10),""Max: "",AB26)))"),"")</f>
        <v/>
      </c>
      <c r="AA26" s="42" t="str">
        <f t="array" ref="AA26">_xlfn.XLOOKUP(B26,'Up Min'!A:A,'Up Min'!G:G,)</f>
        <v/>
      </c>
      <c r="AB26" s="42" t="str">
        <f t="array" ref="AB26">_xlfn.XLOOKUP(B26,'Up Max'!A:A,'Up Max'!G:G,)</f>
        <v/>
      </c>
      <c r="AC26" s="48" t="str">
        <f t="array" ref="AC26">_xlfn.XLOOKUP(B26,'Up Stats'!A:A,'Up Stats'!H:H,)</f>
        <v/>
      </c>
      <c r="AD26" s="40" t="str">
        <f>IFERROR(__xludf.DUMMYFUNCTION("if(AND(AE26=FALSE,AF26=FALSE),,if(AE26=AF26,JOIN("""",""Static: "",AE26),JOIN("""",""Min:  "",AE26, CHAR(10),""Max: "",AF26)))"),"")</f>
        <v/>
      </c>
      <c r="AE26" s="42" t="str">
        <f t="array" ref="AE26">_xlfn.XLOOKUP(B26,'Up Min'!A:A,'Up Min'!H:H,)</f>
        <v/>
      </c>
      <c r="AF26" s="42" t="str">
        <f t="array" ref="AF26">_xlfn.XLOOKUP(B26,'Up Max'!A:A,'Up Max'!H:H,)</f>
        <v/>
      </c>
      <c r="AG26" s="48" t="str">
        <f t="array" ref="AG26">_xlfn.XLOOKUP(B26,'Up Stats'!A:A,'Up Stats'!I:I,)</f>
        <v/>
      </c>
      <c r="AH26" s="40" t="str">
        <f>IFERROR(__xludf.DUMMYFUNCTION("if(AND(AI26=FALSE,AJ26=FALSE),,if(AI26=AJ26,JOIN("""",""Static: "",AI26),JOIN("""",""Min:  "",AI26, CHAR(10),""Max: "",AJ26)))"),"")</f>
        <v/>
      </c>
      <c r="AI26" s="42" t="str">
        <f t="array" ref="AI26">_xlfn.XLOOKUP(B26,'Up Min'!A:A,'Up Min'!I:I,)</f>
        <v/>
      </c>
      <c r="AJ26" s="42" t="str">
        <f t="array" ref="AJ26">_xlfn.XLOOKUP(B26,'Up Max'!A:A,'Up Max'!I:I,)</f>
        <v/>
      </c>
      <c r="AK26" s="48" t="str">
        <f t="array" ref="AK26">_xlfn.XLOOKUP(B26,'Up Stats'!A:A,'Up Stats'!J:J,)</f>
        <v/>
      </c>
      <c r="AL26" s="40" t="str">
        <f>IFERROR(__xludf.DUMMYFUNCTION("if(AND(AM26=FALSE,AN26=FALSE),,if(AM26=AN26,JOIN("""",""Static: "",AM26),JOIN("""",""Min:  "",AM26, CHAR(10),""Max: "",AN26)))"),"")</f>
        <v/>
      </c>
      <c r="AM26" s="42" t="str">
        <f t="array" ref="AM26">_xlfn.XLOOKUP(B26,'Up Min'!A:A,'Up Min'!J:J,)</f>
        <v/>
      </c>
      <c r="AN26" s="42" t="str">
        <f t="array" ref="AN26">_xlfn.XLOOKUP(B26,'Up Max'!A:A,'Up Max'!J:J,)</f>
        <v/>
      </c>
      <c r="AO26" s="34" t="str">
        <f t="array" ref="AO26">CONCATENATE(_xlfn.XLOOKUP(B26,'Up Cells'!A:A,'Up Cells'!B:B,))</f>
        <v>4</v>
      </c>
      <c r="AP26" s="34" t="str">
        <f t="array" ref="AP26">CONCATENATE(_xlfn.XLOOKUP(B26,'Up Rarity'!A:A,'Up Rarity'!B:B,),CHAR(10),"-")</f>
        <v>Rare
-</v>
      </c>
    </row>
    <row r="27">
      <c r="A27" s="83" t="str">
        <f t="array" ref="A27">_xlfn.XLOOKUP(B27,'Up Icon'!A:A,'Up Icon'!B:B,)</f>
        <v/>
      </c>
      <c r="B27" s="63" t="str">
        <f t="array" ref="B27">HYPERLINK(_xlfn.XLOOKUP('Up Names'!H24,'Up Wiki'!A:A,'Up Wiki'!B:B,),'Up Names'!H24)</f>
        <v>Spyglass</v>
      </c>
      <c r="C27" s="52" t="str">
        <f t="array" ref="C27">_xlfn.XLOOKUP(B27,'Up Desc'!A:A,'Up Desc'!B:B,)</f>
        <v>Aim zoom increased. While aiming, fire rate and spread are reduced and range increased.</v>
      </c>
      <c r="D27" s="52" t="str">
        <f t="array" ref="D27">_xlfn.XLOOKUP(B27,'Up Turbo'!A:A,'Up Turbo'!B:B,)</f>
        <v>n/a</v>
      </c>
      <c r="E27" s="53" t="str">
        <f t="array" ref="E27">_xlfn.XLOOKUP(B27,'Up Stats'!A:A,'Up Stats'!B:B,)</f>
        <v>Fire Rate</v>
      </c>
      <c r="F27" s="54" t="str">
        <f>IFERROR(__xludf.DUMMYFUNCTION("if(AND(G27=FALSE,H27=FALSE),,if(G27=H27,JOIN("""",""Static: "",G27),JOIN("""",""Min:  "",G27, CHAR(10),""Max: "",H27)))"),"Min:  -9.09%
Max: -14.89%")</f>
        <v>Min:  -9.09%
Max: -14.89%</v>
      </c>
      <c r="G27" s="71">
        <f t="array" ref="G27">_xlfn.XLOOKUP(B27,'Up Min'!A:A,'Up Min'!B:B,)</f>
        <v>-0.0909</v>
      </c>
      <c r="H27" s="71">
        <f t="array" ref="H27">_xlfn.XLOOKUP(B27,'Up Max'!A:A,'Up Max'!B:B,)</f>
        <v>-0.1489</v>
      </c>
      <c r="I27" s="53" t="str">
        <f t="array" ref="I27">_xlfn.XLOOKUP(B27,'Up Stats'!A:A,'Up Stats'!C:C,)</f>
        <v>Falloff Start</v>
      </c>
      <c r="J27" s="54" t="str">
        <f>IFERROR(__xludf.DUMMYFUNCTION("if(AND(K27=FALSE,L27=FALSE),,if(K27=L27,JOIN("""",""Static: "",K27),JOIN("""",""Min:  "",K27, CHAR(10),""Max: "",L27)))"),"Min:  40
Max: 60")</f>
        <v>Min:  40
Max: 60</v>
      </c>
      <c r="K27" s="65">
        <f t="array" ref="K27">_xlfn.XLOOKUP(B27,'Up Min'!A:A,'Up Min'!C:C,)</f>
        <v>40</v>
      </c>
      <c r="L27" s="64">
        <f t="array" ref="L27">_xlfn.XLOOKUP(B27,'Up Max'!A:A,'Up Max'!C:C,)</f>
        <v>60</v>
      </c>
      <c r="M27" s="53" t="str">
        <f t="array" ref="M27">_xlfn.XLOOKUP(B27,'Up Stats'!A:A,'Up Stats'!D:D,)</f>
        <v>Falloff End</v>
      </c>
      <c r="N27" s="54" t="str">
        <f>IFERROR(__xludf.DUMMYFUNCTION("if(AND(O27=FALSE,P27=FALSE),,if(O27=P27,JOIN("""",""Static: "",O27),JOIN("""",""Min:  "",O27, CHAR(10),""Max: "",P27)))"),"Min:  40
Max: 60")</f>
        <v>Min:  40
Max: 60</v>
      </c>
      <c r="O27" s="65">
        <f t="array" ref="O27">_xlfn.XLOOKUP(B27,'Up Min'!A:A,'Up Min'!D:D,)</f>
        <v>40</v>
      </c>
      <c r="P27" s="65">
        <f t="array" ref="P27">_xlfn.XLOOKUP(B27,'Up Max'!A:A,'Up Max'!D:D,)</f>
        <v>60</v>
      </c>
      <c r="Q27" s="57" t="str">
        <f t="array" ref="Q27">_xlfn.XLOOKUP(B27,'Up Stats'!A:A,'Up Stats'!E:E,)</f>
        <v>Range</v>
      </c>
      <c r="R27" s="54" t="str">
        <f>IFERROR(__xludf.DUMMYFUNCTION("if(AND(S27=FALSE,T27=FALSE),,if(S27=T27,JOIN("""",""Static: "",S27),JOIN("""",""Min:  "",S27, CHAR(10),""Max: "",T27)))"),"Min:  40
Max: 60")</f>
        <v>Min:  40
Max: 60</v>
      </c>
      <c r="S27" s="65">
        <f t="array" ref="S27">_xlfn.XLOOKUP(B27,'Up Min'!A:A,'Up Min'!E:E,)</f>
        <v>40</v>
      </c>
      <c r="T27" s="65">
        <f t="array" ref="T27">_xlfn.XLOOKUP(B27,'Up Max'!A:A,'Up Max'!E:E,)</f>
        <v>60</v>
      </c>
      <c r="U27" s="53" t="str">
        <f t="array" ref="U27">_xlfn.XLOOKUP(B27,'Up Stats'!A:A,'Up Stats'!F:F,)</f>
        <v>Horizontal Spread</v>
      </c>
      <c r="V27" s="54" t="str">
        <f>IFERROR(__xludf.DUMMYFUNCTION("if(AND(W27=FALSE,X27=FALSE),,if(W27=X27,JOIN("""",""Static: "",W27),JOIN("""",""Min:  "",W27, CHAR(10),""Max: "",X27)))"),"Static: -63%")</f>
        <v>Static: -63%</v>
      </c>
      <c r="W27" s="59">
        <f t="array" ref="W27">_xlfn.XLOOKUP(B27,'Up Min'!A:A,'Up Min'!F:F,)</f>
        <v>-0.63</v>
      </c>
      <c r="X27" s="59">
        <f t="array" ref="X27">_xlfn.XLOOKUP(B27,'Up Max'!A:A,'Up Max'!F:F,)</f>
        <v>-0.63</v>
      </c>
      <c r="Y27" s="53" t="str">
        <f t="array" ref="Y27">_xlfn.XLOOKUP(B27,'Up Stats'!A:A,'Up Stats'!G:G,)</f>
        <v>Vertical Spread</v>
      </c>
      <c r="Z27" s="54" t="str">
        <f>IFERROR(__xludf.DUMMYFUNCTION("if(AND(AA27=FALSE,AB27=FALSE),,if(AA27=AB27,JOIN("""",""Static: "",AA27),JOIN("""",""Min:  "",AA27, CHAR(10),""Max: "",AB27)))"),"Static: -53%")</f>
        <v>Static: -53%</v>
      </c>
      <c r="AA27" s="59">
        <f t="array" ref="AA27">_xlfn.XLOOKUP(B27,'Up Min'!A:A,'Up Min'!G:G,)</f>
        <v>-0.53</v>
      </c>
      <c r="AB27" s="59">
        <f t="array" ref="AB27">_xlfn.XLOOKUP(B27,'Up Max'!A:A,'Up Max'!G:G,)</f>
        <v>-0.53</v>
      </c>
      <c r="AC27" s="53" t="str">
        <f t="array" ref="AC27">_xlfn.XLOOKUP(B27,'Up Stats'!A:A,'Up Stats'!H:H,)</f>
        <v/>
      </c>
      <c r="AD27" s="54" t="str">
        <f>IFERROR(__xludf.DUMMYFUNCTION("if(AND(AE27=FALSE,AF27=FALSE),,if(AE27=AF27,JOIN("""",""Static: "",AE27),JOIN("""",""Min:  "",AE27, CHAR(10),""Max: "",AF27)))"),"")</f>
        <v/>
      </c>
      <c r="AE27" s="56" t="str">
        <f t="array" ref="AE27">_xlfn.XLOOKUP(B27,'Up Min'!A:A,'Up Min'!H:H,)</f>
        <v/>
      </c>
      <c r="AF27" s="55" t="str">
        <f t="array" ref="AF27">_xlfn.XLOOKUP(B27,'Up Max'!A:A,'Up Max'!H:H,)</f>
        <v/>
      </c>
      <c r="AG27" s="57" t="str">
        <f t="array" ref="AG27">_xlfn.XLOOKUP(B27,'Up Stats'!A:A,'Up Stats'!I:I,)</f>
        <v/>
      </c>
      <c r="AH27" s="54" t="str">
        <f>IFERROR(__xludf.DUMMYFUNCTION("if(AND(AI27=FALSE,AJ27=FALSE),,if(AI27=AJ27,JOIN("""",""Static: "",AI27),JOIN("""",""Min:  "",AI27, CHAR(10),""Max: "",AJ27)))"),"")</f>
        <v/>
      </c>
      <c r="AI27" s="55" t="str">
        <f t="array" ref="AI27">_xlfn.XLOOKUP(B27,'Up Min'!A:A,'Up Min'!I:I,)</f>
        <v/>
      </c>
      <c r="AJ27" s="55" t="str">
        <f t="array" ref="AJ27">_xlfn.XLOOKUP(B27,'Up Max'!A:A,'Up Max'!I:I,)</f>
        <v/>
      </c>
      <c r="AK27" s="57" t="str">
        <f t="array" ref="AK27">_xlfn.XLOOKUP(B27,'Up Stats'!A:A,'Up Stats'!J:J,)</f>
        <v/>
      </c>
      <c r="AL27" s="54" t="str">
        <f>IFERROR(__xludf.DUMMYFUNCTION("if(AND(AM27=FALSE,AN27=FALSE),,if(AM27=AN27,JOIN("""",""Static: "",AM27),JOIN("""",""Min:  "",AM27, CHAR(10),""Max: "",AN27)))"),"")</f>
        <v/>
      </c>
      <c r="AM27" s="55" t="str">
        <f t="array" ref="AM27">_xlfn.XLOOKUP(B27,'Up Min'!A:A,'Up Min'!J:J,)</f>
        <v/>
      </c>
      <c r="AN27" s="55" t="str">
        <f t="array" ref="AN27">_xlfn.XLOOKUP(B27,'Up Max'!A:A,'Up Max'!J:J,)</f>
        <v/>
      </c>
      <c r="AO27" s="51" t="str">
        <f t="array" ref="AO27">CONCATENATE(_xlfn.XLOOKUP(B27,'Up Cells'!A:A,'Up Cells'!B:B,))</f>
        <v>4</v>
      </c>
      <c r="AP27" s="51" t="str">
        <f t="array" ref="AP27">CONCATENATE(_xlfn.XLOOKUP(B27,'Up Rarity'!A:A,'Up Rarity'!B:B,),CHAR(10),"-")</f>
        <v>Rare
-</v>
      </c>
    </row>
    <row r="28">
      <c r="A28" s="83" t="str">
        <f t="array" ref="A28">_xlfn.XLOOKUP(B28,'Up Icon'!A:A,'Up Icon'!B:B,)</f>
        <v/>
      </c>
      <c r="B28" s="66" t="str">
        <f t="array" ref="B28">HYPERLINK(_xlfn.XLOOKUP('Up Names'!H25,'Up Wiki'!A:A,'Up Wiki'!B:B,),'Up Names'!H25)</f>
        <v>Squadron</v>
      </c>
      <c r="C28" s="67" t="str">
        <f t="array" ref="C28">_xlfn.XLOOKUP(B28,'Up Desc'!A:A,'Up Desc'!B:B,)</f>
        <v>Fire a 4-round burst. Magazine size is slightly increased.</v>
      </c>
      <c r="D28" s="37" t="str">
        <f t="array" ref="D28">_xlfn.XLOOKUP(B28,'Up Turbo'!A:A,'Up Turbo'!B:B,)</f>
        <v>n/a</v>
      </c>
      <c r="E28" s="39" t="str">
        <f t="array" ref="E28">_xlfn.XLOOKUP(B28,'Up Stats'!A:A,'Up Stats'!B:B,)</f>
        <v>Burst Size</v>
      </c>
      <c r="F28" s="40" t="str">
        <f>IFERROR(__xludf.DUMMYFUNCTION("if(AND(G28=FALSE,H28=FALSE),,if(G28=H28,JOIN("""",""Static: "",G28),JOIN("""",""Min:  "",G28, CHAR(10),""Max: "",H28)))"),"Static: 4")</f>
        <v>Static: 4</v>
      </c>
      <c r="G28" s="69">
        <f t="array" ref="G28">_xlfn.XLOOKUP(B28,'Up Min'!A:A,'Up Min'!B:B,)</f>
        <v>4</v>
      </c>
      <c r="H28" s="68">
        <f t="array" ref="H28">_xlfn.XLOOKUP(B28,'Up Max'!A:A,'Up Max'!B:B,)</f>
        <v>4</v>
      </c>
      <c r="I28" s="39" t="str">
        <f t="array" ref="I28">_xlfn.XLOOKUP(B28,'Up Stats'!A:A,'Up Stats'!C:C,)</f>
        <v>Burst Interval</v>
      </c>
      <c r="J28" s="40" t="str">
        <f>IFERROR(__xludf.DUMMYFUNCTION("if(AND(K28=FALSE,L28=FALSE),,if(K28=L28,JOIN("""",""Static: "",K28),JOIN("""",""Min:  "",K28, CHAR(10),""Max: "",L28)))"),"Min:  0.23
Max: 0.29")</f>
        <v>Min:  0.23
Max: 0.29</v>
      </c>
      <c r="K28" s="68">
        <f t="array" ref="K28">_xlfn.XLOOKUP(B28,'Up Min'!A:A,'Up Min'!C:C,)</f>
        <v>0.23</v>
      </c>
      <c r="L28" s="69">
        <f t="array" ref="L28">_xlfn.XLOOKUP(B28,'Up Max'!A:A,'Up Max'!C:C,)</f>
        <v>0.29</v>
      </c>
      <c r="M28" s="39" t="str">
        <f t="array" ref="M28">_xlfn.XLOOKUP(B28,'Up Stats'!A:A,'Up Stats'!D:D,)</f>
        <v>Fire Rate</v>
      </c>
      <c r="N28" s="40" t="str">
        <f>IFERROR(__xludf.DUMMYFUNCTION("if(AND(O28=FALSE,P28=FALSE),,if(O28=P28,JOIN("""",""Static: "",O28),JOIN("""",""Min:  "",O28, CHAR(10),""Max: "",P28)))"),"Min:  100%
Max: 66.70%")</f>
        <v>Min:  100%
Max: 66.70%</v>
      </c>
      <c r="O28" s="41">
        <f t="array" ref="O28">_xlfn.XLOOKUP(B28,'Up Min'!A:A,'Up Min'!D:D,)</f>
        <v>1</v>
      </c>
      <c r="P28" s="78">
        <f t="array" ref="P28">_xlfn.XLOOKUP(B28,'Up Max'!A:A,'Up Max'!D:D,)</f>
        <v>0.667</v>
      </c>
      <c r="Q28" s="48" t="str">
        <f t="array" ref="Q28">_xlfn.XLOOKUP(B28,'Up Stats'!A:A,'Up Stats'!E:E,)</f>
        <v>Magazine Size</v>
      </c>
      <c r="R28" s="40" t="str">
        <f>IFERROR(__xludf.DUMMYFUNCTION("if(AND(S28=FALSE,T28=FALSE),,if(S28=T28,JOIN("""",""Static: "",S28),JOIN("""",""Min:  "",S28, CHAR(10),""Max: "",T28)))"),"Static: 6")</f>
        <v>Static: 6</v>
      </c>
      <c r="S28" s="68">
        <f t="array" ref="S28">_xlfn.XLOOKUP(B28,'Up Min'!A:A,'Up Min'!E:E,)</f>
        <v>6</v>
      </c>
      <c r="T28" s="68">
        <f t="array" ref="T28">_xlfn.XLOOKUP(B28,'Up Max'!A:A,'Up Max'!E:E,)</f>
        <v>6</v>
      </c>
      <c r="U28" s="39" t="str">
        <f t="array" ref="U28">_xlfn.XLOOKUP(B28,'Up Stats'!A:A,'Up Stats'!F:F,)</f>
        <v/>
      </c>
      <c r="V28" s="40" t="str">
        <f>IFERROR(__xludf.DUMMYFUNCTION("if(AND(W28=FALSE,X28=FALSE),,if(W28=X28,JOIN("""",""Static: "",W28),JOIN("""",""Min:  "",W28, CHAR(10),""Max: "",X28)))"),"")</f>
        <v/>
      </c>
      <c r="W28" s="45" t="str">
        <f t="array" ref="W28">_xlfn.XLOOKUP(B28,'Up Min'!A:A,'Up Min'!F:F,)</f>
        <v/>
      </c>
      <c r="X28" s="45" t="str">
        <f t="array" ref="X28">_xlfn.XLOOKUP(B28,'Up Max'!A:A,'Up Max'!F:F,)</f>
        <v/>
      </c>
      <c r="Y28" s="39" t="str">
        <f t="array" ref="Y28">_xlfn.XLOOKUP(B28,'Up Stats'!A:A,'Up Stats'!G:G,)</f>
        <v/>
      </c>
      <c r="Z28" s="40" t="str">
        <f>IFERROR(__xludf.DUMMYFUNCTION("if(AND(AA28=FALSE,AB28=FALSE),,if(AA28=AB28,JOIN("""",""Static: "",AA28),JOIN("""",""Min:  "",AA28, CHAR(10),""Max: "",AB28)))"),"")</f>
        <v/>
      </c>
      <c r="AA28" s="42" t="str">
        <f t="array" ref="AA28">_xlfn.XLOOKUP(B28,'Up Min'!A:A,'Up Min'!G:G,)</f>
        <v/>
      </c>
      <c r="AB28" s="45" t="str">
        <f t="array" ref="AB28">_xlfn.XLOOKUP(B28,'Up Max'!A:A,'Up Max'!G:G,)</f>
        <v/>
      </c>
      <c r="AC28" s="39" t="str">
        <f t="array" ref="AC28">_xlfn.XLOOKUP(B28,'Up Stats'!A:A,'Up Stats'!H:H,)</f>
        <v/>
      </c>
      <c r="AD28" s="40" t="str">
        <f>IFERROR(__xludf.DUMMYFUNCTION("if(AND(AE28=FALSE,AF28=FALSE),,if(AE28=AF28,JOIN("""",""Static: "",AE28),JOIN("""",""Min:  "",AE28, CHAR(10),""Max: "",AF28)))"),"")</f>
        <v/>
      </c>
      <c r="AE28" s="42" t="str">
        <f t="array" ref="AE28">_xlfn.XLOOKUP(B28,'Up Min'!A:A,'Up Min'!H:H,)</f>
        <v/>
      </c>
      <c r="AF28" s="42" t="str">
        <f t="array" ref="AF28">_xlfn.XLOOKUP(B28,'Up Max'!A:A,'Up Max'!H:H,)</f>
        <v/>
      </c>
      <c r="AG28" s="48" t="str">
        <f t="array" ref="AG28">_xlfn.XLOOKUP(B28,'Up Stats'!A:A,'Up Stats'!I:I,)</f>
        <v/>
      </c>
      <c r="AH28" s="40" t="str">
        <f>IFERROR(__xludf.DUMMYFUNCTION("if(AND(AI28=FALSE,AJ28=FALSE),,if(AI28=AJ28,JOIN("""",""Static: "",AI28),JOIN("""",""Min:  "",AI28, CHAR(10),""Max: "",AJ28)))"),"")</f>
        <v/>
      </c>
      <c r="AI28" s="42" t="str">
        <f t="array" ref="AI28">_xlfn.XLOOKUP(B28,'Up Min'!A:A,'Up Min'!I:I,)</f>
        <v/>
      </c>
      <c r="AJ28" s="42" t="str">
        <f t="array" ref="AJ28">_xlfn.XLOOKUP(B28,'Up Max'!A:A,'Up Max'!I:I,)</f>
        <v/>
      </c>
      <c r="AK28" s="48" t="str">
        <f t="array" ref="AK28">_xlfn.XLOOKUP(B28,'Up Stats'!A:A,'Up Stats'!J:J,)</f>
        <v/>
      </c>
      <c r="AL28" s="40" t="str">
        <f>IFERROR(__xludf.DUMMYFUNCTION("if(AND(AM28=FALSE,AN28=FALSE),,if(AM28=AN28,JOIN("""",""Static: "",AM28),JOIN("""",""Min:  "",AM28, CHAR(10),""Max: "",AN28)))"),"")</f>
        <v/>
      </c>
      <c r="AM28" s="42" t="str">
        <f t="array" ref="AM28">_xlfn.XLOOKUP(B28,'Up Min'!A:A,'Up Min'!J:J,)</f>
        <v/>
      </c>
      <c r="AN28" s="42" t="str">
        <f t="array" ref="AN28">_xlfn.XLOOKUP(B28,'Up Max'!A:A,'Up Max'!J:J,)</f>
        <v/>
      </c>
      <c r="AO28" s="34" t="str">
        <f t="array" ref="AO28">CONCATENATE(_xlfn.XLOOKUP(B28,'Up Cells'!A:A,'Up Cells'!B:B,))</f>
        <v>4</v>
      </c>
      <c r="AP28" s="34" t="str">
        <f t="array" ref="AP28">CONCATENATE(_xlfn.XLOOKUP(B28,'Up Rarity'!A:A,'Up Rarity'!B:B,),CHAR(10),"-")</f>
        <v>Rare
-</v>
      </c>
    </row>
    <row r="29">
      <c r="A29" s="83" t="str">
        <f t="array" ref="A29">_xlfn.XLOOKUP(B29,'Up Icon'!A:A,'Up Icon'!B:B,)</f>
        <v/>
      </c>
      <c r="B29" s="63" t="str">
        <f t="array" ref="B29">HYPERLINK(_xlfn.XLOOKUP('Up Names'!H26,'Up Wiki'!A:A,'Up Wiki'!B:B,),'Up Names'!H26)</f>
        <v>Top Deck Storage</v>
      </c>
      <c r="C29" s="52" t="str">
        <f t="array" ref="C29">_xlfn.XLOOKUP(B29,'Up Desc'!A:A,'Up Desc'!B:B,)</f>
        <v>Magazine size and ammo capacity are increased.</v>
      </c>
      <c r="D29" s="52" t="str">
        <f t="array" ref="D29">_xlfn.XLOOKUP(B29,'Up Turbo'!A:A,'Up Turbo'!B:B,)</f>
        <v>n/a</v>
      </c>
      <c r="E29" s="53" t="str">
        <f t="array" ref="E29">_xlfn.XLOOKUP(B29,'Up Stats'!A:A,'Up Stats'!B:B,)</f>
        <v>Magazine Size</v>
      </c>
      <c r="F29" s="54" t="str">
        <f>IFERROR(__xludf.DUMMYFUNCTION("if(AND(G29=FALSE,H29=FALSE),,if(G29=H29,JOIN("""",""Static: "",G29),JOIN("""",""Min:  "",G29, CHAR(10),""Max: "",H29)))"),"Min:  24
Max: 36")</f>
        <v>Min:  24
Max: 36</v>
      </c>
      <c r="G29" s="64">
        <f t="array" ref="G29">_xlfn.XLOOKUP(B29,'Up Min'!A:A,'Up Min'!B:B,)</f>
        <v>24</v>
      </c>
      <c r="H29" s="65">
        <f t="array" ref="H29">_xlfn.XLOOKUP(B29,'Up Max'!A:A,'Up Max'!B:B,)</f>
        <v>36</v>
      </c>
      <c r="I29" s="53" t="str">
        <f t="array" ref="I29">_xlfn.XLOOKUP(B29,'Up Stats'!A:A,'Up Stats'!C:C,)</f>
        <v>Ammo Capacity</v>
      </c>
      <c r="J29" s="54" t="str">
        <f>IFERROR(__xludf.DUMMYFUNCTION("if(AND(K29=FALSE,L29=FALSE),,if(K29=L29,JOIN("""",""Static: "",K29),JOIN("""",""Min:  "",K29, CHAR(10),""Max: "",L29)))"),"Min:  36
Max: 72")</f>
        <v>Min:  36
Max: 72</v>
      </c>
      <c r="K29" s="65">
        <f t="array" ref="K29">_xlfn.XLOOKUP(B29,'Up Min'!A:A,'Up Min'!C:C,)</f>
        <v>36</v>
      </c>
      <c r="L29" s="64">
        <f t="array" ref="L29">_xlfn.XLOOKUP(B29,'Up Max'!A:A,'Up Max'!C:C,)</f>
        <v>72</v>
      </c>
      <c r="M29" s="53" t="str">
        <f t="array" ref="M29">_xlfn.XLOOKUP(B29,'Up Stats'!A:A,'Up Stats'!D:D,)</f>
        <v/>
      </c>
      <c r="N29" s="54" t="str">
        <f>IFERROR(__xludf.DUMMYFUNCTION("if(AND(O29=FALSE,P29=FALSE),,if(O29=P29,JOIN("""",""Static: "",O29),JOIN("""",""Min:  "",O29, CHAR(10),""Max: "",P29)))"),"")</f>
        <v/>
      </c>
      <c r="O29" s="55" t="str">
        <f t="array" ref="O29">_xlfn.XLOOKUP(B29,'Up Min'!A:A,'Up Min'!D:D,)</f>
        <v/>
      </c>
      <c r="P29" s="55" t="str">
        <f t="array" ref="P29">_xlfn.XLOOKUP(B29,'Up Max'!A:A,'Up Max'!D:D,)</f>
        <v/>
      </c>
      <c r="Q29" s="57" t="str">
        <f t="array" ref="Q29">_xlfn.XLOOKUP(B29,'Up Stats'!A:A,'Up Stats'!E:E,)</f>
        <v/>
      </c>
      <c r="R29" s="54" t="str">
        <f>IFERROR(__xludf.DUMMYFUNCTION("if(AND(S29=FALSE,T29=FALSE),,if(S29=T29,JOIN("""",""Static: "",S29),JOIN("""",""Min:  "",S29, CHAR(10),""Max: "",T29)))"),"")</f>
        <v/>
      </c>
      <c r="S29" s="55" t="str">
        <f t="array" ref="S29">_xlfn.XLOOKUP(B29,'Up Min'!A:A,'Up Min'!E:E,)</f>
        <v/>
      </c>
      <c r="T29" s="55" t="str">
        <f t="array" ref="T29">_xlfn.XLOOKUP(B29,'Up Max'!A:A,'Up Max'!E:E,)</f>
        <v/>
      </c>
      <c r="U29" s="57" t="str">
        <f t="array" ref="U29">_xlfn.XLOOKUP(B29,'Up Stats'!A:A,'Up Stats'!F:F,)</f>
        <v/>
      </c>
      <c r="V29" s="54" t="str">
        <f>IFERROR(__xludf.DUMMYFUNCTION("if(AND(W29=FALSE,X29=FALSE),,if(W29=X29,JOIN("""",""Static: "",W29),JOIN("""",""Min:  "",W29, CHAR(10),""Max: "",X29)))"),"")</f>
        <v/>
      </c>
      <c r="W29" s="55" t="str">
        <f t="array" ref="W29">_xlfn.XLOOKUP(B29,'Up Min'!A:A,'Up Min'!F:F,)</f>
        <v/>
      </c>
      <c r="X29" s="55" t="str">
        <f t="array" ref="X29">_xlfn.XLOOKUP(B29,'Up Max'!A:A,'Up Max'!F:F,)</f>
        <v/>
      </c>
      <c r="Y29" s="57" t="str">
        <f t="array" ref="Y29">_xlfn.XLOOKUP(B29,'Up Stats'!A:A,'Up Stats'!G:G,)</f>
        <v/>
      </c>
      <c r="Z29" s="54" t="str">
        <f>IFERROR(__xludf.DUMMYFUNCTION("if(AND(AA29=FALSE,AB29=FALSE),,if(AA29=AB29,JOIN("""",""Static: "",AA29),JOIN("""",""Min:  "",AA29, CHAR(10),""Max: "",AB29)))"),"")</f>
        <v/>
      </c>
      <c r="AA29" s="55" t="str">
        <f t="array" ref="AA29">_xlfn.XLOOKUP(B29,'Up Min'!A:A,'Up Min'!G:G,)</f>
        <v/>
      </c>
      <c r="AB29" s="55" t="str">
        <f t="array" ref="AB29">_xlfn.XLOOKUP(B29,'Up Max'!A:A,'Up Max'!G:G,)</f>
        <v/>
      </c>
      <c r="AC29" s="57" t="str">
        <f t="array" ref="AC29">_xlfn.XLOOKUP(B29,'Up Stats'!A:A,'Up Stats'!H:H,)</f>
        <v/>
      </c>
      <c r="AD29" s="54" t="str">
        <f>IFERROR(__xludf.DUMMYFUNCTION("if(AND(AE29=FALSE,AF29=FALSE),,if(AE29=AF29,JOIN("""",""Static: "",AE29),JOIN("""",""Min:  "",AE29, CHAR(10),""Max: "",AF29)))"),"")</f>
        <v/>
      </c>
      <c r="AE29" s="55" t="str">
        <f t="array" ref="AE29">_xlfn.XLOOKUP(B29,'Up Min'!A:A,'Up Min'!H:H,)</f>
        <v/>
      </c>
      <c r="AF29" s="55" t="str">
        <f t="array" ref="AF29">_xlfn.XLOOKUP(B29,'Up Max'!A:A,'Up Max'!H:H,)</f>
        <v/>
      </c>
      <c r="AG29" s="57" t="str">
        <f t="array" ref="AG29">_xlfn.XLOOKUP(B29,'Up Stats'!A:A,'Up Stats'!I:I,)</f>
        <v/>
      </c>
      <c r="AH29" s="54" t="str">
        <f>IFERROR(__xludf.DUMMYFUNCTION("if(AND(AI29=FALSE,AJ29=FALSE),,if(AI29=AJ29,JOIN("""",""Static: "",AI29),JOIN("""",""Min:  "",AI29, CHAR(10),""Max: "",AJ29)))"),"")</f>
        <v/>
      </c>
      <c r="AI29" s="55" t="str">
        <f t="array" ref="AI29">_xlfn.XLOOKUP(B29,'Up Min'!A:A,'Up Min'!I:I,)</f>
        <v/>
      </c>
      <c r="AJ29" s="55" t="str">
        <f t="array" ref="AJ29">_xlfn.XLOOKUP(B29,'Up Max'!A:A,'Up Max'!I:I,)</f>
        <v/>
      </c>
      <c r="AK29" s="57" t="str">
        <f t="array" ref="AK29">_xlfn.XLOOKUP(B29,'Up Stats'!A:A,'Up Stats'!J:J,)</f>
        <v/>
      </c>
      <c r="AL29" s="54" t="str">
        <f>IFERROR(__xludf.DUMMYFUNCTION("if(AND(AM29=FALSE,AN29=FALSE),,if(AM29=AN29,JOIN("""",""Static: "",AM29),JOIN("""",""Min:  "",AM29, CHAR(10),""Max: "",AN29)))"),"")</f>
        <v/>
      </c>
      <c r="AM29" s="55" t="str">
        <f t="array" ref="AM29">_xlfn.XLOOKUP(B29,'Up Min'!A:A,'Up Min'!J:J,)</f>
        <v/>
      </c>
      <c r="AN29" s="55" t="str">
        <f t="array" ref="AN29">_xlfn.XLOOKUP(B29,'Up Max'!A:A,'Up Max'!J:J,)</f>
        <v/>
      </c>
      <c r="AO29" s="51" t="str">
        <f t="array" ref="AO29">CONCATENATE(_xlfn.XLOOKUP(B29,'Up Cells'!A:A,'Up Cells'!B:B,))</f>
        <v>6</v>
      </c>
      <c r="AP29" s="51" t="str">
        <f t="array" ref="AP29">CONCATENATE(_xlfn.XLOOKUP(B29,'Up Rarity'!A:A,'Up Rarity'!B:B,),CHAR(10),"-")</f>
        <v>Rare
-</v>
      </c>
    </row>
    <row r="30">
      <c r="A30" s="83" t="str">
        <f t="array" ref="A30">_xlfn.XLOOKUP(B30,'Up Icon'!A:A,'Up Icon'!B:B,)</f>
        <v/>
      </c>
      <c r="B30" s="66" t="str">
        <f t="array" ref="B30">HYPERLINK(_xlfn.XLOOKUP('Up Names'!H27,'Up Wiki'!A:A,'Up Wiki'!B:B,),'Up Names'!H27)</f>
        <v>Ungovernable</v>
      </c>
      <c r="C30" s="37" t="str">
        <f t="array" ref="C30">_xlfn.XLOOKUP(B30,'Up Desc'!A:A,'Up Desc'!B:B,)</f>
        <v>Fire rate, recoil and spread are increased.</v>
      </c>
      <c r="D30" s="37" t="str">
        <f t="array" ref="D30">_xlfn.XLOOKUP(B30,'Up Turbo'!A:A,'Up Turbo'!B:B,)</f>
        <v>n/a</v>
      </c>
      <c r="E30" s="39" t="str">
        <f t="array" ref="E30">_xlfn.XLOOKUP(B30,'Up Stats'!A:A,'Up Stats'!B:B,)</f>
        <v>Fire Rate</v>
      </c>
      <c r="F30" s="40" t="str">
        <f>IFERROR(__xludf.DUMMYFUNCTION("if(AND(G30=FALSE,H30=FALSE),,if(G30=H30,JOIN("""",""Static: "",G30),JOIN("""",""Min:  "",G30, CHAR(10),""Max: "",H30)))"),"Min:  42.86%
Max: 25%")</f>
        <v>Min:  42.86%
Max: 25%</v>
      </c>
      <c r="G30" s="78">
        <f t="array" ref="G30">_xlfn.XLOOKUP(B30,'Up Min'!A:A,'Up Min'!B:B,)</f>
        <v>0.4286</v>
      </c>
      <c r="H30" s="41">
        <f t="array" ref="H30">_xlfn.XLOOKUP(B30,'Up Max'!A:A,'Up Max'!B:B,)</f>
        <v>0.25</v>
      </c>
      <c r="I30" s="39" t="str">
        <f t="array" ref="I30">_xlfn.XLOOKUP(B30,'Up Stats'!A:A,'Up Stats'!C:C,)</f>
        <v>Horizontal Recoil</v>
      </c>
      <c r="J30" s="40" t="str">
        <f>IFERROR(__xludf.DUMMYFUNCTION("if(AND(K30=FALSE,L30=FALSE),,if(K30=L30,JOIN("""",""Static: "",K30),JOIN("""",""Min:  "",K30, CHAR(10),""Max: "",L30)))"),"Min:  40%
Max: 53%")</f>
        <v>Min:  40%
Max: 53%</v>
      </c>
      <c r="K30" s="41">
        <f t="array" ref="K30">_xlfn.XLOOKUP(B30,'Up Min'!A:A,'Up Min'!C:C,)</f>
        <v>0.4</v>
      </c>
      <c r="L30" s="41">
        <f t="array" ref="L30">_xlfn.XLOOKUP(B30,'Up Max'!A:A,'Up Max'!C:C,)</f>
        <v>0.53</v>
      </c>
      <c r="M30" s="39" t="str">
        <f t="array" ref="M30">_xlfn.XLOOKUP(B30,'Up Stats'!A:A,'Up Stats'!D:D,)</f>
        <v>Vertical Recoil</v>
      </c>
      <c r="N30" s="40" t="str">
        <f>IFERROR(__xludf.DUMMYFUNCTION("if(AND(O30=FALSE,P30=FALSE),,if(O30=P30,JOIN("""",""Static: "",O30),JOIN("""",""Min:  "",O30, CHAR(10),""Max: "",P30)))"),"Min:  40%
Max: 53%")</f>
        <v>Min:  40%
Max: 53%</v>
      </c>
      <c r="O30" s="41">
        <f t="array" ref="O30">_xlfn.XLOOKUP(B30,'Up Min'!A:A,'Up Min'!D:D,)</f>
        <v>0.4</v>
      </c>
      <c r="P30" s="41">
        <f t="array" ref="P30">_xlfn.XLOOKUP(B30,'Up Max'!A:A,'Up Max'!D:D,)</f>
        <v>0.53</v>
      </c>
      <c r="Q30" s="48" t="str">
        <f t="array" ref="Q30">_xlfn.XLOOKUP(B30,'Up Stats'!A:A,'Up Stats'!E:E,)</f>
        <v>Horizontal Spread</v>
      </c>
      <c r="R30" s="40" t="str">
        <f>IFERROR(__xludf.DUMMYFUNCTION("if(AND(S30=FALSE,T30=FALSE),,if(S30=T30,JOIN("""",""Static: "",S30),JOIN("""",""Min:  "",S30, CHAR(10),""Max: "",T30)))"),"Min:  85%
Max: 120%")</f>
        <v>Min:  85%
Max: 120%</v>
      </c>
      <c r="S30" s="41">
        <f t="array" ref="S30">_xlfn.XLOOKUP(B30,'Up Min'!A:A,'Up Min'!E:E,)</f>
        <v>0.85</v>
      </c>
      <c r="T30" s="41">
        <f t="array" ref="T30">_xlfn.XLOOKUP(B30,'Up Max'!A:A,'Up Max'!E:E,)</f>
        <v>1.2</v>
      </c>
      <c r="U30" s="39" t="str">
        <f t="array" ref="U30">_xlfn.XLOOKUP(B30,'Up Stats'!A:A,'Up Stats'!F:F,)</f>
        <v>Vertical Spread</v>
      </c>
      <c r="V30" s="40" t="str">
        <f>IFERROR(__xludf.DUMMYFUNCTION("if(AND(W30=FALSE,X30=FALSE),,if(W30=X30,JOIN("""",""Static: "",W30),JOIN("""",""Min:  "",W30, CHAR(10),""Max: "",X30)))"),"Min:  85%
Max: 120%")</f>
        <v>Min:  85%
Max: 120%</v>
      </c>
      <c r="W30" s="41">
        <f t="array" ref="W30">_xlfn.XLOOKUP(B30,'Up Min'!A:A,'Up Min'!F:F,)</f>
        <v>0.85</v>
      </c>
      <c r="X30" s="41">
        <f t="array" ref="X30">_xlfn.XLOOKUP(B30,'Up Max'!A:A,'Up Max'!F:F,)</f>
        <v>1.2</v>
      </c>
      <c r="Y30" s="39" t="str">
        <f t="array" ref="Y30">_xlfn.XLOOKUP(B30,'Up Stats'!A:A,'Up Stats'!G:G,)</f>
        <v/>
      </c>
      <c r="Z30" s="40" t="str">
        <f>IFERROR(__xludf.DUMMYFUNCTION("if(AND(AA30=FALSE,AB30=FALSE),,if(AA30=AB30,JOIN("""",""Static: "",AA30),JOIN("""",""Min:  "",AA30, CHAR(10),""Max: "",AB30)))"),"")</f>
        <v/>
      </c>
      <c r="AA30" s="42" t="str">
        <f t="array" ref="AA30">_xlfn.XLOOKUP(B30,'Up Min'!A:A,'Up Min'!G:G,)</f>
        <v/>
      </c>
      <c r="AB30" s="45" t="str">
        <f t="array" ref="AB30">_xlfn.XLOOKUP(B30,'Up Max'!A:A,'Up Max'!G:G,)</f>
        <v/>
      </c>
      <c r="AC30" s="39" t="str">
        <f t="array" ref="AC30">_xlfn.XLOOKUP(B30,'Up Stats'!A:A,'Up Stats'!H:H,)</f>
        <v/>
      </c>
      <c r="AD30" s="40" t="str">
        <f>IFERROR(__xludf.DUMMYFUNCTION("if(AND(AE30=FALSE,AF30=FALSE),,if(AE30=AF30,JOIN("""",""Static: "",AE30),JOIN("""",""Min:  "",AE30, CHAR(10),""Max: "",AF30)))"),"")</f>
        <v/>
      </c>
      <c r="AE30" s="42" t="str">
        <f t="array" ref="AE30">_xlfn.XLOOKUP(B30,'Up Min'!A:A,'Up Min'!H:H,)</f>
        <v/>
      </c>
      <c r="AF30" s="42" t="str">
        <f t="array" ref="AF30">_xlfn.XLOOKUP(B30,'Up Max'!A:A,'Up Max'!H:H,)</f>
        <v/>
      </c>
      <c r="AG30" s="48" t="str">
        <f t="array" ref="AG30">_xlfn.XLOOKUP(B30,'Up Stats'!A:A,'Up Stats'!I:I,)</f>
        <v/>
      </c>
      <c r="AH30" s="40" t="str">
        <f>IFERROR(__xludf.DUMMYFUNCTION("if(AND(AI30=FALSE,AJ30=FALSE),,if(AI30=AJ30,JOIN("""",""Static: "",AI30),JOIN("""",""Min:  "",AI30, CHAR(10),""Max: "",AJ30)))"),"")</f>
        <v/>
      </c>
      <c r="AI30" s="42" t="str">
        <f t="array" ref="AI30">_xlfn.XLOOKUP(B30,'Up Min'!A:A,'Up Min'!I:I,)</f>
        <v/>
      </c>
      <c r="AJ30" s="42" t="str">
        <f t="array" ref="AJ30">_xlfn.XLOOKUP(B30,'Up Max'!A:A,'Up Max'!I:I,)</f>
        <v/>
      </c>
      <c r="AK30" s="48" t="str">
        <f t="array" ref="AK30">_xlfn.XLOOKUP(B30,'Up Stats'!A:A,'Up Stats'!J:J,)</f>
        <v/>
      </c>
      <c r="AL30" s="40" t="str">
        <f>IFERROR(__xludf.DUMMYFUNCTION("if(AND(AM30=FALSE,AN30=FALSE),,if(AM30=AN30,JOIN("""",""Static: "",AM30),JOIN("""",""Min:  "",AM30, CHAR(10),""Max: "",AN30)))"),"")</f>
        <v/>
      </c>
      <c r="AM30" s="42" t="str">
        <f t="array" ref="AM30">_xlfn.XLOOKUP(B30,'Up Min'!A:A,'Up Min'!J:J,)</f>
        <v/>
      </c>
      <c r="AN30" s="42" t="str">
        <f t="array" ref="AN30">_xlfn.XLOOKUP(B30,'Up Max'!A:A,'Up Max'!J:J,)</f>
        <v/>
      </c>
      <c r="AO30" s="34" t="str">
        <f t="array" ref="AO30">CONCATENATE(_xlfn.XLOOKUP(B30,'Up Cells'!A:A,'Up Cells'!B:B,))</f>
        <v>5</v>
      </c>
      <c r="AP30" s="34" t="str">
        <f t="array" ref="AP30">CONCATENATE(_xlfn.XLOOKUP(B30,'Up Rarity'!A:A,'Up Rarity'!B:B,),CHAR(10),"-")</f>
        <v>Rare
-</v>
      </c>
    </row>
    <row r="31">
      <c r="A31" s="84" t="str">
        <f t="array" ref="A31">_xlfn.XLOOKUP(B31,'Up Icon'!A:A,'Up Icon'!B:B,)</f>
        <v/>
      </c>
      <c r="B31" s="63" t="str">
        <f t="array" ref="B31">HYPERLINK(_xlfn.XLOOKUP('Up Names'!H28,'Up Wiki'!A:A,'Up Wiki'!B:B,),'Up Names'!H28)</f>
        <v>Cargo Hold</v>
      </c>
      <c r="C31" s="70" t="str">
        <f t="array" ref="C31">_xlfn.XLOOKUP(B31,'Up Desc'!A:A,'Up Desc'!B:B,)</f>
        <v>Ammo reserves are increased.</v>
      </c>
      <c r="D31" s="52" t="str">
        <f t="array" ref="D31">_xlfn.XLOOKUP(B31,'Up Turbo'!A:A,'Up Turbo'!B:B,)</f>
        <v>n/a</v>
      </c>
      <c r="E31" s="53" t="str">
        <f t="array" ref="E31">_xlfn.XLOOKUP(B31,'Up Stats'!A:A,'Up Stats'!B:B,)</f>
        <v>Ammo Capacity</v>
      </c>
      <c r="F31" s="54" t="str">
        <f>IFERROR(__xludf.DUMMYFUNCTION("if(AND(G31=FALSE,H31=FALSE),,if(G31=H31,JOIN("""",""Static: "",G31),JOIN("""",""Min:  "",G31, CHAR(10),""Max: "",H31)))"),"Min:  15
Max: 90")</f>
        <v>Min:  15
Max: 90</v>
      </c>
      <c r="G31" s="64">
        <f t="array" ref="G31">_xlfn.XLOOKUP(B31,'Up Min'!A:A,'Up Min'!B:B,)</f>
        <v>15</v>
      </c>
      <c r="H31" s="65">
        <f t="array" ref="H31">_xlfn.XLOOKUP(B31,'Up Max'!A:A,'Up Max'!B:B,)</f>
        <v>90</v>
      </c>
      <c r="I31" s="53" t="str">
        <f t="array" ref="I31">_xlfn.XLOOKUP(B31,'Up Stats'!A:A,'Up Stats'!C:C,)</f>
        <v/>
      </c>
      <c r="J31" s="54" t="str">
        <f>IFERROR(__xludf.DUMMYFUNCTION("if(AND(K31=FALSE,L31=FALSE),,if(K31=L31,JOIN("""",""Static: "",K31),JOIN("""",""Min:  "",K31, CHAR(10),""Max: "",L31)))"),"")</f>
        <v/>
      </c>
      <c r="K31" s="55" t="str">
        <f t="array" ref="K31">_xlfn.XLOOKUP(B31,'Up Min'!A:A,'Up Min'!C:C,)</f>
        <v/>
      </c>
      <c r="L31" s="55" t="str">
        <f t="array" ref="L31">_xlfn.XLOOKUP(B31,'Up Max'!A:A,'Up Max'!C:C,)</f>
        <v/>
      </c>
      <c r="M31" s="57" t="str">
        <f t="array" ref="M31">_xlfn.XLOOKUP(B31,'Up Stats'!A:A,'Up Stats'!D:D,)</f>
        <v/>
      </c>
      <c r="N31" s="54" t="str">
        <f>IFERROR(__xludf.DUMMYFUNCTION("if(AND(O31=FALSE,P31=FALSE),,if(O31=P31,JOIN("""",""Static: "",O31),JOIN("""",""Min:  "",O31, CHAR(10),""Max: "",P31)))"),"")</f>
        <v/>
      </c>
      <c r="O31" s="55" t="str">
        <f t="array" ref="O31">_xlfn.XLOOKUP(B31,'Up Min'!A:A,'Up Min'!D:D,)</f>
        <v/>
      </c>
      <c r="P31" s="55" t="str">
        <f t="array" ref="P31">_xlfn.XLOOKUP(B31,'Up Max'!A:A,'Up Max'!D:D,)</f>
        <v/>
      </c>
      <c r="Q31" s="57" t="str">
        <f t="array" ref="Q31">_xlfn.XLOOKUP(B31,'Up Stats'!A:A,'Up Stats'!E:E,)</f>
        <v/>
      </c>
      <c r="R31" s="54" t="str">
        <f>IFERROR(__xludf.DUMMYFUNCTION("if(AND(S31=FALSE,T31=FALSE),,if(S31=T31,JOIN("""",""Static: "",S31),JOIN("""",""Min:  "",S31, CHAR(10),""Max: "",T31)))"),"")</f>
        <v/>
      </c>
      <c r="S31" s="55" t="str">
        <f t="array" ref="S31">_xlfn.XLOOKUP(B31,'Up Min'!A:A,'Up Min'!E:E,)</f>
        <v/>
      </c>
      <c r="T31" s="55" t="str">
        <f t="array" ref="T31">_xlfn.XLOOKUP(B31,'Up Max'!A:A,'Up Max'!E:E,)</f>
        <v/>
      </c>
      <c r="U31" s="57" t="str">
        <f t="array" ref="U31">_xlfn.XLOOKUP(B31,'Up Stats'!A:A,'Up Stats'!F:F,)</f>
        <v/>
      </c>
      <c r="V31" s="54" t="str">
        <f>IFERROR(__xludf.DUMMYFUNCTION("if(AND(W31=FALSE,X31=FALSE),,if(W31=X31,JOIN("""",""Static: "",W31),JOIN("""",""Min:  "",W31, CHAR(10),""Max: "",X31)))"),"")</f>
        <v/>
      </c>
      <c r="W31" s="55" t="str">
        <f t="array" ref="W31">_xlfn.XLOOKUP(B31,'Up Min'!A:A,'Up Min'!F:F,)</f>
        <v/>
      </c>
      <c r="X31" s="55" t="str">
        <f t="array" ref="X31">_xlfn.XLOOKUP(B31,'Up Max'!A:A,'Up Max'!F:F,)</f>
        <v/>
      </c>
      <c r="Y31" s="57" t="str">
        <f t="array" ref="Y31">_xlfn.XLOOKUP(B31,'Up Stats'!A:A,'Up Stats'!G:G,)</f>
        <v/>
      </c>
      <c r="Z31" s="54" t="str">
        <f>IFERROR(__xludf.DUMMYFUNCTION("if(AND(AA31=FALSE,AB31=FALSE),,if(AA31=AB31,JOIN("""",""Static: "",AA31),JOIN("""",""Min:  "",AA31, CHAR(10),""Max: "",AB31)))"),"")</f>
        <v/>
      </c>
      <c r="AA31" s="55" t="str">
        <f t="array" ref="AA31">_xlfn.XLOOKUP(B31,'Up Min'!A:A,'Up Min'!G:G,)</f>
        <v/>
      </c>
      <c r="AB31" s="55" t="str">
        <f t="array" ref="AB31">_xlfn.XLOOKUP(B31,'Up Max'!A:A,'Up Max'!G:G,)</f>
        <v/>
      </c>
      <c r="AC31" s="57" t="str">
        <f t="array" ref="AC31">_xlfn.XLOOKUP(B31,'Up Stats'!A:A,'Up Stats'!H:H,)</f>
        <v/>
      </c>
      <c r="AD31" s="54" t="str">
        <f>IFERROR(__xludf.DUMMYFUNCTION("if(AND(AE31=FALSE,AF31=FALSE),,if(AE31=AF31,JOIN("""",""Static: "",AE31),JOIN("""",""Min:  "",AE31, CHAR(10),""Max: "",AF31)))"),"")</f>
        <v/>
      </c>
      <c r="AE31" s="55" t="str">
        <f t="array" ref="AE31">_xlfn.XLOOKUP(B31,'Up Min'!A:A,'Up Min'!H:H,)</f>
        <v/>
      </c>
      <c r="AF31" s="55" t="str">
        <f t="array" ref="AF31">_xlfn.XLOOKUP(B31,'Up Max'!A:A,'Up Max'!H:H,)</f>
        <v/>
      </c>
      <c r="AG31" s="57" t="str">
        <f t="array" ref="AG31">_xlfn.XLOOKUP(B31,'Up Stats'!A:A,'Up Stats'!I:I,)</f>
        <v/>
      </c>
      <c r="AH31" s="54" t="str">
        <f>IFERROR(__xludf.DUMMYFUNCTION("if(AND(AI31=FALSE,AJ31=FALSE),,if(AI31=AJ31,JOIN("""",""Static: "",AI31),JOIN("""",""Min:  "",AI31, CHAR(10),""Max: "",AJ31)))"),"")</f>
        <v/>
      </c>
      <c r="AI31" s="55" t="str">
        <f t="array" ref="AI31">_xlfn.XLOOKUP(B31,'Up Min'!A:A,'Up Min'!I:I,)</f>
        <v/>
      </c>
      <c r="AJ31" s="55" t="str">
        <f t="array" ref="AJ31">_xlfn.XLOOKUP(B31,'Up Max'!A:A,'Up Max'!I:I,)</f>
        <v/>
      </c>
      <c r="AK31" s="57" t="str">
        <f t="array" ref="AK31">_xlfn.XLOOKUP(B31,'Up Stats'!A:A,'Up Stats'!J:J,)</f>
        <v/>
      </c>
      <c r="AL31" s="54" t="str">
        <f>IFERROR(__xludf.DUMMYFUNCTION("if(AND(AM31=FALSE,AN31=FALSE),,if(AM31=AN31,JOIN("""",""Static: "",AM31),JOIN("""",""Min:  "",AM31, CHAR(10),""Max: "",AN31)))"),"")</f>
        <v/>
      </c>
      <c r="AM31" s="55" t="str">
        <f t="array" ref="AM31">_xlfn.XLOOKUP(B31,'Up Min'!A:A,'Up Min'!J:J,)</f>
        <v/>
      </c>
      <c r="AN31" s="55" t="str">
        <f t="array" ref="AN31">_xlfn.XLOOKUP(B31,'Up Max'!A:A,'Up Max'!J:J,)</f>
        <v/>
      </c>
      <c r="AO31" s="51" t="str">
        <f t="array" ref="AO31">CONCATENATE(_xlfn.XLOOKUP(B31,'Up Cells'!A:A,'Up Cells'!B:B,))</f>
        <v>3</v>
      </c>
      <c r="AP31" s="51" t="str">
        <f t="array" ref="AP31">CONCATENATE(_xlfn.XLOOKUP(B31,'Up Rarity'!A:A,'Up Rarity'!B:B,),CHAR(10),"-")</f>
        <v>Standard
-</v>
      </c>
    </row>
    <row r="32">
      <c r="A32" s="84" t="str">
        <f t="array" ref="A32">_xlfn.XLOOKUP(B32,'Up Icon'!A:A,'Up Icon'!B:B,)</f>
        <v/>
      </c>
      <c r="B32" s="66" t="str">
        <f t="array" ref="B32">HYPERLINK(_xlfn.XLOOKUP('Up Names'!H29,'Up Wiki'!A:A,'Up Wiki'!B:B,),'Up Names'!H29)</f>
        <v>Compressed Ammunition</v>
      </c>
      <c r="C32" s="67" t="str">
        <f t="array" ref="C32">_xlfn.XLOOKUP(B32,'Up Desc'!A:A,'Up Desc'!B:B,)</f>
        <v>Magazine size is increased.</v>
      </c>
      <c r="D32" s="37" t="str">
        <f t="array" ref="D32">_xlfn.XLOOKUP(B32,'Up Turbo'!A:A,'Up Turbo'!B:B,)</f>
        <v>n/a</v>
      </c>
      <c r="E32" s="39" t="str">
        <f t="array" ref="E32">_xlfn.XLOOKUP(B32,'Up Stats'!A:A,'Up Stats'!B:B,)</f>
        <v>Magazine Size</v>
      </c>
      <c r="F32" s="40" t="str">
        <f>IFERROR(__xludf.DUMMYFUNCTION("if(AND(G32=FALSE,H32=FALSE),,if(G32=H32,JOIN("""",""Static: "",G32),JOIN("""",""Min:  "",G32, CHAR(10),""Max: "",H32)))"),"Min:  3
Max: 12")</f>
        <v>Min:  3
Max: 12</v>
      </c>
      <c r="G32" s="69">
        <f t="array" ref="G32">_xlfn.XLOOKUP(B32,'Up Min'!A:A,'Up Min'!B:B,)</f>
        <v>3</v>
      </c>
      <c r="H32" s="68">
        <f t="array" ref="H32">_xlfn.XLOOKUP(B32,'Up Max'!A:A,'Up Max'!B:B,)</f>
        <v>12</v>
      </c>
      <c r="I32" s="39" t="str">
        <f t="array" ref="I32">_xlfn.XLOOKUP(B32,'Up Stats'!A:A,'Up Stats'!C:C,)</f>
        <v/>
      </c>
      <c r="J32" s="40" t="str">
        <f>IFERROR(__xludf.DUMMYFUNCTION("if(AND(K32=FALSE,L32=FALSE),,if(K32=L32,JOIN("""",""Static: "",K32),JOIN("""",""Min:  "",K32, CHAR(10),""Max: "",L32)))"),"")</f>
        <v/>
      </c>
      <c r="K32" s="42" t="str">
        <f t="array" ref="K32">_xlfn.XLOOKUP(B32,'Up Min'!A:A,'Up Min'!C:C,)</f>
        <v/>
      </c>
      <c r="L32" s="42" t="str">
        <f t="array" ref="L32">_xlfn.XLOOKUP(B32,'Up Max'!A:A,'Up Max'!C:C,)</f>
        <v/>
      </c>
      <c r="M32" s="48" t="str">
        <f t="array" ref="M32">_xlfn.XLOOKUP(B32,'Up Stats'!A:A,'Up Stats'!D:D,)</f>
        <v/>
      </c>
      <c r="N32" s="40" t="str">
        <f>IFERROR(__xludf.DUMMYFUNCTION("if(AND(O32=FALSE,P32=FALSE),,if(O32=P32,JOIN("""",""Static: "",O32),JOIN("""",""Min:  "",O32, CHAR(10),""Max: "",P32)))"),"")</f>
        <v/>
      </c>
      <c r="O32" s="42" t="str">
        <f t="array" ref="O32">_xlfn.XLOOKUP(B32,'Up Min'!A:A,'Up Min'!D:D,)</f>
        <v/>
      </c>
      <c r="P32" s="42" t="str">
        <f t="array" ref="P32">_xlfn.XLOOKUP(B32,'Up Max'!A:A,'Up Max'!D:D,)</f>
        <v/>
      </c>
      <c r="Q32" s="48" t="str">
        <f t="array" ref="Q32">_xlfn.XLOOKUP(B32,'Up Stats'!A:A,'Up Stats'!E:E,)</f>
        <v/>
      </c>
      <c r="R32" s="40" t="str">
        <f>IFERROR(__xludf.DUMMYFUNCTION("if(AND(S32=FALSE,T32=FALSE),,if(S32=T32,JOIN("""",""Static: "",S32),JOIN("""",""Min:  "",S32, CHAR(10),""Max: "",T32)))"),"")</f>
        <v/>
      </c>
      <c r="S32" s="42" t="str">
        <f t="array" ref="S32">_xlfn.XLOOKUP(B32,'Up Min'!A:A,'Up Min'!E:E,)</f>
        <v/>
      </c>
      <c r="T32" s="42" t="str">
        <f t="array" ref="T32">_xlfn.XLOOKUP(B32,'Up Max'!A:A,'Up Max'!E:E,)</f>
        <v/>
      </c>
      <c r="U32" s="48" t="str">
        <f t="array" ref="U32">_xlfn.XLOOKUP(B32,'Up Stats'!A:A,'Up Stats'!F:F,)</f>
        <v/>
      </c>
      <c r="V32" s="40" t="str">
        <f>IFERROR(__xludf.DUMMYFUNCTION("if(AND(W32=FALSE,X32=FALSE),,if(W32=X32,JOIN("""",""Static: "",W32),JOIN("""",""Min:  "",W32, CHAR(10),""Max: "",X32)))"),"")</f>
        <v/>
      </c>
      <c r="W32" s="42" t="str">
        <f t="array" ref="W32">_xlfn.XLOOKUP(B32,'Up Min'!A:A,'Up Min'!F:F,)</f>
        <v/>
      </c>
      <c r="X32" s="42" t="str">
        <f t="array" ref="X32">_xlfn.XLOOKUP(B32,'Up Max'!A:A,'Up Max'!F:F,)</f>
        <v/>
      </c>
      <c r="Y32" s="48" t="str">
        <f t="array" ref="Y32">_xlfn.XLOOKUP(B32,'Up Stats'!A:A,'Up Stats'!G:G,)</f>
        <v/>
      </c>
      <c r="Z32" s="40" t="str">
        <f>IFERROR(__xludf.DUMMYFUNCTION("if(AND(AA32=FALSE,AB32=FALSE),,if(AA32=AB32,JOIN("""",""Static: "",AA32),JOIN("""",""Min:  "",AA32, CHAR(10),""Max: "",AB32)))"),"")</f>
        <v/>
      </c>
      <c r="AA32" s="42" t="str">
        <f t="array" ref="AA32">_xlfn.XLOOKUP(B32,'Up Min'!A:A,'Up Min'!G:G,)</f>
        <v/>
      </c>
      <c r="AB32" s="42" t="str">
        <f t="array" ref="AB32">_xlfn.XLOOKUP(B32,'Up Max'!A:A,'Up Max'!G:G,)</f>
        <v/>
      </c>
      <c r="AC32" s="48" t="str">
        <f t="array" ref="AC32">_xlfn.XLOOKUP(B32,'Up Stats'!A:A,'Up Stats'!H:H,)</f>
        <v/>
      </c>
      <c r="AD32" s="40" t="str">
        <f>IFERROR(__xludf.DUMMYFUNCTION("if(AND(AE32=FALSE,AF32=FALSE),,if(AE32=AF32,JOIN("""",""Static: "",AE32),JOIN("""",""Min:  "",AE32, CHAR(10),""Max: "",AF32)))"),"")</f>
        <v/>
      </c>
      <c r="AE32" s="42" t="str">
        <f t="array" ref="AE32">_xlfn.XLOOKUP(B32,'Up Min'!A:A,'Up Min'!H:H,)</f>
        <v/>
      </c>
      <c r="AF32" s="42" t="str">
        <f t="array" ref="AF32">_xlfn.XLOOKUP(B32,'Up Max'!A:A,'Up Max'!H:H,)</f>
        <v/>
      </c>
      <c r="AG32" s="48" t="str">
        <f t="array" ref="AG32">_xlfn.XLOOKUP(B32,'Up Stats'!A:A,'Up Stats'!I:I,)</f>
        <v/>
      </c>
      <c r="AH32" s="40" t="str">
        <f>IFERROR(__xludf.DUMMYFUNCTION("if(AND(AI32=FALSE,AJ32=FALSE),,if(AI32=AJ32,JOIN("""",""Static: "",AI32),JOIN("""",""Min:  "",AI32, CHAR(10),""Max: "",AJ32)))"),"")</f>
        <v/>
      </c>
      <c r="AI32" s="42" t="str">
        <f t="array" ref="AI32">_xlfn.XLOOKUP(B32,'Up Min'!A:A,'Up Min'!I:I,)</f>
        <v/>
      </c>
      <c r="AJ32" s="42" t="str">
        <f t="array" ref="AJ32">_xlfn.XLOOKUP(B32,'Up Max'!A:A,'Up Max'!I:I,)</f>
        <v/>
      </c>
      <c r="AK32" s="48" t="str">
        <f t="array" ref="AK32">_xlfn.XLOOKUP(B32,'Up Stats'!A:A,'Up Stats'!J:J,)</f>
        <v/>
      </c>
      <c r="AL32" s="40" t="str">
        <f>IFERROR(__xludf.DUMMYFUNCTION("if(AND(AM32=FALSE,AN32=FALSE),,if(AM32=AN32,JOIN("""",""Static: "",AM32),JOIN("""",""Min:  "",AM32, CHAR(10),""Max: "",AN32)))"),"")</f>
        <v/>
      </c>
      <c r="AM32" s="42" t="str">
        <f t="array" ref="AM32">_xlfn.XLOOKUP(B32,'Up Min'!A:A,'Up Min'!J:J,)</f>
        <v/>
      </c>
      <c r="AN32" s="42" t="str">
        <f t="array" ref="AN32">_xlfn.XLOOKUP(B32,'Up Max'!A:A,'Up Max'!J:J,)</f>
        <v/>
      </c>
      <c r="AO32" s="34" t="str">
        <f t="array" ref="AO32">CONCATENATE(_xlfn.XLOOKUP(B32,'Up Cells'!A:A,'Up Cells'!B:B,))</f>
        <v>3</v>
      </c>
      <c r="AP32" s="34" t="str">
        <f t="array" ref="AP32">CONCATENATE(_xlfn.XLOOKUP(B32,'Up Rarity'!A:A,'Up Rarity'!B:B,),CHAR(10),"-")</f>
        <v>Standard
-</v>
      </c>
    </row>
    <row r="33">
      <c r="A33" s="84" t="str">
        <f t="array" ref="A33">_xlfn.XLOOKUP(B33,'Up Icon'!A:A,'Up Icon'!B:B,)</f>
        <v/>
      </c>
      <c r="B33" s="63" t="str">
        <f t="array" ref="B33">HYPERLINK(_xlfn.XLOOKUP('Up Names'!H30,'Up Wiki'!A:A,'Up Wiki'!B:B,),'Up Names'!H30)</f>
        <v>Discount Marksman</v>
      </c>
      <c r="C33" s="52" t="str">
        <f t="array" ref="C33">_xlfn.XLOOKUP(B33,'Up Desc'!A:A,'Up Desc'!B:B,)</f>
        <v>Aim zoom increased.</v>
      </c>
      <c r="D33" s="52" t="str">
        <f t="array" ref="D33">_xlfn.XLOOKUP(B33,'Up Turbo'!A:A,'Up Turbo'!B:B,)</f>
        <v>n/a</v>
      </c>
      <c r="E33" s="53" t="str">
        <f t="array" ref="E33">_xlfn.XLOOKUP(B33,'Up Stats'!A:A,'Up Stats'!B:B,)</f>
        <v/>
      </c>
      <c r="F33" s="54" t="str">
        <f>IFERROR(__xludf.DUMMYFUNCTION("if(AND(G33=FALSE,H33=FALSE),,if(G33=H33,JOIN("""",""Static: "",G33),JOIN("""",""Min:  "",G33, CHAR(10),""Max: "",H33)))"),"")</f>
        <v/>
      </c>
      <c r="G33" s="55" t="str">
        <f t="array" ref="G33">_xlfn.XLOOKUP(B33,'Up Min'!A:A,'Up Min'!B:B,)</f>
        <v/>
      </c>
      <c r="H33" s="56" t="str">
        <f t="array" ref="H33">_xlfn.XLOOKUP(B33,'Up Max'!A:A,'Up Max'!B:B,)</f>
        <v/>
      </c>
      <c r="I33" s="53" t="str">
        <f t="array" ref="I33">_xlfn.XLOOKUP(B33,'Up Stats'!A:A,'Up Stats'!C:C,)</f>
        <v/>
      </c>
      <c r="J33" s="54" t="str">
        <f>IFERROR(__xludf.DUMMYFUNCTION("if(AND(K33=FALSE,L33=FALSE),,if(K33=L33,JOIN("""",""Static: "",K33),JOIN("""",""Min:  "",K33, CHAR(10),""Max: "",L33)))"),"")</f>
        <v/>
      </c>
      <c r="K33" s="55" t="str">
        <f t="array" ref="K33">_xlfn.XLOOKUP(B33,'Up Min'!A:A,'Up Min'!C:C,)</f>
        <v/>
      </c>
      <c r="L33" s="55" t="str">
        <f t="array" ref="L33">_xlfn.XLOOKUP(B33,'Up Max'!A:A,'Up Max'!C:C,)</f>
        <v/>
      </c>
      <c r="M33" s="57" t="str">
        <f t="array" ref="M33">_xlfn.XLOOKUP(B33,'Up Stats'!A:A,'Up Stats'!D:D,)</f>
        <v/>
      </c>
      <c r="N33" s="54" t="str">
        <f>IFERROR(__xludf.DUMMYFUNCTION("if(AND(O33=FALSE,P33=FALSE),,if(O33=P33,JOIN("""",""Static: "",O33),JOIN("""",""Min:  "",O33, CHAR(10),""Max: "",P33)))"),"")</f>
        <v/>
      </c>
      <c r="O33" s="55" t="str">
        <f t="array" ref="O33">_xlfn.XLOOKUP(B33,'Up Min'!A:A,'Up Min'!D:D,)</f>
        <v/>
      </c>
      <c r="P33" s="55" t="str">
        <f t="array" ref="P33">_xlfn.XLOOKUP(B33,'Up Max'!A:A,'Up Max'!D:D,)</f>
        <v/>
      </c>
      <c r="Q33" s="57" t="str">
        <f t="array" ref="Q33">_xlfn.XLOOKUP(B33,'Up Stats'!A:A,'Up Stats'!E:E,)</f>
        <v/>
      </c>
      <c r="R33" s="54" t="str">
        <f>IFERROR(__xludf.DUMMYFUNCTION("if(AND(S33=FALSE,T33=FALSE),,if(S33=T33,JOIN("""",""Static: "",S33),JOIN("""",""Min:  "",S33, CHAR(10),""Max: "",T33)))"),"")</f>
        <v/>
      </c>
      <c r="S33" s="55" t="str">
        <f t="array" ref="S33">_xlfn.XLOOKUP(B33,'Up Min'!A:A,'Up Min'!E:E,)</f>
        <v/>
      </c>
      <c r="T33" s="55" t="str">
        <f t="array" ref="T33">_xlfn.XLOOKUP(B33,'Up Max'!A:A,'Up Max'!E:E,)</f>
        <v/>
      </c>
      <c r="U33" s="57" t="str">
        <f t="array" ref="U33">_xlfn.XLOOKUP(B33,'Up Stats'!A:A,'Up Stats'!F:F,)</f>
        <v/>
      </c>
      <c r="V33" s="54" t="str">
        <f>IFERROR(__xludf.DUMMYFUNCTION("if(AND(W33=FALSE,X33=FALSE),,if(W33=X33,JOIN("""",""Static: "",W33),JOIN("""",""Min:  "",W33, CHAR(10),""Max: "",X33)))"),"")</f>
        <v/>
      </c>
      <c r="W33" s="55" t="str">
        <f t="array" ref="W33">_xlfn.XLOOKUP(B33,'Up Min'!A:A,'Up Min'!F:F,)</f>
        <v/>
      </c>
      <c r="X33" s="55" t="str">
        <f t="array" ref="X33">_xlfn.XLOOKUP(B33,'Up Max'!A:A,'Up Max'!F:F,)</f>
        <v/>
      </c>
      <c r="Y33" s="57" t="str">
        <f t="array" ref="Y33">_xlfn.XLOOKUP(B33,'Up Stats'!A:A,'Up Stats'!G:G,)</f>
        <v/>
      </c>
      <c r="Z33" s="54" t="str">
        <f>IFERROR(__xludf.DUMMYFUNCTION("if(AND(AA33=FALSE,AB33=FALSE),,if(AA33=AB33,JOIN("""",""Static: "",AA33),JOIN("""",""Min:  "",AA33, CHAR(10),""Max: "",AB33)))"),"")</f>
        <v/>
      </c>
      <c r="AA33" s="55" t="str">
        <f t="array" ref="AA33">_xlfn.XLOOKUP(B33,'Up Min'!A:A,'Up Min'!G:G,)</f>
        <v/>
      </c>
      <c r="AB33" s="55" t="str">
        <f t="array" ref="AB33">_xlfn.XLOOKUP(B33,'Up Max'!A:A,'Up Max'!G:G,)</f>
        <v/>
      </c>
      <c r="AC33" s="57" t="str">
        <f t="array" ref="AC33">_xlfn.XLOOKUP(B33,'Up Stats'!A:A,'Up Stats'!H:H,)</f>
        <v/>
      </c>
      <c r="AD33" s="54" t="str">
        <f>IFERROR(__xludf.DUMMYFUNCTION("if(AND(AE33=FALSE,AF33=FALSE),,if(AE33=AF33,JOIN("""",""Static: "",AE33),JOIN("""",""Min:  "",AE33, CHAR(10),""Max: "",AF33)))"),"")</f>
        <v/>
      </c>
      <c r="AE33" s="55" t="str">
        <f t="array" ref="AE33">_xlfn.XLOOKUP(B33,'Up Min'!A:A,'Up Min'!H:H,)</f>
        <v/>
      </c>
      <c r="AF33" s="55" t="str">
        <f t="array" ref="AF33">_xlfn.XLOOKUP(B33,'Up Max'!A:A,'Up Max'!H:H,)</f>
        <v/>
      </c>
      <c r="AG33" s="57" t="str">
        <f t="array" ref="AG33">_xlfn.XLOOKUP(B33,'Up Stats'!A:A,'Up Stats'!I:I,)</f>
        <v/>
      </c>
      <c r="AH33" s="54" t="str">
        <f>IFERROR(__xludf.DUMMYFUNCTION("if(AND(AI33=FALSE,AJ33=FALSE),,if(AI33=AJ33,JOIN("""",""Static: "",AI33),JOIN("""",""Min:  "",AI33, CHAR(10),""Max: "",AJ33)))"),"")</f>
        <v/>
      </c>
      <c r="AI33" s="55" t="str">
        <f t="array" ref="AI33">_xlfn.XLOOKUP(B33,'Up Min'!A:A,'Up Min'!I:I,)</f>
        <v/>
      </c>
      <c r="AJ33" s="55" t="str">
        <f t="array" ref="AJ33">_xlfn.XLOOKUP(B33,'Up Max'!A:A,'Up Max'!I:I,)</f>
        <v/>
      </c>
      <c r="AK33" s="57" t="str">
        <f t="array" ref="AK33">_xlfn.XLOOKUP(B33,'Up Stats'!A:A,'Up Stats'!J:J,)</f>
        <v/>
      </c>
      <c r="AL33" s="54" t="str">
        <f>IFERROR(__xludf.DUMMYFUNCTION("if(AND(AM33=FALSE,AN33=FALSE),,if(AM33=AN33,JOIN("""",""Static: "",AM33),JOIN("""",""Min:  "",AM33, CHAR(10),""Max: "",AN33)))"),"")</f>
        <v/>
      </c>
      <c r="AM33" s="55" t="str">
        <f t="array" ref="AM33">_xlfn.XLOOKUP(B33,'Up Min'!A:A,'Up Min'!J:J,)</f>
        <v/>
      </c>
      <c r="AN33" s="55" t="str">
        <f t="array" ref="AN33">_xlfn.XLOOKUP(B33,'Up Max'!A:A,'Up Max'!J:J,)</f>
        <v/>
      </c>
      <c r="AO33" s="51" t="str">
        <f t="array" ref="AO33">CONCATENATE(_xlfn.XLOOKUP(B33,'Up Cells'!A:A,'Up Cells'!B:B,))</f>
        <v>3</v>
      </c>
      <c r="AP33" s="51" t="str">
        <f t="array" ref="AP33">CONCATENATE(_xlfn.XLOOKUP(B33,'Up Rarity'!A:A,'Up Rarity'!B:B,),CHAR(10),"-")</f>
        <v>Standard
-</v>
      </c>
    </row>
    <row r="34">
      <c r="A34" s="84" t="str">
        <f t="array" ref="A34">_xlfn.XLOOKUP(B34,'Up Icon'!A:A,'Up Icon'!B:B,)</f>
        <v/>
      </c>
      <c r="B34" s="66" t="str">
        <f t="array" ref="B34">HYPERLINK(_xlfn.XLOOKUP('Up Names'!H31,'Up Wiki'!A:A,'Up Wiki'!B:B,),'Up Names'!H31)</f>
        <v>Line'er Up</v>
      </c>
      <c r="C34" s="37" t="str">
        <f t="array" ref="C34">_xlfn.XLOOKUP(B34,'Up Desc'!A:A,'Up Desc'!B:B,)</f>
        <v>Damage is increased while aiming.</v>
      </c>
      <c r="D34" s="37" t="str">
        <f t="array" ref="D34">_xlfn.XLOOKUP(B34,'Up Turbo'!A:A,'Up Turbo'!B:B,)</f>
        <v>n/a</v>
      </c>
      <c r="E34" s="39" t="str">
        <f t="array" ref="E34">_xlfn.XLOOKUP(B34,'Up Stats'!A:A,'Up Stats'!B:B,)</f>
        <v>Damage</v>
      </c>
      <c r="F34" s="40" t="str">
        <f>IFERROR(__xludf.DUMMYFUNCTION("if(AND(G34=FALSE,H34=FALSE),,if(G34=H34,JOIN("""",""Static: "",G34),JOIN("""",""Min:  "",G34, CHAR(10),""Max: "",H34)))"),"Min:  7.50%
Max: 13%")</f>
        <v>Min:  7.50%
Max: 13%</v>
      </c>
      <c r="G34" s="78">
        <f t="array" ref="G34">_xlfn.XLOOKUP(B34,'Up Min'!A:A,'Up Min'!B:B,)</f>
        <v>0.075</v>
      </c>
      <c r="H34" s="41">
        <f t="array" ref="H34">_xlfn.XLOOKUP(B34,'Up Max'!A:A,'Up Max'!B:B,)</f>
        <v>0.13</v>
      </c>
      <c r="I34" s="39" t="str">
        <f t="array" ref="I34">_xlfn.XLOOKUP(B34,'Up Stats'!A:A,'Up Stats'!C:C,)</f>
        <v/>
      </c>
      <c r="J34" s="40" t="str">
        <f>IFERROR(__xludf.DUMMYFUNCTION("if(AND(K34=FALSE,L34=FALSE),,if(K34=L34,JOIN("""",""Static: "",K34),JOIN("""",""Min:  "",K34, CHAR(10),""Max: "",L34)))"),"")</f>
        <v/>
      </c>
      <c r="K34" s="42" t="str">
        <f t="array" ref="K34">_xlfn.XLOOKUP(B34,'Up Min'!A:A,'Up Min'!C:C,)</f>
        <v/>
      </c>
      <c r="L34" s="42" t="str">
        <f t="array" ref="L34">_xlfn.XLOOKUP(B34,'Up Max'!A:A,'Up Max'!C:C,)</f>
        <v/>
      </c>
      <c r="M34" s="48" t="str">
        <f t="array" ref="M34">_xlfn.XLOOKUP(B34,'Up Stats'!A:A,'Up Stats'!D:D,)</f>
        <v/>
      </c>
      <c r="N34" s="40" t="str">
        <f>IFERROR(__xludf.DUMMYFUNCTION("if(AND(O34=FALSE,P34=FALSE),,if(O34=P34,JOIN("""",""Static: "",O34),JOIN("""",""Min:  "",O34, CHAR(10),""Max: "",P34)))"),"")</f>
        <v/>
      </c>
      <c r="O34" s="42" t="str">
        <f t="array" ref="O34">_xlfn.XLOOKUP(B34,'Up Min'!A:A,'Up Min'!D:D,)</f>
        <v/>
      </c>
      <c r="P34" s="42" t="str">
        <f t="array" ref="P34">_xlfn.XLOOKUP(B34,'Up Max'!A:A,'Up Max'!D:D,)</f>
        <v/>
      </c>
      <c r="Q34" s="48" t="str">
        <f t="array" ref="Q34">_xlfn.XLOOKUP(B34,'Up Stats'!A:A,'Up Stats'!E:E,)</f>
        <v/>
      </c>
      <c r="R34" s="40" t="str">
        <f>IFERROR(__xludf.DUMMYFUNCTION("if(AND(S34=FALSE,T34=FALSE),,if(S34=T34,JOIN("""",""Static: "",S34),JOIN("""",""Min:  "",S34, CHAR(10),""Max: "",T34)))"),"")</f>
        <v/>
      </c>
      <c r="S34" s="42" t="str">
        <f t="array" ref="S34">_xlfn.XLOOKUP(B34,'Up Min'!A:A,'Up Min'!E:E,)</f>
        <v/>
      </c>
      <c r="T34" s="42" t="str">
        <f t="array" ref="T34">_xlfn.XLOOKUP(B34,'Up Max'!A:A,'Up Max'!E:E,)</f>
        <v/>
      </c>
      <c r="U34" s="48" t="str">
        <f t="array" ref="U34">_xlfn.XLOOKUP(B34,'Up Stats'!A:A,'Up Stats'!F:F,)</f>
        <v/>
      </c>
      <c r="V34" s="40" t="str">
        <f>IFERROR(__xludf.DUMMYFUNCTION("if(AND(W34=FALSE,X34=FALSE),,if(W34=X34,JOIN("""",""Static: "",W34),JOIN("""",""Min:  "",W34, CHAR(10),""Max: "",X34)))"),"")</f>
        <v/>
      </c>
      <c r="W34" s="42" t="str">
        <f t="array" ref="W34">_xlfn.XLOOKUP(B34,'Up Min'!A:A,'Up Min'!F:F,)</f>
        <v/>
      </c>
      <c r="X34" s="42" t="str">
        <f t="array" ref="X34">_xlfn.XLOOKUP(B34,'Up Max'!A:A,'Up Max'!F:F,)</f>
        <v/>
      </c>
      <c r="Y34" s="48" t="str">
        <f t="array" ref="Y34">_xlfn.XLOOKUP(B34,'Up Stats'!A:A,'Up Stats'!G:G,)</f>
        <v/>
      </c>
      <c r="Z34" s="40" t="str">
        <f>IFERROR(__xludf.DUMMYFUNCTION("if(AND(AA34=FALSE,AB34=FALSE),,if(AA34=AB34,JOIN("""",""Static: "",AA34),JOIN("""",""Min:  "",AA34, CHAR(10),""Max: "",AB34)))"),"")</f>
        <v/>
      </c>
      <c r="AA34" s="42" t="str">
        <f t="array" ref="AA34">_xlfn.XLOOKUP(B34,'Up Min'!A:A,'Up Min'!G:G,)</f>
        <v/>
      </c>
      <c r="AB34" s="42" t="str">
        <f t="array" ref="AB34">_xlfn.XLOOKUP(B34,'Up Max'!A:A,'Up Max'!G:G,)</f>
        <v/>
      </c>
      <c r="AC34" s="48" t="str">
        <f t="array" ref="AC34">_xlfn.XLOOKUP(B34,'Up Stats'!A:A,'Up Stats'!H:H,)</f>
        <v/>
      </c>
      <c r="AD34" s="40" t="str">
        <f>IFERROR(__xludf.DUMMYFUNCTION("if(AND(AE34=FALSE,AF34=FALSE),,if(AE34=AF34,JOIN("""",""Static: "",AE34),JOIN("""",""Min:  "",AE34, CHAR(10),""Max: "",AF34)))"),"")</f>
        <v/>
      </c>
      <c r="AE34" s="42" t="str">
        <f t="array" ref="AE34">_xlfn.XLOOKUP(B34,'Up Min'!A:A,'Up Min'!H:H,)</f>
        <v/>
      </c>
      <c r="AF34" s="42" t="str">
        <f t="array" ref="AF34">_xlfn.XLOOKUP(B34,'Up Max'!A:A,'Up Max'!H:H,)</f>
        <v/>
      </c>
      <c r="AG34" s="48" t="str">
        <f t="array" ref="AG34">_xlfn.XLOOKUP(B34,'Up Stats'!A:A,'Up Stats'!I:I,)</f>
        <v/>
      </c>
      <c r="AH34" s="40" t="str">
        <f>IFERROR(__xludf.DUMMYFUNCTION("if(AND(AI34=FALSE,AJ34=FALSE),,if(AI34=AJ34,JOIN("""",""Static: "",AI34),JOIN("""",""Min:  "",AI34, CHAR(10),""Max: "",AJ34)))"),"")</f>
        <v/>
      </c>
      <c r="AI34" s="42" t="str">
        <f t="array" ref="AI34">_xlfn.XLOOKUP(B34,'Up Min'!A:A,'Up Min'!I:I,)</f>
        <v/>
      </c>
      <c r="AJ34" s="42" t="str">
        <f t="array" ref="AJ34">_xlfn.XLOOKUP(B34,'Up Max'!A:A,'Up Max'!I:I,)</f>
        <v/>
      </c>
      <c r="AK34" s="48" t="str">
        <f t="array" ref="AK34">_xlfn.XLOOKUP(B34,'Up Stats'!A:A,'Up Stats'!J:J,)</f>
        <v/>
      </c>
      <c r="AL34" s="40" t="str">
        <f>IFERROR(__xludf.DUMMYFUNCTION("if(AND(AM34=FALSE,AN34=FALSE),,if(AM34=AN34,JOIN("""",""Static: "",AM34),JOIN("""",""Min:  "",AM34, CHAR(10),""Max: "",AN34)))"),"")</f>
        <v/>
      </c>
      <c r="AM34" s="42" t="str">
        <f t="array" ref="AM34">_xlfn.XLOOKUP(B34,'Up Min'!A:A,'Up Min'!J:J,)</f>
        <v/>
      </c>
      <c r="AN34" s="42" t="str">
        <f t="array" ref="AN34">_xlfn.XLOOKUP(B34,'Up Max'!A:A,'Up Max'!J:J,)</f>
        <v/>
      </c>
      <c r="AO34" s="34" t="str">
        <f t="array" ref="AO34">CONCATENATE(_xlfn.XLOOKUP(B34,'Up Cells'!A:A,'Up Cells'!B:B,))</f>
        <v>3</v>
      </c>
      <c r="AP34" s="34" t="str">
        <f t="array" ref="AP34">CONCATENATE(_xlfn.XLOOKUP(B34,'Up Rarity'!A:A,'Up Rarity'!B:B,),CHAR(10),"-")</f>
        <v>Standard
-</v>
      </c>
    </row>
    <row r="35">
      <c r="A35" s="86" t="str">
        <f t="array" ref="A35">_xlfn.XLOOKUP(B35,'Up Icon'!A:A,'Up Icon'!B:B,)</f>
        <v/>
      </c>
      <c r="B35" s="51" t="str">
        <f t="array" ref="B35">HYPERLINK(_xlfn.XLOOKUP('Up Names'!H35,'Up Wiki'!A:A,'Up Wiki'!B:B,),'Up Names'!H35)</f>
        <v/>
      </c>
      <c r="C35" s="52" t="str">
        <f t="array" ref="C35">_xlfn.XLOOKUP(B35,'Up Desc'!A:A,'Up Desc'!B:B,)</f>
        <v/>
      </c>
      <c r="D35" s="52" t="str">
        <f t="array" ref="D35">_xlfn.XLOOKUP(B35,'Up Turbo'!A:A,'Up Turbo'!B:B,)</f>
        <v/>
      </c>
      <c r="E35" s="53" t="str">
        <f t="array" ref="E35">_xlfn.XLOOKUP(B35,'Up Stats'!A:A,'Up Stats'!B:B,)</f>
        <v/>
      </c>
      <c r="F35" s="54" t="str">
        <f>IFERROR(__xludf.DUMMYFUNCTION("if(AND(G35=FALSE,H35=FALSE),,if(G35=H35,JOIN("""",""Static: "",G35),JOIN("""",""Min:  "",G35, CHAR(10),""Max: "",H35)))"),"")</f>
        <v/>
      </c>
      <c r="G35" s="55" t="str">
        <f t="array" ref="G35">_xlfn.XLOOKUP(B35,'Up Min'!A:A,'Up Min'!B:B,)</f>
        <v/>
      </c>
      <c r="H35" s="56" t="str">
        <f t="array" ref="H35">_xlfn.XLOOKUP(B35,'Up Max'!A:A,'Up Max'!B:B,)</f>
        <v/>
      </c>
      <c r="I35" s="53" t="str">
        <f t="array" ref="I35">_xlfn.XLOOKUP(B35,'Up Stats'!A:A,'Up Stats'!C:C,)</f>
        <v/>
      </c>
      <c r="J35" s="54" t="str">
        <f>IFERROR(__xludf.DUMMYFUNCTION("if(AND(K35=FALSE,L35=FALSE),,if(K35=L35,JOIN("""",""Static: "",K35),JOIN("""",""Min:  "",K35, CHAR(10),""Max: "",L35)))"),"")</f>
        <v/>
      </c>
      <c r="K35" s="55" t="str">
        <f t="array" ref="K35">_xlfn.XLOOKUP(B35,'Up Min'!A:A,'Up Min'!C:C,)</f>
        <v/>
      </c>
      <c r="L35" s="55" t="str">
        <f t="array" ref="L35">_xlfn.XLOOKUP(B35,'Up Max'!A:A,'Up Max'!C:C,)</f>
        <v/>
      </c>
      <c r="M35" s="57" t="str">
        <f t="array" ref="M35">_xlfn.XLOOKUP(B35,'Up Stats'!A:A,'Up Stats'!D:D,)</f>
        <v/>
      </c>
      <c r="N35" s="54" t="str">
        <f>IFERROR(__xludf.DUMMYFUNCTION("if(AND(O35=FALSE,P35=FALSE),,if(O35=P35,JOIN("""",""Static: "",O35),JOIN("""",""Min:  "",O35, CHAR(10),""Max: "",P35)))"),"")</f>
        <v/>
      </c>
      <c r="O35" s="55" t="str">
        <f t="array" ref="O35">_xlfn.XLOOKUP(B35,'Up Min'!A:A,'Up Min'!D:D,)</f>
        <v/>
      </c>
      <c r="P35" s="55" t="str">
        <f t="array" ref="P35">_xlfn.XLOOKUP(B35,'Up Max'!A:A,'Up Max'!D:D,)</f>
        <v/>
      </c>
      <c r="Q35" s="57" t="str">
        <f t="array" ref="Q35">_xlfn.XLOOKUP(B35,'Up Stats'!A:A,'Up Stats'!E:E,)</f>
        <v/>
      </c>
      <c r="R35" s="54" t="str">
        <f>IFERROR(__xludf.DUMMYFUNCTION("if(AND(S35=FALSE,T35=FALSE),,if(S35=T35,JOIN("""",""Static: "",S35),JOIN("""",""Min:  "",S35, CHAR(10),""Max: "",T35)))"),"")</f>
        <v/>
      </c>
      <c r="S35" s="55" t="str">
        <f t="array" ref="S35">_xlfn.XLOOKUP(B35,'Up Min'!A:A,'Up Min'!E:E,)</f>
        <v/>
      </c>
      <c r="T35" s="55" t="str">
        <f t="array" ref="T35">_xlfn.XLOOKUP(B35,'Up Max'!A:A,'Up Max'!E:E,)</f>
        <v/>
      </c>
      <c r="U35" s="57" t="str">
        <f t="array" ref="U35">_xlfn.XLOOKUP(B35,'Up Stats'!A:A,'Up Stats'!F:F,)</f>
        <v/>
      </c>
      <c r="V35" s="54" t="str">
        <f>IFERROR(__xludf.DUMMYFUNCTION("if(AND(W35=FALSE,X35=FALSE),,if(W35=X35,JOIN("""",""Static: "",W35),JOIN("""",""Min:  "",W35, CHAR(10),""Max: "",X35)))"),"")</f>
        <v/>
      </c>
      <c r="W35" s="55" t="str">
        <f t="array" ref="W35">_xlfn.XLOOKUP(B35,'Up Min'!A:A,'Up Min'!F:F,)</f>
        <v/>
      </c>
      <c r="X35" s="55" t="str">
        <f t="array" ref="X35">_xlfn.XLOOKUP(B35,'Up Max'!A:A,'Up Max'!F:F,)</f>
        <v/>
      </c>
      <c r="Y35" s="57" t="str">
        <f t="array" ref="Y35">_xlfn.XLOOKUP(B35,'Up Stats'!A:A,'Up Stats'!G:G,)</f>
        <v/>
      </c>
      <c r="Z35" s="54" t="str">
        <f>IFERROR(__xludf.DUMMYFUNCTION("if(AND(AA35=FALSE,AB35=FALSE),,if(AA35=AB35,JOIN("""",""Static: "",AA35),JOIN("""",""Min:  "",AA35, CHAR(10),""Max: "",AB35)))"),"")</f>
        <v/>
      </c>
      <c r="AA35" s="55" t="str">
        <f t="array" ref="AA35">_xlfn.XLOOKUP(B35,'Up Min'!A:A,'Up Min'!G:G,)</f>
        <v/>
      </c>
      <c r="AB35" s="55" t="str">
        <f t="array" ref="AB35">_xlfn.XLOOKUP(B35,'Up Max'!A:A,'Up Max'!G:G,)</f>
        <v/>
      </c>
      <c r="AC35" s="57" t="str">
        <f t="array" ref="AC35">_xlfn.XLOOKUP(B35,'Up Stats'!A:A,'Up Stats'!H:H,)</f>
        <v/>
      </c>
      <c r="AD35" s="54" t="str">
        <f>IFERROR(__xludf.DUMMYFUNCTION("if(AND(AE35=FALSE,AF35=FALSE),,if(AE35=AF35,JOIN("""",""Static: "",AE35),JOIN("""",""Min:  "",AE35, CHAR(10),""Max: "",AF35)))"),"")</f>
        <v/>
      </c>
      <c r="AE35" s="55" t="str">
        <f t="array" ref="AE35">_xlfn.XLOOKUP(B35,'Up Min'!A:A,'Up Min'!H:H,)</f>
        <v/>
      </c>
      <c r="AF35" s="55" t="str">
        <f t="array" ref="AF35">_xlfn.XLOOKUP(B35,'Up Max'!A:A,'Up Max'!H:H,)</f>
        <v/>
      </c>
      <c r="AG35" s="57" t="str">
        <f t="array" ref="AG35">_xlfn.XLOOKUP(B35,'Up Stats'!A:A,'Up Stats'!I:I,)</f>
        <v/>
      </c>
      <c r="AH35" s="54" t="str">
        <f>IFERROR(__xludf.DUMMYFUNCTION("if(AND(AI35=FALSE,AJ35=FALSE),,if(AI35=AJ35,JOIN("""",""Static: "",AI35),JOIN("""",""Min:  "",AI35, CHAR(10),""Max: "",AJ35)))"),"")</f>
        <v/>
      </c>
      <c r="AI35" s="55" t="str">
        <f t="array" ref="AI35">_xlfn.XLOOKUP(B35,'Up Min'!A:A,'Up Min'!I:I,)</f>
        <v/>
      </c>
      <c r="AJ35" s="55" t="str">
        <f t="array" ref="AJ35">_xlfn.XLOOKUP(B35,'Up Max'!A:A,'Up Max'!I:I,)</f>
        <v/>
      </c>
      <c r="AK35" s="57" t="str">
        <f t="array" ref="AK35">_xlfn.XLOOKUP(B35,'Up Stats'!A:A,'Up Stats'!J:J,)</f>
        <v/>
      </c>
      <c r="AL35" s="54" t="str">
        <f>IFERROR(__xludf.DUMMYFUNCTION("if(AND(AM35=FALSE,AN35=FALSE),,if(AM35=AN35,JOIN("""",""Static: "",AM35),JOIN("""",""Min:  "",AM35, CHAR(10),""Max: "",AN35)))"),"")</f>
        <v/>
      </c>
      <c r="AM35" s="55" t="str">
        <f t="array" ref="AM35">_xlfn.XLOOKUP(B35,'Up Min'!A:A,'Up Min'!J:J,)</f>
        <v/>
      </c>
      <c r="AN35" s="55" t="str">
        <f t="array" ref="AN35">_xlfn.XLOOKUP(B35,'Up Max'!A:A,'Up Max'!J:J,)</f>
        <v/>
      </c>
      <c r="AO35" s="51" t="str">
        <f t="array" ref="AO35">CONCATENATE(_xlfn.XLOOKUP(B35,'Up Cells'!A:A,'Up Cells'!B:B,))</f>
        <v/>
      </c>
      <c r="AP35" s="51" t="str">
        <f t="array" ref="AP35">CONCATENATE(_xlfn.XLOOKUP(B35,'Up Rarity'!A:A,'Up Rarity'!B:B,),CHAR(10),"-")</f>
        <v>
-</v>
      </c>
    </row>
    <row r="36">
      <c r="A36" s="87" t="str">
        <f t="array" ref="A36">_xlfn.XLOOKUP(B36,'Up Icon'!A:A,'Up Icon'!B:B,)</f>
        <v/>
      </c>
      <c r="B36" s="34" t="str">
        <f t="array" ref="B36">HYPERLINK(_xlfn.XLOOKUP('Up Names'!H36,'Up Wiki'!A:A,'Up Wiki'!B:B,),'Up Names'!H36)</f>
        <v/>
      </c>
      <c r="C36" s="37" t="str">
        <f t="array" ref="C36">_xlfn.XLOOKUP(B36,'Up Desc'!A:A,'Up Desc'!B:B,)</f>
        <v/>
      </c>
      <c r="D36" s="37" t="str">
        <f t="array" ref="D36">_xlfn.XLOOKUP(B36,'Up Turbo'!A:A,'Up Turbo'!B:B,)</f>
        <v/>
      </c>
      <c r="E36" s="39" t="str">
        <f t="array" ref="E36">_xlfn.XLOOKUP(B36,'Up Stats'!A:A,'Up Stats'!B:B,)</f>
        <v/>
      </c>
      <c r="F36" s="40" t="str">
        <f>IFERROR(__xludf.DUMMYFUNCTION("if(AND(G36=FALSE,H36=FALSE),,if(G36=H36,JOIN("""",""Static: "",G36),JOIN("""",""Min:  "",G36, CHAR(10),""Max: "",H36)))"),"")</f>
        <v/>
      </c>
      <c r="G36" s="42" t="str">
        <f t="array" ref="G36">_xlfn.XLOOKUP(B36,'Up Min'!A:A,'Up Min'!B:B,)</f>
        <v/>
      </c>
      <c r="H36" s="45" t="str">
        <f t="array" ref="H36">_xlfn.XLOOKUP(B36,'Up Max'!A:A,'Up Max'!B:B,)</f>
        <v/>
      </c>
      <c r="I36" s="39" t="str">
        <f t="array" ref="I36">_xlfn.XLOOKUP(B36,'Up Stats'!A:A,'Up Stats'!C:C,)</f>
        <v/>
      </c>
      <c r="J36" s="40" t="str">
        <f>IFERROR(__xludf.DUMMYFUNCTION("if(AND(K36=FALSE,L36=FALSE),,if(K36=L36,JOIN("""",""Static: "",K36),JOIN("""",""Min:  "",K36, CHAR(10),""Max: "",L36)))"),"")</f>
        <v/>
      </c>
      <c r="K36" s="42" t="str">
        <f t="array" ref="K36">_xlfn.XLOOKUP(B36,'Up Min'!A:A,'Up Min'!C:C,)</f>
        <v/>
      </c>
      <c r="L36" s="42" t="str">
        <f t="array" ref="L36">_xlfn.XLOOKUP(B36,'Up Max'!A:A,'Up Max'!C:C,)</f>
        <v/>
      </c>
      <c r="M36" s="48" t="str">
        <f t="array" ref="M36">_xlfn.XLOOKUP(B36,'Up Stats'!A:A,'Up Stats'!D:D,)</f>
        <v/>
      </c>
      <c r="N36" s="40" t="str">
        <f>IFERROR(__xludf.DUMMYFUNCTION("if(AND(O36=FALSE,P36=FALSE),,if(O36=P36,JOIN("""",""Static: "",O36),JOIN("""",""Min:  "",O36, CHAR(10),""Max: "",P36)))"),"")</f>
        <v/>
      </c>
      <c r="O36" s="42" t="str">
        <f t="array" ref="O36">_xlfn.XLOOKUP(B36,'Up Min'!A:A,'Up Min'!D:D,)</f>
        <v/>
      </c>
      <c r="P36" s="42" t="str">
        <f t="array" ref="P36">_xlfn.XLOOKUP(B36,'Up Max'!A:A,'Up Max'!D:D,)</f>
        <v/>
      </c>
      <c r="Q36" s="48" t="str">
        <f t="array" ref="Q36">_xlfn.XLOOKUP(B36,'Up Stats'!A:A,'Up Stats'!E:E,)</f>
        <v/>
      </c>
      <c r="R36" s="40" t="str">
        <f>IFERROR(__xludf.DUMMYFUNCTION("if(AND(S36=FALSE,T36=FALSE),,if(S36=T36,JOIN("""",""Static: "",S36),JOIN("""",""Min:  "",S36, CHAR(10),""Max: "",T36)))"),"")</f>
        <v/>
      </c>
      <c r="S36" s="42" t="str">
        <f t="array" ref="S36">_xlfn.XLOOKUP(B36,'Up Min'!A:A,'Up Min'!E:E,)</f>
        <v/>
      </c>
      <c r="T36" s="42" t="str">
        <f t="array" ref="T36">_xlfn.XLOOKUP(B36,'Up Max'!A:A,'Up Max'!E:E,)</f>
        <v/>
      </c>
      <c r="U36" s="48" t="str">
        <f t="array" ref="U36">_xlfn.XLOOKUP(B36,'Up Stats'!A:A,'Up Stats'!F:F,)</f>
        <v/>
      </c>
      <c r="V36" s="40" t="str">
        <f>IFERROR(__xludf.DUMMYFUNCTION("if(AND(W36=FALSE,X36=FALSE),,if(W36=X36,JOIN("""",""Static: "",W36),JOIN("""",""Min:  "",W36, CHAR(10),""Max: "",X36)))"),"")</f>
        <v/>
      </c>
      <c r="W36" s="42" t="str">
        <f t="array" ref="W36">_xlfn.XLOOKUP(B36,'Up Min'!A:A,'Up Min'!F:F,)</f>
        <v/>
      </c>
      <c r="X36" s="42" t="str">
        <f t="array" ref="X36">_xlfn.XLOOKUP(B36,'Up Max'!A:A,'Up Max'!F:F,)</f>
        <v/>
      </c>
      <c r="Y36" s="48" t="str">
        <f t="array" ref="Y36">_xlfn.XLOOKUP(B36,'Up Stats'!A:A,'Up Stats'!G:G,)</f>
        <v/>
      </c>
      <c r="Z36" s="40" t="str">
        <f>IFERROR(__xludf.DUMMYFUNCTION("if(AND(AA36=FALSE,AB36=FALSE),,if(AA36=AB36,JOIN("""",""Static: "",AA36),JOIN("""",""Min:  "",AA36, CHAR(10),""Max: "",AB36)))"),"")</f>
        <v/>
      </c>
      <c r="AA36" s="42" t="str">
        <f t="array" ref="AA36">_xlfn.XLOOKUP(B36,'Up Min'!A:A,'Up Min'!G:G,)</f>
        <v/>
      </c>
      <c r="AB36" s="42" t="str">
        <f t="array" ref="AB36">_xlfn.XLOOKUP(B36,'Up Max'!A:A,'Up Max'!G:G,)</f>
        <v/>
      </c>
      <c r="AC36" s="48" t="str">
        <f t="array" ref="AC36">_xlfn.XLOOKUP(B36,'Up Stats'!A:A,'Up Stats'!H:H,)</f>
        <v/>
      </c>
      <c r="AD36" s="40" t="str">
        <f>IFERROR(__xludf.DUMMYFUNCTION("if(AND(AE36=FALSE,AF36=FALSE),,if(AE36=AF36,JOIN("""",""Static: "",AE36),JOIN("""",""Min:  "",AE36, CHAR(10),""Max: "",AF36)))"),"")</f>
        <v/>
      </c>
      <c r="AE36" s="42" t="str">
        <f t="array" ref="AE36">_xlfn.XLOOKUP(B36,'Up Min'!A:A,'Up Min'!H:H,)</f>
        <v/>
      </c>
      <c r="AF36" s="42" t="str">
        <f t="array" ref="AF36">_xlfn.XLOOKUP(B36,'Up Max'!A:A,'Up Max'!H:H,)</f>
        <v/>
      </c>
      <c r="AG36" s="48" t="str">
        <f t="array" ref="AG36">_xlfn.XLOOKUP(B36,'Up Stats'!A:A,'Up Stats'!I:I,)</f>
        <v/>
      </c>
      <c r="AH36" s="40" t="str">
        <f>IFERROR(__xludf.DUMMYFUNCTION("if(AND(AI36=FALSE,AJ36=FALSE),,if(AI36=AJ36,JOIN("""",""Static: "",AI36),JOIN("""",""Min:  "",AI36, CHAR(10),""Max: "",AJ36)))"),"")</f>
        <v/>
      </c>
      <c r="AI36" s="42" t="str">
        <f t="array" ref="AI36">_xlfn.XLOOKUP(B36,'Up Min'!A:A,'Up Min'!I:I,)</f>
        <v/>
      </c>
      <c r="AJ36" s="42" t="str">
        <f t="array" ref="AJ36">_xlfn.XLOOKUP(B36,'Up Max'!A:A,'Up Max'!I:I,)</f>
        <v/>
      </c>
      <c r="AK36" s="48" t="str">
        <f t="array" ref="AK36">_xlfn.XLOOKUP(B36,'Up Stats'!A:A,'Up Stats'!J:J,)</f>
        <v/>
      </c>
      <c r="AL36" s="40" t="str">
        <f>IFERROR(__xludf.DUMMYFUNCTION("if(AND(AM36=FALSE,AN36=FALSE),,if(AM36=AN36,JOIN("""",""Static: "",AM36),JOIN("""",""Min:  "",AM36, CHAR(10),""Max: "",AN36)))"),"")</f>
        <v/>
      </c>
      <c r="AM36" s="42" t="str">
        <f t="array" ref="AM36">_xlfn.XLOOKUP(B36,'Up Min'!A:A,'Up Min'!J:J,)</f>
        <v/>
      </c>
      <c r="AN36" s="42" t="str">
        <f t="array" ref="AN36">_xlfn.XLOOKUP(B36,'Up Max'!A:A,'Up Max'!J:J,)</f>
        <v/>
      </c>
      <c r="AO36" s="34" t="str">
        <f t="array" ref="AO36">CONCATENATE(_xlfn.XLOOKUP(B36,'Up Cells'!A:A,'Up Cells'!B:B,))</f>
        <v/>
      </c>
      <c r="AP36" s="34" t="str">
        <f t="array" ref="AP36">CONCATENATE(_xlfn.XLOOKUP(B36,'Up Rarity'!A:A,'Up Rarity'!B:B,),CHAR(10),"-")</f>
        <v>
-</v>
      </c>
    </row>
    <row r="37">
      <c r="A37" s="86" t="str">
        <f t="array" ref="A37">_xlfn.XLOOKUP(B37,'Up Icon'!A:A,'Up Icon'!B:B,)</f>
        <v/>
      </c>
      <c r="B37" s="51" t="str">
        <f t="array" ref="B37">HYPERLINK(_xlfn.XLOOKUP('Up Names'!H37,'Up Wiki'!A:A,'Up Wiki'!B:B,),'Up Names'!H37)</f>
        <v/>
      </c>
      <c r="C37" s="52" t="str">
        <f t="array" ref="C37">_xlfn.XLOOKUP(B37,'Up Desc'!A:A,'Up Desc'!B:B,)</f>
        <v/>
      </c>
      <c r="D37" s="52" t="str">
        <f t="array" ref="D37">_xlfn.XLOOKUP(B37,'Up Turbo'!A:A,'Up Turbo'!B:B,)</f>
        <v/>
      </c>
      <c r="E37" s="53" t="str">
        <f t="array" ref="E37">_xlfn.XLOOKUP(B37,'Up Stats'!A:A,'Up Stats'!B:B,)</f>
        <v/>
      </c>
      <c r="F37" s="54" t="str">
        <f>IFERROR(__xludf.DUMMYFUNCTION("if(AND(G37=FALSE,H37=FALSE),,if(G37=H37,JOIN("""",""Static: "",G37),JOIN("""",""Min:  "",G37, CHAR(10),""Max: "",H37)))"),"")</f>
        <v/>
      </c>
      <c r="G37" s="55" t="str">
        <f t="array" ref="G37">_xlfn.XLOOKUP(B37,'Up Min'!A:A,'Up Min'!B:B,)</f>
        <v/>
      </c>
      <c r="H37" s="56" t="str">
        <f t="array" ref="H37">_xlfn.XLOOKUP(B37,'Up Max'!A:A,'Up Max'!B:B,)</f>
        <v/>
      </c>
      <c r="I37" s="53" t="str">
        <f t="array" ref="I37">_xlfn.XLOOKUP(B37,'Up Stats'!A:A,'Up Stats'!C:C,)</f>
        <v/>
      </c>
      <c r="J37" s="54" t="str">
        <f>IFERROR(__xludf.DUMMYFUNCTION("if(AND(K37=FALSE,L37=FALSE),,if(K37=L37,JOIN("""",""Static: "",K37),JOIN("""",""Min:  "",K37, CHAR(10),""Max: "",L37)))"),"")</f>
        <v/>
      </c>
      <c r="K37" s="55" t="str">
        <f t="array" ref="K37">_xlfn.XLOOKUP(B37,'Up Min'!A:A,'Up Min'!C:C,)</f>
        <v/>
      </c>
      <c r="L37" s="55" t="str">
        <f t="array" ref="L37">_xlfn.XLOOKUP(B37,'Up Max'!A:A,'Up Max'!C:C,)</f>
        <v/>
      </c>
      <c r="M37" s="57" t="str">
        <f t="array" ref="M37">_xlfn.XLOOKUP(B37,'Up Stats'!A:A,'Up Stats'!D:D,)</f>
        <v/>
      </c>
      <c r="N37" s="54" t="str">
        <f>IFERROR(__xludf.DUMMYFUNCTION("if(AND(O37=FALSE,P37=FALSE),,if(O37=P37,JOIN("""",""Static: "",O37),JOIN("""",""Min:  "",O37, CHAR(10),""Max: "",P37)))"),"")</f>
        <v/>
      </c>
      <c r="O37" s="55" t="str">
        <f t="array" ref="O37">_xlfn.XLOOKUP(B37,'Up Min'!A:A,'Up Min'!D:D,)</f>
        <v/>
      </c>
      <c r="P37" s="55" t="str">
        <f t="array" ref="P37">_xlfn.XLOOKUP(B37,'Up Max'!A:A,'Up Max'!D:D,)</f>
        <v/>
      </c>
      <c r="Q37" s="57" t="str">
        <f t="array" ref="Q37">_xlfn.XLOOKUP(B37,'Up Stats'!A:A,'Up Stats'!E:E,)</f>
        <v/>
      </c>
      <c r="R37" s="54" t="str">
        <f>IFERROR(__xludf.DUMMYFUNCTION("if(AND(S37=FALSE,T37=FALSE),,if(S37=T37,JOIN("""",""Static: "",S37),JOIN("""",""Min:  "",S37, CHAR(10),""Max: "",T37)))"),"")</f>
        <v/>
      </c>
      <c r="S37" s="55" t="str">
        <f t="array" ref="S37">_xlfn.XLOOKUP(B37,'Up Min'!A:A,'Up Min'!E:E,)</f>
        <v/>
      </c>
      <c r="T37" s="55" t="str">
        <f t="array" ref="T37">_xlfn.XLOOKUP(B37,'Up Max'!A:A,'Up Max'!E:E,)</f>
        <v/>
      </c>
      <c r="U37" s="57" t="str">
        <f t="array" ref="U37">_xlfn.XLOOKUP(B37,'Up Stats'!A:A,'Up Stats'!F:F,)</f>
        <v/>
      </c>
      <c r="V37" s="54" t="str">
        <f>IFERROR(__xludf.DUMMYFUNCTION("if(AND(W37=FALSE,X37=FALSE),,if(W37=X37,JOIN("""",""Static: "",W37),JOIN("""",""Min:  "",W37, CHAR(10),""Max: "",X37)))"),"")</f>
        <v/>
      </c>
      <c r="W37" s="55" t="str">
        <f t="array" ref="W37">_xlfn.XLOOKUP(B37,'Up Min'!A:A,'Up Min'!F:F,)</f>
        <v/>
      </c>
      <c r="X37" s="55" t="str">
        <f t="array" ref="X37">_xlfn.XLOOKUP(B37,'Up Max'!A:A,'Up Max'!F:F,)</f>
        <v/>
      </c>
      <c r="Y37" s="57" t="str">
        <f t="array" ref="Y37">_xlfn.XLOOKUP(B37,'Up Stats'!A:A,'Up Stats'!G:G,)</f>
        <v/>
      </c>
      <c r="Z37" s="54" t="str">
        <f>IFERROR(__xludf.DUMMYFUNCTION("if(AND(AA37=FALSE,AB37=FALSE),,if(AA37=AB37,JOIN("""",""Static: "",AA37),JOIN("""",""Min:  "",AA37, CHAR(10),""Max: "",AB37)))"),"")</f>
        <v/>
      </c>
      <c r="AA37" s="55" t="str">
        <f t="array" ref="AA37">_xlfn.XLOOKUP(B37,'Up Min'!A:A,'Up Min'!G:G,)</f>
        <v/>
      </c>
      <c r="AB37" s="55" t="str">
        <f t="array" ref="AB37">_xlfn.XLOOKUP(B37,'Up Max'!A:A,'Up Max'!G:G,)</f>
        <v/>
      </c>
      <c r="AC37" s="57" t="str">
        <f t="array" ref="AC37">_xlfn.XLOOKUP(B37,'Up Stats'!A:A,'Up Stats'!H:H,)</f>
        <v/>
      </c>
      <c r="AD37" s="54" t="str">
        <f>IFERROR(__xludf.DUMMYFUNCTION("if(AND(AE37=FALSE,AF37=FALSE),,if(AE37=AF37,JOIN("""",""Static: "",AE37),JOIN("""",""Min:  "",AE37, CHAR(10),""Max: "",AF37)))"),"")</f>
        <v/>
      </c>
      <c r="AE37" s="55" t="str">
        <f t="array" ref="AE37">_xlfn.XLOOKUP(B37,'Up Min'!A:A,'Up Min'!H:H,)</f>
        <v/>
      </c>
      <c r="AF37" s="55" t="str">
        <f t="array" ref="AF37">_xlfn.XLOOKUP(B37,'Up Max'!A:A,'Up Max'!H:H,)</f>
        <v/>
      </c>
      <c r="AG37" s="57" t="str">
        <f t="array" ref="AG37">_xlfn.XLOOKUP(B37,'Up Stats'!A:A,'Up Stats'!I:I,)</f>
        <v/>
      </c>
      <c r="AH37" s="54" t="str">
        <f>IFERROR(__xludf.DUMMYFUNCTION("if(AND(AI37=FALSE,AJ37=FALSE),,if(AI37=AJ37,JOIN("""",""Static: "",AI37),JOIN("""",""Min:  "",AI37, CHAR(10),""Max: "",AJ37)))"),"")</f>
        <v/>
      </c>
      <c r="AI37" s="55" t="str">
        <f t="array" ref="AI37">_xlfn.XLOOKUP(B37,'Up Min'!A:A,'Up Min'!I:I,)</f>
        <v/>
      </c>
      <c r="AJ37" s="55" t="str">
        <f t="array" ref="AJ37">_xlfn.XLOOKUP(B37,'Up Max'!A:A,'Up Max'!I:I,)</f>
        <v/>
      </c>
      <c r="AK37" s="57" t="str">
        <f t="array" ref="AK37">_xlfn.XLOOKUP(B37,'Up Stats'!A:A,'Up Stats'!J:J,)</f>
        <v/>
      </c>
      <c r="AL37" s="54" t="str">
        <f>IFERROR(__xludf.DUMMYFUNCTION("if(AND(AM37=FALSE,AN37=FALSE),,if(AM37=AN37,JOIN("""",""Static: "",AM37),JOIN("""",""Min:  "",AM37, CHAR(10),""Max: "",AN37)))"),"")</f>
        <v/>
      </c>
      <c r="AM37" s="55" t="str">
        <f t="array" ref="AM37">_xlfn.XLOOKUP(B37,'Up Min'!A:A,'Up Min'!J:J,)</f>
        <v/>
      </c>
      <c r="AN37" s="55" t="str">
        <f t="array" ref="AN37">_xlfn.XLOOKUP(B37,'Up Max'!A:A,'Up Max'!J:J,)</f>
        <v/>
      </c>
      <c r="AO37" s="51" t="str">
        <f t="array" ref="AO37">CONCATENATE(_xlfn.XLOOKUP(B37,'Up Cells'!A:A,'Up Cells'!B:B,))</f>
        <v/>
      </c>
      <c r="AP37" s="51" t="str">
        <f t="array" ref="AP37">CONCATENATE(_xlfn.XLOOKUP(B37,'Up Rarity'!A:A,'Up Rarity'!B:B,),CHAR(10),"-")</f>
        <v>
-</v>
      </c>
    </row>
    <row r="38">
      <c r="A38" s="87" t="str">
        <f t="array" ref="A38">_xlfn.XLOOKUP(B38,'Up Icon'!A:A,'Up Icon'!B:B,)</f>
        <v/>
      </c>
      <c r="B38" s="34" t="str">
        <f t="array" ref="B38">HYPERLINK(_xlfn.XLOOKUP('Up Names'!H38,'Up Wiki'!A:A,'Up Wiki'!B:B,),'Up Names'!H38)</f>
        <v/>
      </c>
      <c r="C38" s="37" t="str">
        <f t="array" ref="C38">_xlfn.XLOOKUP(B38,'Up Desc'!A:A,'Up Desc'!B:B,)</f>
        <v/>
      </c>
      <c r="D38" s="37" t="str">
        <f t="array" ref="D38">_xlfn.XLOOKUP(B38,'Up Turbo'!A:A,'Up Turbo'!B:B,)</f>
        <v/>
      </c>
      <c r="E38" s="39" t="str">
        <f t="array" ref="E38">_xlfn.XLOOKUP(B38,'Up Stats'!A:A,'Up Stats'!B:B,)</f>
        <v/>
      </c>
      <c r="F38" s="40" t="str">
        <f>IFERROR(__xludf.DUMMYFUNCTION("if(AND(G38=FALSE,H38=FALSE),,if(G38=H38,JOIN("""",""Static: "",G38),JOIN("""",""Min:  "",G38, CHAR(10),""Max: "",H38)))"),"")</f>
        <v/>
      </c>
      <c r="G38" s="42" t="str">
        <f t="array" ref="G38">_xlfn.XLOOKUP(B38,'Up Min'!A:A,'Up Min'!B:B,)</f>
        <v/>
      </c>
      <c r="H38" s="45" t="str">
        <f t="array" ref="H38">_xlfn.XLOOKUP(B38,'Up Max'!A:A,'Up Max'!B:B,)</f>
        <v/>
      </c>
      <c r="I38" s="39" t="str">
        <f t="array" ref="I38">_xlfn.XLOOKUP(B38,'Up Stats'!A:A,'Up Stats'!C:C,)</f>
        <v/>
      </c>
      <c r="J38" s="40" t="str">
        <f>IFERROR(__xludf.DUMMYFUNCTION("if(AND(K38=FALSE,L38=FALSE),,if(K38=L38,JOIN("""",""Static: "",K38),JOIN("""",""Min:  "",K38, CHAR(10),""Max: "",L38)))"),"")</f>
        <v/>
      </c>
      <c r="K38" s="42" t="str">
        <f t="array" ref="K38">_xlfn.XLOOKUP(B38,'Up Min'!A:A,'Up Min'!C:C,)</f>
        <v/>
      </c>
      <c r="L38" s="42" t="str">
        <f t="array" ref="L38">_xlfn.XLOOKUP(B38,'Up Max'!A:A,'Up Max'!C:C,)</f>
        <v/>
      </c>
      <c r="M38" s="48" t="str">
        <f t="array" ref="M38">_xlfn.XLOOKUP(B38,'Up Stats'!A:A,'Up Stats'!D:D,)</f>
        <v/>
      </c>
      <c r="N38" s="40" t="str">
        <f>IFERROR(__xludf.DUMMYFUNCTION("if(AND(O38=FALSE,P38=FALSE),,if(O38=P38,JOIN("""",""Static: "",O38),JOIN("""",""Min:  "",O38, CHAR(10),""Max: "",P38)))"),"")</f>
        <v/>
      </c>
      <c r="O38" s="42" t="str">
        <f t="array" ref="O38">_xlfn.XLOOKUP(B38,'Up Min'!A:A,'Up Min'!D:D,)</f>
        <v/>
      </c>
      <c r="P38" s="42" t="str">
        <f t="array" ref="P38">_xlfn.XLOOKUP(B38,'Up Max'!A:A,'Up Max'!D:D,)</f>
        <v/>
      </c>
      <c r="Q38" s="48" t="str">
        <f t="array" ref="Q38">_xlfn.XLOOKUP(B38,'Up Stats'!A:A,'Up Stats'!E:E,)</f>
        <v/>
      </c>
      <c r="R38" s="40" t="str">
        <f>IFERROR(__xludf.DUMMYFUNCTION("if(AND(S38=FALSE,T38=FALSE),,if(S38=T38,JOIN("""",""Static: "",S38),JOIN("""",""Min:  "",S38, CHAR(10),""Max: "",T38)))"),"")</f>
        <v/>
      </c>
      <c r="S38" s="42" t="str">
        <f t="array" ref="S38">_xlfn.XLOOKUP(B38,'Up Min'!A:A,'Up Min'!E:E,)</f>
        <v/>
      </c>
      <c r="T38" s="42" t="str">
        <f t="array" ref="T38">_xlfn.XLOOKUP(B38,'Up Max'!A:A,'Up Max'!E:E,)</f>
        <v/>
      </c>
      <c r="U38" s="48" t="str">
        <f t="array" ref="U38">_xlfn.XLOOKUP(B38,'Up Stats'!A:A,'Up Stats'!F:F,)</f>
        <v/>
      </c>
      <c r="V38" s="40" t="str">
        <f>IFERROR(__xludf.DUMMYFUNCTION("if(AND(W38=FALSE,X38=FALSE),,if(W38=X38,JOIN("""",""Static: "",W38),JOIN("""",""Min:  "",W38, CHAR(10),""Max: "",X38)))"),"")</f>
        <v/>
      </c>
      <c r="W38" s="42" t="str">
        <f t="array" ref="W38">_xlfn.XLOOKUP(B38,'Up Min'!A:A,'Up Min'!F:F,)</f>
        <v/>
      </c>
      <c r="X38" s="42" t="str">
        <f t="array" ref="X38">_xlfn.XLOOKUP(B38,'Up Max'!A:A,'Up Max'!F:F,)</f>
        <v/>
      </c>
      <c r="Y38" s="48" t="str">
        <f t="array" ref="Y38">_xlfn.XLOOKUP(B38,'Up Stats'!A:A,'Up Stats'!G:G,)</f>
        <v/>
      </c>
      <c r="Z38" s="40" t="str">
        <f>IFERROR(__xludf.DUMMYFUNCTION("if(AND(AA38=FALSE,AB38=FALSE),,if(AA38=AB38,JOIN("""",""Static: "",AA38),JOIN("""",""Min:  "",AA38, CHAR(10),""Max: "",AB38)))"),"")</f>
        <v/>
      </c>
      <c r="AA38" s="42" t="str">
        <f t="array" ref="AA38">_xlfn.XLOOKUP(B38,'Up Min'!A:A,'Up Min'!G:G,)</f>
        <v/>
      </c>
      <c r="AB38" s="42" t="str">
        <f t="array" ref="AB38">_xlfn.XLOOKUP(B38,'Up Max'!A:A,'Up Max'!G:G,)</f>
        <v/>
      </c>
      <c r="AC38" s="48" t="str">
        <f t="array" ref="AC38">_xlfn.XLOOKUP(B38,'Up Stats'!A:A,'Up Stats'!H:H,)</f>
        <v/>
      </c>
      <c r="AD38" s="40" t="str">
        <f>IFERROR(__xludf.DUMMYFUNCTION("if(AND(AE38=FALSE,AF38=FALSE),,if(AE38=AF38,JOIN("""",""Static: "",AE38),JOIN("""",""Min:  "",AE38, CHAR(10),""Max: "",AF38)))"),"")</f>
        <v/>
      </c>
      <c r="AE38" s="42" t="str">
        <f t="array" ref="AE38">_xlfn.XLOOKUP(B38,'Up Min'!A:A,'Up Min'!H:H,)</f>
        <v/>
      </c>
      <c r="AF38" s="42" t="str">
        <f t="array" ref="AF38">_xlfn.XLOOKUP(B38,'Up Max'!A:A,'Up Max'!H:H,)</f>
        <v/>
      </c>
      <c r="AG38" s="48" t="str">
        <f t="array" ref="AG38">_xlfn.XLOOKUP(B38,'Up Stats'!A:A,'Up Stats'!I:I,)</f>
        <v/>
      </c>
      <c r="AH38" s="40" t="str">
        <f>IFERROR(__xludf.DUMMYFUNCTION("if(AND(AI38=FALSE,AJ38=FALSE),,if(AI38=AJ38,JOIN("""",""Static: "",AI38),JOIN("""",""Min:  "",AI38, CHAR(10),""Max: "",AJ38)))"),"")</f>
        <v/>
      </c>
      <c r="AI38" s="42" t="str">
        <f t="array" ref="AI38">_xlfn.XLOOKUP(B38,'Up Min'!A:A,'Up Min'!I:I,)</f>
        <v/>
      </c>
      <c r="AJ38" s="42" t="str">
        <f t="array" ref="AJ38">_xlfn.XLOOKUP(B38,'Up Max'!A:A,'Up Max'!I:I,)</f>
        <v/>
      </c>
      <c r="AK38" s="48" t="str">
        <f t="array" ref="AK38">_xlfn.XLOOKUP(B38,'Up Stats'!A:A,'Up Stats'!J:J,)</f>
        <v/>
      </c>
      <c r="AL38" s="40" t="str">
        <f>IFERROR(__xludf.DUMMYFUNCTION("if(AND(AM38=FALSE,AN38=FALSE),,if(AM38=AN38,JOIN("""",""Static: "",AM38),JOIN("""",""Min:  "",AM38, CHAR(10),""Max: "",AN38)))"),"")</f>
        <v/>
      </c>
      <c r="AM38" s="42" t="str">
        <f t="array" ref="AM38">_xlfn.XLOOKUP(B38,'Up Min'!A:A,'Up Min'!J:J,)</f>
        <v/>
      </c>
      <c r="AN38" s="42" t="str">
        <f t="array" ref="AN38">_xlfn.XLOOKUP(B38,'Up Max'!A:A,'Up Max'!J:J,)</f>
        <v/>
      </c>
      <c r="AO38" s="34" t="str">
        <f t="array" ref="AO38">CONCATENATE(_xlfn.XLOOKUP(B38,'Up Cells'!A:A,'Up Cells'!B:B,))</f>
        <v/>
      </c>
      <c r="AP38" s="34" t="str">
        <f t="array" ref="AP38">CONCATENATE(_xlfn.XLOOKUP(B38,'Up Rarity'!A:A,'Up Rarity'!B:B,),CHAR(10),"-")</f>
        <v>
-</v>
      </c>
    </row>
    <row r="39">
      <c r="A39" s="86" t="str">
        <f t="array" ref="A39">_xlfn.XLOOKUP(B39,'Up Icon'!A:A,'Up Icon'!B:B,)</f>
        <v/>
      </c>
      <c r="B39" s="51" t="str">
        <f t="array" ref="B39">HYPERLINK(_xlfn.XLOOKUP('Up Names'!H39,'Up Wiki'!A:A,'Up Wiki'!B:B,),'Up Names'!H39)</f>
        <v/>
      </c>
      <c r="C39" s="52" t="str">
        <f t="array" ref="C39">_xlfn.XLOOKUP(B39,'Up Desc'!A:A,'Up Desc'!B:B,)</f>
        <v/>
      </c>
      <c r="D39" s="52" t="str">
        <f t="array" ref="D39">_xlfn.XLOOKUP(B39,'Up Turbo'!A:A,'Up Turbo'!B:B,)</f>
        <v/>
      </c>
      <c r="E39" s="53" t="str">
        <f t="array" ref="E39">_xlfn.XLOOKUP(B39,'Up Stats'!A:A,'Up Stats'!B:B,)</f>
        <v/>
      </c>
      <c r="F39" s="54" t="str">
        <f>IFERROR(__xludf.DUMMYFUNCTION("if(AND(G39=FALSE,H39=FALSE),,if(G39=H39,JOIN("""",""Static: "",G39),JOIN("""",""Min:  "",G39, CHAR(10),""Max: "",H39)))"),"")</f>
        <v/>
      </c>
      <c r="G39" s="55" t="str">
        <f t="array" ref="G39">_xlfn.XLOOKUP(B39,'Up Min'!A:A,'Up Min'!B:B,)</f>
        <v/>
      </c>
      <c r="H39" s="56" t="str">
        <f t="array" ref="H39">_xlfn.XLOOKUP(B39,'Up Max'!A:A,'Up Max'!B:B,)</f>
        <v/>
      </c>
      <c r="I39" s="53" t="str">
        <f t="array" ref="I39">_xlfn.XLOOKUP(B39,'Up Stats'!A:A,'Up Stats'!C:C,)</f>
        <v/>
      </c>
      <c r="J39" s="54" t="str">
        <f>IFERROR(__xludf.DUMMYFUNCTION("if(AND(K39=FALSE,L39=FALSE),,if(K39=L39,JOIN("""",""Static: "",K39),JOIN("""",""Min:  "",K39, CHAR(10),""Max: "",L39)))"),"")</f>
        <v/>
      </c>
      <c r="K39" s="55" t="str">
        <f t="array" ref="K39">_xlfn.XLOOKUP(B39,'Up Min'!A:A,'Up Min'!C:C,)</f>
        <v/>
      </c>
      <c r="L39" s="55" t="str">
        <f t="array" ref="L39">_xlfn.XLOOKUP(B39,'Up Max'!A:A,'Up Max'!C:C,)</f>
        <v/>
      </c>
      <c r="M39" s="57" t="str">
        <f t="array" ref="M39">_xlfn.XLOOKUP(B39,'Up Stats'!A:A,'Up Stats'!D:D,)</f>
        <v/>
      </c>
      <c r="N39" s="54" t="str">
        <f>IFERROR(__xludf.DUMMYFUNCTION("if(AND(O39=FALSE,P39=FALSE),,if(O39=P39,JOIN("""",""Static: "",O39),JOIN("""",""Min:  "",O39, CHAR(10),""Max: "",P39)))"),"")</f>
        <v/>
      </c>
      <c r="O39" s="55" t="str">
        <f t="array" ref="O39">_xlfn.XLOOKUP(B39,'Up Min'!A:A,'Up Min'!D:D,)</f>
        <v/>
      </c>
      <c r="P39" s="55" t="str">
        <f t="array" ref="P39">_xlfn.XLOOKUP(B39,'Up Max'!A:A,'Up Max'!D:D,)</f>
        <v/>
      </c>
      <c r="Q39" s="57" t="str">
        <f t="array" ref="Q39">_xlfn.XLOOKUP(B39,'Up Stats'!A:A,'Up Stats'!E:E,)</f>
        <v/>
      </c>
      <c r="R39" s="54" t="str">
        <f>IFERROR(__xludf.DUMMYFUNCTION("if(AND(S39=FALSE,T39=FALSE),,if(S39=T39,JOIN("""",""Static: "",S39),JOIN("""",""Min:  "",S39, CHAR(10),""Max: "",T39)))"),"")</f>
        <v/>
      </c>
      <c r="S39" s="55" t="str">
        <f t="array" ref="S39">_xlfn.XLOOKUP(B39,'Up Min'!A:A,'Up Min'!E:E,)</f>
        <v/>
      </c>
      <c r="T39" s="55" t="str">
        <f t="array" ref="T39">_xlfn.XLOOKUP(B39,'Up Max'!A:A,'Up Max'!E:E,)</f>
        <v/>
      </c>
      <c r="U39" s="57" t="str">
        <f t="array" ref="U39">_xlfn.XLOOKUP(B39,'Up Stats'!A:A,'Up Stats'!F:F,)</f>
        <v/>
      </c>
      <c r="V39" s="54" t="str">
        <f>IFERROR(__xludf.DUMMYFUNCTION("if(AND(W39=FALSE,X39=FALSE),,if(W39=X39,JOIN("""",""Static: "",W39),JOIN("""",""Min:  "",W39, CHAR(10),""Max: "",X39)))"),"")</f>
        <v/>
      </c>
      <c r="W39" s="55" t="str">
        <f t="array" ref="W39">_xlfn.XLOOKUP(B39,'Up Min'!A:A,'Up Min'!F:F,)</f>
        <v/>
      </c>
      <c r="X39" s="55" t="str">
        <f t="array" ref="X39">_xlfn.XLOOKUP(B39,'Up Max'!A:A,'Up Max'!F:F,)</f>
        <v/>
      </c>
      <c r="Y39" s="57" t="str">
        <f t="array" ref="Y39">_xlfn.XLOOKUP(B39,'Up Stats'!A:A,'Up Stats'!G:G,)</f>
        <v/>
      </c>
      <c r="Z39" s="54" t="str">
        <f>IFERROR(__xludf.DUMMYFUNCTION("if(AND(AA39=FALSE,AB39=FALSE),,if(AA39=AB39,JOIN("""",""Static: "",AA39),JOIN("""",""Min:  "",AA39, CHAR(10),""Max: "",AB39)))"),"")</f>
        <v/>
      </c>
      <c r="AA39" s="55" t="str">
        <f t="array" ref="AA39">_xlfn.XLOOKUP(B39,'Up Min'!A:A,'Up Min'!G:G,)</f>
        <v/>
      </c>
      <c r="AB39" s="55" t="str">
        <f t="array" ref="AB39">_xlfn.XLOOKUP(B39,'Up Max'!A:A,'Up Max'!G:G,)</f>
        <v/>
      </c>
      <c r="AC39" s="57" t="str">
        <f t="array" ref="AC39">_xlfn.XLOOKUP(B39,'Up Stats'!A:A,'Up Stats'!H:H,)</f>
        <v/>
      </c>
      <c r="AD39" s="54" t="str">
        <f>IFERROR(__xludf.DUMMYFUNCTION("if(AND(AE39=FALSE,AF39=FALSE),,if(AE39=AF39,JOIN("""",""Static: "",AE39),JOIN("""",""Min:  "",AE39, CHAR(10),""Max: "",AF39)))"),"")</f>
        <v/>
      </c>
      <c r="AE39" s="55" t="str">
        <f t="array" ref="AE39">_xlfn.XLOOKUP(B39,'Up Min'!A:A,'Up Min'!H:H,)</f>
        <v/>
      </c>
      <c r="AF39" s="55" t="str">
        <f t="array" ref="AF39">_xlfn.XLOOKUP(B39,'Up Max'!A:A,'Up Max'!H:H,)</f>
        <v/>
      </c>
      <c r="AG39" s="57" t="str">
        <f t="array" ref="AG39">_xlfn.XLOOKUP(B39,'Up Stats'!A:A,'Up Stats'!I:I,)</f>
        <v/>
      </c>
      <c r="AH39" s="54" t="str">
        <f>IFERROR(__xludf.DUMMYFUNCTION("if(AND(AI39=FALSE,AJ39=FALSE),,if(AI39=AJ39,JOIN("""",""Static: "",AI39),JOIN("""",""Min:  "",AI39, CHAR(10),""Max: "",AJ39)))"),"")</f>
        <v/>
      </c>
      <c r="AI39" s="55" t="str">
        <f t="array" ref="AI39">_xlfn.XLOOKUP(B39,'Up Min'!A:A,'Up Min'!I:I,)</f>
        <v/>
      </c>
      <c r="AJ39" s="55" t="str">
        <f t="array" ref="AJ39">_xlfn.XLOOKUP(B39,'Up Max'!A:A,'Up Max'!I:I,)</f>
        <v/>
      </c>
      <c r="AK39" s="57" t="str">
        <f t="array" ref="AK39">_xlfn.XLOOKUP(B39,'Up Stats'!A:A,'Up Stats'!J:J,)</f>
        <v/>
      </c>
      <c r="AL39" s="54" t="str">
        <f>IFERROR(__xludf.DUMMYFUNCTION("if(AND(AM39=FALSE,AN39=FALSE),,if(AM39=AN39,JOIN("""",""Static: "",AM39),JOIN("""",""Min:  "",AM39, CHAR(10),""Max: "",AN39)))"),"")</f>
        <v/>
      </c>
      <c r="AM39" s="55" t="str">
        <f t="array" ref="AM39">_xlfn.XLOOKUP(B39,'Up Min'!A:A,'Up Min'!J:J,)</f>
        <v/>
      </c>
      <c r="AN39" s="55" t="str">
        <f t="array" ref="AN39">_xlfn.XLOOKUP(B39,'Up Max'!A:A,'Up Max'!J:J,)</f>
        <v/>
      </c>
      <c r="AO39" s="51" t="str">
        <f t="array" ref="AO39">CONCATENATE(_xlfn.XLOOKUP(B39,'Up Cells'!A:A,'Up Cells'!B:B,))</f>
        <v/>
      </c>
      <c r="AP39" s="51" t="str">
        <f t="array" ref="AP39">CONCATENATE(_xlfn.XLOOKUP(B39,'Up Rarity'!A:A,'Up Rarity'!B:B,),CHAR(10),"-")</f>
        <v>
-</v>
      </c>
    </row>
    <row r="40">
      <c r="A40" s="87" t="str">
        <f t="array" ref="A40">_xlfn.XLOOKUP(B40,'Up Icon'!A:A,'Up Icon'!B:B,)</f>
        <v/>
      </c>
      <c r="B40" s="34" t="str">
        <f t="array" ref="B40">HYPERLINK(_xlfn.XLOOKUP('Up Names'!H40,'Up Wiki'!A:A,'Up Wiki'!B:B,),'Up Names'!H40)</f>
        <v/>
      </c>
      <c r="C40" s="37" t="str">
        <f t="array" ref="C40">_xlfn.XLOOKUP(B40,'Up Desc'!A:A,'Up Desc'!B:B,)</f>
        <v/>
      </c>
      <c r="D40" s="37" t="str">
        <f t="array" ref="D40">_xlfn.XLOOKUP(B40,'Up Turbo'!A:A,'Up Turbo'!B:B,)</f>
        <v/>
      </c>
      <c r="E40" s="39" t="str">
        <f t="array" ref="E40">_xlfn.XLOOKUP(B40,'Up Stats'!A:A,'Up Stats'!B:B,)</f>
        <v/>
      </c>
      <c r="F40" s="40" t="str">
        <f>IFERROR(__xludf.DUMMYFUNCTION("if(AND(G40=FALSE,H40=FALSE),,if(G40=H40,JOIN("""",""Static: "",G40),JOIN("""",""Min:  "",G40, CHAR(10),""Max: "",H40)))"),"")</f>
        <v/>
      </c>
      <c r="G40" s="42" t="str">
        <f t="array" ref="G40">_xlfn.XLOOKUP(B40,'Up Min'!A:A,'Up Min'!B:B,)</f>
        <v/>
      </c>
      <c r="H40" s="45" t="str">
        <f t="array" ref="H40">_xlfn.XLOOKUP(B40,'Up Max'!A:A,'Up Max'!B:B,)</f>
        <v/>
      </c>
      <c r="I40" s="39" t="str">
        <f t="array" ref="I40">_xlfn.XLOOKUP(B40,'Up Stats'!A:A,'Up Stats'!C:C,)</f>
        <v/>
      </c>
      <c r="J40" s="40" t="str">
        <f>IFERROR(__xludf.DUMMYFUNCTION("if(AND(K40=FALSE,L40=FALSE),,if(K40=L40,JOIN("""",""Static: "",K40),JOIN("""",""Min:  "",K40, CHAR(10),""Max: "",L40)))"),"")</f>
        <v/>
      </c>
      <c r="K40" s="42" t="str">
        <f t="array" ref="K40">_xlfn.XLOOKUP(B40,'Up Min'!A:A,'Up Min'!C:C,)</f>
        <v/>
      </c>
      <c r="L40" s="42" t="str">
        <f t="array" ref="L40">_xlfn.XLOOKUP(B40,'Up Max'!A:A,'Up Max'!C:C,)</f>
        <v/>
      </c>
      <c r="M40" s="48" t="str">
        <f t="array" ref="M40">_xlfn.XLOOKUP(B40,'Up Stats'!A:A,'Up Stats'!D:D,)</f>
        <v/>
      </c>
      <c r="N40" s="40" t="str">
        <f>IFERROR(__xludf.DUMMYFUNCTION("if(AND(O40=FALSE,P40=FALSE),,if(O40=P40,JOIN("""",""Static: "",O40),JOIN("""",""Min:  "",O40, CHAR(10),""Max: "",P40)))"),"")</f>
        <v/>
      </c>
      <c r="O40" s="42" t="str">
        <f t="array" ref="O40">_xlfn.XLOOKUP(B40,'Up Min'!A:A,'Up Min'!D:D,)</f>
        <v/>
      </c>
      <c r="P40" s="42" t="str">
        <f t="array" ref="P40">_xlfn.XLOOKUP(B40,'Up Max'!A:A,'Up Max'!D:D,)</f>
        <v/>
      </c>
      <c r="Q40" s="48" t="str">
        <f t="array" ref="Q40">_xlfn.XLOOKUP(B40,'Up Stats'!A:A,'Up Stats'!E:E,)</f>
        <v/>
      </c>
      <c r="R40" s="40" t="str">
        <f>IFERROR(__xludf.DUMMYFUNCTION("if(AND(S40=FALSE,T40=FALSE),,if(S40=T40,JOIN("""",""Static: "",S40),JOIN("""",""Min:  "",S40, CHAR(10),""Max: "",T40)))"),"")</f>
        <v/>
      </c>
      <c r="S40" s="42" t="str">
        <f t="array" ref="S40">_xlfn.XLOOKUP(B40,'Up Min'!A:A,'Up Min'!E:E,)</f>
        <v/>
      </c>
      <c r="T40" s="42" t="str">
        <f t="array" ref="T40">_xlfn.XLOOKUP(B40,'Up Max'!A:A,'Up Max'!E:E,)</f>
        <v/>
      </c>
      <c r="U40" s="48" t="str">
        <f t="array" ref="U40">_xlfn.XLOOKUP(B40,'Up Stats'!A:A,'Up Stats'!F:F,)</f>
        <v/>
      </c>
      <c r="V40" s="40" t="str">
        <f>IFERROR(__xludf.DUMMYFUNCTION("if(AND(W40=FALSE,X40=FALSE),,if(W40=X40,JOIN("""",""Static: "",W40),JOIN("""",""Min:  "",W40, CHAR(10),""Max: "",X40)))"),"")</f>
        <v/>
      </c>
      <c r="W40" s="42" t="str">
        <f t="array" ref="W40">_xlfn.XLOOKUP(B40,'Up Min'!A:A,'Up Min'!F:F,)</f>
        <v/>
      </c>
      <c r="X40" s="42" t="str">
        <f t="array" ref="X40">_xlfn.XLOOKUP(B40,'Up Max'!A:A,'Up Max'!F:F,)</f>
        <v/>
      </c>
      <c r="Y40" s="48" t="str">
        <f t="array" ref="Y40">_xlfn.XLOOKUP(B40,'Up Stats'!A:A,'Up Stats'!G:G,)</f>
        <v/>
      </c>
      <c r="Z40" s="40" t="str">
        <f>IFERROR(__xludf.DUMMYFUNCTION("if(AND(AA40=FALSE,AB40=FALSE),,if(AA40=AB40,JOIN("""",""Static: "",AA40),JOIN("""",""Min:  "",AA40, CHAR(10),""Max: "",AB40)))"),"")</f>
        <v/>
      </c>
      <c r="AA40" s="42" t="str">
        <f t="array" ref="AA40">_xlfn.XLOOKUP(B40,'Up Min'!A:A,'Up Min'!G:G,)</f>
        <v/>
      </c>
      <c r="AB40" s="42" t="str">
        <f t="array" ref="AB40">_xlfn.XLOOKUP(B40,'Up Max'!A:A,'Up Max'!G:G,)</f>
        <v/>
      </c>
      <c r="AC40" s="48" t="str">
        <f t="array" ref="AC40">_xlfn.XLOOKUP(B40,'Up Stats'!A:A,'Up Stats'!H:H,)</f>
        <v/>
      </c>
      <c r="AD40" s="40" t="str">
        <f>IFERROR(__xludf.DUMMYFUNCTION("if(AND(AE40=FALSE,AF40=FALSE),,if(AE40=AF40,JOIN("""",""Static: "",AE40),JOIN("""",""Min:  "",AE40, CHAR(10),""Max: "",AF40)))"),"")</f>
        <v/>
      </c>
      <c r="AE40" s="42" t="str">
        <f t="array" ref="AE40">_xlfn.XLOOKUP(B40,'Up Min'!A:A,'Up Min'!H:H,)</f>
        <v/>
      </c>
      <c r="AF40" s="42" t="str">
        <f t="array" ref="AF40">_xlfn.XLOOKUP(B40,'Up Max'!A:A,'Up Max'!H:H,)</f>
        <v/>
      </c>
      <c r="AG40" s="48" t="str">
        <f t="array" ref="AG40">_xlfn.XLOOKUP(B40,'Up Stats'!A:A,'Up Stats'!I:I,)</f>
        <v/>
      </c>
      <c r="AH40" s="40" t="str">
        <f>IFERROR(__xludf.DUMMYFUNCTION("if(AND(AI40=FALSE,AJ40=FALSE),,if(AI40=AJ40,JOIN("""",""Static: "",AI40),JOIN("""",""Min:  "",AI40, CHAR(10),""Max: "",AJ40)))"),"")</f>
        <v/>
      </c>
      <c r="AI40" s="42" t="str">
        <f t="array" ref="AI40">_xlfn.XLOOKUP(B40,'Up Min'!A:A,'Up Min'!I:I,)</f>
        <v/>
      </c>
      <c r="AJ40" s="42" t="str">
        <f t="array" ref="AJ40">_xlfn.XLOOKUP(B40,'Up Max'!A:A,'Up Max'!I:I,)</f>
        <v/>
      </c>
      <c r="AK40" s="48" t="str">
        <f t="array" ref="AK40">_xlfn.XLOOKUP(B40,'Up Stats'!A:A,'Up Stats'!J:J,)</f>
        <v/>
      </c>
      <c r="AL40" s="40" t="str">
        <f>IFERROR(__xludf.DUMMYFUNCTION("if(AND(AM40=FALSE,AN40=FALSE),,if(AM40=AN40,JOIN("""",""Static: "",AM40),JOIN("""",""Min:  "",AM40, CHAR(10),""Max: "",AN40)))"),"")</f>
        <v/>
      </c>
      <c r="AM40" s="42" t="str">
        <f t="array" ref="AM40">_xlfn.XLOOKUP(B40,'Up Min'!A:A,'Up Min'!J:J,)</f>
        <v/>
      </c>
      <c r="AN40" s="42" t="str">
        <f t="array" ref="AN40">_xlfn.XLOOKUP(B40,'Up Max'!A:A,'Up Max'!J:J,)</f>
        <v/>
      </c>
      <c r="AO40" s="34" t="str">
        <f t="array" ref="AO40">CONCATENATE(_xlfn.XLOOKUP(B40,'Up Cells'!A:A,'Up Cells'!B:B,))</f>
        <v/>
      </c>
      <c r="AP40" s="34" t="str">
        <f t="array" ref="AP40">CONCATENATE(_xlfn.XLOOKUP(B40,'Up Rarity'!A:A,'Up Rarity'!B:B,),CHAR(10),"-")</f>
        <v>
-</v>
      </c>
    </row>
    <row r="41">
      <c r="A41" s="86" t="str">
        <f t="array" ref="A41">_xlfn.XLOOKUP(B41,'Up Icon'!A:A,'Up Icon'!B:B,)</f>
        <v/>
      </c>
      <c r="B41" s="51" t="str">
        <f t="array" ref="B41">HYPERLINK(_xlfn.XLOOKUP('Up Names'!H41,'Up Wiki'!A:A,'Up Wiki'!B:B,),'Up Names'!H41)</f>
        <v/>
      </c>
      <c r="C41" s="52" t="str">
        <f t="array" ref="C41">_xlfn.XLOOKUP(B41,'Up Desc'!A:A,'Up Desc'!B:B,)</f>
        <v/>
      </c>
      <c r="D41" s="52" t="str">
        <f t="array" ref="D41">_xlfn.XLOOKUP(B41,'Up Turbo'!A:A,'Up Turbo'!B:B,)</f>
        <v/>
      </c>
      <c r="E41" s="53" t="str">
        <f t="array" ref="E41">_xlfn.XLOOKUP(B41,'Up Stats'!A:A,'Up Stats'!B:B,)</f>
        <v/>
      </c>
      <c r="F41" s="54" t="str">
        <f>IFERROR(__xludf.DUMMYFUNCTION("if(AND(G41=FALSE,H41=FALSE),,if(G41=H41,JOIN("""",""Static: "",G41),JOIN("""",""Min:  "",G41, CHAR(10),""Max: "",H41)))"),"")</f>
        <v/>
      </c>
      <c r="G41" s="55" t="str">
        <f t="array" ref="G41">_xlfn.XLOOKUP(B41,'Up Min'!A:A,'Up Min'!B:B,)</f>
        <v/>
      </c>
      <c r="H41" s="56" t="str">
        <f t="array" ref="H41">_xlfn.XLOOKUP(B41,'Up Max'!A:A,'Up Max'!B:B,)</f>
        <v/>
      </c>
      <c r="I41" s="53" t="str">
        <f t="array" ref="I41">_xlfn.XLOOKUP(B41,'Up Stats'!A:A,'Up Stats'!C:C,)</f>
        <v/>
      </c>
      <c r="J41" s="54" t="str">
        <f>IFERROR(__xludf.DUMMYFUNCTION("if(AND(K41=FALSE,L41=FALSE),,if(K41=L41,JOIN("""",""Static: "",K41),JOIN("""",""Min:  "",K41, CHAR(10),""Max: "",L41)))"),"")</f>
        <v/>
      </c>
      <c r="K41" s="55" t="str">
        <f t="array" ref="K41">_xlfn.XLOOKUP(B41,'Up Min'!A:A,'Up Min'!C:C,)</f>
        <v/>
      </c>
      <c r="L41" s="55" t="str">
        <f t="array" ref="L41">_xlfn.XLOOKUP(B41,'Up Max'!A:A,'Up Max'!C:C,)</f>
        <v/>
      </c>
      <c r="M41" s="57" t="str">
        <f t="array" ref="M41">_xlfn.XLOOKUP(B41,'Up Stats'!A:A,'Up Stats'!D:D,)</f>
        <v/>
      </c>
      <c r="N41" s="54" t="str">
        <f>IFERROR(__xludf.DUMMYFUNCTION("if(AND(O41=FALSE,P41=FALSE),,if(O41=P41,JOIN("""",""Static: "",O41),JOIN("""",""Min:  "",O41, CHAR(10),""Max: "",P41)))"),"")</f>
        <v/>
      </c>
      <c r="O41" s="55" t="str">
        <f t="array" ref="O41">_xlfn.XLOOKUP(B41,'Up Min'!A:A,'Up Min'!D:D,)</f>
        <v/>
      </c>
      <c r="P41" s="55" t="str">
        <f t="array" ref="P41">_xlfn.XLOOKUP(B41,'Up Max'!A:A,'Up Max'!D:D,)</f>
        <v/>
      </c>
      <c r="Q41" s="57" t="str">
        <f t="array" ref="Q41">_xlfn.XLOOKUP(B41,'Up Stats'!A:A,'Up Stats'!E:E,)</f>
        <v/>
      </c>
      <c r="R41" s="54" t="str">
        <f>IFERROR(__xludf.DUMMYFUNCTION("if(AND(S41=FALSE,T41=FALSE),,if(S41=T41,JOIN("""",""Static: "",S41),JOIN("""",""Min:  "",S41, CHAR(10),""Max: "",T41)))"),"")</f>
        <v/>
      </c>
      <c r="S41" s="55" t="str">
        <f t="array" ref="S41">_xlfn.XLOOKUP(B41,'Up Min'!A:A,'Up Min'!E:E,)</f>
        <v/>
      </c>
      <c r="T41" s="55" t="str">
        <f t="array" ref="T41">_xlfn.XLOOKUP(B41,'Up Max'!A:A,'Up Max'!E:E,)</f>
        <v/>
      </c>
      <c r="U41" s="57" t="str">
        <f t="array" ref="U41">_xlfn.XLOOKUP(B41,'Up Stats'!A:A,'Up Stats'!F:F,)</f>
        <v/>
      </c>
      <c r="V41" s="54" t="str">
        <f>IFERROR(__xludf.DUMMYFUNCTION("if(AND(W41=FALSE,X41=FALSE),,if(W41=X41,JOIN("""",""Static: "",W41),JOIN("""",""Min:  "",W41, CHAR(10),""Max: "",X41)))"),"")</f>
        <v/>
      </c>
      <c r="W41" s="55" t="str">
        <f t="array" ref="W41">_xlfn.XLOOKUP(B41,'Up Min'!A:A,'Up Min'!F:F,)</f>
        <v/>
      </c>
      <c r="X41" s="55" t="str">
        <f t="array" ref="X41">_xlfn.XLOOKUP(B41,'Up Max'!A:A,'Up Max'!F:F,)</f>
        <v/>
      </c>
      <c r="Y41" s="57" t="str">
        <f t="array" ref="Y41">_xlfn.XLOOKUP(B41,'Up Stats'!A:A,'Up Stats'!G:G,)</f>
        <v/>
      </c>
      <c r="Z41" s="54" t="str">
        <f>IFERROR(__xludf.DUMMYFUNCTION("if(AND(AA41=FALSE,AB41=FALSE),,if(AA41=AB41,JOIN("""",""Static: "",AA41),JOIN("""",""Min:  "",AA41, CHAR(10),""Max: "",AB41)))"),"")</f>
        <v/>
      </c>
      <c r="AA41" s="55" t="str">
        <f t="array" ref="AA41">_xlfn.XLOOKUP(B41,'Up Min'!A:A,'Up Min'!G:G,)</f>
        <v/>
      </c>
      <c r="AB41" s="55" t="str">
        <f t="array" ref="AB41">_xlfn.XLOOKUP(B41,'Up Max'!A:A,'Up Max'!G:G,)</f>
        <v/>
      </c>
      <c r="AC41" s="57" t="str">
        <f t="array" ref="AC41">_xlfn.XLOOKUP(B41,'Up Stats'!A:A,'Up Stats'!H:H,)</f>
        <v/>
      </c>
      <c r="AD41" s="54" t="str">
        <f>IFERROR(__xludf.DUMMYFUNCTION("if(AND(AE41=FALSE,AF41=FALSE),,if(AE41=AF41,JOIN("""",""Static: "",AE41),JOIN("""",""Min:  "",AE41, CHAR(10),""Max: "",AF41)))"),"")</f>
        <v/>
      </c>
      <c r="AE41" s="55" t="str">
        <f t="array" ref="AE41">_xlfn.XLOOKUP(B41,'Up Min'!A:A,'Up Min'!H:H,)</f>
        <v/>
      </c>
      <c r="AF41" s="55" t="str">
        <f t="array" ref="AF41">_xlfn.XLOOKUP(B41,'Up Max'!A:A,'Up Max'!H:H,)</f>
        <v/>
      </c>
      <c r="AG41" s="57" t="str">
        <f t="array" ref="AG41">_xlfn.XLOOKUP(B41,'Up Stats'!A:A,'Up Stats'!I:I,)</f>
        <v/>
      </c>
      <c r="AH41" s="54" t="str">
        <f>IFERROR(__xludf.DUMMYFUNCTION("if(AND(AI41=FALSE,AJ41=FALSE),,if(AI41=AJ41,JOIN("""",""Static: "",AI41),JOIN("""",""Min:  "",AI41, CHAR(10),""Max: "",AJ41)))"),"")</f>
        <v/>
      </c>
      <c r="AI41" s="55" t="str">
        <f t="array" ref="AI41">_xlfn.XLOOKUP(B41,'Up Min'!A:A,'Up Min'!I:I,)</f>
        <v/>
      </c>
      <c r="AJ41" s="55" t="str">
        <f t="array" ref="AJ41">_xlfn.XLOOKUP(B41,'Up Max'!A:A,'Up Max'!I:I,)</f>
        <v/>
      </c>
      <c r="AK41" s="57" t="str">
        <f t="array" ref="AK41">_xlfn.XLOOKUP(B41,'Up Stats'!A:A,'Up Stats'!J:J,)</f>
        <v/>
      </c>
      <c r="AL41" s="54" t="str">
        <f>IFERROR(__xludf.DUMMYFUNCTION("if(AND(AM41=FALSE,AN41=FALSE),,if(AM41=AN41,JOIN("""",""Static: "",AM41),JOIN("""",""Min:  "",AM41, CHAR(10),""Max: "",AN41)))"),"")</f>
        <v/>
      </c>
      <c r="AM41" s="55" t="str">
        <f t="array" ref="AM41">_xlfn.XLOOKUP(B41,'Up Min'!A:A,'Up Min'!J:J,)</f>
        <v/>
      </c>
      <c r="AN41" s="55" t="str">
        <f t="array" ref="AN41">_xlfn.XLOOKUP(B41,'Up Max'!A:A,'Up Max'!J:J,)</f>
        <v/>
      </c>
      <c r="AO41" s="51" t="str">
        <f t="array" ref="AO41">CONCATENATE(_xlfn.XLOOKUP(B41,'Up Cells'!A:A,'Up Cells'!B:B,))</f>
        <v/>
      </c>
      <c r="AP41" s="51" t="str">
        <f t="array" ref="AP41">CONCATENATE(_xlfn.XLOOKUP(B41,'Up Rarity'!A:A,'Up Rarity'!B:B,),CHAR(10),"-")</f>
        <v>
-</v>
      </c>
    </row>
    <row r="42">
      <c r="A42" s="87" t="str">
        <f t="array" ref="A42">_xlfn.XLOOKUP(B42,'Up Icon'!A:A,'Up Icon'!B:B,)</f>
        <v/>
      </c>
      <c r="B42" s="34" t="str">
        <f t="array" ref="B42">HYPERLINK(_xlfn.XLOOKUP('Up Names'!H42,'Up Wiki'!A:A,'Up Wiki'!B:B,),'Up Names'!H42)</f>
        <v/>
      </c>
      <c r="C42" s="37" t="str">
        <f t="array" ref="C42">_xlfn.XLOOKUP(B42,'Up Desc'!A:A,'Up Desc'!B:B,)</f>
        <v/>
      </c>
      <c r="D42" s="37" t="str">
        <f t="array" ref="D42">_xlfn.XLOOKUP(B42,'Up Turbo'!A:A,'Up Turbo'!B:B,)</f>
        <v/>
      </c>
      <c r="E42" s="39" t="str">
        <f t="array" ref="E42">_xlfn.XLOOKUP(B42,'Up Stats'!A:A,'Up Stats'!B:B,)</f>
        <v/>
      </c>
      <c r="F42" s="40" t="str">
        <f>IFERROR(__xludf.DUMMYFUNCTION("if(AND(G42=FALSE,H42=FALSE),,if(G42=H42,JOIN("""",""Static: "",G42),JOIN("""",""Min:  "",G42, CHAR(10),""Max: "",H42)))"),"")</f>
        <v/>
      </c>
      <c r="G42" s="42" t="str">
        <f t="array" ref="G42">_xlfn.XLOOKUP(B42,'Up Min'!A:A,'Up Min'!B:B,)</f>
        <v/>
      </c>
      <c r="H42" s="45" t="str">
        <f t="array" ref="H42">_xlfn.XLOOKUP(B42,'Up Max'!A:A,'Up Max'!B:B,)</f>
        <v/>
      </c>
      <c r="I42" s="39" t="str">
        <f t="array" ref="I42">_xlfn.XLOOKUP(B42,'Up Stats'!A:A,'Up Stats'!C:C,)</f>
        <v/>
      </c>
      <c r="J42" s="40" t="str">
        <f>IFERROR(__xludf.DUMMYFUNCTION("if(AND(K42=FALSE,L42=FALSE),,if(K42=L42,JOIN("""",""Static: "",K42),JOIN("""",""Min:  "",K42, CHAR(10),""Max: "",L42)))"),"")</f>
        <v/>
      </c>
      <c r="K42" s="42" t="str">
        <f t="array" ref="K42">_xlfn.XLOOKUP(B42,'Up Min'!A:A,'Up Min'!C:C,)</f>
        <v/>
      </c>
      <c r="L42" s="42" t="str">
        <f t="array" ref="L42">_xlfn.XLOOKUP(B42,'Up Max'!A:A,'Up Max'!C:C,)</f>
        <v/>
      </c>
      <c r="M42" s="48" t="str">
        <f t="array" ref="M42">_xlfn.XLOOKUP(B42,'Up Stats'!A:A,'Up Stats'!D:D,)</f>
        <v/>
      </c>
      <c r="N42" s="40" t="str">
        <f>IFERROR(__xludf.DUMMYFUNCTION("if(AND(O42=FALSE,P42=FALSE),,if(O42=P42,JOIN("""",""Static: "",O42),JOIN("""",""Min:  "",O42, CHAR(10),""Max: "",P42)))"),"")</f>
        <v/>
      </c>
      <c r="O42" s="42" t="str">
        <f t="array" ref="O42">_xlfn.XLOOKUP(B42,'Up Min'!A:A,'Up Min'!D:D,)</f>
        <v/>
      </c>
      <c r="P42" s="42" t="str">
        <f t="array" ref="P42">_xlfn.XLOOKUP(B42,'Up Max'!A:A,'Up Max'!D:D,)</f>
        <v/>
      </c>
      <c r="Q42" s="48" t="str">
        <f t="array" ref="Q42">_xlfn.XLOOKUP(B42,'Up Stats'!A:A,'Up Stats'!E:E,)</f>
        <v/>
      </c>
      <c r="R42" s="40" t="str">
        <f>IFERROR(__xludf.DUMMYFUNCTION("if(AND(S42=FALSE,T42=FALSE),,if(S42=T42,JOIN("""",""Static: "",S42),JOIN("""",""Min:  "",S42, CHAR(10),""Max: "",T42)))"),"")</f>
        <v/>
      </c>
      <c r="S42" s="42" t="str">
        <f t="array" ref="S42">_xlfn.XLOOKUP(B42,'Up Min'!A:A,'Up Min'!E:E,)</f>
        <v/>
      </c>
      <c r="T42" s="42" t="str">
        <f t="array" ref="T42">_xlfn.XLOOKUP(B42,'Up Max'!A:A,'Up Max'!E:E,)</f>
        <v/>
      </c>
      <c r="U42" s="48" t="str">
        <f t="array" ref="U42">_xlfn.XLOOKUP(B42,'Up Stats'!A:A,'Up Stats'!F:F,)</f>
        <v/>
      </c>
      <c r="V42" s="40" t="str">
        <f>IFERROR(__xludf.DUMMYFUNCTION("if(AND(W42=FALSE,X42=FALSE),,if(W42=X42,JOIN("""",""Static: "",W42),JOIN("""",""Min:  "",W42, CHAR(10),""Max: "",X42)))"),"")</f>
        <v/>
      </c>
      <c r="W42" s="42" t="str">
        <f t="array" ref="W42">_xlfn.XLOOKUP(B42,'Up Min'!A:A,'Up Min'!F:F,)</f>
        <v/>
      </c>
      <c r="X42" s="42" t="str">
        <f t="array" ref="X42">_xlfn.XLOOKUP(B42,'Up Max'!A:A,'Up Max'!F:F,)</f>
        <v/>
      </c>
      <c r="Y42" s="48" t="str">
        <f t="array" ref="Y42">_xlfn.XLOOKUP(B42,'Up Stats'!A:A,'Up Stats'!G:G,)</f>
        <v/>
      </c>
      <c r="Z42" s="40" t="str">
        <f>IFERROR(__xludf.DUMMYFUNCTION("if(AND(AA42=FALSE,AB42=FALSE),,if(AA42=AB42,JOIN("""",""Static: "",AA42),JOIN("""",""Min:  "",AA42, CHAR(10),""Max: "",AB42)))"),"")</f>
        <v/>
      </c>
      <c r="AA42" s="42" t="str">
        <f t="array" ref="AA42">_xlfn.XLOOKUP(B42,'Up Min'!A:A,'Up Min'!G:G,)</f>
        <v/>
      </c>
      <c r="AB42" s="42" t="str">
        <f t="array" ref="AB42">_xlfn.XLOOKUP(B42,'Up Max'!A:A,'Up Max'!G:G,)</f>
        <v/>
      </c>
      <c r="AC42" s="48" t="str">
        <f t="array" ref="AC42">_xlfn.XLOOKUP(B42,'Up Stats'!A:A,'Up Stats'!H:H,)</f>
        <v/>
      </c>
      <c r="AD42" s="40" t="str">
        <f>IFERROR(__xludf.DUMMYFUNCTION("if(AND(AE42=FALSE,AF42=FALSE),,if(AE42=AF42,JOIN("""",""Static: "",AE42),JOIN("""",""Min:  "",AE42, CHAR(10),""Max: "",AF42)))"),"")</f>
        <v/>
      </c>
      <c r="AE42" s="42" t="str">
        <f t="array" ref="AE42">_xlfn.XLOOKUP(B42,'Up Min'!A:A,'Up Min'!H:H,)</f>
        <v/>
      </c>
      <c r="AF42" s="42" t="str">
        <f t="array" ref="AF42">_xlfn.XLOOKUP(B42,'Up Max'!A:A,'Up Max'!H:H,)</f>
        <v/>
      </c>
      <c r="AG42" s="48" t="str">
        <f t="array" ref="AG42">_xlfn.XLOOKUP(B42,'Up Stats'!A:A,'Up Stats'!I:I,)</f>
        <v/>
      </c>
      <c r="AH42" s="40" t="str">
        <f>IFERROR(__xludf.DUMMYFUNCTION("if(AND(AI42=FALSE,AJ42=FALSE),,if(AI42=AJ42,JOIN("""",""Static: "",AI42),JOIN("""",""Min:  "",AI42, CHAR(10),""Max: "",AJ42)))"),"")</f>
        <v/>
      </c>
      <c r="AI42" s="42" t="str">
        <f t="array" ref="AI42">_xlfn.XLOOKUP(B42,'Up Min'!A:A,'Up Min'!I:I,)</f>
        <v/>
      </c>
      <c r="AJ42" s="42" t="str">
        <f t="array" ref="AJ42">_xlfn.XLOOKUP(B42,'Up Max'!A:A,'Up Max'!I:I,)</f>
        <v/>
      </c>
      <c r="AK42" s="48" t="str">
        <f t="array" ref="AK42">_xlfn.XLOOKUP(B42,'Up Stats'!A:A,'Up Stats'!J:J,)</f>
        <v/>
      </c>
      <c r="AL42" s="40" t="str">
        <f>IFERROR(__xludf.DUMMYFUNCTION("if(AND(AM42=FALSE,AN42=FALSE),,if(AM42=AN42,JOIN("""",""Static: "",AM42),JOIN("""",""Min:  "",AM42, CHAR(10),""Max: "",AN42)))"),"")</f>
        <v/>
      </c>
      <c r="AM42" s="42" t="str">
        <f t="array" ref="AM42">_xlfn.XLOOKUP(B42,'Up Min'!A:A,'Up Min'!J:J,)</f>
        <v/>
      </c>
      <c r="AN42" s="42" t="str">
        <f t="array" ref="AN42">_xlfn.XLOOKUP(B42,'Up Max'!A:A,'Up Max'!J:J,)</f>
        <v/>
      </c>
      <c r="AO42" s="34" t="str">
        <f t="array" ref="AO42">CONCATENATE(_xlfn.XLOOKUP(B42,'Up Cells'!A:A,'Up Cells'!B:B,))</f>
        <v/>
      </c>
      <c r="AP42" s="34" t="str">
        <f t="array" ref="AP42">CONCATENATE(_xlfn.XLOOKUP(B42,'Up Rarity'!A:A,'Up Rarity'!B:B,),CHAR(10),"-")</f>
        <v>
-</v>
      </c>
    </row>
    <row r="43">
      <c r="A43" s="86" t="str">
        <f t="array" ref="A43">_xlfn.XLOOKUP(B43,'Up Icon'!A:A,'Up Icon'!B:B,)</f>
        <v/>
      </c>
      <c r="B43" s="51" t="str">
        <f t="array" ref="B43">HYPERLINK(_xlfn.XLOOKUP('Up Names'!H43,'Up Wiki'!A:A,'Up Wiki'!B:B,),'Up Names'!H43)</f>
        <v/>
      </c>
      <c r="C43" s="52" t="str">
        <f t="array" ref="C43">_xlfn.XLOOKUP(B43,'Up Desc'!A:A,'Up Desc'!B:B,)</f>
        <v/>
      </c>
      <c r="D43" s="52" t="str">
        <f t="array" ref="D43">_xlfn.XLOOKUP(B43,'Up Turbo'!A:A,'Up Turbo'!B:B,)</f>
        <v/>
      </c>
      <c r="E43" s="53" t="str">
        <f t="array" ref="E43">_xlfn.XLOOKUP(B43,'Up Stats'!A:A,'Up Stats'!B:B,)</f>
        <v/>
      </c>
      <c r="F43" s="54" t="str">
        <f>IFERROR(__xludf.DUMMYFUNCTION("if(AND(G43=FALSE,H43=FALSE),,if(G43=H43,JOIN("""",""Static: "",G43),JOIN("""",""Min:  "",G43, CHAR(10),""Max: "",H43)))"),"")</f>
        <v/>
      </c>
      <c r="G43" s="55" t="str">
        <f t="array" ref="G43">_xlfn.XLOOKUP(B43,'Up Min'!A:A,'Up Min'!B:B,)</f>
        <v/>
      </c>
      <c r="H43" s="56" t="str">
        <f t="array" ref="H43">_xlfn.XLOOKUP(B43,'Up Max'!A:A,'Up Max'!B:B,)</f>
        <v/>
      </c>
      <c r="I43" s="53" t="str">
        <f t="array" ref="I43">_xlfn.XLOOKUP(B43,'Up Stats'!A:A,'Up Stats'!C:C,)</f>
        <v/>
      </c>
      <c r="J43" s="54" t="str">
        <f>IFERROR(__xludf.DUMMYFUNCTION("if(AND(K43=FALSE,L43=FALSE),,if(K43=L43,JOIN("""",""Static: "",K43),JOIN("""",""Min:  "",K43, CHAR(10),""Max: "",L43)))"),"")</f>
        <v/>
      </c>
      <c r="K43" s="55" t="str">
        <f t="array" ref="K43">_xlfn.XLOOKUP(B43,'Up Min'!A:A,'Up Min'!C:C,)</f>
        <v/>
      </c>
      <c r="L43" s="55" t="str">
        <f t="array" ref="L43">_xlfn.XLOOKUP(B43,'Up Max'!A:A,'Up Max'!C:C,)</f>
        <v/>
      </c>
      <c r="M43" s="57" t="str">
        <f t="array" ref="M43">_xlfn.XLOOKUP(B43,'Up Stats'!A:A,'Up Stats'!D:D,)</f>
        <v/>
      </c>
      <c r="N43" s="54" t="str">
        <f>IFERROR(__xludf.DUMMYFUNCTION("if(AND(O43=FALSE,P43=FALSE),,if(O43=P43,JOIN("""",""Static: "",O43),JOIN("""",""Min:  "",O43, CHAR(10),""Max: "",P43)))"),"")</f>
        <v/>
      </c>
      <c r="O43" s="55" t="str">
        <f t="array" ref="O43">_xlfn.XLOOKUP(B43,'Up Min'!A:A,'Up Min'!D:D,)</f>
        <v/>
      </c>
      <c r="P43" s="55" t="str">
        <f t="array" ref="P43">_xlfn.XLOOKUP(B43,'Up Max'!A:A,'Up Max'!D:D,)</f>
        <v/>
      </c>
      <c r="Q43" s="57" t="str">
        <f t="array" ref="Q43">_xlfn.XLOOKUP(B43,'Up Stats'!A:A,'Up Stats'!E:E,)</f>
        <v/>
      </c>
      <c r="R43" s="54" t="str">
        <f>IFERROR(__xludf.DUMMYFUNCTION("if(AND(S43=FALSE,T43=FALSE),,if(S43=T43,JOIN("""",""Static: "",S43),JOIN("""",""Min:  "",S43, CHAR(10),""Max: "",T43)))"),"")</f>
        <v/>
      </c>
      <c r="S43" s="55" t="str">
        <f t="array" ref="S43">_xlfn.XLOOKUP(B43,'Up Min'!A:A,'Up Min'!E:E,)</f>
        <v/>
      </c>
      <c r="T43" s="55" t="str">
        <f t="array" ref="T43">_xlfn.XLOOKUP(B43,'Up Max'!A:A,'Up Max'!E:E,)</f>
        <v/>
      </c>
      <c r="U43" s="57" t="str">
        <f t="array" ref="U43">_xlfn.XLOOKUP(B43,'Up Stats'!A:A,'Up Stats'!F:F,)</f>
        <v/>
      </c>
      <c r="V43" s="54" t="str">
        <f>IFERROR(__xludf.DUMMYFUNCTION("if(AND(W43=FALSE,X43=FALSE),,if(W43=X43,JOIN("""",""Static: "",W43),JOIN("""",""Min:  "",W43, CHAR(10),""Max: "",X43)))"),"")</f>
        <v/>
      </c>
      <c r="W43" s="55" t="str">
        <f t="array" ref="W43">_xlfn.XLOOKUP(B43,'Up Min'!A:A,'Up Min'!F:F,)</f>
        <v/>
      </c>
      <c r="X43" s="55" t="str">
        <f t="array" ref="X43">_xlfn.XLOOKUP(B43,'Up Max'!A:A,'Up Max'!F:F,)</f>
        <v/>
      </c>
      <c r="Y43" s="57" t="str">
        <f t="array" ref="Y43">_xlfn.XLOOKUP(B43,'Up Stats'!A:A,'Up Stats'!G:G,)</f>
        <v/>
      </c>
      <c r="Z43" s="54" t="str">
        <f>IFERROR(__xludf.DUMMYFUNCTION("if(AND(AA43=FALSE,AB43=FALSE),,if(AA43=AB43,JOIN("""",""Static: "",AA43),JOIN("""",""Min:  "",AA43, CHAR(10),""Max: "",AB43)))"),"")</f>
        <v/>
      </c>
      <c r="AA43" s="55" t="str">
        <f t="array" ref="AA43">_xlfn.XLOOKUP(B43,'Up Min'!A:A,'Up Min'!G:G,)</f>
        <v/>
      </c>
      <c r="AB43" s="55" t="str">
        <f t="array" ref="AB43">_xlfn.XLOOKUP(B43,'Up Max'!A:A,'Up Max'!G:G,)</f>
        <v/>
      </c>
      <c r="AC43" s="57" t="str">
        <f t="array" ref="AC43">_xlfn.XLOOKUP(B43,'Up Stats'!A:A,'Up Stats'!H:H,)</f>
        <v/>
      </c>
      <c r="AD43" s="54" t="str">
        <f>IFERROR(__xludf.DUMMYFUNCTION("if(AND(AE43=FALSE,AF43=FALSE),,if(AE43=AF43,JOIN("""",""Static: "",AE43),JOIN("""",""Min:  "",AE43, CHAR(10),""Max: "",AF43)))"),"")</f>
        <v/>
      </c>
      <c r="AE43" s="55" t="str">
        <f t="array" ref="AE43">_xlfn.XLOOKUP(B43,'Up Min'!A:A,'Up Min'!H:H,)</f>
        <v/>
      </c>
      <c r="AF43" s="55" t="str">
        <f t="array" ref="AF43">_xlfn.XLOOKUP(B43,'Up Max'!A:A,'Up Max'!H:H,)</f>
        <v/>
      </c>
      <c r="AG43" s="57" t="str">
        <f t="array" ref="AG43">_xlfn.XLOOKUP(B43,'Up Stats'!A:A,'Up Stats'!I:I,)</f>
        <v/>
      </c>
      <c r="AH43" s="54" t="str">
        <f>IFERROR(__xludf.DUMMYFUNCTION("if(AND(AI43=FALSE,AJ43=FALSE),,if(AI43=AJ43,JOIN("""",""Static: "",AI43),JOIN("""",""Min:  "",AI43, CHAR(10),""Max: "",AJ43)))"),"")</f>
        <v/>
      </c>
      <c r="AI43" s="55" t="str">
        <f t="array" ref="AI43">_xlfn.XLOOKUP(B43,'Up Min'!A:A,'Up Min'!I:I,)</f>
        <v/>
      </c>
      <c r="AJ43" s="55" t="str">
        <f t="array" ref="AJ43">_xlfn.XLOOKUP(B43,'Up Max'!A:A,'Up Max'!I:I,)</f>
        <v/>
      </c>
      <c r="AK43" s="57" t="str">
        <f t="array" ref="AK43">_xlfn.XLOOKUP(B43,'Up Stats'!A:A,'Up Stats'!J:J,)</f>
        <v/>
      </c>
      <c r="AL43" s="54" t="str">
        <f>IFERROR(__xludf.DUMMYFUNCTION("if(AND(AM43=FALSE,AN43=FALSE),,if(AM43=AN43,JOIN("""",""Static: "",AM43),JOIN("""",""Min:  "",AM43, CHAR(10),""Max: "",AN43)))"),"")</f>
        <v/>
      </c>
      <c r="AM43" s="55" t="str">
        <f t="array" ref="AM43">_xlfn.XLOOKUP(B43,'Up Min'!A:A,'Up Min'!J:J,)</f>
        <v/>
      </c>
      <c r="AN43" s="55" t="str">
        <f t="array" ref="AN43">_xlfn.XLOOKUP(B43,'Up Max'!A:A,'Up Max'!J:J,)</f>
        <v/>
      </c>
      <c r="AO43" s="51" t="str">
        <f t="array" ref="AO43">CONCATENATE(_xlfn.XLOOKUP(B43,'Up Cells'!A:A,'Up Cells'!B:B,))</f>
        <v/>
      </c>
      <c r="AP43" s="51" t="str">
        <f t="array" ref="AP43">CONCATENATE(_xlfn.XLOOKUP(B43,'Up Rarity'!A:A,'Up Rarity'!B:B,),CHAR(10),"-")</f>
        <v>
-</v>
      </c>
    </row>
    <row r="44">
      <c r="A44" s="87" t="str">
        <f t="array" ref="A44">_xlfn.XLOOKUP(B44,'Up Icon'!A:A,'Up Icon'!B:B,)</f>
        <v/>
      </c>
      <c r="B44" s="34" t="str">
        <f t="array" ref="B44">HYPERLINK(_xlfn.XLOOKUP('Up Names'!H44,'Up Wiki'!A:A,'Up Wiki'!B:B,),'Up Names'!H44)</f>
        <v/>
      </c>
      <c r="C44" s="37" t="str">
        <f t="array" ref="C44">_xlfn.XLOOKUP(B44,'Up Desc'!A:A,'Up Desc'!B:B,)</f>
        <v/>
      </c>
      <c r="D44" s="37" t="str">
        <f t="array" ref="D44">_xlfn.XLOOKUP(B44,'Up Turbo'!A:A,'Up Turbo'!B:B,)</f>
        <v/>
      </c>
      <c r="E44" s="39" t="str">
        <f t="array" ref="E44">_xlfn.XLOOKUP(B44,'Up Stats'!A:A,'Up Stats'!B:B,)</f>
        <v/>
      </c>
      <c r="F44" s="40" t="str">
        <f>IFERROR(__xludf.DUMMYFUNCTION("if(AND(G44=FALSE,H44=FALSE),,if(G44=H44,JOIN("""",""Static: "",G44),JOIN("""",""Min:  "",G44, CHAR(10),""Max: "",H44)))"),"")</f>
        <v/>
      </c>
      <c r="G44" s="42" t="str">
        <f t="array" ref="G44">_xlfn.XLOOKUP(B44,'Up Min'!A:A,'Up Min'!B:B,)</f>
        <v/>
      </c>
      <c r="H44" s="45" t="str">
        <f t="array" ref="H44">_xlfn.XLOOKUP(B44,'Up Max'!A:A,'Up Max'!B:B,)</f>
        <v/>
      </c>
      <c r="I44" s="39" t="str">
        <f t="array" ref="I44">_xlfn.XLOOKUP(B44,'Up Stats'!A:A,'Up Stats'!C:C,)</f>
        <v/>
      </c>
      <c r="J44" s="40" t="str">
        <f>IFERROR(__xludf.DUMMYFUNCTION("if(AND(K44=FALSE,L44=FALSE),,if(K44=L44,JOIN("""",""Static: "",K44),JOIN("""",""Min:  "",K44, CHAR(10),""Max: "",L44)))"),"")</f>
        <v/>
      </c>
      <c r="K44" s="42" t="str">
        <f t="array" ref="K44">_xlfn.XLOOKUP(B44,'Up Min'!A:A,'Up Min'!C:C,)</f>
        <v/>
      </c>
      <c r="L44" s="42" t="str">
        <f t="array" ref="L44">_xlfn.XLOOKUP(B44,'Up Max'!A:A,'Up Max'!C:C,)</f>
        <v/>
      </c>
      <c r="M44" s="48" t="str">
        <f t="array" ref="M44">_xlfn.XLOOKUP(B44,'Up Stats'!A:A,'Up Stats'!D:D,)</f>
        <v/>
      </c>
      <c r="N44" s="40" t="str">
        <f>IFERROR(__xludf.DUMMYFUNCTION("if(AND(O44=FALSE,P44=FALSE),,if(O44=P44,JOIN("""",""Static: "",O44),JOIN("""",""Min:  "",O44, CHAR(10),""Max: "",P44)))"),"")</f>
        <v/>
      </c>
      <c r="O44" s="42" t="str">
        <f t="array" ref="O44">_xlfn.XLOOKUP(B44,'Up Min'!A:A,'Up Min'!D:D,)</f>
        <v/>
      </c>
      <c r="P44" s="42" t="str">
        <f t="array" ref="P44">_xlfn.XLOOKUP(B44,'Up Max'!A:A,'Up Max'!D:D,)</f>
        <v/>
      </c>
      <c r="Q44" s="48" t="str">
        <f t="array" ref="Q44">_xlfn.XLOOKUP(B44,'Up Stats'!A:A,'Up Stats'!E:E,)</f>
        <v/>
      </c>
      <c r="R44" s="40" t="str">
        <f>IFERROR(__xludf.DUMMYFUNCTION("if(AND(S44=FALSE,T44=FALSE),,if(S44=T44,JOIN("""",""Static: "",S44),JOIN("""",""Min:  "",S44, CHAR(10),""Max: "",T44)))"),"")</f>
        <v/>
      </c>
      <c r="S44" s="42" t="str">
        <f t="array" ref="S44">_xlfn.XLOOKUP(B44,'Up Min'!A:A,'Up Min'!E:E,)</f>
        <v/>
      </c>
      <c r="T44" s="42" t="str">
        <f t="array" ref="T44">_xlfn.XLOOKUP(B44,'Up Max'!A:A,'Up Max'!E:E,)</f>
        <v/>
      </c>
      <c r="U44" s="48" t="str">
        <f t="array" ref="U44">_xlfn.XLOOKUP(B44,'Up Stats'!A:A,'Up Stats'!F:F,)</f>
        <v/>
      </c>
      <c r="V44" s="40" t="str">
        <f>IFERROR(__xludf.DUMMYFUNCTION("if(AND(W44=FALSE,X44=FALSE),,if(W44=X44,JOIN("""",""Static: "",W44),JOIN("""",""Min:  "",W44, CHAR(10),""Max: "",X44)))"),"")</f>
        <v/>
      </c>
      <c r="W44" s="42" t="str">
        <f t="array" ref="W44">_xlfn.XLOOKUP(B44,'Up Min'!A:A,'Up Min'!F:F,)</f>
        <v/>
      </c>
      <c r="X44" s="42" t="str">
        <f t="array" ref="X44">_xlfn.XLOOKUP(B44,'Up Max'!A:A,'Up Max'!F:F,)</f>
        <v/>
      </c>
      <c r="Y44" s="48" t="str">
        <f t="array" ref="Y44">_xlfn.XLOOKUP(B44,'Up Stats'!A:A,'Up Stats'!G:G,)</f>
        <v/>
      </c>
      <c r="Z44" s="40" t="str">
        <f>IFERROR(__xludf.DUMMYFUNCTION("if(AND(AA44=FALSE,AB44=FALSE),,if(AA44=AB44,JOIN("""",""Static: "",AA44),JOIN("""",""Min:  "",AA44, CHAR(10),""Max: "",AB44)))"),"")</f>
        <v/>
      </c>
      <c r="AA44" s="42" t="str">
        <f t="array" ref="AA44">_xlfn.XLOOKUP(B44,'Up Min'!A:A,'Up Min'!G:G,)</f>
        <v/>
      </c>
      <c r="AB44" s="42" t="str">
        <f t="array" ref="AB44">_xlfn.XLOOKUP(B44,'Up Max'!A:A,'Up Max'!G:G,)</f>
        <v/>
      </c>
      <c r="AC44" s="48" t="str">
        <f t="array" ref="AC44">_xlfn.XLOOKUP(B44,'Up Stats'!A:A,'Up Stats'!H:H,)</f>
        <v/>
      </c>
      <c r="AD44" s="40" t="str">
        <f>IFERROR(__xludf.DUMMYFUNCTION("if(AND(AE44=FALSE,AF44=FALSE),,if(AE44=AF44,JOIN("""",""Static: "",AE44),JOIN("""",""Min:  "",AE44, CHAR(10),""Max: "",AF44)))"),"")</f>
        <v/>
      </c>
      <c r="AE44" s="42" t="str">
        <f t="array" ref="AE44">_xlfn.XLOOKUP(B44,'Up Min'!A:A,'Up Min'!H:H,)</f>
        <v/>
      </c>
      <c r="AF44" s="42" t="str">
        <f t="array" ref="AF44">_xlfn.XLOOKUP(B44,'Up Max'!A:A,'Up Max'!H:H,)</f>
        <v/>
      </c>
      <c r="AG44" s="48" t="str">
        <f t="array" ref="AG44">_xlfn.XLOOKUP(B44,'Up Stats'!A:A,'Up Stats'!I:I,)</f>
        <v/>
      </c>
      <c r="AH44" s="40" t="str">
        <f>IFERROR(__xludf.DUMMYFUNCTION("if(AND(AI44=FALSE,AJ44=FALSE),,if(AI44=AJ44,JOIN("""",""Static: "",AI44),JOIN("""",""Min:  "",AI44, CHAR(10),""Max: "",AJ44)))"),"")</f>
        <v/>
      </c>
      <c r="AI44" s="42" t="str">
        <f t="array" ref="AI44">_xlfn.XLOOKUP(B44,'Up Min'!A:A,'Up Min'!I:I,)</f>
        <v/>
      </c>
      <c r="AJ44" s="42" t="str">
        <f t="array" ref="AJ44">_xlfn.XLOOKUP(B44,'Up Max'!A:A,'Up Max'!I:I,)</f>
        <v/>
      </c>
      <c r="AK44" s="48" t="str">
        <f t="array" ref="AK44">_xlfn.XLOOKUP(B44,'Up Stats'!A:A,'Up Stats'!J:J,)</f>
        <v/>
      </c>
      <c r="AL44" s="40" t="str">
        <f>IFERROR(__xludf.DUMMYFUNCTION("if(AND(AM44=FALSE,AN44=FALSE),,if(AM44=AN44,JOIN("""",""Static: "",AM44),JOIN("""",""Min:  "",AM44, CHAR(10),""Max: "",AN44)))"),"")</f>
        <v/>
      </c>
      <c r="AM44" s="42" t="str">
        <f t="array" ref="AM44">_xlfn.XLOOKUP(B44,'Up Min'!A:A,'Up Min'!J:J,)</f>
        <v/>
      </c>
      <c r="AN44" s="42" t="str">
        <f t="array" ref="AN44">_xlfn.XLOOKUP(B44,'Up Max'!A:A,'Up Max'!J:J,)</f>
        <v/>
      </c>
      <c r="AO44" s="34" t="str">
        <f t="array" ref="AO44">CONCATENATE(_xlfn.XLOOKUP(B44,'Up Cells'!A:A,'Up Cells'!B:B,))</f>
        <v/>
      </c>
      <c r="AP44" s="34" t="str">
        <f t="array" ref="AP44">CONCATENATE(_xlfn.XLOOKUP(B44,'Up Rarity'!A:A,'Up Rarity'!B:B,),CHAR(10),"-")</f>
        <v>
-</v>
      </c>
    </row>
    <row r="45">
      <c r="A45" s="86" t="str">
        <f t="array" ref="A45">_xlfn.XLOOKUP(B45,'Up Icon'!A:A,'Up Icon'!B:B,)</f>
        <v/>
      </c>
      <c r="B45" s="51" t="str">
        <f t="array" ref="B45">HYPERLINK(_xlfn.XLOOKUP('Up Names'!H45,'Up Wiki'!A:A,'Up Wiki'!B:B,),'Up Names'!H45)</f>
        <v/>
      </c>
      <c r="C45" s="52" t="str">
        <f t="array" ref="C45">_xlfn.XLOOKUP(B45,'Up Desc'!A:A,'Up Desc'!B:B,)</f>
        <v/>
      </c>
      <c r="D45" s="52" t="str">
        <f t="array" ref="D45">_xlfn.XLOOKUP(B45,'Up Turbo'!A:A,'Up Turbo'!B:B,)</f>
        <v/>
      </c>
      <c r="E45" s="53" t="str">
        <f t="array" ref="E45">_xlfn.XLOOKUP(B45,'Up Stats'!A:A,'Up Stats'!B:B,)</f>
        <v/>
      </c>
      <c r="F45" s="54" t="str">
        <f>IFERROR(__xludf.DUMMYFUNCTION("if(AND(G45=FALSE,H45=FALSE),,if(G45=H45,JOIN("""",""Static: "",G45),JOIN("""",""Min:  "",G45, CHAR(10),""Max: "",H45)))"),"")</f>
        <v/>
      </c>
      <c r="G45" s="55" t="str">
        <f t="array" ref="G45">_xlfn.XLOOKUP(B45,'Up Min'!A:A,'Up Min'!B:B,)</f>
        <v/>
      </c>
      <c r="H45" s="56" t="str">
        <f t="array" ref="H45">_xlfn.XLOOKUP(B45,'Up Max'!A:A,'Up Max'!B:B,)</f>
        <v/>
      </c>
      <c r="I45" s="53" t="str">
        <f t="array" ref="I45">_xlfn.XLOOKUP(B45,'Up Stats'!A:A,'Up Stats'!C:C,)</f>
        <v/>
      </c>
      <c r="J45" s="54" t="str">
        <f>IFERROR(__xludf.DUMMYFUNCTION("if(AND(K45=FALSE,L45=FALSE),,if(K45=L45,JOIN("""",""Static: "",K45),JOIN("""",""Min:  "",K45, CHAR(10),""Max: "",L45)))"),"")</f>
        <v/>
      </c>
      <c r="K45" s="55" t="str">
        <f t="array" ref="K45">_xlfn.XLOOKUP(B45,'Up Min'!A:A,'Up Min'!C:C,)</f>
        <v/>
      </c>
      <c r="L45" s="55" t="str">
        <f t="array" ref="L45">_xlfn.XLOOKUP(B45,'Up Max'!A:A,'Up Max'!C:C,)</f>
        <v/>
      </c>
      <c r="M45" s="57" t="str">
        <f t="array" ref="M45">_xlfn.XLOOKUP(B45,'Up Stats'!A:A,'Up Stats'!D:D,)</f>
        <v/>
      </c>
      <c r="N45" s="54" t="str">
        <f>IFERROR(__xludf.DUMMYFUNCTION("if(AND(O45=FALSE,P45=FALSE),,if(O45=P45,JOIN("""",""Static: "",O45),JOIN("""",""Min:  "",O45, CHAR(10),""Max: "",P45)))"),"")</f>
        <v/>
      </c>
      <c r="O45" s="55" t="str">
        <f t="array" ref="O45">_xlfn.XLOOKUP(B45,'Up Min'!A:A,'Up Min'!D:D,)</f>
        <v/>
      </c>
      <c r="P45" s="55" t="str">
        <f t="array" ref="P45">_xlfn.XLOOKUP(B45,'Up Max'!A:A,'Up Max'!D:D,)</f>
        <v/>
      </c>
      <c r="Q45" s="57" t="str">
        <f t="array" ref="Q45">_xlfn.XLOOKUP(B45,'Up Stats'!A:A,'Up Stats'!E:E,)</f>
        <v/>
      </c>
      <c r="R45" s="54" t="str">
        <f>IFERROR(__xludf.DUMMYFUNCTION("if(AND(S45=FALSE,T45=FALSE),,if(S45=T45,JOIN("""",""Static: "",S45),JOIN("""",""Min:  "",S45, CHAR(10),""Max: "",T45)))"),"")</f>
        <v/>
      </c>
      <c r="S45" s="55" t="str">
        <f t="array" ref="S45">_xlfn.XLOOKUP(B45,'Up Min'!A:A,'Up Min'!E:E,)</f>
        <v/>
      </c>
      <c r="T45" s="55" t="str">
        <f t="array" ref="T45">_xlfn.XLOOKUP(B45,'Up Max'!A:A,'Up Max'!E:E,)</f>
        <v/>
      </c>
      <c r="U45" s="57" t="str">
        <f t="array" ref="U45">_xlfn.XLOOKUP(B45,'Up Stats'!A:A,'Up Stats'!F:F,)</f>
        <v/>
      </c>
      <c r="V45" s="54" t="str">
        <f>IFERROR(__xludf.DUMMYFUNCTION("if(AND(W45=FALSE,X45=FALSE),,if(W45=X45,JOIN("""",""Static: "",W45),JOIN("""",""Min:  "",W45, CHAR(10),""Max: "",X45)))"),"")</f>
        <v/>
      </c>
      <c r="W45" s="55" t="str">
        <f t="array" ref="W45">_xlfn.XLOOKUP(B45,'Up Min'!A:A,'Up Min'!F:F,)</f>
        <v/>
      </c>
      <c r="X45" s="55" t="str">
        <f t="array" ref="X45">_xlfn.XLOOKUP(B45,'Up Max'!A:A,'Up Max'!F:F,)</f>
        <v/>
      </c>
      <c r="Y45" s="57" t="str">
        <f t="array" ref="Y45">_xlfn.XLOOKUP(B45,'Up Stats'!A:A,'Up Stats'!G:G,)</f>
        <v/>
      </c>
      <c r="Z45" s="54" t="str">
        <f>IFERROR(__xludf.DUMMYFUNCTION("if(AND(AA45=FALSE,AB45=FALSE),,if(AA45=AB45,JOIN("""",""Static: "",AA45),JOIN("""",""Min:  "",AA45, CHAR(10),""Max: "",AB45)))"),"")</f>
        <v/>
      </c>
      <c r="AA45" s="55" t="str">
        <f t="array" ref="AA45">_xlfn.XLOOKUP(B45,'Up Min'!A:A,'Up Min'!G:G,)</f>
        <v/>
      </c>
      <c r="AB45" s="55" t="str">
        <f t="array" ref="AB45">_xlfn.XLOOKUP(B45,'Up Max'!A:A,'Up Max'!G:G,)</f>
        <v/>
      </c>
      <c r="AC45" s="57" t="str">
        <f t="array" ref="AC45">_xlfn.XLOOKUP(B45,'Up Stats'!A:A,'Up Stats'!H:H,)</f>
        <v/>
      </c>
      <c r="AD45" s="54" t="str">
        <f>IFERROR(__xludf.DUMMYFUNCTION("if(AND(AE45=FALSE,AF45=FALSE),,if(AE45=AF45,JOIN("""",""Static: "",AE45),JOIN("""",""Min:  "",AE45, CHAR(10),""Max: "",AF45)))"),"")</f>
        <v/>
      </c>
      <c r="AE45" s="55" t="str">
        <f t="array" ref="AE45">_xlfn.XLOOKUP(B45,'Up Min'!A:A,'Up Min'!H:H,)</f>
        <v/>
      </c>
      <c r="AF45" s="55" t="str">
        <f t="array" ref="AF45">_xlfn.XLOOKUP(B45,'Up Max'!A:A,'Up Max'!H:H,)</f>
        <v/>
      </c>
      <c r="AG45" s="57" t="str">
        <f t="array" ref="AG45">_xlfn.XLOOKUP(B45,'Up Stats'!A:A,'Up Stats'!I:I,)</f>
        <v/>
      </c>
      <c r="AH45" s="54" t="str">
        <f>IFERROR(__xludf.DUMMYFUNCTION("if(AND(AI45=FALSE,AJ45=FALSE),,if(AI45=AJ45,JOIN("""",""Static: "",AI45),JOIN("""",""Min:  "",AI45, CHAR(10),""Max: "",AJ45)))"),"")</f>
        <v/>
      </c>
      <c r="AI45" s="55" t="str">
        <f t="array" ref="AI45">_xlfn.XLOOKUP(B45,'Up Min'!A:A,'Up Min'!I:I,)</f>
        <v/>
      </c>
      <c r="AJ45" s="55" t="str">
        <f t="array" ref="AJ45">_xlfn.XLOOKUP(B45,'Up Max'!A:A,'Up Max'!I:I,)</f>
        <v/>
      </c>
      <c r="AK45" s="57" t="str">
        <f t="array" ref="AK45">_xlfn.XLOOKUP(B45,'Up Stats'!A:A,'Up Stats'!J:J,)</f>
        <v/>
      </c>
      <c r="AL45" s="54" t="str">
        <f>IFERROR(__xludf.DUMMYFUNCTION("if(AND(AM45=FALSE,AN45=FALSE),,if(AM45=AN45,JOIN("""",""Static: "",AM45),JOIN("""",""Min:  "",AM45, CHAR(10),""Max: "",AN45)))"),"")</f>
        <v/>
      </c>
      <c r="AM45" s="55" t="str">
        <f t="array" ref="AM45">_xlfn.XLOOKUP(B45,'Up Min'!A:A,'Up Min'!J:J,)</f>
        <v/>
      </c>
      <c r="AN45" s="55" t="str">
        <f t="array" ref="AN45">_xlfn.XLOOKUP(B45,'Up Max'!A:A,'Up Max'!J:J,)</f>
        <v/>
      </c>
      <c r="AO45" s="51" t="str">
        <f t="array" ref="AO45">CONCATENATE(_xlfn.XLOOKUP(B45,'Up Cells'!A:A,'Up Cells'!B:B,))</f>
        <v/>
      </c>
      <c r="AP45" s="51" t="str">
        <f t="array" ref="AP45">CONCATENATE(_xlfn.XLOOKUP(B45,'Up Rarity'!A:A,'Up Rarity'!B:B,),CHAR(10),"-")</f>
        <v>
-</v>
      </c>
    </row>
    <row r="46">
      <c r="A46" s="87" t="str">
        <f t="array" ref="A46">_xlfn.XLOOKUP(B46,'Up Icon'!A:A,'Up Icon'!B:B,)</f>
        <v/>
      </c>
      <c r="B46" s="34" t="str">
        <f t="array" ref="B46">HYPERLINK(_xlfn.XLOOKUP('Up Names'!H46,'Up Wiki'!A:A,'Up Wiki'!B:B,),'Up Names'!H46)</f>
        <v/>
      </c>
      <c r="C46" s="37" t="str">
        <f t="array" ref="C46">_xlfn.XLOOKUP(B46,'Up Desc'!A:A,'Up Desc'!B:B,)</f>
        <v/>
      </c>
      <c r="D46" s="37" t="str">
        <f t="array" ref="D46">_xlfn.XLOOKUP(B46,'Up Turbo'!A:A,'Up Turbo'!B:B,)</f>
        <v/>
      </c>
      <c r="E46" s="39" t="str">
        <f t="array" ref="E46">_xlfn.XLOOKUP(B46,'Up Stats'!A:A,'Up Stats'!B:B,)</f>
        <v/>
      </c>
      <c r="F46" s="40" t="str">
        <f>IFERROR(__xludf.DUMMYFUNCTION("if(AND(G46=FALSE,H46=FALSE),,if(G46=H46,JOIN("""",""Static: "",G46),JOIN("""",""Min:  "",G46, CHAR(10),""Max: "",H46)))"),"")</f>
        <v/>
      </c>
      <c r="G46" s="42" t="str">
        <f t="array" ref="G46">_xlfn.XLOOKUP(B46,'Up Min'!A:A,'Up Min'!B:B,)</f>
        <v/>
      </c>
      <c r="H46" s="45" t="str">
        <f t="array" ref="H46">_xlfn.XLOOKUP(B46,'Up Max'!A:A,'Up Max'!B:B,)</f>
        <v/>
      </c>
      <c r="I46" s="39" t="str">
        <f t="array" ref="I46">_xlfn.XLOOKUP(B46,'Up Stats'!A:A,'Up Stats'!C:C,)</f>
        <v/>
      </c>
      <c r="J46" s="40" t="str">
        <f>IFERROR(__xludf.DUMMYFUNCTION("if(AND(K46=FALSE,L46=FALSE),,if(K46=L46,JOIN("""",""Static: "",K46),JOIN("""",""Min:  "",K46, CHAR(10),""Max: "",L46)))"),"")</f>
        <v/>
      </c>
      <c r="K46" s="42" t="str">
        <f t="array" ref="K46">_xlfn.XLOOKUP(B46,'Up Min'!A:A,'Up Min'!C:C,)</f>
        <v/>
      </c>
      <c r="L46" s="42" t="str">
        <f t="array" ref="L46">_xlfn.XLOOKUP(B46,'Up Max'!A:A,'Up Max'!C:C,)</f>
        <v/>
      </c>
      <c r="M46" s="48" t="str">
        <f t="array" ref="M46">_xlfn.XLOOKUP(B46,'Up Stats'!A:A,'Up Stats'!D:D,)</f>
        <v/>
      </c>
      <c r="N46" s="40" t="str">
        <f>IFERROR(__xludf.DUMMYFUNCTION("if(AND(O46=FALSE,P46=FALSE),,if(O46=P46,JOIN("""",""Static: "",O46),JOIN("""",""Min:  "",O46, CHAR(10),""Max: "",P46)))"),"")</f>
        <v/>
      </c>
      <c r="O46" s="42" t="str">
        <f t="array" ref="O46">_xlfn.XLOOKUP(B46,'Up Min'!A:A,'Up Min'!D:D,)</f>
        <v/>
      </c>
      <c r="P46" s="42" t="str">
        <f t="array" ref="P46">_xlfn.XLOOKUP(B46,'Up Max'!A:A,'Up Max'!D:D,)</f>
        <v/>
      </c>
      <c r="Q46" s="48" t="str">
        <f t="array" ref="Q46">_xlfn.XLOOKUP(B46,'Up Stats'!A:A,'Up Stats'!E:E,)</f>
        <v/>
      </c>
      <c r="R46" s="40" t="str">
        <f>IFERROR(__xludf.DUMMYFUNCTION("if(AND(S46=FALSE,T46=FALSE),,if(S46=T46,JOIN("""",""Static: "",S46),JOIN("""",""Min:  "",S46, CHAR(10),""Max: "",T46)))"),"")</f>
        <v/>
      </c>
      <c r="S46" s="42" t="str">
        <f t="array" ref="S46">_xlfn.XLOOKUP(B46,'Up Min'!A:A,'Up Min'!E:E,)</f>
        <v/>
      </c>
      <c r="T46" s="42" t="str">
        <f t="array" ref="T46">_xlfn.XLOOKUP(B46,'Up Max'!A:A,'Up Max'!E:E,)</f>
        <v/>
      </c>
      <c r="U46" s="48" t="str">
        <f t="array" ref="U46">_xlfn.XLOOKUP(B46,'Up Stats'!A:A,'Up Stats'!F:F,)</f>
        <v/>
      </c>
      <c r="V46" s="40" t="str">
        <f>IFERROR(__xludf.DUMMYFUNCTION("if(AND(W46=FALSE,X46=FALSE),,if(W46=X46,JOIN("""",""Static: "",W46),JOIN("""",""Min:  "",W46, CHAR(10),""Max: "",X46)))"),"")</f>
        <v/>
      </c>
      <c r="W46" s="42" t="str">
        <f t="array" ref="W46">_xlfn.XLOOKUP(B46,'Up Min'!A:A,'Up Min'!F:F,)</f>
        <v/>
      </c>
      <c r="X46" s="42" t="str">
        <f t="array" ref="X46">_xlfn.XLOOKUP(B46,'Up Max'!A:A,'Up Max'!F:F,)</f>
        <v/>
      </c>
      <c r="Y46" s="48" t="str">
        <f t="array" ref="Y46">_xlfn.XLOOKUP(B46,'Up Stats'!A:A,'Up Stats'!G:G,)</f>
        <v/>
      </c>
      <c r="Z46" s="40" t="str">
        <f>IFERROR(__xludf.DUMMYFUNCTION("if(AND(AA46=FALSE,AB46=FALSE),,if(AA46=AB46,JOIN("""",""Static: "",AA46),JOIN("""",""Min:  "",AA46, CHAR(10),""Max: "",AB46)))"),"")</f>
        <v/>
      </c>
      <c r="AA46" s="42" t="str">
        <f t="array" ref="AA46">_xlfn.XLOOKUP(B46,'Up Min'!A:A,'Up Min'!G:G,)</f>
        <v/>
      </c>
      <c r="AB46" s="42" t="str">
        <f t="array" ref="AB46">_xlfn.XLOOKUP(B46,'Up Max'!A:A,'Up Max'!G:G,)</f>
        <v/>
      </c>
      <c r="AC46" s="48" t="str">
        <f t="array" ref="AC46">_xlfn.XLOOKUP(B46,'Up Stats'!A:A,'Up Stats'!H:H,)</f>
        <v/>
      </c>
      <c r="AD46" s="40" t="str">
        <f>IFERROR(__xludf.DUMMYFUNCTION("if(AND(AE46=FALSE,AF46=FALSE),,if(AE46=AF46,JOIN("""",""Static: "",AE46),JOIN("""",""Min:  "",AE46, CHAR(10),""Max: "",AF46)))"),"")</f>
        <v/>
      </c>
      <c r="AE46" s="42" t="str">
        <f t="array" ref="AE46">_xlfn.XLOOKUP(B46,'Up Min'!A:A,'Up Min'!H:H,)</f>
        <v/>
      </c>
      <c r="AF46" s="42" t="str">
        <f t="array" ref="AF46">_xlfn.XLOOKUP(B46,'Up Max'!A:A,'Up Max'!H:H,)</f>
        <v/>
      </c>
      <c r="AG46" s="48" t="str">
        <f t="array" ref="AG46">_xlfn.XLOOKUP(B46,'Up Stats'!A:A,'Up Stats'!I:I,)</f>
        <v/>
      </c>
      <c r="AH46" s="40" t="str">
        <f>IFERROR(__xludf.DUMMYFUNCTION("if(AND(AI46=FALSE,AJ46=FALSE),,if(AI46=AJ46,JOIN("""",""Static: "",AI46),JOIN("""",""Min:  "",AI46, CHAR(10),""Max: "",AJ46)))"),"")</f>
        <v/>
      </c>
      <c r="AI46" s="42" t="str">
        <f t="array" ref="AI46">_xlfn.XLOOKUP(B46,'Up Min'!A:A,'Up Min'!I:I,)</f>
        <v/>
      </c>
      <c r="AJ46" s="42" t="str">
        <f t="array" ref="AJ46">_xlfn.XLOOKUP(B46,'Up Max'!A:A,'Up Max'!I:I,)</f>
        <v/>
      </c>
      <c r="AK46" s="48" t="str">
        <f t="array" ref="AK46">_xlfn.XLOOKUP(B46,'Up Stats'!A:A,'Up Stats'!J:J,)</f>
        <v/>
      </c>
      <c r="AL46" s="40" t="str">
        <f>IFERROR(__xludf.DUMMYFUNCTION("if(AND(AM46=FALSE,AN46=FALSE),,if(AM46=AN46,JOIN("""",""Static: "",AM46),JOIN("""",""Min:  "",AM46, CHAR(10),""Max: "",AN46)))"),"")</f>
        <v/>
      </c>
      <c r="AM46" s="42" t="str">
        <f t="array" ref="AM46">_xlfn.XLOOKUP(B46,'Up Min'!A:A,'Up Min'!J:J,)</f>
        <v/>
      </c>
      <c r="AN46" s="42" t="str">
        <f t="array" ref="AN46">_xlfn.XLOOKUP(B46,'Up Max'!A:A,'Up Max'!J:J,)</f>
        <v/>
      </c>
      <c r="AO46" s="34" t="str">
        <f t="array" ref="AO46">CONCATENATE(_xlfn.XLOOKUP(B46,'Up Cells'!A:A,'Up Cells'!B:B,))</f>
        <v/>
      </c>
      <c r="AP46" s="34" t="str">
        <f t="array" ref="AP46">CONCATENATE(_xlfn.XLOOKUP(B46,'Up Rarity'!A:A,'Up Rarity'!B:B,),CHAR(10),"-")</f>
        <v>
-</v>
      </c>
    </row>
    <row r="47">
      <c r="A47" s="86" t="str">
        <f t="array" ref="A47">_xlfn.XLOOKUP(B47,'Up Icon'!A:A,'Up Icon'!B:B,)</f>
        <v/>
      </c>
      <c r="B47" s="51" t="str">
        <f t="array" ref="B47">HYPERLINK(_xlfn.XLOOKUP('Up Names'!H47,'Up Wiki'!A:A,'Up Wiki'!B:B,),'Up Names'!H47)</f>
        <v/>
      </c>
      <c r="C47" s="52" t="str">
        <f t="array" ref="C47">_xlfn.XLOOKUP(B47,'Up Desc'!A:A,'Up Desc'!B:B,)</f>
        <v/>
      </c>
      <c r="D47" s="52" t="str">
        <f t="array" ref="D47">_xlfn.XLOOKUP(B47,'Up Turbo'!A:A,'Up Turbo'!B:B,)</f>
        <v/>
      </c>
      <c r="E47" s="53" t="str">
        <f t="array" ref="E47">_xlfn.XLOOKUP(B47,'Up Stats'!A:A,'Up Stats'!B:B,)</f>
        <v/>
      </c>
      <c r="F47" s="54" t="str">
        <f>IFERROR(__xludf.DUMMYFUNCTION("if(AND(G47=FALSE,H47=FALSE),,if(G47=H47,JOIN("""",""Static: "",G47),JOIN("""",""Min:  "",G47, CHAR(10),""Max: "",H47)))"),"")</f>
        <v/>
      </c>
      <c r="G47" s="55" t="str">
        <f t="array" ref="G47">_xlfn.XLOOKUP(B47,'Up Min'!A:A,'Up Min'!B:B,)</f>
        <v/>
      </c>
      <c r="H47" s="56" t="str">
        <f t="array" ref="H47">_xlfn.XLOOKUP(B47,'Up Max'!A:A,'Up Max'!B:B,)</f>
        <v/>
      </c>
      <c r="I47" s="53" t="str">
        <f t="array" ref="I47">_xlfn.XLOOKUP(B47,'Up Stats'!A:A,'Up Stats'!C:C,)</f>
        <v/>
      </c>
      <c r="J47" s="54" t="str">
        <f>IFERROR(__xludf.DUMMYFUNCTION("if(AND(K47=FALSE,L47=FALSE),,if(K47=L47,JOIN("""",""Static: "",K47),JOIN("""",""Min:  "",K47, CHAR(10),""Max: "",L47)))"),"")</f>
        <v/>
      </c>
      <c r="K47" s="55" t="str">
        <f t="array" ref="K47">_xlfn.XLOOKUP(B47,'Up Min'!A:A,'Up Min'!C:C,)</f>
        <v/>
      </c>
      <c r="L47" s="55" t="str">
        <f t="array" ref="L47">_xlfn.XLOOKUP(B47,'Up Max'!A:A,'Up Max'!C:C,)</f>
        <v/>
      </c>
      <c r="M47" s="57" t="str">
        <f t="array" ref="M47">_xlfn.XLOOKUP(B47,'Up Stats'!A:A,'Up Stats'!D:D,)</f>
        <v/>
      </c>
      <c r="N47" s="54" t="str">
        <f>IFERROR(__xludf.DUMMYFUNCTION("if(AND(O47=FALSE,P47=FALSE),,if(O47=P47,JOIN("""",""Static: "",O47),JOIN("""",""Min:  "",O47, CHAR(10),""Max: "",P47)))"),"")</f>
        <v/>
      </c>
      <c r="O47" s="55" t="str">
        <f t="array" ref="O47">_xlfn.XLOOKUP(B47,'Up Min'!A:A,'Up Min'!D:D,)</f>
        <v/>
      </c>
      <c r="P47" s="55" t="str">
        <f t="array" ref="P47">_xlfn.XLOOKUP(B47,'Up Max'!A:A,'Up Max'!D:D,)</f>
        <v/>
      </c>
      <c r="Q47" s="57" t="str">
        <f t="array" ref="Q47">_xlfn.XLOOKUP(B47,'Up Stats'!A:A,'Up Stats'!E:E,)</f>
        <v/>
      </c>
      <c r="R47" s="54" t="str">
        <f>IFERROR(__xludf.DUMMYFUNCTION("if(AND(S47=FALSE,T47=FALSE),,if(S47=T47,JOIN("""",""Static: "",S47),JOIN("""",""Min:  "",S47, CHAR(10),""Max: "",T47)))"),"")</f>
        <v/>
      </c>
      <c r="S47" s="55" t="str">
        <f t="array" ref="S47">_xlfn.XLOOKUP(B47,'Up Min'!A:A,'Up Min'!E:E,)</f>
        <v/>
      </c>
      <c r="T47" s="55" t="str">
        <f t="array" ref="T47">_xlfn.XLOOKUP(B47,'Up Max'!A:A,'Up Max'!E:E,)</f>
        <v/>
      </c>
      <c r="U47" s="57" t="str">
        <f t="array" ref="U47">_xlfn.XLOOKUP(B47,'Up Stats'!A:A,'Up Stats'!F:F,)</f>
        <v/>
      </c>
      <c r="V47" s="54" t="str">
        <f>IFERROR(__xludf.DUMMYFUNCTION("if(AND(W47=FALSE,X47=FALSE),,if(W47=X47,JOIN("""",""Static: "",W47),JOIN("""",""Min:  "",W47, CHAR(10),""Max: "",X47)))"),"")</f>
        <v/>
      </c>
      <c r="W47" s="55" t="str">
        <f t="array" ref="W47">_xlfn.XLOOKUP(B47,'Up Min'!A:A,'Up Min'!F:F,)</f>
        <v/>
      </c>
      <c r="X47" s="55" t="str">
        <f t="array" ref="X47">_xlfn.XLOOKUP(B47,'Up Max'!A:A,'Up Max'!F:F,)</f>
        <v/>
      </c>
      <c r="Y47" s="57" t="str">
        <f t="array" ref="Y47">_xlfn.XLOOKUP(B47,'Up Stats'!A:A,'Up Stats'!G:G,)</f>
        <v/>
      </c>
      <c r="Z47" s="54" t="str">
        <f>IFERROR(__xludf.DUMMYFUNCTION("if(AND(AA47=FALSE,AB47=FALSE),,if(AA47=AB47,JOIN("""",""Static: "",AA47),JOIN("""",""Min:  "",AA47, CHAR(10),""Max: "",AB47)))"),"")</f>
        <v/>
      </c>
      <c r="AA47" s="55" t="str">
        <f t="array" ref="AA47">_xlfn.XLOOKUP(B47,'Up Min'!A:A,'Up Min'!G:G,)</f>
        <v/>
      </c>
      <c r="AB47" s="55" t="str">
        <f t="array" ref="AB47">_xlfn.XLOOKUP(B47,'Up Max'!A:A,'Up Max'!G:G,)</f>
        <v/>
      </c>
      <c r="AC47" s="57" t="str">
        <f t="array" ref="AC47">_xlfn.XLOOKUP(B47,'Up Stats'!A:A,'Up Stats'!H:H,)</f>
        <v/>
      </c>
      <c r="AD47" s="54" t="str">
        <f>IFERROR(__xludf.DUMMYFUNCTION("if(AND(AE47=FALSE,AF47=FALSE),,if(AE47=AF47,JOIN("""",""Static: "",AE47),JOIN("""",""Min:  "",AE47, CHAR(10),""Max: "",AF47)))"),"")</f>
        <v/>
      </c>
      <c r="AE47" s="55" t="str">
        <f t="array" ref="AE47">_xlfn.XLOOKUP(B47,'Up Min'!A:A,'Up Min'!H:H,)</f>
        <v/>
      </c>
      <c r="AF47" s="55" t="str">
        <f t="array" ref="AF47">_xlfn.XLOOKUP(B47,'Up Max'!A:A,'Up Max'!H:H,)</f>
        <v/>
      </c>
      <c r="AG47" s="57" t="str">
        <f t="array" ref="AG47">_xlfn.XLOOKUP(B47,'Up Stats'!A:A,'Up Stats'!I:I,)</f>
        <v/>
      </c>
      <c r="AH47" s="54" t="str">
        <f>IFERROR(__xludf.DUMMYFUNCTION("if(AND(AI47=FALSE,AJ47=FALSE),,if(AI47=AJ47,JOIN("""",""Static: "",AI47),JOIN("""",""Min:  "",AI47, CHAR(10),""Max: "",AJ47)))"),"")</f>
        <v/>
      </c>
      <c r="AI47" s="55" t="str">
        <f t="array" ref="AI47">_xlfn.XLOOKUP(B47,'Up Min'!A:A,'Up Min'!I:I,)</f>
        <v/>
      </c>
      <c r="AJ47" s="55" t="str">
        <f t="array" ref="AJ47">_xlfn.XLOOKUP(B47,'Up Max'!A:A,'Up Max'!I:I,)</f>
        <v/>
      </c>
      <c r="AK47" s="57" t="str">
        <f t="array" ref="AK47">_xlfn.XLOOKUP(B47,'Up Stats'!A:A,'Up Stats'!J:J,)</f>
        <v/>
      </c>
      <c r="AL47" s="54" t="str">
        <f>IFERROR(__xludf.DUMMYFUNCTION("if(AND(AM47=FALSE,AN47=FALSE),,if(AM47=AN47,JOIN("""",""Static: "",AM47),JOIN("""",""Min:  "",AM47, CHAR(10),""Max: "",AN47)))"),"")</f>
        <v/>
      </c>
      <c r="AM47" s="55" t="str">
        <f t="array" ref="AM47">_xlfn.XLOOKUP(B47,'Up Min'!A:A,'Up Min'!J:J,)</f>
        <v/>
      </c>
      <c r="AN47" s="55" t="str">
        <f t="array" ref="AN47">_xlfn.XLOOKUP(B47,'Up Max'!A:A,'Up Max'!J:J,)</f>
        <v/>
      </c>
      <c r="AO47" s="51" t="str">
        <f t="array" ref="AO47">CONCATENATE(_xlfn.XLOOKUP(B47,'Up Cells'!A:A,'Up Cells'!B:B,))</f>
        <v/>
      </c>
      <c r="AP47" s="51" t="str">
        <f t="array" ref="AP47">CONCATENATE(_xlfn.XLOOKUP(B47,'Up Rarity'!A:A,'Up Rarity'!B:B,),CHAR(10),"-")</f>
        <v>
-</v>
      </c>
    </row>
  </sheetData>
  <autoFilter ref="$A$1:$AP$47">
    <sortState ref="A1:AP47">
      <sortCondition descending="1" sortBy="cellColor" ref="AP1:AP47" dxfId="2"/>
    </sortState>
  </autoFilter>
  <conditionalFormatting sqref="AO1:AP47">
    <cfRule type="containsText" dxfId="3" priority="1" operator="containsText" text="Oddity">
      <formula>NOT(ISERROR(SEARCH(("Oddity"),(AO1))))</formula>
    </cfRule>
  </conditionalFormatting>
  <conditionalFormatting sqref="AO1:AP47">
    <cfRule type="containsText" dxfId="4" priority="2" operator="containsText" text="Exotic">
      <formula>NOT(ISERROR(SEARCH(("Exotic"),(AO1))))</formula>
    </cfRule>
  </conditionalFormatting>
  <conditionalFormatting sqref="AO1:AP47">
    <cfRule type="containsText" dxfId="5" priority="3" operator="containsText" text="Epic">
      <formula>NOT(ISERROR(SEARCH(("Epic"),(AO1))))</formula>
    </cfRule>
  </conditionalFormatting>
  <conditionalFormatting sqref="AO1:AP47">
    <cfRule type="containsText" dxfId="6" priority="4" operator="containsText" text="Rare">
      <formula>NOT(ISERROR(SEARCH(("Rare"),(AO1))))</formula>
    </cfRule>
  </conditionalFormatting>
  <conditionalFormatting sqref="AO1:AP47">
    <cfRule type="containsText" dxfId="7" priority="5" operator="containsText" text="Standard">
      <formula>NOT(ISERROR(SEARCH(("Standard"),(AO1))))</formula>
    </cfRule>
  </conditionalFormatting>
  <conditionalFormatting sqref="AO1:AP47">
    <cfRule type="containsText" dxfId="8" priority="6" operator="containsText" text="Contraband">
      <formula>NOT(ISERROR(SEARCH(("Contraband"),(AO1))))</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12.63"/>
    <col customWidth="1" min="3" max="4" width="31.38"/>
    <col customWidth="1" min="5" max="6" width="12.63"/>
    <col customWidth="1" hidden="1" min="7" max="8" width="12.63"/>
    <col customWidth="1" min="9" max="10" width="12.63"/>
    <col customWidth="1" hidden="1" min="11" max="12" width="12.63"/>
    <col customWidth="1" min="13" max="14" width="12.63"/>
    <col customWidth="1" hidden="1" min="15" max="16" width="12.63"/>
    <col customWidth="1" min="17" max="18" width="12.63"/>
    <col customWidth="1" hidden="1" min="19" max="20" width="12.63"/>
    <col customWidth="1" min="21" max="22" width="12.63"/>
    <col customWidth="1" hidden="1" min="23" max="24" width="12.63"/>
    <col customWidth="1" min="25" max="26" width="12.63"/>
    <col customWidth="1" hidden="1" min="27" max="28" width="12.63"/>
    <col customWidth="1" min="29" max="30" width="12.63"/>
    <col customWidth="1" hidden="1" min="31" max="32" width="12.63"/>
    <col customWidth="1" min="33" max="34" width="12.63"/>
    <col customWidth="1" hidden="1" min="35" max="36" width="12.63"/>
    <col customWidth="1" min="37" max="38" width="12.63"/>
    <col customWidth="1" hidden="1" min="39" max="40" width="12.63"/>
    <col customWidth="1" min="41" max="42" width="8.25"/>
  </cols>
  <sheetData>
    <row r="1">
      <c r="A1" s="28" t="s">
        <v>1</v>
      </c>
      <c r="B1" s="9" t="s">
        <v>2</v>
      </c>
      <c r="C1" s="9" t="s">
        <v>3</v>
      </c>
      <c r="D1" s="11" t="s">
        <v>4</v>
      </c>
      <c r="E1" s="16" t="s">
        <v>6</v>
      </c>
      <c r="F1" s="19" t="s">
        <v>7</v>
      </c>
      <c r="G1" s="21" t="s">
        <v>8</v>
      </c>
      <c r="H1" s="25" t="s">
        <v>9</v>
      </c>
      <c r="I1" s="29" t="s">
        <v>6</v>
      </c>
      <c r="J1" s="19" t="s">
        <v>7</v>
      </c>
      <c r="K1" s="21" t="s">
        <v>8</v>
      </c>
      <c r="L1" s="21" t="s">
        <v>9</v>
      </c>
      <c r="M1" s="29" t="s">
        <v>6</v>
      </c>
      <c r="N1" s="19" t="s">
        <v>7</v>
      </c>
      <c r="O1" s="21" t="s">
        <v>8</v>
      </c>
      <c r="P1" s="21" t="s">
        <v>9</v>
      </c>
      <c r="Q1" s="16" t="s">
        <v>6</v>
      </c>
      <c r="R1" s="19" t="s">
        <v>7</v>
      </c>
      <c r="S1" s="25" t="s">
        <v>8</v>
      </c>
      <c r="T1" s="21" t="s">
        <v>9</v>
      </c>
      <c r="U1" s="16" t="s">
        <v>6</v>
      </c>
      <c r="V1" s="19" t="s">
        <v>7</v>
      </c>
      <c r="W1" s="25" t="s">
        <v>8</v>
      </c>
      <c r="X1" s="25" t="s">
        <v>9</v>
      </c>
      <c r="Y1" s="16" t="s">
        <v>6</v>
      </c>
      <c r="Z1" s="19" t="s">
        <v>7</v>
      </c>
      <c r="AA1" s="21" t="s">
        <v>8</v>
      </c>
      <c r="AB1" s="25" t="s">
        <v>9</v>
      </c>
      <c r="AC1" s="29" t="s">
        <v>6</v>
      </c>
      <c r="AD1" s="19" t="s">
        <v>7</v>
      </c>
      <c r="AE1" s="21" t="s">
        <v>8</v>
      </c>
      <c r="AF1" s="21" t="s">
        <v>9</v>
      </c>
      <c r="AG1" s="16" t="s">
        <v>6</v>
      </c>
      <c r="AH1" s="19" t="s">
        <v>7</v>
      </c>
      <c r="AI1" s="21" t="s">
        <v>8</v>
      </c>
      <c r="AJ1" s="21" t="s">
        <v>9</v>
      </c>
      <c r="AK1" s="16" t="s">
        <v>6</v>
      </c>
      <c r="AL1" s="19" t="s">
        <v>7</v>
      </c>
      <c r="AM1" s="21" t="s">
        <v>8</v>
      </c>
      <c r="AN1" s="21" t="s">
        <v>9</v>
      </c>
      <c r="AO1" s="11" t="s">
        <v>12</v>
      </c>
      <c r="AP1" s="22" t="s">
        <v>13</v>
      </c>
    </row>
    <row r="2">
      <c r="A2" s="31" t="str">
        <f t="array" ref="A2">_xlfn.XLOOKUP(B2,'Up Icon'!A:A,'Up Icon'!B:B,)</f>
        <v/>
      </c>
      <c r="B2" s="58" t="str">
        <f t="array" ref="B2">HYPERLINK(_xlfn.XLOOKUP('Up Names'!I27,'Up Wiki'!A:A,'Up Wiki'!B:B,),'Up Names'!I27)</f>
        <v>Edge Fault</v>
      </c>
      <c r="C2" s="37" t="str">
        <f t="array" ref="C2">_xlfn.XLOOKUP(B2,'Up Desc'!A:A,'Up Desc'!B:B,)</f>
        <v>Increases the size of your upgrade grid.</v>
      </c>
      <c r="D2" s="37" t="str">
        <f t="array" ref="D2">_xlfn.XLOOKUP(B2,'Up Turbo'!A:A,'Up Turbo'!B:B,)</f>
        <v>n/a</v>
      </c>
      <c r="E2" s="39" t="str">
        <f t="array" ref="E2">_xlfn.XLOOKUP(B2,'Up Stats'!A:A,'Up Stats'!B:B,)</f>
        <v/>
      </c>
      <c r="F2" s="40" t="str">
        <f>IFERROR(__xludf.DUMMYFUNCTION("if(AND(G2=FALSE,H2=FALSE),,if(G2=H2,JOIN("""",""Static: "",G2),JOIN("""",""Min:  "",G2, CHAR(10),""Max: "",H2)))"),"")</f>
        <v/>
      </c>
      <c r="G2" s="42" t="str">
        <f t="array" ref="G2">_xlfn.XLOOKUP(B2,'Up Min'!A:A,'Up Min'!B:B,)</f>
        <v/>
      </c>
      <c r="H2" s="45" t="str">
        <f t="array" ref="H2">_xlfn.XLOOKUP(B2,'Up Max'!A:A,'Up Max'!B:B,)</f>
        <v/>
      </c>
      <c r="I2" s="39" t="str">
        <f t="array" ref="I2">_xlfn.XLOOKUP(B2,'Up Stats'!A:A,'Up Stats'!C:C,)</f>
        <v/>
      </c>
      <c r="J2" s="40" t="str">
        <f>IFERROR(__xludf.DUMMYFUNCTION("if(AND(K2=FALSE,L2=FALSE),,if(K2=L2,JOIN("""",""Static: "",K2),JOIN("""",""Min:  "",K2, CHAR(10),""Max: "",L2)))"),"")</f>
        <v/>
      </c>
      <c r="K2" s="45" t="str">
        <f t="array" ref="K2">_xlfn.XLOOKUP(B2,'Up Min'!A:A,'Up Min'!C:C,)</f>
        <v/>
      </c>
      <c r="L2" s="42" t="str">
        <f t="array" ref="L2">_xlfn.XLOOKUP(B2,'Up Max'!A:A,'Up Max'!C:C,)</f>
        <v/>
      </c>
      <c r="M2" s="39" t="str">
        <f t="array" ref="M2">_xlfn.XLOOKUP(B2,'Up Stats'!A:A,'Up Stats'!D:D,)</f>
        <v/>
      </c>
      <c r="N2" s="40" t="str">
        <f>IFERROR(__xludf.DUMMYFUNCTION("if(AND(O2=FALSE,P2=FALSE),,if(O2=P2,JOIN("""",""Static: "",O2),JOIN("""",""Min:  "",O2, CHAR(10),""Max: "",P2)))"),"")</f>
        <v/>
      </c>
      <c r="O2" s="42" t="str">
        <f t="array" ref="O2">_xlfn.XLOOKUP(B2,'Up Min'!A:A,'Up Min'!D:D,)</f>
        <v/>
      </c>
      <c r="P2" s="42" t="str">
        <f t="array" ref="P2">_xlfn.XLOOKUP(B2,'Up Max'!A:A,'Up Max'!D:D,)</f>
        <v/>
      </c>
      <c r="Q2" s="48" t="str">
        <f t="array" ref="Q2">_xlfn.XLOOKUP(B2,'Up Stats'!A:A,'Up Stats'!E:E,)</f>
        <v/>
      </c>
      <c r="R2" s="40" t="str">
        <f>IFERROR(__xludf.DUMMYFUNCTION("if(AND(S2=FALSE,T2=FALSE),,if(S2=T2,JOIN("""",""Static: "",S2),JOIN("""",""Min:  "",S2, CHAR(10),""Max: "",T2)))"),"")</f>
        <v/>
      </c>
      <c r="S2" s="42" t="str">
        <f t="array" ref="S2">_xlfn.XLOOKUP(B2,'Up Min'!A:A,'Up Min'!E:E,)</f>
        <v/>
      </c>
      <c r="T2" s="42" t="str">
        <f t="array" ref="T2">_xlfn.XLOOKUP(B2,'Up Max'!A:A,'Up Max'!E:E,)</f>
        <v/>
      </c>
      <c r="U2" s="48" t="str">
        <f t="array" ref="U2">_xlfn.XLOOKUP(B2,'Up Stats'!A:A,'Up Stats'!F:F,)</f>
        <v/>
      </c>
      <c r="V2" s="40" t="str">
        <f>IFERROR(__xludf.DUMMYFUNCTION("if(AND(W2=FALSE,X2=FALSE),,if(W2=X2,JOIN("""",""Static: "",W2),JOIN("""",""Min:  "",W2, CHAR(10),""Max: "",X2)))"),"")</f>
        <v/>
      </c>
      <c r="W2" s="42" t="str">
        <f t="array" ref="W2">_xlfn.XLOOKUP(B2,'Up Min'!A:A,'Up Min'!F:F,)</f>
        <v/>
      </c>
      <c r="X2" s="42" t="str">
        <f t="array" ref="X2">_xlfn.XLOOKUP(B2,'Up Max'!A:A,'Up Max'!F:F,)</f>
        <v/>
      </c>
      <c r="Y2" s="48" t="str">
        <f t="array" ref="Y2">_xlfn.XLOOKUP(B2,'Up Stats'!A:A,'Up Stats'!G:G,)</f>
        <v/>
      </c>
      <c r="Z2" s="40" t="str">
        <f>IFERROR(__xludf.DUMMYFUNCTION("if(AND(AA2=FALSE,AB2=FALSE),,if(AA2=AB2,JOIN("""",""Static: "",AA2),JOIN("""",""Min:  "",AA2, CHAR(10),""Max: "",AB2)))"),"")</f>
        <v/>
      </c>
      <c r="AA2" s="42" t="str">
        <f t="array" ref="AA2">_xlfn.XLOOKUP(B2,'Up Min'!A:A,'Up Min'!G:G,)</f>
        <v/>
      </c>
      <c r="AB2" s="42" t="str">
        <f t="array" ref="AB2">_xlfn.XLOOKUP(B2,'Up Max'!A:A,'Up Max'!G:G,)</f>
        <v/>
      </c>
      <c r="AC2" s="48" t="str">
        <f t="array" ref="AC2">_xlfn.XLOOKUP(B2,'Up Stats'!A:A,'Up Stats'!H:H,)</f>
        <v/>
      </c>
      <c r="AD2" s="40" t="str">
        <f>IFERROR(__xludf.DUMMYFUNCTION("if(AND(AE2=FALSE,AF2=FALSE),,if(AE2=AF2,JOIN("""",""Static: "",AE2),JOIN("""",""Min:  "",AE2, CHAR(10),""Max: "",AF2)))"),"")</f>
        <v/>
      </c>
      <c r="AE2" s="42" t="str">
        <f t="array" ref="AE2">_xlfn.XLOOKUP(B2,'Up Min'!A:A,'Up Min'!H:H,)</f>
        <v/>
      </c>
      <c r="AF2" s="42" t="str">
        <f t="array" ref="AF2">_xlfn.XLOOKUP(B2,'Up Max'!A:A,'Up Max'!H:H,)</f>
        <v/>
      </c>
      <c r="AG2" s="48" t="str">
        <f t="array" ref="AG2">_xlfn.XLOOKUP(B2,'Up Stats'!A:A,'Up Stats'!I:I,)</f>
        <v/>
      </c>
      <c r="AH2" s="40" t="str">
        <f>IFERROR(__xludf.DUMMYFUNCTION("if(AND(AI2=FALSE,AJ2=FALSE),,if(AI2=AJ2,JOIN("""",""Static: "",AI2),JOIN("""",""Min:  "",AI2, CHAR(10),""Max: "",AJ2)))"),"")</f>
        <v/>
      </c>
      <c r="AI2" s="42" t="str">
        <f t="array" ref="AI2">_xlfn.XLOOKUP(B2,'Up Min'!A:A,'Up Min'!I:I,)</f>
        <v/>
      </c>
      <c r="AJ2" s="42" t="str">
        <f t="array" ref="AJ2">_xlfn.XLOOKUP(B2,'Up Max'!A:A,'Up Max'!I:I,)</f>
        <v/>
      </c>
      <c r="AK2" s="48" t="str">
        <f t="array" ref="AK2">_xlfn.XLOOKUP(B2,'Up Stats'!A:A,'Up Stats'!J:J,)</f>
        <v/>
      </c>
      <c r="AL2" s="40" t="str">
        <f>IFERROR(__xludf.DUMMYFUNCTION("if(AND(AM2=FALSE,AN2=FALSE),,if(AM2=AN2,JOIN("""",""Static: "",AM2),JOIN("""",""Min:  "",AM2, CHAR(10),""Max: "",AN2)))"),"")</f>
        <v/>
      </c>
      <c r="AM2" s="42" t="str">
        <f t="array" ref="AM2">_xlfn.XLOOKUP(B2,'Up Min'!A:A,'Up Min'!J:J,)</f>
        <v/>
      </c>
      <c r="AN2" s="42" t="str">
        <f t="array" ref="AN2">_xlfn.XLOOKUP(B2,'Up Max'!A:A,'Up Max'!J:J,)</f>
        <v/>
      </c>
      <c r="AO2" s="34" t="s">
        <v>30</v>
      </c>
      <c r="AP2" s="34" t="str">
        <f t="array" ref="AP2">CONCATENATE(_xlfn.XLOOKUP(B2,'Up Rarity'!A:A,'Up Rarity'!B:B,),CHAR(10),"-")</f>
        <v>Contraband
-</v>
      </c>
    </row>
    <row r="3">
      <c r="A3" s="31" t="str">
        <f t="array" ref="A3">_xlfn.XLOOKUP(B3,'Up Icon'!A:A,'Up Icon'!B:B,)</f>
        <v/>
      </c>
      <c r="B3" s="61" t="str">
        <f t="array" ref="B3">HYPERLINK(_xlfn.XLOOKUP('Up Names'!I28,'Up Wiki'!A:A,'Up Wiki'!B:B,),'Up Names'!I28)</f>
        <v>Multiversal Thievery</v>
      </c>
      <c r="C3" s="52" t="str">
        <f t="array" ref="C3">_xlfn.XLOOKUP(B3,'Up Desc'!A:A,'Up Desc'!B:B,)</f>
        <v>Commandeers 1 column from each of your other upgrade grids.</v>
      </c>
      <c r="D3" s="52" t="str">
        <f t="array" ref="D3">_xlfn.XLOOKUP(B3,'Up Turbo'!A:A,'Up Turbo'!B:B,)</f>
        <v>n/a</v>
      </c>
      <c r="E3" s="53" t="str">
        <f t="array" ref="E3">_xlfn.XLOOKUP(B3,'Up Stats'!A:A,'Up Stats'!B:B,)</f>
        <v/>
      </c>
      <c r="F3" s="54" t="str">
        <f>IFERROR(__xludf.DUMMYFUNCTION("if(AND(G3=FALSE,H3=FALSE),,if(G3=H3,JOIN("""",""Static: "",G3),JOIN("""",""Min:  "",G3, CHAR(10),""Max: "",H3)))"),"")</f>
        <v/>
      </c>
      <c r="G3" s="55" t="str">
        <f t="array" ref="G3">_xlfn.XLOOKUP(B3,'Up Min'!A:A,'Up Min'!B:B,)</f>
        <v/>
      </c>
      <c r="H3" s="56" t="str">
        <f t="array" ref="H3">_xlfn.XLOOKUP(B3,'Up Max'!A:A,'Up Max'!B:B,)</f>
        <v/>
      </c>
      <c r="I3" s="53" t="str">
        <f t="array" ref="I3">_xlfn.XLOOKUP(B3,'Up Stats'!A:A,'Up Stats'!C:C,)</f>
        <v/>
      </c>
      <c r="J3" s="54" t="str">
        <f>IFERROR(__xludf.DUMMYFUNCTION("if(AND(K3=FALSE,L3=FALSE),,if(K3=L3,JOIN("""",""Static: "",K3),JOIN("""",""Min:  "",K3, CHAR(10),""Max: "",L3)))"),"")</f>
        <v/>
      </c>
      <c r="K3" s="56" t="str">
        <f t="array" ref="K3">_xlfn.XLOOKUP(B3,'Up Min'!A:A,'Up Min'!C:C,)</f>
        <v/>
      </c>
      <c r="L3" s="55" t="str">
        <f t="array" ref="L3">_xlfn.XLOOKUP(B3,'Up Max'!A:A,'Up Max'!C:C,)</f>
        <v/>
      </c>
      <c r="M3" s="53" t="str">
        <f t="array" ref="M3">_xlfn.XLOOKUP(B3,'Up Stats'!A:A,'Up Stats'!D:D,)</f>
        <v/>
      </c>
      <c r="N3" s="54" t="str">
        <f>IFERROR(__xludf.DUMMYFUNCTION("if(AND(O3=FALSE,P3=FALSE),,if(O3=P3,JOIN("""",""Static: "",O3),JOIN("""",""Min:  "",O3, CHAR(10),""Max: "",P3)))"),"")</f>
        <v/>
      </c>
      <c r="O3" s="55" t="str">
        <f t="array" ref="O3">_xlfn.XLOOKUP(B3,'Up Min'!A:A,'Up Min'!D:D,)</f>
        <v/>
      </c>
      <c r="P3" s="55" t="str">
        <f t="array" ref="P3">_xlfn.XLOOKUP(B3,'Up Max'!A:A,'Up Max'!D:D,)</f>
        <v/>
      </c>
      <c r="Q3" s="57" t="str">
        <f t="array" ref="Q3">_xlfn.XLOOKUP(B3,'Up Stats'!A:A,'Up Stats'!E:E,)</f>
        <v/>
      </c>
      <c r="R3" s="54" t="str">
        <f>IFERROR(__xludf.DUMMYFUNCTION("if(AND(S3=FALSE,T3=FALSE),,if(S3=T3,JOIN("""",""Static: "",S3),JOIN("""",""Min:  "",S3, CHAR(10),""Max: "",T3)))"),"")</f>
        <v/>
      </c>
      <c r="S3" s="55" t="str">
        <f t="array" ref="S3">_xlfn.XLOOKUP(B3,'Up Min'!A:A,'Up Min'!E:E,)</f>
        <v/>
      </c>
      <c r="T3" s="55" t="str">
        <f t="array" ref="T3">_xlfn.XLOOKUP(B3,'Up Max'!A:A,'Up Max'!E:E,)</f>
        <v/>
      </c>
      <c r="U3" s="57" t="str">
        <f t="array" ref="U3">_xlfn.XLOOKUP(B3,'Up Stats'!A:A,'Up Stats'!F:F,)</f>
        <v/>
      </c>
      <c r="V3" s="54" t="str">
        <f>IFERROR(__xludf.DUMMYFUNCTION("if(AND(W3=FALSE,X3=FALSE),,if(W3=X3,JOIN("""",""Static: "",W3),JOIN("""",""Min:  "",W3, CHAR(10),""Max: "",X3)))"),"")</f>
        <v/>
      </c>
      <c r="W3" s="55" t="str">
        <f t="array" ref="W3">_xlfn.XLOOKUP(B3,'Up Min'!A:A,'Up Min'!F:F,)</f>
        <v/>
      </c>
      <c r="X3" s="55" t="str">
        <f t="array" ref="X3">_xlfn.XLOOKUP(B3,'Up Max'!A:A,'Up Max'!F:F,)</f>
        <v/>
      </c>
      <c r="Y3" s="57" t="str">
        <f t="array" ref="Y3">_xlfn.XLOOKUP(B3,'Up Stats'!A:A,'Up Stats'!G:G,)</f>
        <v/>
      </c>
      <c r="Z3" s="54" t="str">
        <f>IFERROR(__xludf.DUMMYFUNCTION("if(AND(AA3=FALSE,AB3=FALSE),,if(AA3=AB3,JOIN("""",""Static: "",AA3),JOIN("""",""Min:  "",AA3, CHAR(10),""Max: "",AB3)))"),"")</f>
        <v/>
      </c>
      <c r="AA3" s="55" t="str">
        <f t="array" ref="AA3">_xlfn.XLOOKUP(B3,'Up Min'!A:A,'Up Min'!G:G,)</f>
        <v/>
      </c>
      <c r="AB3" s="55" t="str">
        <f t="array" ref="AB3">_xlfn.XLOOKUP(B3,'Up Max'!A:A,'Up Max'!G:G,)</f>
        <v/>
      </c>
      <c r="AC3" s="57" t="str">
        <f t="array" ref="AC3">_xlfn.XLOOKUP(B3,'Up Stats'!A:A,'Up Stats'!H:H,)</f>
        <v/>
      </c>
      <c r="AD3" s="54" t="str">
        <f>IFERROR(__xludf.DUMMYFUNCTION("if(AND(AE3=FALSE,AF3=FALSE),,if(AE3=AF3,JOIN("""",""Static: "",AE3),JOIN("""",""Min:  "",AE3, CHAR(10),""Max: "",AF3)))"),"")</f>
        <v/>
      </c>
      <c r="AE3" s="55" t="str">
        <f t="array" ref="AE3">_xlfn.XLOOKUP(B3,'Up Min'!A:A,'Up Min'!H:H,)</f>
        <v/>
      </c>
      <c r="AF3" s="55" t="str">
        <f t="array" ref="AF3">_xlfn.XLOOKUP(B3,'Up Max'!A:A,'Up Max'!H:H,)</f>
        <v/>
      </c>
      <c r="AG3" s="57" t="str">
        <f t="array" ref="AG3">_xlfn.XLOOKUP(B3,'Up Stats'!A:A,'Up Stats'!I:I,)</f>
        <v/>
      </c>
      <c r="AH3" s="54" t="str">
        <f>IFERROR(__xludf.DUMMYFUNCTION("if(AND(AI3=FALSE,AJ3=FALSE),,if(AI3=AJ3,JOIN("""",""Static: "",AI3),JOIN("""",""Min:  "",AI3, CHAR(10),""Max: "",AJ3)))"),"")</f>
        <v/>
      </c>
      <c r="AI3" s="55" t="str">
        <f t="array" ref="AI3">_xlfn.XLOOKUP(B3,'Up Min'!A:A,'Up Min'!I:I,)</f>
        <v/>
      </c>
      <c r="AJ3" s="55" t="str">
        <f t="array" ref="AJ3">_xlfn.XLOOKUP(B3,'Up Max'!A:A,'Up Max'!I:I,)</f>
        <v/>
      </c>
      <c r="AK3" s="57" t="str">
        <f t="array" ref="AK3">_xlfn.XLOOKUP(B3,'Up Stats'!A:A,'Up Stats'!J:J,)</f>
        <v/>
      </c>
      <c r="AL3" s="54" t="str">
        <f>IFERROR(__xludf.DUMMYFUNCTION("if(AND(AM3=FALSE,AN3=FALSE),,if(AM3=AN3,JOIN("""",""Static: "",AM3),JOIN("""",""Min:  "",AM3, CHAR(10),""Max: "",AN3)))"),"")</f>
        <v/>
      </c>
      <c r="AM3" s="55" t="str">
        <f t="array" ref="AM3">_xlfn.XLOOKUP(B3,'Up Min'!A:A,'Up Min'!J:J,)</f>
        <v/>
      </c>
      <c r="AN3" s="55" t="str">
        <f t="array" ref="AN3">_xlfn.XLOOKUP(B3,'Up Max'!A:A,'Up Max'!J:J,)</f>
        <v/>
      </c>
      <c r="AO3" s="51" t="s">
        <v>31</v>
      </c>
      <c r="AP3" s="51" t="str">
        <f t="array" ref="AP3">CONCATENATE(_xlfn.XLOOKUP(B3,'Up Rarity'!A:A,'Up Rarity'!B:B,),CHAR(10),"-")</f>
        <v>Contraband
-</v>
      </c>
    </row>
    <row r="4">
      <c r="A4" s="60" t="str">
        <f t="array" ref="A4">_xlfn.XLOOKUP(B4,'Up Icon'!A:A,'Up Icon'!B:B,)</f>
        <v/>
      </c>
      <c r="B4" s="58" t="str">
        <f t="array" ref="B4">HYPERLINK(_xlfn.XLOOKUP('Up Names'!I29,'Up Wiki'!A:A,'Up Wiki'!B:B,),'Up Names'!I29)</f>
        <v>Boundary Incursion</v>
      </c>
      <c r="C4" s="37" t="str">
        <f t="array" ref="C4">_xlfn.XLOOKUP(B4,'Up Desc'!A:A,'Up Desc'!B:B,)</f>
        <v>Increases the size of your upgrade grid.</v>
      </c>
      <c r="D4" s="37" t="str">
        <f t="array" ref="D4">_xlfn.XLOOKUP(B4,'Up Turbo'!A:A,'Up Turbo'!B:B,)</f>
        <v>n/a</v>
      </c>
      <c r="E4" s="39" t="str">
        <f t="array" ref="E4">_xlfn.XLOOKUP(B4,'Up Stats'!A:A,'Up Stats'!B:B,)</f>
        <v/>
      </c>
      <c r="F4" s="40" t="str">
        <f>IFERROR(__xludf.DUMMYFUNCTION("if(AND(G4=FALSE,H4=FALSE),,if(G4=H4,JOIN("""",""Static: "",G4),JOIN("""",""Min:  "",G4, CHAR(10),""Max: "",H4)))"),"")</f>
        <v/>
      </c>
      <c r="G4" s="42" t="str">
        <f t="array" ref="G4">_xlfn.XLOOKUP(B4,'Up Min'!A:A,'Up Min'!B:B,)</f>
        <v/>
      </c>
      <c r="H4" s="45" t="str">
        <f t="array" ref="H4">_xlfn.XLOOKUP(B4,'Up Max'!A:A,'Up Max'!B:B,)</f>
        <v/>
      </c>
      <c r="I4" s="39" t="str">
        <f t="array" ref="I4">_xlfn.XLOOKUP(B4,'Up Stats'!A:A,'Up Stats'!C:C,)</f>
        <v/>
      </c>
      <c r="J4" s="40" t="str">
        <f>IFERROR(__xludf.DUMMYFUNCTION("if(AND(K4=FALSE,L4=FALSE),,if(K4=L4,JOIN("""",""Static: "",K4),JOIN("""",""Min:  "",K4, CHAR(10),""Max: "",L4)))"),"")</f>
        <v/>
      </c>
      <c r="K4" s="45" t="str">
        <f t="array" ref="K4">_xlfn.XLOOKUP(B4,'Up Min'!A:A,'Up Min'!C:C,)</f>
        <v/>
      </c>
      <c r="L4" s="42" t="str">
        <f t="array" ref="L4">_xlfn.XLOOKUP(B4,'Up Max'!A:A,'Up Max'!C:C,)</f>
        <v/>
      </c>
      <c r="M4" s="39" t="str">
        <f t="array" ref="M4">_xlfn.XLOOKUP(B4,'Up Stats'!A:A,'Up Stats'!D:D,)</f>
        <v/>
      </c>
      <c r="N4" s="40" t="str">
        <f>IFERROR(__xludf.DUMMYFUNCTION("if(AND(O4=FALSE,P4=FALSE),,if(O4=P4,JOIN("""",""Static: "",O4),JOIN("""",""Min:  "",O4, CHAR(10),""Max: "",P4)))"),"")</f>
        <v/>
      </c>
      <c r="O4" s="42" t="str">
        <f t="array" ref="O4">_xlfn.XLOOKUP(B4,'Up Min'!A:A,'Up Min'!D:D,)</f>
        <v/>
      </c>
      <c r="P4" s="42" t="str">
        <f t="array" ref="P4">_xlfn.XLOOKUP(B4,'Up Max'!A:A,'Up Max'!D:D,)</f>
        <v/>
      </c>
      <c r="Q4" s="48" t="str">
        <f t="array" ref="Q4">_xlfn.XLOOKUP(B4,'Up Stats'!A:A,'Up Stats'!E:E,)</f>
        <v/>
      </c>
      <c r="R4" s="40" t="str">
        <f>IFERROR(__xludf.DUMMYFUNCTION("if(AND(S4=FALSE,T4=FALSE),,if(S4=T4,JOIN("""",""Static: "",S4),JOIN("""",""Min:  "",S4, CHAR(10),""Max: "",T4)))"),"")</f>
        <v/>
      </c>
      <c r="S4" s="42" t="str">
        <f t="array" ref="S4">_xlfn.XLOOKUP(B4,'Up Min'!A:A,'Up Min'!E:E,)</f>
        <v/>
      </c>
      <c r="T4" s="42" t="str">
        <f t="array" ref="T4">_xlfn.XLOOKUP(B4,'Up Max'!A:A,'Up Max'!E:E,)</f>
        <v/>
      </c>
      <c r="U4" s="48" t="str">
        <f t="array" ref="U4">_xlfn.XLOOKUP(B4,'Up Stats'!A:A,'Up Stats'!F:F,)</f>
        <v/>
      </c>
      <c r="V4" s="40" t="str">
        <f>IFERROR(__xludf.DUMMYFUNCTION("if(AND(W4=FALSE,X4=FALSE),,if(W4=X4,JOIN("""",""Static: "",W4),JOIN("""",""Min:  "",W4, CHAR(10),""Max: "",X4)))"),"")</f>
        <v/>
      </c>
      <c r="W4" s="42" t="str">
        <f t="array" ref="W4">_xlfn.XLOOKUP(B4,'Up Min'!A:A,'Up Min'!F:F,)</f>
        <v/>
      </c>
      <c r="X4" s="42" t="str">
        <f t="array" ref="X4">_xlfn.XLOOKUP(B4,'Up Max'!A:A,'Up Max'!F:F,)</f>
        <v/>
      </c>
      <c r="Y4" s="48" t="str">
        <f t="array" ref="Y4">_xlfn.XLOOKUP(B4,'Up Stats'!A:A,'Up Stats'!G:G,)</f>
        <v/>
      </c>
      <c r="Z4" s="40" t="str">
        <f>IFERROR(__xludf.DUMMYFUNCTION("if(AND(AA4=FALSE,AB4=FALSE),,if(AA4=AB4,JOIN("""",""Static: "",AA4),JOIN("""",""Min:  "",AA4, CHAR(10),""Max: "",AB4)))"),"")</f>
        <v/>
      </c>
      <c r="AA4" s="42" t="str">
        <f t="array" ref="AA4">_xlfn.XLOOKUP(B4,'Up Min'!A:A,'Up Min'!G:G,)</f>
        <v/>
      </c>
      <c r="AB4" s="42" t="str">
        <f t="array" ref="AB4">_xlfn.XLOOKUP(B4,'Up Max'!A:A,'Up Max'!G:G,)</f>
        <v/>
      </c>
      <c r="AC4" s="48" t="str">
        <f t="array" ref="AC4">_xlfn.XLOOKUP(B4,'Up Stats'!A:A,'Up Stats'!H:H,)</f>
        <v/>
      </c>
      <c r="AD4" s="40" t="str">
        <f>IFERROR(__xludf.DUMMYFUNCTION("if(AND(AE4=FALSE,AF4=FALSE),,if(AE4=AF4,JOIN("""",""Static: "",AE4),JOIN("""",""Min:  "",AE4, CHAR(10),""Max: "",AF4)))"),"")</f>
        <v/>
      </c>
      <c r="AE4" s="42" t="str">
        <f t="array" ref="AE4">_xlfn.XLOOKUP(B4,'Up Min'!A:A,'Up Min'!H:H,)</f>
        <v/>
      </c>
      <c r="AF4" s="42" t="str">
        <f t="array" ref="AF4">_xlfn.XLOOKUP(B4,'Up Max'!A:A,'Up Max'!H:H,)</f>
        <v/>
      </c>
      <c r="AG4" s="48" t="str">
        <f t="array" ref="AG4">_xlfn.XLOOKUP(B4,'Up Stats'!A:A,'Up Stats'!I:I,)</f>
        <v/>
      </c>
      <c r="AH4" s="40" t="str">
        <f>IFERROR(__xludf.DUMMYFUNCTION("if(AND(AI4=FALSE,AJ4=FALSE),,if(AI4=AJ4,JOIN("""",""Static: "",AI4),JOIN("""",""Min:  "",AI4, CHAR(10),""Max: "",AJ4)))"),"")</f>
        <v/>
      </c>
      <c r="AI4" s="42" t="str">
        <f t="array" ref="AI4">_xlfn.XLOOKUP(B4,'Up Min'!A:A,'Up Min'!I:I,)</f>
        <v/>
      </c>
      <c r="AJ4" s="42" t="str">
        <f t="array" ref="AJ4">_xlfn.XLOOKUP(B4,'Up Max'!A:A,'Up Max'!I:I,)</f>
        <v/>
      </c>
      <c r="AK4" s="48" t="str">
        <f t="array" ref="AK4">_xlfn.XLOOKUP(B4,'Up Stats'!A:A,'Up Stats'!J:J,)</f>
        <v/>
      </c>
      <c r="AL4" s="40" t="str">
        <f>IFERROR(__xludf.DUMMYFUNCTION("if(AND(AM4=FALSE,AN4=FALSE),,if(AM4=AN4,JOIN("""",""Static: "",AM4),JOIN("""",""Min:  "",AM4, CHAR(10),""Max: "",AN4)))"),"")</f>
        <v/>
      </c>
      <c r="AM4" s="42" t="str">
        <f t="array" ref="AM4">_xlfn.XLOOKUP(B4,'Up Min'!A:A,'Up Min'!J:J,)</f>
        <v/>
      </c>
      <c r="AN4" s="42" t="str">
        <f t="array" ref="AN4">_xlfn.XLOOKUP(B4,'Up Max'!A:A,'Up Max'!J:J,)</f>
        <v/>
      </c>
      <c r="AO4" s="34" t="s">
        <v>30</v>
      </c>
      <c r="AP4" s="34" t="str">
        <f t="array" ref="AP4">CONCATENATE(_xlfn.XLOOKUP(B4,'Up Rarity'!A:A,'Up Rarity'!B:B,),CHAR(10),"-")</f>
        <v>Oddity
-</v>
      </c>
    </row>
    <row r="5">
      <c r="A5" s="62" t="str">
        <f t="array" ref="A5">_xlfn.XLOOKUP(B5,'Up Icon'!A:A,'Up Icon'!B:B,)</f>
        <v/>
      </c>
      <c r="B5" s="88" t="str">
        <f t="array" ref="B5">HYPERLINK(_xlfn.XLOOKUP('Up Names'!I2,'Up Wiki'!A:A,'Up Wiki'!B:B,),'Up Names'!I2)</f>
        <v>Flood</v>
      </c>
      <c r="C5" s="70" t="str">
        <f t="array" ref="C5">_xlfn.XLOOKUP(B5,'Up Desc'!A:A,'Up Desc'!B:B,)</f>
        <v>Globs create a running wave of acid when they impact a surface.</v>
      </c>
      <c r="D5" s="52" t="str">
        <f t="array" ref="D5">_xlfn.XLOOKUP(B5,'Up Turbo'!A:A,'Up Turbo'!B:B,)</f>
        <v/>
      </c>
      <c r="E5" s="53" t="str">
        <f t="array" ref="E5">_xlfn.XLOOKUP(B5,'Up Stats'!A:A,'Up Stats'!B:B,)</f>
        <v>Distance</v>
      </c>
      <c r="F5" s="54" t="str">
        <f>IFERROR(__xludf.DUMMYFUNCTION("if(AND(G5=FALSE,H5=FALSE),,if(G5=H5,JOIN("""",""Static: "",G5),JOIN("""",""Min:  "",G5, CHAR(10),""Max: "",H5)))"),"Min:  19
Max: 33")</f>
        <v>Min:  19
Max: 33</v>
      </c>
      <c r="G5" s="64">
        <f t="array" ref="G5">_xlfn.XLOOKUP(B5,'Up Min'!A:A,'Up Min'!B:B,)</f>
        <v>19</v>
      </c>
      <c r="H5" s="65">
        <f t="array" ref="H5">_xlfn.XLOOKUP(B5,'Up Max'!A:A,'Up Max'!B:B,)</f>
        <v>33</v>
      </c>
      <c r="I5" s="53" t="str">
        <f t="array" ref="I5">_xlfn.XLOOKUP(B5,'Up Stats'!A:A,'Up Stats'!C:C,)</f>
        <v>Fire Rate</v>
      </c>
      <c r="J5" s="54" t="str">
        <f>IFERROR(__xludf.DUMMYFUNCTION("if(AND(K5=FALSE,L5=FALSE),,if(K5=L5,JOIN("""",""Static: "",K5),JOIN("""",""Min:  "",K5, CHAR(10),""Max: "",L5)))"),"Min:  -54.95%
Max: -63.10%")</f>
        <v>Min:  -54.95%
Max: -63.10%</v>
      </c>
      <c r="K5" s="71">
        <f t="array" ref="K5">_xlfn.XLOOKUP(B5,'Up Min'!A:A,'Up Min'!C:C,)</f>
        <v>-0.5495</v>
      </c>
      <c r="L5" s="71">
        <f t="array" ref="L5">_xlfn.XLOOKUP(B5,'Up Max'!A:A,'Up Max'!C:C,)</f>
        <v>-0.631</v>
      </c>
      <c r="M5" s="53" t="str">
        <f t="array" ref="M5">_xlfn.XLOOKUP(B5,'Up Stats'!A:A,'Up Stats'!D:D,)</f>
        <v>Bounces</v>
      </c>
      <c r="N5" s="54" t="str">
        <f>IFERROR(__xludf.DUMMYFUNCTION("if(AND(O5=FALSE,P5=FALSE),,if(O5=P5,JOIN("""",""Static: "",O5),JOIN("""",""Min:  "",O5, CHAR(10),""Max: "",P5)))"),"Static: 0")</f>
        <v>Static: 0</v>
      </c>
      <c r="O5" s="65">
        <f t="array" ref="O5">_xlfn.XLOOKUP(B5,'Up Min'!A:A,'Up Min'!D:D,)</f>
        <v>0</v>
      </c>
      <c r="P5" s="65">
        <f t="array" ref="P5">_xlfn.XLOOKUP(B5,'Up Max'!A:A,'Up Max'!D:D,)</f>
        <v>0</v>
      </c>
      <c r="Q5" s="57" t="str">
        <f t="array" ref="Q5">_xlfn.XLOOKUP(B5,'Up Stats'!A:A,'Up Stats'!E:E,)</f>
        <v>Ammo Capacity</v>
      </c>
      <c r="R5" s="54" t="str">
        <f>IFERROR(__xludf.DUMMYFUNCTION("if(AND(S5=FALSE,T5=FALSE),,if(S5=T5,JOIN("""",""Static: "",S5),JOIN("""",""Min:  "",S5, CHAR(10),""Max: "",T5)))"),"Min:  -76%
Max: -70%")</f>
        <v>Min:  -76%
Max: -70%</v>
      </c>
      <c r="S5" s="59">
        <f t="array" ref="S5">_xlfn.XLOOKUP(B5,'Up Min'!A:A,'Up Min'!E:E,)</f>
        <v>-0.76</v>
      </c>
      <c r="T5" s="59">
        <f t="array" ref="T5">_xlfn.XLOOKUP(B5,'Up Max'!A:A,'Up Max'!E:E,)</f>
        <v>-0.7</v>
      </c>
      <c r="U5" s="53" t="str">
        <f t="array" ref="U5">_xlfn.XLOOKUP(B5,'Up Stats'!A:A,'Up Stats'!F:F,)</f>
        <v/>
      </c>
      <c r="V5" s="54" t="str">
        <f>IFERROR(__xludf.DUMMYFUNCTION("if(AND(W5=FALSE,X5=FALSE),,if(W5=X5,JOIN("""",""Static: "",W5),JOIN("""",""Min:  "",W5, CHAR(10),""Max: "",X5)))"),"")</f>
        <v/>
      </c>
      <c r="W5" s="56" t="str">
        <f t="array" ref="W5">_xlfn.XLOOKUP(B5,'Up Min'!A:A,'Up Min'!F:F,)</f>
        <v/>
      </c>
      <c r="X5" s="56" t="str">
        <f t="array" ref="X5">_xlfn.XLOOKUP(B5,'Up Max'!A:A,'Up Max'!F:F,)</f>
        <v/>
      </c>
      <c r="Y5" s="57" t="str">
        <f t="array" ref="Y5">_xlfn.XLOOKUP(B5,'Up Stats'!A:A,'Up Stats'!G:G,)</f>
        <v/>
      </c>
      <c r="Z5" s="54" t="str">
        <f>IFERROR(__xludf.DUMMYFUNCTION("if(AND(AA5=FALSE,AB5=FALSE),,if(AA5=AB5,JOIN("""",""Static: "",AA5),JOIN("""",""Min:  "",AA5, CHAR(10),""Max: "",AB5)))"),"")</f>
        <v/>
      </c>
      <c r="AA5" s="55" t="str">
        <f t="array" ref="AA5">_xlfn.XLOOKUP(B5,'Up Min'!A:A,'Up Min'!G:G,)</f>
        <v/>
      </c>
      <c r="AB5" s="72" t="str">
        <f t="array" ref="AB5">_xlfn.XLOOKUP(B5,'Up Max'!A:A,'Up Max'!G:G,)</f>
        <v/>
      </c>
      <c r="AC5" s="80" t="str">
        <f t="array" ref="AC5">_xlfn.XLOOKUP(B5,'Up Stats'!A:A,'Up Stats'!H:H,)</f>
        <v/>
      </c>
      <c r="AD5" s="54" t="str">
        <f>IFERROR(__xludf.DUMMYFUNCTION("if(AND(AE5=FALSE,AF5=FALSE),,if(AE5=AF5,JOIN("""",""Static: "",AE5),JOIN("""",""Min:  "",AE5, CHAR(10),""Max: "",AF5)))"),"")</f>
        <v/>
      </c>
      <c r="AE5" s="55" t="str">
        <f t="array" ref="AE5">_xlfn.XLOOKUP(B5,'Up Min'!A:A,'Up Min'!H:H,)</f>
        <v/>
      </c>
      <c r="AF5" s="55" t="str">
        <f t="array" ref="AF5">_xlfn.XLOOKUP(B5,'Up Max'!A:A,'Up Max'!H:H,)</f>
        <v/>
      </c>
      <c r="AG5" s="57" t="str">
        <f t="array" ref="AG5">_xlfn.XLOOKUP(B5,'Up Stats'!A:A,'Up Stats'!I:I,)</f>
        <v/>
      </c>
      <c r="AH5" s="54" t="str">
        <f>IFERROR(__xludf.DUMMYFUNCTION("if(AND(AI5=FALSE,AJ5=FALSE),,if(AI5=AJ5,JOIN("""",""Static: "",AI5),JOIN("""",""Min:  "",AI5, CHAR(10),""Max: "",AJ5)))"),"")</f>
        <v/>
      </c>
      <c r="AI5" s="55" t="str">
        <f t="array" ref="AI5">_xlfn.XLOOKUP(B5,'Up Min'!A:A,'Up Min'!I:I,)</f>
        <v/>
      </c>
      <c r="AJ5" s="55" t="str">
        <f t="array" ref="AJ5">_xlfn.XLOOKUP(B5,'Up Max'!A:A,'Up Max'!I:I,)</f>
        <v/>
      </c>
      <c r="AK5" s="57" t="str">
        <f t="array" ref="AK5">_xlfn.XLOOKUP(B5,'Up Stats'!A:A,'Up Stats'!J:J,)</f>
        <v/>
      </c>
      <c r="AL5" s="54" t="str">
        <f>IFERROR(__xludf.DUMMYFUNCTION("if(AND(AM5=FALSE,AN5=FALSE),,if(AM5=AN5,JOIN("""",""Static: "",AM5),JOIN("""",""Min:  "",AM5, CHAR(10),""Max: "",AN5)))"),"")</f>
        <v/>
      </c>
      <c r="AM5" s="55" t="str">
        <f t="array" ref="AM5">_xlfn.XLOOKUP(B5,'Up Min'!A:A,'Up Min'!J:J,)</f>
        <v/>
      </c>
      <c r="AN5" s="55" t="str">
        <f t="array" ref="AN5">_xlfn.XLOOKUP(B5,'Up Max'!A:A,'Up Max'!J:J,)</f>
        <v/>
      </c>
      <c r="AO5" s="51" t="s">
        <v>32</v>
      </c>
      <c r="AP5" s="51" t="str">
        <f t="array" ref="AP5">CONCATENATE(_xlfn.XLOOKUP(B5,'Up Rarity'!A:A,'Up Rarity'!B:B,),CHAR(10),"-")</f>
        <v>Exotic
-</v>
      </c>
    </row>
    <row r="6">
      <c r="A6" s="62" t="str">
        <f t="array" ref="A6">_xlfn.XLOOKUP(B6,'Up Icon'!A:A,'Up Icon'!B:B,)</f>
        <v/>
      </c>
      <c r="B6" s="89" t="str">
        <f t="array" ref="B6">HYPERLINK(_xlfn.XLOOKUP('Up Names'!I3,'Up Wiki'!A:A,'Up Wiki'!B:B,),'Up Names'!I3)</f>
        <v>Globulous Siphon</v>
      </c>
      <c r="C6" s="67" t="str">
        <f t="array" ref="C6">_xlfn.XLOOKUP(B6,'Up Desc'!A:A,'Up Desc'!B:B,)</f>
        <v>Hold RELOAD to consume grenade charge. Greatly increases the explosion size of your next glob. This size is increased with your globblometer.</v>
      </c>
      <c r="D6" s="37" t="str">
        <f t="array" ref="D6">_xlfn.XLOOKUP(B6,'Up Turbo'!A:A,'Up Turbo'!B:B,)</f>
        <v/>
      </c>
      <c r="E6" s="39" t="str">
        <f t="array" ref="E6">_xlfn.XLOOKUP(B6,'Up Stats'!A:A,'Up Stats'!B:B,)</f>
        <v>Charge per Second</v>
      </c>
      <c r="F6" s="40" t="str">
        <f>IFERROR(__xludf.DUMMYFUNCTION("if(AND(G6=FALSE,H6=FALSE),,if(G6=H6,JOIN("""",""Static: "",G6),JOIN("""",""Min:  "",G6, CHAR(10),""Max: "",H6)))"),"Min:  -11
Max: -18")</f>
        <v>Min:  -11
Max: -18</v>
      </c>
      <c r="G6" s="69">
        <f t="array" ref="G6">_xlfn.XLOOKUP(B6,'Up Min'!A:A,'Up Min'!B:B,)</f>
        <v>-11</v>
      </c>
      <c r="H6" s="68">
        <f t="array" ref="H6">_xlfn.XLOOKUP(B6,'Up Max'!A:A,'Up Max'!B:B,)</f>
        <v>-18</v>
      </c>
      <c r="I6" s="39" t="str">
        <f t="array" ref="I6">_xlfn.XLOOKUP(B6,'Up Stats'!A:A,'Up Stats'!C:C,)</f>
        <v>Explosion Size</v>
      </c>
      <c r="J6" s="40" t="str">
        <f>IFERROR(__xludf.DUMMYFUNCTION("if(AND(K6=FALSE,L6=FALSE),,if(K6=L6,JOIN("""",""Static: "",K6),JOIN("""",""Min:  "",K6, CHAR(10),""Max: "",L6)))"),"Min:  0.2
Max: 0.3")</f>
        <v>Min:  0.2
Max: 0.3</v>
      </c>
      <c r="K6" s="68">
        <f t="array" ref="K6">_xlfn.XLOOKUP(B6,'Up Min'!A:A,'Up Min'!C:C,)</f>
        <v>0.2</v>
      </c>
      <c r="L6" s="69">
        <f t="array" ref="L6">_xlfn.XLOOKUP(B6,'Up Max'!A:A,'Up Max'!C:C,)</f>
        <v>0.3</v>
      </c>
      <c r="M6" s="39" t="str">
        <f t="array" ref="M6">_xlfn.XLOOKUP(B6,'Up Stats'!A:A,'Up Stats'!D:D,)</f>
        <v>Max Size</v>
      </c>
      <c r="N6" s="40" t="str">
        <f>IFERROR(__xludf.DUMMYFUNCTION("if(AND(O6=FALSE,P6=FALSE),,if(O6=P6,JOIN("""",""Static: "",O6),JOIN("""",""Min:  "",O6, CHAR(10),""Max: "",P6)))"),"Min:  0.2
Max: 0.3")</f>
        <v>Min:  0.2
Max: 0.3</v>
      </c>
      <c r="O6" s="68">
        <f t="array" ref="O6">_xlfn.XLOOKUP(B6,'Up Min'!A:A,'Up Min'!D:D,)</f>
        <v>0.2</v>
      </c>
      <c r="P6" s="68">
        <f t="array" ref="P6">_xlfn.XLOOKUP(B6,'Up Max'!A:A,'Up Max'!D:D,)</f>
        <v>0.3</v>
      </c>
      <c r="Q6" s="48" t="str">
        <f t="array" ref="Q6">_xlfn.XLOOKUP(B6,'Up Stats'!A:A,'Up Stats'!E:E,)</f>
        <v/>
      </c>
      <c r="R6" s="40" t="str">
        <f>IFERROR(__xludf.DUMMYFUNCTION("if(AND(S6=FALSE,T6=FALSE),,if(S6=T6,JOIN("""",""Static: "",S6),JOIN("""",""Min:  "",S6, CHAR(10),""Max: "",T6)))"),"")</f>
        <v/>
      </c>
      <c r="S6" s="45" t="str">
        <f t="array" ref="S6">_xlfn.XLOOKUP(B6,'Up Min'!A:A,'Up Min'!E:E,)</f>
        <v/>
      </c>
      <c r="T6" s="42" t="str">
        <f t="array" ref="T6">_xlfn.XLOOKUP(B6,'Up Max'!A:A,'Up Max'!E:E,)</f>
        <v/>
      </c>
      <c r="U6" s="48" t="str">
        <f t="array" ref="U6">_xlfn.XLOOKUP(B6,'Up Stats'!A:A,'Up Stats'!F:F,)</f>
        <v/>
      </c>
      <c r="V6" s="40" t="str">
        <f>IFERROR(__xludf.DUMMYFUNCTION("if(AND(W6=FALSE,X6=FALSE),,if(W6=X6,JOIN("""",""Static: "",W6),JOIN("""",""Min:  "",W6, CHAR(10),""Max: "",X6)))"),"")</f>
        <v/>
      </c>
      <c r="W6" s="74" t="str">
        <f t="array" ref="W6">_xlfn.XLOOKUP(B6,'Up Min'!A:A,'Up Min'!F:F,)</f>
        <v/>
      </c>
      <c r="X6" s="74" t="str">
        <f t="array" ref="X6">_xlfn.XLOOKUP(B6,'Up Max'!A:A,'Up Max'!F:F,)</f>
        <v/>
      </c>
      <c r="Y6" s="48" t="str">
        <f t="array" ref="Y6">_xlfn.XLOOKUP(B6,'Up Stats'!A:A,'Up Stats'!G:G,)</f>
        <v/>
      </c>
      <c r="Z6" s="40" t="str">
        <f>IFERROR(__xludf.DUMMYFUNCTION("if(AND(AA6=FALSE,AB6=FALSE),,if(AA6=AB6,JOIN("""",""Static: "",AA6),JOIN("""",""Min:  "",AA6, CHAR(10),""Max: "",AB6)))"),"")</f>
        <v/>
      </c>
      <c r="AA6" s="42" t="str">
        <f t="array" ref="AA6">_xlfn.XLOOKUP(B6,'Up Min'!A:A,'Up Min'!G:G,)</f>
        <v/>
      </c>
      <c r="AB6" s="74" t="str">
        <f t="array" ref="AB6">_xlfn.XLOOKUP(B6,'Up Max'!A:A,'Up Max'!G:G,)</f>
        <v/>
      </c>
      <c r="AC6" s="79" t="str">
        <f t="array" ref="AC6">_xlfn.XLOOKUP(B6,'Up Stats'!A:A,'Up Stats'!H:H,)</f>
        <v/>
      </c>
      <c r="AD6" s="40" t="str">
        <f>IFERROR(__xludf.DUMMYFUNCTION("if(AND(AE6=FALSE,AF6=FALSE),,if(AE6=AF6,JOIN("""",""Static: "",AE6),JOIN("""",""Min:  "",AE6, CHAR(10),""Max: "",AF6)))"),"")</f>
        <v/>
      </c>
      <c r="AE6" s="42" t="str">
        <f t="array" ref="AE6">_xlfn.XLOOKUP(B6,'Up Min'!A:A,'Up Min'!H:H,)</f>
        <v/>
      </c>
      <c r="AF6" s="42" t="str">
        <f t="array" ref="AF6">_xlfn.XLOOKUP(B6,'Up Max'!A:A,'Up Max'!H:H,)</f>
        <v/>
      </c>
      <c r="AG6" s="48" t="str">
        <f t="array" ref="AG6">_xlfn.XLOOKUP(B6,'Up Stats'!A:A,'Up Stats'!I:I,)</f>
        <v/>
      </c>
      <c r="AH6" s="40" t="str">
        <f>IFERROR(__xludf.DUMMYFUNCTION("if(AND(AI6=FALSE,AJ6=FALSE),,if(AI6=AJ6,JOIN("""",""Static: "",AI6),JOIN("""",""Min:  "",AI6, CHAR(10),""Max: "",AJ6)))"),"")</f>
        <v/>
      </c>
      <c r="AI6" s="42" t="str">
        <f t="array" ref="AI6">_xlfn.XLOOKUP(B6,'Up Min'!A:A,'Up Min'!I:I,)</f>
        <v/>
      </c>
      <c r="AJ6" s="42" t="str">
        <f t="array" ref="AJ6">_xlfn.XLOOKUP(B6,'Up Max'!A:A,'Up Max'!I:I,)</f>
        <v/>
      </c>
      <c r="AK6" s="48" t="str">
        <f t="array" ref="AK6">_xlfn.XLOOKUP(B6,'Up Stats'!A:A,'Up Stats'!J:J,)</f>
        <v/>
      </c>
      <c r="AL6" s="40" t="str">
        <f>IFERROR(__xludf.DUMMYFUNCTION("if(AND(AM6=FALSE,AN6=FALSE),,if(AM6=AN6,JOIN("""",""Static: "",AM6),JOIN("""",""Min:  "",AM6, CHAR(10),""Max: "",AN6)))"),"")</f>
        <v/>
      </c>
      <c r="AM6" s="42" t="str">
        <f t="array" ref="AM6">_xlfn.XLOOKUP(B6,'Up Min'!A:A,'Up Min'!J:J,)</f>
        <v/>
      </c>
      <c r="AN6" s="42" t="str">
        <f t="array" ref="AN6">_xlfn.XLOOKUP(B6,'Up Max'!A:A,'Up Max'!J:J,)</f>
        <v/>
      </c>
      <c r="AO6" s="34" t="s">
        <v>33</v>
      </c>
      <c r="AP6" s="34" t="str">
        <f t="array" ref="AP6">CONCATENATE(_xlfn.XLOOKUP(B6,'Up Rarity'!A:A,'Up Rarity'!B:B,),CHAR(10),"-")</f>
        <v>Exotic
-</v>
      </c>
    </row>
    <row r="7">
      <c r="A7" s="62" t="str">
        <f t="array" ref="A7">_xlfn.XLOOKUP(B7,'Up Icon'!A:A,'Up Icon'!B:B,)</f>
        <v/>
      </c>
      <c r="B7" s="88" t="str">
        <f t="array" ref="B7">HYPERLINK(_xlfn.XLOOKUP('Up Names'!I4,'Up Wiki'!A:A,'Up Wiki'!B:B,),'Up Names'!I4)</f>
        <v>Impact Funnel</v>
      </c>
      <c r="C7" s="70" t="str">
        <f t="array" ref="C7">_xlfn.XLOOKUP(B7,'Up Desc'!A:A,'Up Desc'!B:B,)</f>
        <v>Taken damage builds up a meter that increases the damage of your globs. Firing a glob consumes less of the meter when your globblometer is higher.</v>
      </c>
      <c r="D7" s="52" t="str">
        <f t="array" ref="D7">_xlfn.XLOOKUP(B7,'Up Turbo'!A:A,'Up Turbo'!B:B,)</f>
        <v/>
      </c>
      <c r="E7" s="53" t="str">
        <f t="array" ref="E7">_xlfn.XLOOKUP(B7,'Up Stats'!A:A,'Up Stats'!B:B,)</f>
        <v>Efficiency</v>
      </c>
      <c r="F7" s="54" t="str">
        <f>IFERROR(__xludf.DUMMYFUNCTION("if(AND(G7=FALSE,H7=FALSE),,if(G7=H7,JOIN("""",""Static: "",G7),JOIN("""",""Min:  "",G7, CHAR(10),""Max: "",H7)))"),"Min:  12%
Max: 15%")</f>
        <v>Min:  12%
Max: 15%</v>
      </c>
      <c r="G7" s="59">
        <f t="array" ref="G7">_xlfn.XLOOKUP(B7,'Up Min'!A:A,'Up Min'!B:B,)</f>
        <v>0.12</v>
      </c>
      <c r="H7" s="59">
        <f t="array" ref="H7">_xlfn.XLOOKUP(B7,'Up Max'!A:A,'Up Max'!B:B,)</f>
        <v>0.15</v>
      </c>
      <c r="I7" s="53" t="str">
        <f t="array" ref="I7">_xlfn.XLOOKUP(B7,'Up Stats'!A:A,'Up Stats'!C:C,)</f>
        <v>Max Damage</v>
      </c>
      <c r="J7" s="54" t="str">
        <f>IFERROR(__xludf.DUMMYFUNCTION("if(AND(K7=FALSE,L7=FALSE),,if(K7=L7,JOIN("""",""Static: "",K7),JOIN("""",""Min:  "",K7, CHAR(10),""Max: "",L7)))"),"Min:  380%
Max: 480%")</f>
        <v>Min:  380%
Max: 480%</v>
      </c>
      <c r="K7" s="59">
        <f t="array" ref="K7">_xlfn.XLOOKUP(B7,'Up Min'!A:A,'Up Min'!C:C,)</f>
        <v>3.8</v>
      </c>
      <c r="L7" s="59">
        <f t="array" ref="L7">_xlfn.XLOOKUP(B7,'Up Max'!A:A,'Up Max'!C:C,)</f>
        <v>4.8</v>
      </c>
      <c r="M7" s="53" t="str">
        <f t="array" ref="M7">_xlfn.XLOOKUP(B7,'Up Stats'!A:A,'Up Stats'!D:D,)</f>
        <v/>
      </c>
      <c r="N7" s="54" t="str">
        <f>IFERROR(__xludf.DUMMYFUNCTION("if(AND(O7=FALSE,P7=FALSE),,if(O7=P7,JOIN("""",""Static: "",O7),JOIN("""",""Min:  "",O7, CHAR(10),""Max: "",P7)))"),"")</f>
        <v/>
      </c>
      <c r="O7" s="55" t="str">
        <f t="array" ref="O7">_xlfn.XLOOKUP(B7,'Up Min'!A:A,'Up Min'!D:D,)</f>
        <v/>
      </c>
      <c r="P7" s="55" t="str">
        <f t="array" ref="P7">_xlfn.XLOOKUP(B7,'Up Max'!A:A,'Up Max'!D:D,)</f>
        <v/>
      </c>
      <c r="Q7" s="57" t="str">
        <f t="array" ref="Q7">_xlfn.XLOOKUP(B7,'Up Stats'!A:A,'Up Stats'!E:E,)</f>
        <v/>
      </c>
      <c r="R7" s="54" t="str">
        <f>IFERROR(__xludf.DUMMYFUNCTION("if(AND(S7=FALSE,T7=FALSE),,if(S7=T7,JOIN("""",""Static: "",S7),JOIN("""",""Min:  "",S7, CHAR(10),""Max: "",T7)))"),"")</f>
        <v/>
      </c>
      <c r="S7" s="72" t="str">
        <f t="array" ref="S7">_xlfn.XLOOKUP(B7,'Up Min'!A:A,'Up Min'!E:E,)</f>
        <v/>
      </c>
      <c r="T7" s="55" t="str">
        <f t="array" ref="T7">_xlfn.XLOOKUP(B7,'Up Max'!A:A,'Up Max'!E:E,)</f>
        <v/>
      </c>
      <c r="U7" s="57" t="str">
        <f t="array" ref="U7">_xlfn.XLOOKUP(B7,'Up Stats'!A:A,'Up Stats'!F:F,)</f>
        <v/>
      </c>
      <c r="V7" s="54" t="str">
        <f>IFERROR(__xludf.DUMMYFUNCTION("if(AND(W7=FALSE,X7=FALSE),,if(W7=X7,JOIN("""",""Static: "",W7),JOIN("""",""Min:  "",W7, CHAR(10),""Max: "",X7)))"),"")</f>
        <v/>
      </c>
      <c r="W7" s="72" t="str">
        <f t="array" ref="W7">_xlfn.XLOOKUP(B7,'Up Min'!A:A,'Up Min'!F:F,)</f>
        <v/>
      </c>
      <c r="X7" s="72" t="str">
        <f t="array" ref="X7">_xlfn.XLOOKUP(B7,'Up Max'!A:A,'Up Max'!F:F,)</f>
        <v/>
      </c>
      <c r="Y7" s="57" t="str">
        <f t="array" ref="Y7">_xlfn.XLOOKUP(B7,'Up Stats'!A:A,'Up Stats'!G:G,)</f>
        <v/>
      </c>
      <c r="Z7" s="54" t="str">
        <f>IFERROR(__xludf.DUMMYFUNCTION("if(AND(AA7=FALSE,AB7=FALSE),,if(AA7=AB7,JOIN("""",""Static: "",AA7),JOIN("""",""Min:  "",AA7, CHAR(10),""Max: "",AB7)))"),"")</f>
        <v/>
      </c>
      <c r="AA7" s="55" t="str">
        <f t="array" ref="AA7">_xlfn.XLOOKUP(B7,'Up Min'!A:A,'Up Min'!G:G,)</f>
        <v/>
      </c>
      <c r="AB7" s="72" t="str">
        <f t="array" ref="AB7">_xlfn.XLOOKUP(B7,'Up Max'!A:A,'Up Max'!G:G,)</f>
        <v/>
      </c>
      <c r="AC7" s="80" t="str">
        <f t="array" ref="AC7">_xlfn.XLOOKUP(B7,'Up Stats'!A:A,'Up Stats'!H:H,)</f>
        <v/>
      </c>
      <c r="AD7" s="54" t="str">
        <f>IFERROR(__xludf.DUMMYFUNCTION("if(AND(AE7=FALSE,AF7=FALSE),,if(AE7=AF7,JOIN("""",""Static: "",AE7),JOIN("""",""Min:  "",AE7, CHAR(10),""Max: "",AF7)))"),"")</f>
        <v/>
      </c>
      <c r="AE7" s="55" t="str">
        <f t="array" ref="AE7">_xlfn.XLOOKUP(B7,'Up Min'!A:A,'Up Min'!H:H,)</f>
        <v/>
      </c>
      <c r="AF7" s="55" t="str">
        <f t="array" ref="AF7">_xlfn.XLOOKUP(B7,'Up Max'!A:A,'Up Max'!H:H,)</f>
        <v/>
      </c>
      <c r="AG7" s="57" t="str">
        <f t="array" ref="AG7">_xlfn.XLOOKUP(B7,'Up Stats'!A:A,'Up Stats'!I:I,)</f>
        <v/>
      </c>
      <c r="AH7" s="54" t="str">
        <f>IFERROR(__xludf.DUMMYFUNCTION("if(AND(AI7=FALSE,AJ7=FALSE),,if(AI7=AJ7,JOIN("""",""Static: "",AI7),JOIN("""",""Min:  "",AI7, CHAR(10),""Max: "",AJ7)))"),"")</f>
        <v/>
      </c>
      <c r="AI7" s="55" t="str">
        <f t="array" ref="AI7">_xlfn.XLOOKUP(B7,'Up Min'!A:A,'Up Min'!I:I,)</f>
        <v/>
      </c>
      <c r="AJ7" s="55" t="str">
        <f t="array" ref="AJ7">_xlfn.XLOOKUP(B7,'Up Max'!A:A,'Up Max'!I:I,)</f>
        <v/>
      </c>
      <c r="AK7" s="57" t="str">
        <f t="array" ref="AK7">_xlfn.XLOOKUP(B7,'Up Stats'!A:A,'Up Stats'!J:J,)</f>
        <v/>
      </c>
      <c r="AL7" s="54" t="str">
        <f>IFERROR(__xludf.DUMMYFUNCTION("if(AND(AM7=FALSE,AN7=FALSE),,if(AM7=AN7,JOIN("""",""Static: "",AM7),JOIN("""",""Min:  "",AM7, CHAR(10),""Max: "",AN7)))"),"")</f>
        <v/>
      </c>
      <c r="AM7" s="55" t="str">
        <f t="array" ref="AM7">_xlfn.XLOOKUP(B7,'Up Min'!A:A,'Up Min'!J:J,)</f>
        <v/>
      </c>
      <c r="AN7" s="55" t="str">
        <f t="array" ref="AN7">_xlfn.XLOOKUP(B7,'Up Max'!A:A,'Up Max'!J:J,)</f>
        <v/>
      </c>
      <c r="AO7" s="51" t="s">
        <v>34</v>
      </c>
      <c r="AP7" s="51" t="str">
        <f t="array" ref="AP7">CONCATENATE(_xlfn.XLOOKUP(B7,'Up Rarity'!A:A,'Up Rarity'!B:B,),CHAR(10),"-")</f>
        <v>Exotic
-</v>
      </c>
    </row>
    <row r="8">
      <c r="A8" s="62" t="str">
        <f t="array" ref="A8">_xlfn.XLOOKUP(B8,'Up Icon'!A:A,'Up Icon'!B:B,)</f>
        <v/>
      </c>
      <c r="B8" s="89" t="str">
        <f t="array" ref="B8">HYPERLINK(_xlfn.XLOOKUP('Up Names'!I5,'Up Wiki'!A:A,'Up Wiki'!B:B,),'Up Names'!I5)</f>
        <v>Pressure Cooker</v>
      </c>
      <c r="C8" s="67" t="str">
        <f t="array" ref="C8">_xlfn.XLOOKUP(B8,'Up Desc'!A:A,'Up Desc'!B:B,)</f>
        <v>Hold the trigger to charge up your glob, increasing its explosion size. Globbing up all ammo causes it to explode on you.</v>
      </c>
      <c r="D8" s="37" t="str">
        <f t="array" ref="D8">_xlfn.XLOOKUP(B8,'Up Turbo'!A:A,'Up Turbo'!B:B,)</f>
        <v/>
      </c>
      <c r="E8" s="39" t="str">
        <f t="array" ref="E8">_xlfn.XLOOKUP(B8,'Up Stats'!A:A,'Up Stats'!B:B,)</f>
        <v>Charge Time</v>
      </c>
      <c r="F8" s="40" t="str">
        <f>IFERROR(__xludf.DUMMYFUNCTION("if(AND(G8=FALSE,H8=FALSE),,if(G8=H8,JOIN("""",""Static: "",G8),JOIN("""",""Min:  "",G8, CHAR(10),""Max: "",H8)))"),"Static: 0.21")</f>
        <v>Static: 0.21</v>
      </c>
      <c r="G8" s="69">
        <f t="array" ref="G8">_xlfn.XLOOKUP(B8,'Up Min'!A:A,'Up Min'!B:B,)</f>
        <v>0.21</v>
      </c>
      <c r="H8" s="68">
        <f t="array" ref="H8">_xlfn.XLOOKUP(B8,'Up Max'!A:A,'Up Max'!B:B,)</f>
        <v>0.21</v>
      </c>
      <c r="I8" s="39" t="str">
        <f t="array" ref="I8">_xlfn.XLOOKUP(B8,'Up Stats'!A:A,'Up Stats'!C:C,)</f>
        <v>Size per Bullet</v>
      </c>
      <c r="J8" s="40" t="str">
        <f>IFERROR(__xludf.DUMMYFUNCTION("if(AND(K8=FALSE,L8=FALSE),,if(K8=L8,JOIN("""",""Static: "",K8),JOIN("""",""Min:  "",K8, CHAR(10),""Max: "",L8)))"),"Min:  0.54
Max: 0.66")</f>
        <v>Min:  0.54
Max: 0.66</v>
      </c>
      <c r="K8" s="68">
        <f t="array" ref="K8">_xlfn.XLOOKUP(B8,'Up Min'!A:A,'Up Min'!C:C,)</f>
        <v>0.54</v>
      </c>
      <c r="L8" s="69">
        <f t="array" ref="L8">_xlfn.XLOOKUP(B8,'Up Max'!A:A,'Up Max'!C:C,)</f>
        <v>0.66</v>
      </c>
      <c r="M8" s="39" t="str">
        <f t="array" ref="M8">_xlfn.XLOOKUP(B8,'Up Stats'!A:A,'Up Stats'!D:D,)</f>
        <v>Damage per Bullet</v>
      </c>
      <c r="N8" s="40" t="str">
        <f>IFERROR(__xludf.DUMMYFUNCTION("if(AND(O8=FALSE,P8=FALSE),,if(O8=P8,JOIN("""",""Static: "",O8),JOIN("""",""Min:  "",O8, CHAR(10),""Max: "",P8)))"),"Min:  50%
Max: 60%")</f>
        <v>Min:  50%
Max: 60%</v>
      </c>
      <c r="O8" s="74">
        <f t="array" ref="O8">_xlfn.XLOOKUP(B8,'Up Min'!A:A,'Up Min'!D:D,)</f>
        <v>0.5</v>
      </c>
      <c r="P8" s="74">
        <f t="array" ref="P8">_xlfn.XLOOKUP(B8,'Up Max'!A:A,'Up Max'!D:D,)</f>
        <v>0.6</v>
      </c>
      <c r="Q8" s="48" t="str">
        <f t="array" ref="Q8">_xlfn.XLOOKUP(B8,'Up Stats'!A:A,'Up Stats'!E:E,)</f>
        <v/>
      </c>
      <c r="R8" s="40" t="str">
        <f>IFERROR(__xludf.DUMMYFUNCTION("if(AND(S8=FALSE,T8=FALSE),,if(S8=T8,JOIN("""",""Static: "",S8),JOIN("""",""Min:  "",S8, CHAR(10),""Max: "",T8)))"),"")</f>
        <v/>
      </c>
      <c r="S8" s="74" t="str">
        <f t="array" ref="S8">_xlfn.XLOOKUP(B8,'Up Min'!A:A,'Up Min'!E:E,)</f>
        <v/>
      </c>
      <c r="T8" s="42" t="str">
        <f t="array" ref="T8">_xlfn.XLOOKUP(B8,'Up Max'!A:A,'Up Max'!E:E,)</f>
        <v/>
      </c>
      <c r="U8" s="48" t="str">
        <f t="array" ref="U8">_xlfn.XLOOKUP(B8,'Up Stats'!A:A,'Up Stats'!F:F,)</f>
        <v/>
      </c>
      <c r="V8" s="40" t="str">
        <f>IFERROR(__xludf.DUMMYFUNCTION("if(AND(W8=FALSE,X8=FALSE),,if(W8=X8,JOIN("""",""Static: "",W8),JOIN("""",""Min:  "",W8, CHAR(10),""Max: "",X8)))"),"")</f>
        <v/>
      </c>
      <c r="W8" s="74" t="str">
        <f t="array" ref="W8">_xlfn.XLOOKUP(B8,'Up Min'!A:A,'Up Min'!F:F,)</f>
        <v/>
      </c>
      <c r="X8" s="74" t="str">
        <f t="array" ref="X8">_xlfn.XLOOKUP(B8,'Up Max'!A:A,'Up Max'!F:F,)</f>
        <v/>
      </c>
      <c r="Y8" s="48" t="str">
        <f t="array" ref="Y8">_xlfn.XLOOKUP(B8,'Up Stats'!A:A,'Up Stats'!G:G,)</f>
        <v/>
      </c>
      <c r="Z8" s="40" t="str">
        <f>IFERROR(__xludf.DUMMYFUNCTION("if(AND(AA8=FALSE,AB8=FALSE),,if(AA8=AB8,JOIN("""",""Static: "",AA8),JOIN("""",""Min:  "",AA8, CHAR(10),""Max: "",AB8)))"),"")</f>
        <v/>
      </c>
      <c r="AA8" s="42" t="str">
        <f t="array" ref="AA8">_xlfn.XLOOKUP(B8,'Up Min'!A:A,'Up Min'!G:G,)</f>
        <v/>
      </c>
      <c r="AB8" s="74" t="str">
        <f t="array" ref="AB8">_xlfn.XLOOKUP(B8,'Up Max'!A:A,'Up Max'!G:G,)</f>
        <v/>
      </c>
      <c r="AC8" s="79" t="str">
        <f t="array" ref="AC8">_xlfn.XLOOKUP(B8,'Up Stats'!A:A,'Up Stats'!H:H,)</f>
        <v/>
      </c>
      <c r="AD8" s="40" t="str">
        <f>IFERROR(__xludf.DUMMYFUNCTION("if(AND(AE8=FALSE,AF8=FALSE),,if(AE8=AF8,JOIN("""",""Static: "",AE8),JOIN("""",""Min:  "",AE8, CHAR(10),""Max: "",AF8)))"),"")</f>
        <v/>
      </c>
      <c r="AE8" s="42" t="str">
        <f t="array" ref="AE8">_xlfn.XLOOKUP(B8,'Up Min'!A:A,'Up Min'!H:H,)</f>
        <v/>
      </c>
      <c r="AF8" s="42" t="str">
        <f t="array" ref="AF8">_xlfn.XLOOKUP(B8,'Up Max'!A:A,'Up Max'!H:H,)</f>
        <v/>
      </c>
      <c r="AG8" s="48" t="str">
        <f t="array" ref="AG8">_xlfn.XLOOKUP(B8,'Up Stats'!A:A,'Up Stats'!I:I,)</f>
        <v/>
      </c>
      <c r="AH8" s="40" t="str">
        <f>IFERROR(__xludf.DUMMYFUNCTION("if(AND(AI8=FALSE,AJ8=FALSE),,if(AI8=AJ8,JOIN("""",""Static: "",AI8),JOIN("""",""Min:  "",AI8, CHAR(10),""Max: "",AJ8)))"),"")</f>
        <v/>
      </c>
      <c r="AI8" s="42" t="str">
        <f t="array" ref="AI8">_xlfn.XLOOKUP(B8,'Up Min'!A:A,'Up Min'!I:I,)</f>
        <v/>
      </c>
      <c r="AJ8" s="42" t="str">
        <f t="array" ref="AJ8">_xlfn.XLOOKUP(B8,'Up Max'!A:A,'Up Max'!I:I,)</f>
        <v/>
      </c>
      <c r="AK8" s="48" t="str">
        <f t="array" ref="AK8">_xlfn.XLOOKUP(B8,'Up Stats'!A:A,'Up Stats'!J:J,)</f>
        <v/>
      </c>
      <c r="AL8" s="40" t="str">
        <f>IFERROR(__xludf.DUMMYFUNCTION("if(AND(AM8=FALSE,AN8=FALSE),,if(AM8=AN8,JOIN("""",""Static: "",AM8),JOIN("""",""Min:  "",AM8, CHAR(10),""Max: "",AN8)))"),"")</f>
        <v/>
      </c>
      <c r="AM8" s="42" t="str">
        <f t="array" ref="AM8">_xlfn.XLOOKUP(B8,'Up Min'!A:A,'Up Min'!J:J,)</f>
        <v/>
      </c>
      <c r="AN8" s="42" t="str">
        <f t="array" ref="AN8">_xlfn.XLOOKUP(B8,'Up Max'!A:A,'Up Max'!J:J,)</f>
        <v/>
      </c>
      <c r="AO8" s="34" t="s">
        <v>34</v>
      </c>
      <c r="AP8" s="34" t="str">
        <f t="array" ref="AP8">CONCATENATE(_xlfn.XLOOKUP(B8,'Up Rarity'!A:A,'Up Rarity'!B:B,),CHAR(10),"-")</f>
        <v>Exotic
-</v>
      </c>
    </row>
    <row r="9">
      <c r="A9" s="75" t="str">
        <f t="array" ref="A9">_xlfn.XLOOKUP(B9,'Up Icon'!A:A,'Up Icon'!B:B,)</f>
        <v/>
      </c>
      <c r="B9" s="88" t="str">
        <f t="array" ref="B9">HYPERLINK(_xlfn.XLOOKUP('Up Names'!I6,'Up Wiki'!A:A,'Up Wiki'!B:B,),'Up Names'!I6)</f>
        <v>Full Spectrum</v>
      </c>
      <c r="C9" s="70" t="str">
        <f t="array" ref="C9">_xlfn.XLOOKUP(B9,'Up Desc'!A:A,'Up Desc'!B:B,)</f>
        <v>Gain a different stat boost for each upgrade of a different rarity that touches this one.</v>
      </c>
      <c r="D9" s="52" t="str">
        <f t="array" ref="D9">_xlfn.XLOOKUP(B9,'Up Turbo'!A:A,'Up Turbo'!B:B,)</f>
        <v>n/a</v>
      </c>
      <c r="E9" s="53" t="str">
        <f t="array" ref="E9">_xlfn.XLOOKUP(B9,'Up Stats'!A:A,'Up Stats'!B:B,)</f>
        <v>Efficiency</v>
      </c>
      <c r="F9" s="54" t="str">
        <f>IFERROR(__xludf.DUMMYFUNCTION("if(AND(G9=FALSE,H9=FALSE),,if(G9=H9,JOIN("""",""Static: "",G9),JOIN("""",""Min:  "",G9, CHAR(10),""Max: "",H9)))"),"Min:  60%
Max: 140%")</f>
        <v>Min:  60%
Max: 140%</v>
      </c>
      <c r="G9" s="59">
        <f t="array" ref="G9">_xlfn.XLOOKUP(B9,'Up Min'!A:A,'Up Min'!B:B,)</f>
        <v>0.6</v>
      </c>
      <c r="H9" s="59">
        <f t="array" ref="H9">_xlfn.XLOOKUP(B9,'Up Max'!A:A,'Up Max'!B:B,)</f>
        <v>1.4</v>
      </c>
      <c r="I9" s="53" t="str">
        <f t="array" ref="I9">_xlfn.XLOOKUP(B9,'Up Stats'!A:A,'Up Stats'!C:C,)</f>
        <v/>
      </c>
      <c r="J9" s="54" t="str">
        <f>IFERROR(__xludf.DUMMYFUNCTION("if(AND(K9=FALSE,L9=FALSE),,if(K9=L9,JOIN("""",""Static: "",K9),JOIN("""",""Min:  "",K9, CHAR(10),""Max: "",L9)))"),"")</f>
        <v/>
      </c>
      <c r="K9" s="56" t="str">
        <f t="array" ref="K9">_xlfn.XLOOKUP(B9,'Up Min'!A:A,'Up Min'!C:C,)</f>
        <v/>
      </c>
      <c r="L9" s="55" t="str">
        <f t="array" ref="L9">_xlfn.XLOOKUP(B9,'Up Max'!A:A,'Up Max'!C:C,)</f>
        <v/>
      </c>
      <c r="M9" s="53" t="str">
        <f t="array" ref="M9">_xlfn.XLOOKUP(B9,'Up Stats'!A:A,'Up Stats'!D:D,)</f>
        <v/>
      </c>
      <c r="N9" s="54" t="str">
        <f>IFERROR(__xludf.DUMMYFUNCTION("if(AND(O9=FALSE,P9=FALSE),,if(O9=P9,JOIN("""",""Static: "",O9),JOIN("""",""Min:  "",O9, CHAR(10),""Max: "",P9)))"),"")</f>
        <v/>
      </c>
      <c r="O9" s="56" t="str">
        <f t="array" ref="O9">_xlfn.XLOOKUP(B9,'Up Min'!A:A,'Up Min'!D:D,)</f>
        <v/>
      </c>
      <c r="P9" s="56" t="str">
        <f t="array" ref="P9">_xlfn.XLOOKUP(B9,'Up Max'!A:A,'Up Max'!D:D,)</f>
        <v/>
      </c>
      <c r="Q9" s="57" t="str">
        <f t="array" ref="Q9">_xlfn.XLOOKUP(B9,'Up Stats'!A:A,'Up Stats'!E:E,)</f>
        <v/>
      </c>
      <c r="R9" s="54" t="str">
        <f>IFERROR(__xludf.DUMMYFUNCTION("if(AND(S9=FALSE,T9=FALSE),,if(S9=T9,JOIN("""",""Static: "",S9),JOIN("""",""Min:  "",S9, CHAR(10),""Max: "",T9)))"),"")</f>
        <v/>
      </c>
      <c r="S9" s="56" t="str">
        <f t="array" ref="S9">_xlfn.XLOOKUP(B9,'Up Min'!A:A,'Up Min'!E:E,)</f>
        <v/>
      </c>
      <c r="T9" s="56" t="str">
        <f t="array" ref="T9">_xlfn.XLOOKUP(B9,'Up Max'!A:A,'Up Max'!E:E,)</f>
        <v/>
      </c>
      <c r="U9" s="53" t="str">
        <f t="array" ref="U9">_xlfn.XLOOKUP(B9,'Up Stats'!A:A,'Up Stats'!F:F,)</f>
        <v/>
      </c>
      <c r="V9" s="54" t="str">
        <f>IFERROR(__xludf.DUMMYFUNCTION("if(AND(W9=FALSE,X9=FALSE),,if(W9=X9,JOIN("""",""Static: "",W9),JOIN("""",""Min:  "",W9, CHAR(10),""Max: "",X9)))"),"")</f>
        <v/>
      </c>
      <c r="W9" s="56" t="str">
        <f t="array" ref="W9">_xlfn.XLOOKUP(B9,'Up Min'!A:A,'Up Min'!F:F,)</f>
        <v/>
      </c>
      <c r="X9" s="56" t="str">
        <f t="array" ref="X9">_xlfn.XLOOKUP(B9,'Up Max'!A:A,'Up Max'!F:F,)</f>
        <v/>
      </c>
      <c r="Y9" s="53" t="str">
        <f t="array" ref="Y9">_xlfn.XLOOKUP(B9,'Up Stats'!A:A,'Up Stats'!G:G,)</f>
        <v/>
      </c>
      <c r="Z9" s="54" t="str">
        <f>IFERROR(__xludf.DUMMYFUNCTION("if(AND(AA9=FALSE,AB9=FALSE),,if(AA9=AB9,JOIN("""",""Static: "",AA9),JOIN("""",""Min:  "",AA9, CHAR(10),""Max: "",AB9)))"),"")</f>
        <v/>
      </c>
      <c r="AA9" s="55" t="str">
        <f t="array" ref="AA9">_xlfn.XLOOKUP(B9,'Up Min'!A:A,'Up Min'!G:G,)</f>
        <v/>
      </c>
      <c r="AB9" s="56" t="str">
        <f t="array" ref="AB9">_xlfn.XLOOKUP(B9,'Up Max'!A:A,'Up Max'!G:G,)</f>
        <v/>
      </c>
      <c r="AC9" s="53" t="str">
        <f t="array" ref="AC9">_xlfn.XLOOKUP(B9,'Up Stats'!A:A,'Up Stats'!H:H,)</f>
        <v/>
      </c>
      <c r="AD9" s="54" t="str">
        <f>IFERROR(__xludf.DUMMYFUNCTION("if(AND(AE9=FALSE,AF9=FALSE),,if(AE9=AF9,JOIN("""",""Static: "",AE9),JOIN("""",""Min:  "",AE9, CHAR(10),""Max: "",AF9)))"),"")</f>
        <v/>
      </c>
      <c r="AE9" s="55" t="str">
        <f t="array" ref="AE9">_xlfn.XLOOKUP(B9,'Up Min'!A:A,'Up Min'!H:H,)</f>
        <v/>
      </c>
      <c r="AF9" s="55" t="str">
        <f t="array" ref="AF9">_xlfn.XLOOKUP(B9,'Up Max'!A:A,'Up Max'!H:H,)</f>
        <v/>
      </c>
      <c r="AG9" s="57" t="str">
        <f t="array" ref="AG9">_xlfn.XLOOKUP(B9,'Up Stats'!A:A,'Up Stats'!I:I,)</f>
        <v/>
      </c>
      <c r="AH9" s="54" t="str">
        <f>IFERROR(__xludf.DUMMYFUNCTION("if(AND(AI9=FALSE,AJ9=FALSE),,if(AI9=AJ9,JOIN("""",""Static: "",AI9),JOIN("""",""Min:  "",AI9, CHAR(10),""Max: "",AJ9)))"),"")</f>
        <v/>
      </c>
      <c r="AI9" s="55" t="str">
        <f t="array" ref="AI9">_xlfn.XLOOKUP(B9,'Up Min'!A:A,'Up Min'!I:I,)</f>
        <v/>
      </c>
      <c r="AJ9" s="55" t="str">
        <f t="array" ref="AJ9">_xlfn.XLOOKUP(B9,'Up Max'!A:A,'Up Max'!I:I,)</f>
        <v/>
      </c>
      <c r="AK9" s="57" t="str">
        <f t="array" ref="AK9">_xlfn.XLOOKUP(B9,'Up Stats'!A:A,'Up Stats'!J:J,)</f>
        <v/>
      </c>
      <c r="AL9" s="54" t="str">
        <f>IFERROR(__xludf.DUMMYFUNCTION("if(AND(AM9=FALSE,AN9=FALSE),,if(AM9=AN9,JOIN("""",""Static: "",AM9),JOIN("""",""Min:  "",AM9, CHAR(10),""Max: "",AN9)))"),"")</f>
        <v/>
      </c>
      <c r="AM9" s="55" t="str">
        <f t="array" ref="AM9">_xlfn.XLOOKUP(B9,'Up Min'!A:A,'Up Min'!J:J,)</f>
        <v/>
      </c>
      <c r="AN9" s="55" t="str">
        <f t="array" ref="AN9">_xlfn.XLOOKUP(B9,'Up Max'!A:A,'Up Max'!J:J,)</f>
        <v/>
      </c>
      <c r="AO9" s="51" t="s">
        <v>34</v>
      </c>
      <c r="AP9" s="51" t="str">
        <f t="array" ref="AP9">CONCATENATE(_xlfn.XLOOKUP(B9,'Up Rarity'!A:A,'Up Rarity'!B:B,),CHAR(10),"-")</f>
        <v>Epic
-</v>
      </c>
    </row>
    <row r="10">
      <c r="A10" s="75" t="str">
        <f t="array" ref="A10">_xlfn.XLOOKUP(B10,'Up Icon'!A:A,'Up Icon'!B:B,)</f>
        <v/>
      </c>
      <c r="B10" s="89" t="str">
        <f t="array" ref="B10">HYPERLINK(_xlfn.XLOOKUP('Up Names'!I7,'Up Wiki'!A:A,'Up Wiki'!B:B,),'Up Names'!I7)</f>
        <v>Glob Balloons</v>
      </c>
      <c r="C10" s="37" t="str">
        <f t="array" ref="C10">_xlfn.XLOOKUP(B10,'Up Desc'!A:A,'Up Desc'!B:B,)</f>
        <v>Globs are less powerful but leave behind acid puddles.</v>
      </c>
      <c r="D10" s="37" t="str">
        <f t="array" ref="D10">_xlfn.XLOOKUP(B10,'Up Turbo'!A:A,'Up Turbo'!B:B,)</f>
        <v>n/a</v>
      </c>
      <c r="E10" s="39" t="str">
        <f t="array" ref="E10">_xlfn.XLOOKUP(B10,'Up Stats'!A:A,'Up Stats'!B:B,)</f>
        <v>Duration</v>
      </c>
      <c r="F10" s="40" t="str">
        <f>IFERROR(__xludf.DUMMYFUNCTION("if(AND(G10=FALSE,H10=FALSE),,if(G10=H10,JOIN("""",""Static: "",G10),JOIN("""",""Min:  "",G10, CHAR(10),""Max: "",H10)))"),"Min:  0.8
Max: 1.2")</f>
        <v>Min:  0.8
Max: 1.2</v>
      </c>
      <c r="G10" s="69">
        <f t="array" ref="G10">_xlfn.XLOOKUP(B10,'Up Min'!A:A,'Up Min'!B:B,)</f>
        <v>0.8</v>
      </c>
      <c r="H10" s="68">
        <f t="array" ref="H10">_xlfn.XLOOKUP(B10,'Up Max'!A:A,'Up Max'!B:B,)</f>
        <v>1.2</v>
      </c>
      <c r="I10" s="39" t="str">
        <f t="array" ref="I10">_xlfn.XLOOKUP(B10,'Up Stats'!A:A,'Up Stats'!C:C,)</f>
        <v>Size</v>
      </c>
      <c r="J10" s="40" t="str">
        <f>IFERROR(__xludf.DUMMYFUNCTION("if(AND(K10=FALSE,L10=FALSE),,if(K10=L10,JOIN("""",""Static: "",K10),JOIN("""",""Min:  "",K10, CHAR(10),""Max: "",L10)))"),"Min:  0.9
Max: 1.2")</f>
        <v>Min:  0.9
Max: 1.2</v>
      </c>
      <c r="K10" s="69">
        <f t="array" ref="K10">_xlfn.XLOOKUP(B10,'Up Min'!A:A,'Up Min'!C:C,)</f>
        <v>0.9</v>
      </c>
      <c r="L10" s="69">
        <f t="array" ref="L10">_xlfn.XLOOKUP(B10,'Up Max'!A:A,'Up Max'!C:C,)</f>
        <v>1.2</v>
      </c>
      <c r="M10" s="39" t="str">
        <f t="array" ref="M10">_xlfn.XLOOKUP(B10,'Up Stats'!A:A,'Up Stats'!D:D,)</f>
        <v>Damage</v>
      </c>
      <c r="N10" s="40" t="str">
        <f>IFERROR(__xludf.DUMMYFUNCTION("if(AND(O10=FALSE,P10=FALSE),,if(O10=P10,JOIN("""",""Static: "",O10),JOIN("""",""Min:  "",O10, CHAR(10),""Max: "",P10)))"),"Min:  -70%
Max: -56%")</f>
        <v>Min:  -70%
Max: -56%</v>
      </c>
      <c r="O10" s="41">
        <f t="array" ref="O10">_xlfn.XLOOKUP(B10,'Up Min'!A:A,'Up Min'!D:D,)</f>
        <v>-0.7</v>
      </c>
      <c r="P10" s="41">
        <f t="array" ref="P10">_xlfn.XLOOKUP(B10,'Up Max'!A:A,'Up Max'!D:D,)</f>
        <v>-0.56</v>
      </c>
      <c r="Q10" s="48" t="str">
        <f t="array" ref="Q10">_xlfn.XLOOKUP(B10,'Up Stats'!A:A,'Up Stats'!E:E,)</f>
        <v>Explosion Size</v>
      </c>
      <c r="R10" s="40" t="str">
        <f>IFERROR(__xludf.DUMMYFUNCTION("if(AND(S10=FALSE,T10=FALSE),,if(S10=T10,JOIN("""",""Static: "",S10),JOIN("""",""Min:  "",S10, CHAR(10),""Max: "",T10)))"),"Min:  -40%
Max: -20%")</f>
        <v>Min:  -40%
Max: -20%</v>
      </c>
      <c r="S10" s="41">
        <f t="array" ref="S10">_xlfn.XLOOKUP(B10,'Up Min'!A:A,'Up Min'!E:E,)</f>
        <v>-0.4</v>
      </c>
      <c r="T10" s="41">
        <f t="array" ref="T10">_xlfn.XLOOKUP(B10,'Up Max'!A:A,'Up Max'!E:E,)</f>
        <v>-0.2</v>
      </c>
      <c r="U10" s="48" t="str">
        <f t="array" ref="U10">_xlfn.XLOOKUP(B10,'Up Stats'!A:A,'Up Stats'!F:F,)</f>
        <v>Fire Rate</v>
      </c>
      <c r="V10" s="40" t="str">
        <f>IFERROR(__xludf.DUMMYFUNCTION("if(AND(W10=FALSE,X10=FALSE),,if(W10=X10,JOIN("""",""Static: "",W10),JOIN("""",""Min:  "",W10, CHAR(10),""Max: "",X10)))"),"Min:  -21.88%
Max: -24.24%")</f>
        <v>Min:  -21.88%
Max: -24.24%</v>
      </c>
      <c r="W10" s="78">
        <f t="array" ref="W10">_xlfn.XLOOKUP(B10,'Up Min'!A:A,'Up Min'!F:F,)</f>
        <v>-0.2188</v>
      </c>
      <c r="X10" s="78">
        <f t="array" ref="X10">_xlfn.XLOOKUP(B10,'Up Max'!A:A,'Up Max'!F:F,)</f>
        <v>-0.2424</v>
      </c>
      <c r="Y10" s="39" t="str">
        <f t="array" ref="Y10">_xlfn.XLOOKUP(B10,'Up Stats'!A:A,'Up Stats'!G:G,)</f>
        <v/>
      </c>
      <c r="Z10" s="40" t="str">
        <f>IFERROR(__xludf.DUMMYFUNCTION("if(AND(AA10=FALSE,AB10=FALSE),,if(AA10=AB10,JOIN("""",""Static: "",AA10),JOIN("""",""Min:  "",AA10, CHAR(10),""Max: "",AB10)))"),"")</f>
        <v/>
      </c>
      <c r="AA10" s="42" t="str">
        <f t="array" ref="AA10">_xlfn.XLOOKUP(B10,'Up Min'!A:A,'Up Min'!G:G,)</f>
        <v/>
      </c>
      <c r="AB10" s="45" t="str">
        <f t="array" ref="AB10">_xlfn.XLOOKUP(B10,'Up Max'!A:A,'Up Max'!G:G,)</f>
        <v/>
      </c>
      <c r="AC10" s="39" t="str">
        <f t="array" ref="AC10">_xlfn.XLOOKUP(B10,'Up Stats'!A:A,'Up Stats'!H:H,)</f>
        <v/>
      </c>
      <c r="AD10" s="40" t="str">
        <f>IFERROR(__xludf.DUMMYFUNCTION("if(AND(AE10=FALSE,AF10=FALSE),,if(AE10=AF10,JOIN("""",""Static: "",AE10),JOIN("""",""Min:  "",AE10, CHAR(10),""Max: "",AF10)))"),"")</f>
        <v/>
      </c>
      <c r="AE10" s="42" t="str">
        <f t="array" ref="AE10">_xlfn.XLOOKUP(B10,'Up Min'!A:A,'Up Min'!H:H,)</f>
        <v/>
      </c>
      <c r="AF10" s="42" t="str">
        <f t="array" ref="AF10">_xlfn.XLOOKUP(B10,'Up Max'!A:A,'Up Max'!H:H,)</f>
        <v/>
      </c>
      <c r="AG10" s="48" t="str">
        <f t="array" ref="AG10">_xlfn.XLOOKUP(B10,'Up Stats'!A:A,'Up Stats'!I:I,)</f>
        <v/>
      </c>
      <c r="AH10" s="40" t="str">
        <f>IFERROR(__xludf.DUMMYFUNCTION("if(AND(AI10=FALSE,AJ10=FALSE),,if(AI10=AJ10,JOIN("""",""Static: "",AI10),JOIN("""",""Min:  "",AI10, CHAR(10),""Max: "",AJ10)))"),"")</f>
        <v/>
      </c>
      <c r="AI10" s="42" t="str">
        <f t="array" ref="AI10">_xlfn.XLOOKUP(B10,'Up Min'!A:A,'Up Min'!I:I,)</f>
        <v/>
      </c>
      <c r="AJ10" s="42" t="str">
        <f t="array" ref="AJ10">_xlfn.XLOOKUP(B10,'Up Max'!A:A,'Up Max'!I:I,)</f>
        <v/>
      </c>
      <c r="AK10" s="48" t="str">
        <f t="array" ref="AK10">_xlfn.XLOOKUP(B10,'Up Stats'!A:A,'Up Stats'!J:J,)</f>
        <v/>
      </c>
      <c r="AL10" s="40" t="str">
        <f>IFERROR(__xludf.DUMMYFUNCTION("if(AND(AM10=FALSE,AN10=FALSE),,if(AM10=AN10,JOIN("""",""Static: "",AM10),JOIN("""",""Min:  "",AM10, CHAR(10),""Max: "",AN10)))"),"")</f>
        <v/>
      </c>
      <c r="AM10" s="42" t="str">
        <f t="array" ref="AM10">_xlfn.XLOOKUP(B10,'Up Min'!A:A,'Up Min'!J:J,)</f>
        <v/>
      </c>
      <c r="AN10" s="42" t="str">
        <f t="array" ref="AN10">_xlfn.XLOOKUP(B10,'Up Max'!A:A,'Up Max'!J:J,)</f>
        <v/>
      </c>
      <c r="AO10" s="34" t="s">
        <v>32</v>
      </c>
      <c r="AP10" s="34" t="str">
        <f t="array" ref="AP10">CONCATENATE(_xlfn.XLOOKUP(B10,'Up Rarity'!A:A,'Up Rarity'!B:B,),CHAR(10),"-")</f>
        <v>Epic
-</v>
      </c>
    </row>
    <row r="11">
      <c r="A11" s="75" t="str">
        <f t="array" ref="A11">_xlfn.XLOOKUP(B11,'Up Icon'!A:A,'Up Icon'!B:B,)</f>
        <v/>
      </c>
      <c r="B11" s="88" t="str">
        <f t="array" ref="B11">HYPERLINK(_xlfn.XLOOKUP('Up Names'!I8,'Up Wiki'!A:A,'Up Wiki'!B:B,),'Up Names'!I8)</f>
        <v>Pocket Replication</v>
      </c>
      <c r="C11" s="70" t="str">
        <f t="array" ref="C11">_xlfn.XLOOKUP(B11,'Up Desc'!A:A,'Up Desc'!B:B,)</f>
        <v>The Globbler reloads over time while unequipped. The globblometer increases your pocket reload speed.</v>
      </c>
      <c r="D11" s="52" t="str">
        <f t="array" ref="D11">_xlfn.XLOOKUP(B11,'Up Turbo'!A:A,'Up Turbo'!B:B,)</f>
        <v>n/a</v>
      </c>
      <c r="E11" s="53" t="str">
        <f t="array" ref="E11">_xlfn.XLOOKUP(B11,'Up Stats'!A:A,'Up Stats'!B:B,)</f>
        <v>Interval</v>
      </c>
      <c r="F11" s="54" t="str">
        <f>IFERROR(__xludf.DUMMYFUNCTION("if(AND(G11=FALSE,H11=FALSE),,if(G11=H11,JOIN("""",""Static: "",G11),JOIN("""",""Min:  "",G11, CHAR(10),""Max: "",H11)))"),"Min:  0.75
Max: 1.2")</f>
        <v>Min:  0.75
Max: 1.2</v>
      </c>
      <c r="G11" s="64">
        <f t="array" ref="G11">_xlfn.XLOOKUP(B11,'Up Min'!A:A,'Up Min'!B:B,)</f>
        <v>0.75</v>
      </c>
      <c r="H11" s="65">
        <f t="array" ref="H11">_xlfn.XLOOKUP(B11,'Up Max'!A:A,'Up Max'!B:B,)</f>
        <v>1.2</v>
      </c>
      <c r="I11" s="53" t="str">
        <f t="array" ref="I11">_xlfn.XLOOKUP(B11,'Up Stats'!A:A,'Up Stats'!C:C,)</f>
        <v/>
      </c>
      <c r="J11" s="54" t="str">
        <f>IFERROR(__xludf.DUMMYFUNCTION("if(AND(K11=FALSE,L11=FALSE),,if(K11=L11,JOIN("""",""Static: "",K11),JOIN("""",""Min:  "",K11, CHAR(10),""Max: "",L11)))"),"")</f>
        <v/>
      </c>
      <c r="K11" s="55" t="str">
        <f t="array" ref="K11">_xlfn.XLOOKUP(B11,'Up Min'!A:A,'Up Min'!C:C,)</f>
        <v/>
      </c>
      <c r="L11" s="55" t="str">
        <f t="array" ref="L11">_xlfn.XLOOKUP(B11,'Up Max'!A:A,'Up Max'!C:C,)</f>
        <v/>
      </c>
      <c r="M11" s="57" t="str">
        <f t="array" ref="M11">_xlfn.XLOOKUP(B11,'Up Stats'!A:A,'Up Stats'!D:D,)</f>
        <v/>
      </c>
      <c r="N11" s="54" t="str">
        <f>IFERROR(__xludf.DUMMYFUNCTION("if(AND(O11=FALSE,P11=FALSE),,if(O11=P11,JOIN("""",""Static: "",O11),JOIN("""",""Min:  "",O11, CHAR(10),""Max: "",P11)))"),"")</f>
        <v/>
      </c>
      <c r="O11" s="55" t="str">
        <f t="array" ref="O11">_xlfn.XLOOKUP(B11,'Up Min'!A:A,'Up Min'!D:D,)</f>
        <v/>
      </c>
      <c r="P11" s="55" t="str">
        <f t="array" ref="P11">_xlfn.XLOOKUP(B11,'Up Max'!A:A,'Up Max'!D:D,)</f>
        <v/>
      </c>
      <c r="Q11" s="57" t="str">
        <f t="array" ref="Q11">_xlfn.XLOOKUP(B11,'Up Stats'!A:A,'Up Stats'!E:E,)</f>
        <v/>
      </c>
      <c r="R11" s="54" t="str">
        <f>IFERROR(__xludf.DUMMYFUNCTION("if(AND(S11=FALSE,T11=FALSE),,if(S11=T11,JOIN("""",""Static: "",S11),JOIN("""",""Min:  "",S11, CHAR(10),""Max: "",T11)))"),"")</f>
        <v/>
      </c>
      <c r="S11" s="72" t="str">
        <f t="array" ref="S11">_xlfn.XLOOKUP(B11,'Up Min'!A:A,'Up Min'!E:E,)</f>
        <v/>
      </c>
      <c r="T11" s="55" t="str">
        <f t="array" ref="T11">_xlfn.XLOOKUP(B11,'Up Max'!A:A,'Up Max'!E:E,)</f>
        <v/>
      </c>
      <c r="U11" s="57" t="str">
        <f t="array" ref="U11">_xlfn.XLOOKUP(B11,'Up Stats'!A:A,'Up Stats'!F:F,)</f>
        <v/>
      </c>
      <c r="V11" s="54" t="str">
        <f>IFERROR(__xludf.DUMMYFUNCTION("if(AND(W11=FALSE,X11=FALSE),,if(W11=X11,JOIN("""",""Static: "",W11),JOIN("""",""Min:  "",W11, CHAR(10),""Max: "",X11)))"),"")</f>
        <v/>
      </c>
      <c r="W11" s="72" t="str">
        <f t="array" ref="W11">_xlfn.XLOOKUP(B11,'Up Min'!A:A,'Up Min'!F:F,)</f>
        <v/>
      </c>
      <c r="X11" s="72" t="str">
        <f t="array" ref="X11">_xlfn.XLOOKUP(B11,'Up Max'!A:A,'Up Max'!F:F,)</f>
        <v/>
      </c>
      <c r="Y11" s="57" t="str">
        <f t="array" ref="Y11">_xlfn.XLOOKUP(B11,'Up Stats'!A:A,'Up Stats'!G:G,)</f>
        <v/>
      </c>
      <c r="Z11" s="54" t="str">
        <f>IFERROR(__xludf.DUMMYFUNCTION("if(AND(AA11=FALSE,AB11=FALSE),,if(AA11=AB11,JOIN("""",""Static: "",AA11),JOIN("""",""Min:  "",AA11, CHAR(10),""Max: "",AB11)))"),"")</f>
        <v/>
      </c>
      <c r="AA11" s="55" t="str">
        <f t="array" ref="AA11">_xlfn.XLOOKUP(B11,'Up Min'!A:A,'Up Min'!G:G,)</f>
        <v/>
      </c>
      <c r="AB11" s="72" t="str">
        <f t="array" ref="AB11">_xlfn.XLOOKUP(B11,'Up Max'!A:A,'Up Max'!G:G,)</f>
        <v/>
      </c>
      <c r="AC11" s="80" t="str">
        <f t="array" ref="AC11">_xlfn.XLOOKUP(B11,'Up Stats'!A:A,'Up Stats'!H:H,)</f>
        <v/>
      </c>
      <c r="AD11" s="54" t="str">
        <f>IFERROR(__xludf.DUMMYFUNCTION("if(AND(AE11=FALSE,AF11=FALSE),,if(AE11=AF11,JOIN("""",""Static: "",AE11),JOIN("""",""Min:  "",AE11, CHAR(10),""Max: "",AF11)))"),"")</f>
        <v/>
      </c>
      <c r="AE11" s="55" t="str">
        <f t="array" ref="AE11">_xlfn.XLOOKUP(B11,'Up Min'!A:A,'Up Min'!H:H,)</f>
        <v/>
      </c>
      <c r="AF11" s="55" t="str">
        <f t="array" ref="AF11">_xlfn.XLOOKUP(B11,'Up Max'!A:A,'Up Max'!H:H,)</f>
        <v/>
      </c>
      <c r="AG11" s="57" t="str">
        <f t="array" ref="AG11">_xlfn.XLOOKUP(B11,'Up Stats'!A:A,'Up Stats'!I:I,)</f>
        <v/>
      </c>
      <c r="AH11" s="54" t="str">
        <f>IFERROR(__xludf.DUMMYFUNCTION("if(AND(AI11=FALSE,AJ11=FALSE),,if(AI11=AJ11,JOIN("""",""Static: "",AI11),JOIN("""",""Min:  "",AI11, CHAR(10),""Max: "",AJ11)))"),"")</f>
        <v/>
      </c>
      <c r="AI11" s="55" t="str">
        <f t="array" ref="AI11">_xlfn.XLOOKUP(B11,'Up Min'!A:A,'Up Min'!I:I,)</f>
        <v/>
      </c>
      <c r="AJ11" s="55" t="str">
        <f t="array" ref="AJ11">_xlfn.XLOOKUP(B11,'Up Max'!A:A,'Up Max'!I:I,)</f>
        <v/>
      </c>
      <c r="AK11" s="57" t="str">
        <f t="array" ref="AK11">_xlfn.XLOOKUP(B11,'Up Stats'!A:A,'Up Stats'!J:J,)</f>
        <v/>
      </c>
      <c r="AL11" s="54" t="str">
        <f>IFERROR(__xludf.DUMMYFUNCTION("if(AND(AM11=FALSE,AN11=FALSE),,if(AM11=AN11,JOIN("""",""Static: "",AM11),JOIN("""",""Min:  "",AM11, CHAR(10),""Max: "",AN11)))"),"")</f>
        <v/>
      </c>
      <c r="AM11" s="55" t="str">
        <f t="array" ref="AM11">_xlfn.XLOOKUP(B11,'Up Min'!A:A,'Up Min'!J:J,)</f>
        <v/>
      </c>
      <c r="AN11" s="55" t="str">
        <f t="array" ref="AN11">_xlfn.XLOOKUP(B11,'Up Max'!A:A,'Up Max'!J:J,)</f>
        <v/>
      </c>
      <c r="AO11" s="51" t="s">
        <v>31</v>
      </c>
      <c r="AP11" s="51" t="str">
        <f t="array" ref="AP11">CONCATENATE(_xlfn.XLOOKUP(B11,'Up Rarity'!A:A,'Up Rarity'!B:B,),CHAR(10),"-")</f>
        <v>Epic
-</v>
      </c>
    </row>
    <row r="12">
      <c r="A12" s="75" t="str">
        <f t="array" ref="A12">_xlfn.XLOOKUP(B12,'Up Icon'!A:A,'Up Icon'!B:B,)</f>
        <v/>
      </c>
      <c r="B12" s="89" t="str">
        <f t="array" ref="B12">HYPERLINK(_xlfn.XLOOKUP('Up Names'!I9,'Up Wiki'!A:A,'Up Wiki'!B:B,),'Up Names'!I9)</f>
        <v>Slipper Shoes</v>
      </c>
      <c r="C12" s="67" t="str">
        <f t="array" ref="C12">_xlfn.XLOOKUP(B12,'Up Desc'!A:A,'Up Desc'!B:B,)</f>
        <v>While holding the Globbler, the globblometer increases your move speed.</v>
      </c>
      <c r="D12" s="37" t="str">
        <f t="array" ref="D12">_xlfn.XLOOKUP(B12,'Up Turbo'!A:A,'Up Turbo'!B:B,)</f>
        <v>n/a</v>
      </c>
      <c r="E12" s="39" t="str">
        <f t="array" ref="E12">_xlfn.XLOOKUP(B12,'Up Stats'!A:A,'Up Stats'!B:B,)</f>
        <v>Speed</v>
      </c>
      <c r="F12" s="40" t="str">
        <f>IFERROR(__xludf.DUMMYFUNCTION("if(AND(G12=FALSE,H12=FALSE),,if(G12=H12,JOIN("""",""Static: "",G12),JOIN("""",""Min:  "",G12, CHAR(10),""Max: "",H12)))"),"Min:  0.09
Max: 0.11")</f>
        <v>Min:  0.09
Max: 0.11</v>
      </c>
      <c r="G12" s="69">
        <f t="array" ref="G12">_xlfn.XLOOKUP(B12,'Up Min'!A:A,'Up Min'!B:B,)</f>
        <v>0.09</v>
      </c>
      <c r="H12" s="68">
        <f t="array" ref="H12">_xlfn.XLOOKUP(B12,'Up Max'!A:A,'Up Max'!B:B,)</f>
        <v>0.11</v>
      </c>
      <c r="I12" s="39" t="str">
        <f t="array" ref="I12">_xlfn.XLOOKUP(B12,'Up Stats'!A:A,'Up Stats'!C:C,)</f>
        <v>Globblometer</v>
      </c>
      <c r="J12" s="40" t="str">
        <f>IFERROR(__xludf.DUMMYFUNCTION("if(AND(K12=FALSE,L12=FALSE),,if(K12=L12,JOIN("""",""Static: "",K12),JOIN("""",""Min:  "",K12, CHAR(10),""Max: "",L12)))"),"Min:  1
Max: 2")</f>
        <v>Min:  1
Max: 2</v>
      </c>
      <c r="K12" s="68">
        <f t="array" ref="K12">_xlfn.XLOOKUP(B12,'Up Min'!A:A,'Up Min'!C:C,)</f>
        <v>1</v>
      </c>
      <c r="L12" s="69">
        <f t="array" ref="L12">_xlfn.XLOOKUP(B12,'Up Max'!A:A,'Up Max'!C:C,)</f>
        <v>2</v>
      </c>
      <c r="M12" s="39" t="str">
        <f t="array" ref="M12">_xlfn.XLOOKUP(B12,'Up Stats'!A:A,'Up Stats'!D:D,)</f>
        <v/>
      </c>
      <c r="N12" s="40" t="str">
        <f>IFERROR(__xludf.DUMMYFUNCTION("if(AND(O12=FALSE,P12=FALSE),,if(O12=P12,JOIN("""",""Static: "",O12),JOIN("""",""Min:  "",O12, CHAR(10),""Max: "",P12)))"),"")</f>
        <v/>
      </c>
      <c r="O12" s="42" t="str">
        <f t="array" ref="O12">_xlfn.XLOOKUP(B12,'Up Min'!A:A,'Up Min'!D:D,)</f>
        <v/>
      </c>
      <c r="P12" s="42" t="str">
        <f t="array" ref="P12">_xlfn.XLOOKUP(B12,'Up Max'!A:A,'Up Max'!D:D,)</f>
        <v/>
      </c>
      <c r="Q12" s="48" t="str">
        <f t="array" ref="Q12">_xlfn.XLOOKUP(B12,'Up Stats'!A:A,'Up Stats'!E:E,)</f>
        <v/>
      </c>
      <c r="R12" s="40" t="str">
        <f>IFERROR(__xludf.DUMMYFUNCTION("if(AND(S12=FALSE,T12=FALSE),,if(S12=T12,JOIN("""",""Static: "",S12),JOIN("""",""Min:  "",S12, CHAR(10),""Max: "",T12)))"),"")</f>
        <v/>
      </c>
      <c r="S12" s="74" t="str">
        <f t="array" ref="S12">_xlfn.XLOOKUP(B12,'Up Min'!A:A,'Up Min'!E:E,)</f>
        <v/>
      </c>
      <c r="T12" s="42" t="str">
        <f t="array" ref="T12">_xlfn.XLOOKUP(B12,'Up Max'!A:A,'Up Max'!E:E,)</f>
        <v/>
      </c>
      <c r="U12" s="48" t="str">
        <f t="array" ref="U12">_xlfn.XLOOKUP(B12,'Up Stats'!A:A,'Up Stats'!F:F,)</f>
        <v/>
      </c>
      <c r="V12" s="40" t="str">
        <f>IFERROR(__xludf.DUMMYFUNCTION("if(AND(W12=FALSE,X12=FALSE),,if(W12=X12,JOIN("""",""Static: "",W12),JOIN("""",""Min:  "",W12, CHAR(10),""Max: "",X12)))"),"")</f>
        <v/>
      </c>
      <c r="W12" s="74" t="str">
        <f t="array" ref="W12">_xlfn.XLOOKUP(B12,'Up Min'!A:A,'Up Min'!F:F,)</f>
        <v/>
      </c>
      <c r="X12" s="74" t="str">
        <f t="array" ref="X12">_xlfn.XLOOKUP(B12,'Up Max'!A:A,'Up Max'!F:F,)</f>
        <v/>
      </c>
      <c r="Y12" s="48" t="str">
        <f t="array" ref="Y12">_xlfn.XLOOKUP(B12,'Up Stats'!A:A,'Up Stats'!G:G,)</f>
        <v/>
      </c>
      <c r="Z12" s="40" t="str">
        <f>IFERROR(__xludf.DUMMYFUNCTION("if(AND(AA12=FALSE,AB12=FALSE),,if(AA12=AB12,JOIN("""",""Static: "",AA12),JOIN("""",""Min:  "",AA12, CHAR(10),""Max: "",AB12)))"),"")</f>
        <v/>
      </c>
      <c r="AA12" s="42" t="str">
        <f t="array" ref="AA12">_xlfn.XLOOKUP(B12,'Up Min'!A:A,'Up Min'!G:G,)</f>
        <v/>
      </c>
      <c r="AB12" s="74" t="str">
        <f t="array" ref="AB12">_xlfn.XLOOKUP(B12,'Up Max'!A:A,'Up Max'!G:G,)</f>
        <v/>
      </c>
      <c r="AC12" s="79" t="str">
        <f t="array" ref="AC12">_xlfn.XLOOKUP(B12,'Up Stats'!A:A,'Up Stats'!H:H,)</f>
        <v/>
      </c>
      <c r="AD12" s="40" t="str">
        <f>IFERROR(__xludf.DUMMYFUNCTION("if(AND(AE12=FALSE,AF12=FALSE),,if(AE12=AF12,JOIN("""",""Static: "",AE12),JOIN("""",""Min:  "",AE12, CHAR(10),""Max: "",AF12)))"),"")</f>
        <v/>
      </c>
      <c r="AE12" s="42" t="str">
        <f t="array" ref="AE12">_xlfn.XLOOKUP(B12,'Up Min'!A:A,'Up Min'!H:H,)</f>
        <v/>
      </c>
      <c r="AF12" s="42" t="str">
        <f t="array" ref="AF12">_xlfn.XLOOKUP(B12,'Up Max'!A:A,'Up Max'!H:H,)</f>
        <v/>
      </c>
      <c r="AG12" s="48" t="str">
        <f t="array" ref="AG12">_xlfn.XLOOKUP(B12,'Up Stats'!A:A,'Up Stats'!I:I,)</f>
        <v/>
      </c>
      <c r="AH12" s="40" t="str">
        <f>IFERROR(__xludf.DUMMYFUNCTION("if(AND(AI12=FALSE,AJ12=FALSE),,if(AI12=AJ12,JOIN("""",""Static: "",AI12),JOIN("""",""Min:  "",AI12, CHAR(10),""Max: "",AJ12)))"),"")</f>
        <v/>
      </c>
      <c r="AI12" s="42" t="str">
        <f t="array" ref="AI12">_xlfn.XLOOKUP(B12,'Up Min'!A:A,'Up Min'!I:I,)</f>
        <v/>
      </c>
      <c r="AJ12" s="42" t="str">
        <f t="array" ref="AJ12">_xlfn.XLOOKUP(B12,'Up Max'!A:A,'Up Max'!I:I,)</f>
        <v/>
      </c>
      <c r="AK12" s="48" t="str">
        <f t="array" ref="AK12">_xlfn.XLOOKUP(B12,'Up Stats'!A:A,'Up Stats'!J:J,)</f>
        <v/>
      </c>
      <c r="AL12" s="40" t="str">
        <f>IFERROR(__xludf.DUMMYFUNCTION("if(AND(AM12=FALSE,AN12=FALSE),,if(AM12=AN12,JOIN("""",""Static: "",AM12),JOIN("""",""Min:  "",AM12, CHAR(10),""Max: "",AN12)))"),"")</f>
        <v/>
      </c>
      <c r="AM12" s="42" t="str">
        <f t="array" ref="AM12">_xlfn.XLOOKUP(B12,'Up Min'!A:A,'Up Min'!J:J,)</f>
        <v/>
      </c>
      <c r="AN12" s="42" t="str">
        <f t="array" ref="AN12">_xlfn.XLOOKUP(B12,'Up Max'!A:A,'Up Max'!J:J,)</f>
        <v/>
      </c>
      <c r="AO12" s="34" t="s">
        <v>30</v>
      </c>
      <c r="AP12" s="34" t="str">
        <f t="array" ref="AP12">CONCATENATE(_xlfn.XLOOKUP(B12,'Up Rarity'!A:A,'Up Rarity'!B:B,),CHAR(10),"-")</f>
        <v>Epic
-</v>
      </c>
    </row>
    <row r="13">
      <c r="A13" s="75" t="str">
        <f t="array" ref="A13">_xlfn.XLOOKUP(B13,'Up Icon'!A:A,'Up Icon'!B:B,)</f>
        <v/>
      </c>
      <c r="B13" s="88" t="str">
        <f t="array" ref="B13">HYPERLINK(_xlfn.XLOOKUP('Up Names'!I10,'Up Wiki'!A:A,'Up Wiki'!B:B,),'Up Names'!I10)</f>
        <v>Triagon</v>
      </c>
      <c r="C13" s="52" t="str">
        <f t="array" ref="C13">_xlfn.XLOOKUP(B13,'Up Desc'!A:A,'Up Desc'!B:B,)</f>
        <v>Fire three globs in a triangle. Fire rate and explosion size are decreased.</v>
      </c>
      <c r="D13" s="52" t="str">
        <f t="array" ref="D13">_xlfn.XLOOKUP(B13,'Up Turbo'!A:A,'Up Turbo'!B:B,)</f>
        <v>n/a</v>
      </c>
      <c r="E13" s="53" t="str">
        <f t="array" ref="E13">_xlfn.XLOOKUP(B13,'Up Stats'!A:A,'Up Stats'!B:B,)</f>
        <v>Horizontal Spread</v>
      </c>
      <c r="F13" s="54" t="str">
        <f>IFERROR(__xludf.DUMMYFUNCTION("if(AND(G13=FALSE,H13=FALSE),,if(G13=H13,JOIN("""",""Static: "",G13),JOIN("""",""Min:  "",G13, CHAR(10),""Max: "",H13)))"),"Min:  7
Max: 9")</f>
        <v>Min:  7
Max: 9</v>
      </c>
      <c r="G13" s="64">
        <f t="array" ref="G13">_xlfn.XLOOKUP(B13,'Up Min'!A:A,'Up Min'!B:B,)</f>
        <v>7</v>
      </c>
      <c r="H13" s="65">
        <f t="array" ref="H13">_xlfn.XLOOKUP(B13,'Up Max'!A:A,'Up Max'!B:B,)</f>
        <v>9</v>
      </c>
      <c r="I13" s="53" t="str">
        <f t="array" ref="I13">_xlfn.XLOOKUP(B13,'Up Stats'!A:A,'Up Stats'!C:C,)</f>
        <v>Vertical Spread</v>
      </c>
      <c r="J13" s="54" t="str">
        <f>IFERROR(__xludf.DUMMYFUNCTION("if(AND(K13=FALSE,L13=FALSE),,if(K13=L13,JOIN("""",""Static: "",K13),JOIN("""",""Min:  "",K13, CHAR(10),""Max: "",L13)))"),"Min:  7
Max: 9")</f>
        <v>Min:  7
Max: 9</v>
      </c>
      <c r="K13" s="64">
        <f t="array" ref="K13">_xlfn.XLOOKUP(B13,'Up Min'!A:A,'Up Min'!C:C,)</f>
        <v>7</v>
      </c>
      <c r="L13" s="64">
        <f t="array" ref="L13">_xlfn.XLOOKUP(B13,'Up Max'!A:A,'Up Max'!C:C,)</f>
        <v>9</v>
      </c>
      <c r="M13" s="53" t="str">
        <f t="array" ref="M13">_xlfn.XLOOKUP(B13,'Up Stats'!A:A,'Up Stats'!D:D,)</f>
        <v>Spread Shape</v>
      </c>
      <c r="N13" s="54" t="str">
        <f>IFERROR(__xludf.DUMMYFUNCTION("if(AND(O13=FALSE,P13=FALSE),,if(O13=P13,JOIN("""",""Static: "",O13),JOIN("""",""Min:  "",O13, CHAR(10),""Max: "",P13)))"),"Static: shape")</f>
        <v>Static: shape</v>
      </c>
      <c r="O13" s="65" t="str">
        <f t="array" ref="O13">_xlfn.XLOOKUP(B13,'Up Min'!A:A,'Up Min'!D:D,)</f>
        <v>shape</v>
      </c>
      <c r="P13" s="64" t="str">
        <f t="array" ref="P13">_xlfn.XLOOKUP(B13,'Up Max'!A:A,'Up Max'!D:D,)</f>
        <v>shape</v>
      </c>
      <c r="Q13" s="57" t="str">
        <f t="array" ref="Q13">_xlfn.XLOOKUP(B13,'Up Stats'!A:A,'Up Stats'!E:E,)</f>
        <v>Bullets per Shot</v>
      </c>
      <c r="R13" s="54" t="str">
        <f>IFERROR(__xludf.DUMMYFUNCTION("if(AND(S13=FALSE,T13=FALSE),,if(S13=T13,JOIN("""",""Static: "",S13),JOIN("""",""Min:  "",S13, CHAR(10),""Max: "",T13)))"),"Static: 3")</f>
        <v>Static: 3</v>
      </c>
      <c r="S13" s="65">
        <f t="array" ref="S13">_xlfn.XLOOKUP(B13,'Up Min'!A:A,'Up Min'!E:E,)</f>
        <v>3</v>
      </c>
      <c r="T13" s="65">
        <f t="array" ref="T13">_xlfn.XLOOKUP(B13,'Up Max'!A:A,'Up Max'!E:E,)</f>
        <v>3</v>
      </c>
      <c r="U13" s="57" t="str">
        <f t="array" ref="U13">_xlfn.XLOOKUP(B13,'Up Stats'!A:A,'Up Stats'!F:F,)</f>
        <v>Fire Rate</v>
      </c>
      <c r="V13" s="54" t="str">
        <f>IFERROR(__xludf.DUMMYFUNCTION("if(AND(W13=FALSE,X13=FALSE),,if(W13=X13,JOIN("""",""Static: "",W13),JOIN("""",""Min:  "",W13, CHAR(10),""Max: "",X13)))"),"Min:  -22.48%
Max: -26.85%")</f>
        <v>Min:  -22.48%
Max: -26.85%</v>
      </c>
      <c r="W13" s="71">
        <f t="array" ref="W13">_xlfn.XLOOKUP(B13,'Up Min'!A:A,'Up Min'!F:F,)</f>
        <v>-0.2248</v>
      </c>
      <c r="X13" s="71">
        <f t="array" ref="X13">_xlfn.XLOOKUP(B13,'Up Max'!A:A,'Up Max'!F:F,)</f>
        <v>-0.2685</v>
      </c>
      <c r="Y13" s="53" t="str">
        <f t="array" ref="Y13">_xlfn.XLOOKUP(B13,'Up Stats'!A:A,'Up Stats'!G:G,)</f>
        <v>Explosion Size</v>
      </c>
      <c r="Z13" s="54" t="str">
        <f>IFERROR(__xludf.DUMMYFUNCTION("if(AND(AA13=FALSE,AB13=FALSE),,if(AA13=AB13,JOIN("""",""Static: "",AA13),JOIN("""",""Min:  "",AA13, CHAR(10),""Max: "",AB13)))"),"Min:  -20%
Max: -15%")</f>
        <v>Min:  -20%
Max: -15%</v>
      </c>
      <c r="AA13" s="59">
        <f t="array" ref="AA13">_xlfn.XLOOKUP(B13,'Up Min'!A:A,'Up Min'!G:G,)</f>
        <v>-0.2</v>
      </c>
      <c r="AB13" s="59">
        <f t="array" ref="AB13">_xlfn.XLOOKUP(B13,'Up Max'!A:A,'Up Max'!G:G,)</f>
        <v>-0.15</v>
      </c>
      <c r="AC13" s="53" t="str">
        <f t="array" ref="AC13">_xlfn.XLOOKUP(B13,'Up Stats'!A:A,'Up Stats'!H:H,)</f>
        <v/>
      </c>
      <c r="AD13" s="54" t="str">
        <f>IFERROR(__xludf.DUMMYFUNCTION("if(AND(AE13=FALSE,AF13=FALSE),,if(AE13=AF13,JOIN("""",""Static: "",AE13),JOIN("""",""Min:  "",AE13, CHAR(10),""Max: "",AF13)))"),"")</f>
        <v/>
      </c>
      <c r="AE13" s="55" t="str">
        <f t="array" ref="AE13">_xlfn.XLOOKUP(B13,'Up Min'!A:A,'Up Min'!H:H,)</f>
        <v/>
      </c>
      <c r="AF13" s="55" t="str">
        <f t="array" ref="AF13">_xlfn.XLOOKUP(B13,'Up Max'!A:A,'Up Max'!H:H,)</f>
        <v/>
      </c>
      <c r="AG13" s="57" t="str">
        <f t="array" ref="AG13">_xlfn.XLOOKUP(B13,'Up Stats'!A:A,'Up Stats'!I:I,)</f>
        <v/>
      </c>
      <c r="AH13" s="54" t="str">
        <f>IFERROR(__xludf.DUMMYFUNCTION("if(AND(AI13=FALSE,AJ13=FALSE),,if(AI13=AJ13,JOIN("""",""Static: "",AI13),JOIN("""",""Min:  "",AI13, CHAR(10),""Max: "",AJ13)))"),"")</f>
        <v/>
      </c>
      <c r="AI13" s="55" t="str">
        <f t="array" ref="AI13">_xlfn.XLOOKUP(B13,'Up Min'!A:A,'Up Min'!I:I,)</f>
        <v/>
      </c>
      <c r="AJ13" s="55" t="str">
        <f t="array" ref="AJ13">_xlfn.XLOOKUP(B13,'Up Max'!A:A,'Up Max'!I:I,)</f>
        <v/>
      </c>
      <c r="AK13" s="57" t="str">
        <f t="array" ref="AK13">_xlfn.XLOOKUP(B13,'Up Stats'!A:A,'Up Stats'!J:J,)</f>
        <v/>
      </c>
      <c r="AL13" s="54" t="str">
        <f>IFERROR(__xludf.DUMMYFUNCTION("if(AND(AM13=FALSE,AN13=FALSE),,if(AM13=AN13,JOIN("""",""Static: "",AM13),JOIN("""",""Min:  "",AM13, CHAR(10),""Max: "",AN13)))"),"")</f>
        <v/>
      </c>
      <c r="AM13" s="55" t="str">
        <f t="array" ref="AM13">_xlfn.XLOOKUP(B13,'Up Min'!A:A,'Up Min'!J:J,)</f>
        <v/>
      </c>
      <c r="AN13" s="55" t="str">
        <f t="array" ref="AN13">_xlfn.XLOOKUP(B13,'Up Max'!A:A,'Up Max'!J:J,)</f>
        <v/>
      </c>
      <c r="AO13" s="51" t="s">
        <v>31</v>
      </c>
      <c r="AP13" s="51" t="str">
        <f t="array" ref="AP13">CONCATENATE(_xlfn.XLOOKUP(B13,'Up Rarity'!A:A,'Up Rarity'!B:B,),CHAR(10),"-")</f>
        <v>Epic
-</v>
      </c>
    </row>
    <row r="14">
      <c r="A14" s="75" t="str">
        <f t="array" ref="A14">_xlfn.XLOOKUP(B14,'Up Icon'!A:A,'Up Icon'!B:B,)</f>
        <v/>
      </c>
      <c r="B14" s="89" t="str">
        <f t="array" ref="B14">HYPERLINK(_xlfn.XLOOKUP('Up Names'!I11,'Up Wiki'!A:A,'Up Wiki'!B:B,),'Up Names'!I11)</f>
        <v>Volatile Element</v>
      </c>
      <c r="C14" s="67" t="str">
        <f t="array" ref="C14">_xlfn.XLOOKUP(B14,'Up Desc'!A:A,'Up Desc'!B:B,)</f>
        <v>Globs have a chance to be infused with a different element. Infused globs fully apply their element to targets.</v>
      </c>
      <c r="D14" s="37" t="str">
        <f t="array" ref="D14">_xlfn.XLOOKUP(B14,'Up Turbo'!A:A,'Up Turbo'!B:B,)</f>
        <v>n/a</v>
      </c>
      <c r="E14" s="39" t="str">
        <f t="array" ref="E14">_xlfn.XLOOKUP(B14,'Up Stats'!A:A,'Up Stats'!B:B,)</f>
        <v>Chance</v>
      </c>
      <c r="F14" s="40" t="str">
        <f>IFERROR(__xludf.DUMMYFUNCTION("if(AND(G14=FALSE,H14=FALSE),,if(G14=H14,JOIN("""",""Static: "",G14),JOIN("""",""Min:  "",G14, CHAR(10),""Max: "",H14)))"),"Min:  26%
Max: 33%")</f>
        <v>Min:  26%
Max: 33%</v>
      </c>
      <c r="G14" s="41">
        <f t="array" ref="G14">_xlfn.XLOOKUP(B14,'Up Min'!A:A,'Up Min'!B:B,)</f>
        <v>0.26</v>
      </c>
      <c r="H14" s="41">
        <f t="array" ref="H14">_xlfn.XLOOKUP(B14,'Up Max'!A:A,'Up Max'!B:B,)</f>
        <v>0.33</v>
      </c>
      <c r="I14" s="39" t="str">
        <f t="array" ref="I14">_xlfn.XLOOKUP(B14,'Up Stats'!A:A,'Up Stats'!C:C,)</f>
        <v/>
      </c>
      <c r="J14" s="40" t="str">
        <f>IFERROR(__xludf.DUMMYFUNCTION("if(AND(K14=FALSE,L14=FALSE),,if(K14=L14,JOIN("""",""Static: "",K14),JOIN("""",""Min:  "",K14, CHAR(10),""Max: "",L14)))"),"")</f>
        <v/>
      </c>
      <c r="K14" s="42" t="str">
        <f t="array" ref="K14">_xlfn.XLOOKUP(B14,'Up Min'!A:A,'Up Min'!C:C,)</f>
        <v/>
      </c>
      <c r="L14" s="42" t="str">
        <f t="array" ref="L14">_xlfn.XLOOKUP(B14,'Up Max'!A:A,'Up Max'!C:C,)</f>
        <v/>
      </c>
      <c r="M14" s="48" t="str">
        <f t="array" ref="M14">_xlfn.XLOOKUP(B14,'Up Stats'!A:A,'Up Stats'!D:D,)</f>
        <v/>
      </c>
      <c r="N14" s="40" t="str">
        <f>IFERROR(__xludf.DUMMYFUNCTION("if(AND(O14=FALSE,P14=FALSE),,if(O14=P14,JOIN("""",""Static: "",O14),JOIN("""",""Min:  "",O14, CHAR(10),""Max: "",P14)))"),"")</f>
        <v/>
      </c>
      <c r="O14" s="42" t="str">
        <f t="array" ref="O14">_xlfn.XLOOKUP(B14,'Up Min'!A:A,'Up Min'!D:D,)</f>
        <v/>
      </c>
      <c r="P14" s="42" t="str">
        <f t="array" ref="P14">_xlfn.XLOOKUP(B14,'Up Max'!A:A,'Up Max'!D:D,)</f>
        <v/>
      </c>
      <c r="Q14" s="48" t="str">
        <f t="array" ref="Q14">_xlfn.XLOOKUP(B14,'Up Stats'!A:A,'Up Stats'!E:E,)</f>
        <v/>
      </c>
      <c r="R14" s="40" t="str">
        <f>IFERROR(__xludf.DUMMYFUNCTION("if(AND(S14=FALSE,T14=FALSE),,if(S14=T14,JOIN("""",""Static: "",S14),JOIN("""",""Min:  "",S14, CHAR(10),""Max: "",T14)))"),"")</f>
        <v/>
      </c>
      <c r="S14" s="74" t="str">
        <f t="array" ref="S14">_xlfn.XLOOKUP(B14,'Up Min'!A:A,'Up Min'!E:E,)</f>
        <v/>
      </c>
      <c r="T14" s="42" t="str">
        <f t="array" ref="T14">_xlfn.XLOOKUP(B14,'Up Max'!A:A,'Up Max'!E:E,)</f>
        <v/>
      </c>
      <c r="U14" s="48" t="str">
        <f t="array" ref="U14">_xlfn.XLOOKUP(B14,'Up Stats'!A:A,'Up Stats'!F:F,)</f>
        <v/>
      </c>
      <c r="V14" s="40" t="str">
        <f>IFERROR(__xludf.DUMMYFUNCTION("if(AND(W14=FALSE,X14=FALSE),,if(W14=X14,JOIN("""",""Static: "",W14),JOIN("""",""Min:  "",W14, CHAR(10),""Max: "",X14)))"),"")</f>
        <v/>
      </c>
      <c r="W14" s="74" t="str">
        <f t="array" ref="W14">_xlfn.XLOOKUP(B14,'Up Min'!A:A,'Up Min'!F:F,)</f>
        <v/>
      </c>
      <c r="X14" s="74" t="str">
        <f t="array" ref="X14">_xlfn.XLOOKUP(B14,'Up Max'!A:A,'Up Max'!F:F,)</f>
        <v/>
      </c>
      <c r="Y14" s="48" t="str">
        <f t="array" ref="Y14">_xlfn.XLOOKUP(B14,'Up Stats'!A:A,'Up Stats'!G:G,)</f>
        <v/>
      </c>
      <c r="Z14" s="40" t="str">
        <f>IFERROR(__xludf.DUMMYFUNCTION("if(AND(AA14=FALSE,AB14=FALSE),,if(AA14=AB14,JOIN("""",""Static: "",AA14),JOIN("""",""Min:  "",AA14, CHAR(10),""Max: "",AB14)))"),"")</f>
        <v/>
      </c>
      <c r="AA14" s="42" t="str">
        <f t="array" ref="AA14">_xlfn.XLOOKUP(B14,'Up Min'!A:A,'Up Min'!G:G,)</f>
        <v/>
      </c>
      <c r="AB14" s="74" t="str">
        <f t="array" ref="AB14">_xlfn.XLOOKUP(B14,'Up Max'!A:A,'Up Max'!G:G,)</f>
        <v/>
      </c>
      <c r="AC14" s="79" t="str">
        <f t="array" ref="AC14">_xlfn.XLOOKUP(B14,'Up Stats'!A:A,'Up Stats'!H:H,)</f>
        <v/>
      </c>
      <c r="AD14" s="40" t="str">
        <f>IFERROR(__xludf.DUMMYFUNCTION("if(AND(AE14=FALSE,AF14=FALSE),,if(AE14=AF14,JOIN("""",""Static: "",AE14),JOIN("""",""Min:  "",AE14, CHAR(10),""Max: "",AF14)))"),"")</f>
        <v/>
      </c>
      <c r="AE14" s="42" t="str">
        <f t="array" ref="AE14">_xlfn.XLOOKUP(B14,'Up Min'!A:A,'Up Min'!H:H,)</f>
        <v/>
      </c>
      <c r="AF14" s="42" t="str">
        <f t="array" ref="AF14">_xlfn.XLOOKUP(B14,'Up Max'!A:A,'Up Max'!H:H,)</f>
        <v/>
      </c>
      <c r="AG14" s="48" t="str">
        <f t="array" ref="AG14">_xlfn.XLOOKUP(B14,'Up Stats'!A:A,'Up Stats'!I:I,)</f>
        <v/>
      </c>
      <c r="AH14" s="40" t="str">
        <f>IFERROR(__xludf.DUMMYFUNCTION("if(AND(AI14=FALSE,AJ14=FALSE),,if(AI14=AJ14,JOIN("""",""Static: "",AI14),JOIN("""",""Min:  "",AI14, CHAR(10),""Max: "",AJ14)))"),"")</f>
        <v/>
      </c>
      <c r="AI14" s="42" t="str">
        <f t="array" ref="AI14">_xlfn.XLOOKUP(B14,'Up Min'!A:A,'Up Min'!I:I,)</f>
        <v/>
      </c>
      <c r="AJ14" s="42" t="str">
        <f t="array" ref="AJ14">_xlfn.XLOOKUP(B14,'Up Max'!A:A,'Up Max'!I:I,)</f>
        <v/>
      </c>
      <c r="AK14" s="48" t="str">
        <f t="array" ref="AK14">_xlfn.XLOOKUP(B14,'Up Stats'!A:A,'Up Stats'!J:J,)</f>
        <v/>
      </c>
      <c r="AL14" s="40" t="str">
        <f>IFERROR(__xludf.DUMMYFUNCTION("if(AND(AM14=FALSE,AN14=FALSE),,if(AM14=AN14,JOIN("""",""Static: "",AM14),JOIN("""",""Min:  "",AM14, CHAR(10),""Max: "",AN14)))"),"")</f>
        <v/>
      </c>
      <c r="AM14" s="42" t="str">
        <f t="array" ref="AM14">_xlfn.XLOOKUP(B14,'Up Min'!A:A,'Up Min'!J:J,)</f>
        <v/>
      </c>
      <c r="AN14" s="42" t="str">
        <f t="array" ref="AN14">_xlfn.XLOOKUP(B14,'Up Max'!A:A,'Up Max'!J:J,)</f>
        <v/>
      </c>
      <c r="AO14" s="34" t="s">
        <v>31</v>
      </c>
      <c r="AP14" s="34" t="str">
        <f t="array" ref="AP14">CONCATENATE(_xlfn.XLOOKUP(B14,'Up Rarity'!A:A,'Up Rarity'!B:B,),CHAR(10),"-")</f>
        <v>Epic
-</v>
      </c>
    </row>
    <row r="15">
      <c r="A15" s="83" t="str">
        <f t="array" ref="A15">_xlfn.XLOOKUP(B15,'Up Icon'!A:A,'Up Icon'!B:B,)</f>
        <v/>
      </c>
      <c r="B15" s="88" t="str">
        <f t="array" ref="B15">HYPERLINK(_xlfn.XLOOKUP('Up Names'!I12,'Up Wiki'!A:A,'Up Wiki'!B:B,),'Up Names'!I12)</f>
        <v>Auto-Replicator</v>
      </c>
      <c r="C15" s="52" t="str">
        <f t="array" ref="C15">_xlfn.XLOOKUP(B15,'Up Desc'!A:A,'Up Desc'!B:B,)</f>
        <v>Globblometer is increased, but fire rate is decreased.</v>
      </c>
      <c r="D15" s="52" t="str">
        <f t="array" ref="D15">_xlfn.XLOOKUP(B15,'Up Turbo'!A:A,'Up Turbo'!B:B,)</f>
        <v>n/a</v>
      </c>
      <c r="E15" s="53" t="str">
        <f t="array" ref="E15">_xlfn.XLOOKUP(B15,'Up Stats'!A:A,'Up Stats'!B:B,)</f>
        <v>Fire Rate</v>
      </c>
      <c r="F15" s="54" t="str">
        <f>IFERROR(__xludf.DUMMYFUNCTION("if(AND(G15=FALSE,H15=FALSE),,if(G15=H15,JOIN("""",""Static: "",G15),JOIN("""",""Min:  "",G15, CHAR(10),""Max: "",H15)))"),"Min:  -21.88%
Max: -26.47%")</f>
        <v>Min:  -21.88%
Max: -26.47%</v>
      </c>
      <c r="G15" s="71">
        <f t="array" ref="G15">_xlfn.XLOOKUP(B15,'Up Min'!A:A,'Up Min'!B:B,)</f>
        <v>-0.2188</v>
      </c>
      <c r="H15" s="71">
        <f t="array" ref="H15">_xlfn.XLOOKUP(B15,'Up Max'!A:A,'Up Max'!B:B,)</f>
        <v>-0.2647</v>
      </c>
      <c r="I15" s="53" t="str">
        <f t="array" ref="I15">_xlfn.XLOOKUP(B15,'Up Stats'!A:A,'Up Stats'!C:C,)</f>
        <v>Globblometer</v>
      </c>
      <c r="J15" s="54" t="str">
        <f>IFERROR(__xludf.DUMMYFUNCTION("if(AND(K15=FALSE,L15=FALSE),,if(K15=L15,JOIN("""",""Static: "",K15),JOIN("""",""Min:  "",K15, CHAR(10),""Max: "",L15)))"),"Min:  10
Max: 14")</f>
        <v>Min:  10
Max: 14</v>
      </c>
      <c r="K15" s="65">
        <f t="array" ref="K15">_xlfn.XLOOKUP(B15,'Up Min'!A:A,'Up Min'!C:C,)</f>
        <v>10</v>
      </c>
      <c r="L15" s="64">
        <f t="array" ref="L15">_xlfn.XLOOKUP(B15,'Up Max'!A:A,'Up Max'!C:C,)</f>
        <v>14</v>
      </c>
      <c r="M15" s="53" t="str">
        <f t="array" ref="M15">_xlfn.XLOOKUP(B15,'Up Stats'!A:A,'Up Stats'!D:D,)</f>
        <v/>
      </c>
      <c r="N15" s="54" t="str">
        <f>IFERROR(__xludf.DUMMYFUNCTION("if(AND(O15=FALSE,P15=FALSE),,if(O15=P15,JOIN("""",""Static: "",O15),JOIN("""",""Min:  "",O15, CHAR(10),""Max: "",P15)))"),"")</f>
        <v/>
      </c>
      <c r="O15" s="55" t="str">
        <f t="array" ref="O15">_xlfn.XLOOKUP(B15,'Up Min'!A:A,'Up Min'!D:D,)</f>
        <v/>
      </c>
      <c r="P15" s="55" t="str">
        <f t="array" ref="P15">_xlfn.XLOOKUP(B15,'Up Max'!A:A,'Up Max'!D:D,)</f>
        <v/>
      </c>
      <c r="Q15" s="57" t="str">
        <f t="array" ref="Q15">_xlfn.XLOOKUP(B15,'Up Stats'!A:A,'Up Stats'!E:E,)</f>
        <v/>
      </c>
      <c r="R15" s="54" t="str">
        <f>IFERROR(__xludf.DUMMYFUNCTION("if(AND(S15=FALSE,T15=FALSE),,if(S15=T15,JOIN("""",""Static: "",S15),JOIN("""",""Min:  "",S15, CHAR(10),""Max: "",T15)))"),"")</f>
        <v/>
      </c>
      <c r="S15" s="55" t="str">
        <f t="array" ref="S15">_xlfn.XLOOKUP(B15,'Up Min'!A:A,'Up Min'!E:E,)</f>
        <v/>
      </c>
      <c r="T15" s="55" t="str">
        <f t="array" ref="T15">_xlfn.XLOOKUP(B15,'Up Max'!A:A,'Up Max'!E:E,)</f>
        <v/>
      </c>
      <c r="U15" s="57" t="str">
        <f t="array" ref="U15">_xlfn.XLOOKUP(B15,'Up Stats'!A:A,'Up Stats'!F:F,)</f>
        <v/>
      </c>
      <c r="V15" s="54" t="str">
        <f>IFERROR(__xludf.DUMMYFUNCTION("if(AND(W15=FALSE,X15=FALSE),,if(W15=X15,JOIN("""",""Static: "",W15),JOIN("""",""Min:  "",W15, CHAR(10),""Max: "",X15)))"),"")</f>
        <v/>
      </c>
      <c r="W15" s="55" t="str">
        <f t="array" ref="W15">_xlfn.XLOOKUP(B15,'Up Min'!A:A,'Up Min'!F:F,)</f>
        <v/>
      </c>
      <c r="X15" s="55" t="str">
        <f t="array" ref="X15">_xlfn.XLOOKUP(B15,'Up Max'!A:A,'Up Max'!F:F,)</f>
        <v/>
      </c>
      <c r="Y15" s="57" t="str">
        <f t="array" ref="Y15">_xlfn.XLOOKUP(B15,'Up Stats'!A:A,'Up Stats'!G:G,)</f>
        <v/>
      </c>
      <c r="Z15" s="54" t="str">
        <f>IFERROR(__xludf.DUMMYFUNCTION("if(AND(AA15=FALSE,AB15=FALSE),,if(AA15=AB15,JOIN("""",""Static: "",AA15),JOIN("""",""Min:  "",AA15, CHAR(10),""Max: "",AB15)))"),"")</f>
        <v/>
      </c>
      <c r="AA15" s="55" t="str">
        <f t="array" ref="AA15">_xlfn.XLOOKUP(B15,'Up Min'!A:A,'Up Min'!G:G,)</f>
        <v/>
      </c>
      <c r="AB15" s="55" t="str">
        <f t="array" ref="AB15">_xlfn.XLOOKUP(B15,'Up Max'!A:A,'Up Max'!G:G,)</f>
        <v/>
      </c>
      <c r="AC15" s="57" t="str">
        <f t="array" ref="AC15">_xlfn.XLOOKUP(B15,'Up Stats'!A:A,'Up Stats'!H:H,)</f>
        <v/>
      </c>
      <c r="AD15" s="54" t="str">
        <f>IFERROR(__xludf.DUMMYFUNCTION("if(AND(AE15=FALSE,AF15=FALSE),,if(AE15=AF15,JOIN("""",""Static: "",AE15),JOIN("""",""Min:  "",AE15, CHAR(10),""Max: "",AF15)))"),"")</f>
        <v/>
      </c>
      <c r="AE15" s="55" t="str">
        <f t="array" ref="AE15">_xlfn.XLOOKUP(B15,'Up Min'!A:A,'Up Min'!H:H,)</f>
        <v/>
      </c>
      <c r="AF15" s="55" t="str">
        <f t="array" ref="AF15">_xlfn.XLOOKUP(B15,'Up Max'!A:A,'Up Max'!H:H,)</f>
        <v/>
      </c>
      <c r="AG15" s="57" t="str">
        <f t="array" ref="AG15">_xlfn.XLOOKUP(B15,'Up Stats'!A:A,'Up Stats'!I:I,)</f>
        <v/>
      </c>
      <c r="AH15" s="54" t="str">
        <f>IFERROR(__xludf.DUMMYFUNCTION("if(AND(AI15=FALSE,AJ15=FALSE),,if(AI15=AJ15,JOIN("""",""Static: "",AI15),JOIN("""",""Min:  "",AI15, CHAR(10),""Max: "",AJ15)))"),"")</f>
        <v/>
      </c>
      <c r="AI15" s="55" t="str">
        <f t="array" ref="AI15">_xlfn.XLOOKUP(B15,'Up Min'!A:A,'Up Min'!I:I,)</f>
        <v/>
      </c>
      <c r="AJ15" s="55" t="str">
        <f t="array" ref="AJ15">_xlfn.XLOOKUP(B15,'Up Max'!A:A,'Up Max'!I:I,)</f>
        <v/>
      </c>
      <c r="AK15" s="57" t="str">
        <f t="array" ref="AK15">_xlfn.XLOOKUP(B15,'Up Stats'!A:A,'Up Stats'!J:J,)</f>
        <v/>
      </c>
      <c r="AL15" s="54" t="str">
        <f>IFERROR(__xludf.DUMMYFUNCTION("if(AND(AM15=FALSE,AN15=FALSE),,if(AM15=AN15,JOIN("""",""Static: "",AM15),JOIN("""",""Min:  "",AM15, CHAR(10),""Max: "",AN15)))"),"")</f>
        <v/>
      </c>
      <c r="AM15" s="55" t="str">
        <f t="array" ref="AM15">_xlfn.XLOOKUP(B15,'Up Min'!A:A,'Up Min'!J:J,)</f>
        <v/>
      </c>
      <c r="AN15" s="55" t="str">
        <f t="array" ref="AN15">_xlfn.XLOOKUP(B15,'Up Max'!A:A,'Up Max'!J:J,)</f>
        <v/>
      </c>
      <c r="AO15" s="51" t="s">
        <v>30</v>
      </c>
      <c r="AP15" s="51" t="str">
        <f t="array" ref="AP15">CONCATENATE(_xlfn.XLOOKUP(B15,'Up Rarity'!A:A,'Up Rarity'!B:B,),CHAR(10),"-")</f>
        <v>Rare
-</v>
      </c>
    </row>
    <row r="16">
      <c r="A16" s="83" t="str">
        <f t="array" ref="A16">_xlfn.XLOOKUP(B16,'Up Icon'!A:A,'Up Icon'!B:B,)</f>
        <v/>
      </c>
      <c r="B16" s="89" t="str">
        <f t="array" ref="B16">HYPERLINK(_xlfn.XLOOKUP('Up Names'!I13,'Up Wiki'!A:A,'Up Wiki'!B:B,),'Up Names'!I13)</f>
        <v>Flash Flood</v>
      </c>
      <c r="C16" s="67" t="str">
        <f t="array" ref="C16">_xlfn.XLOOKUP(B16,'Up Desc'!A:A,'Up Desc'!B:B,)</f>
        <v>Glob waves created by Flood have an increased length.</v>
      </c>
      <c r="D16" s="37" t="str">
        <f t="array" ref="D16">_xlfn.XLOOKUP(B16,'Up Turbo'!A:A,'Up Turbo'!B:B,)</f>
        <v>n/a</v>
      </c>
      <c r="E16" s="39" t="str">
        <f t="array" ref="E16">_xlfn.XLOOKUP(B16,'Up Stats'!A:A,'Up Stats'!B:B,)</f>
        <v>Distance</v>
      </c>
      <c r="F16" s="40" t="str">
        <f>IFERROR(__xludf.DUMMYFUNCTION("if(AND(G16=FALSE,H16=FALSE),,if(G16=H16,JOIN("""",""Static: "",G16),JOIN("""",""Min:  "",G16, CHAR(10),""Max: "",H16)))"),"Min:  16%
Max: 26%")</f>
        <v>Min:  16%
Max: 26%</v>
      </c>
      <c r="G16" s="41">
        <f t="array" ref="G16">_xlfn.XLOOKUP(B16,'Up Min'!A:A,'Up Min'!B:B,)</f>
        <v>0.16</v>
      </c>
      <c r="H16" s="41">
        <f t="array" ref="H16">_xlfn.XLOOKUP(B16,'Up Max'!A:A,'Up Max'!B:B,)</f>
        <v>0.26</v>
      </c>
      <c r="I16" s="39" t="str">
        <f t="array" ref="I16">_xlfn.XLOOKUP(B16,'Up Stats'!A:A,'Up Stats'!C:C,)</f>
        <v/>
      </c>
      <c r="J16" s="40" t="str">
        <f>IFERROR(__xludf.DUMMYFUNCTION("if(AND(K16=FALSE,L16=FALSE),,if(K16=L16,JOIN("""",""Static: "",K16),JOIN("""",""Min:  "",K16, CHAR(10),""Max: "",L16)))"),"")</f>
        <v/>
      </c>
      <c r="K16" s="42" t="str">
        <f t="array" ref="K16">_xlfn.XLOOKUP(B16,'Up Min'!A:A,'Up Min'!C:C,)</f>
        <v/>
      </c>
      <c r="L16" s="42" t="str">
        <f t="array" ref="L16">_xlfn.XLOOKUP(B16,'Up Max'!A:A,'Up Max'!C:C,)</f>
        <v/>
      </c>
      <c r="M16" s="48" t="str">
        <f t="array" ref="M16">_xlfn.XLOOKUP(B16,'Up Stats'!A:A,'Up Stats'!D:D,)</f>
        <v/>
      </c>
      <c r="N16" s="40" t="str">
        <f>IFERROR(__xludf.DUMMYFUNCTION("if(AND(O16=FALSE,P16=FALSE),,if(O16=P16,JOIN("""",""Static: "",O16),JOIN("""",""Min:  "",O16, CHAR(10),""Max: "",P16)))"),"")</f>
        <v/>
      </c>
      <c r="O16" s="42" t="str">
        <f t="array" ref="O16">_xlfn.XLOOKUP(B16,'Up Min'!A:A,'Up Min'!D:D,)</f>
        <v/>
      </c>
      <c r="P16" s="42" t="str">
        <f t="array" ref="P16">_xlfn.XLOOKUP(B16,'Up Max'!A:A,'Up Max'!D:D,)</f>
        <v/>
      </c>
      <c r="Q16" s="48" t="str">
        <f t="array" ref="Q16">_xlfn.XLOOKUP(B16,'Up Stats'!A:A,'Up Stats'!E:E,)</f>
        <v/>
      </c>
      <c r="R16" s="40" t="str">
        <f>IFERROR(__xludf.DUMMYFUNCTION("if(AND(S16=FALSE,T16=FALSE),,if(S16=T16,JOIN("""",""Static: "",S16),JOIN("""",""Min:  "",S16, CHAR(10),""Max: "",T16)))"),"")</f>
        <v/>
      </c>
      <c r="S16" s="42" t="str">
        <f t="array" ref="S16">_xlfn.XLOOKUP(B16,'Up Min'!A:A,'Up Min'!E:E,)</f>
        <v/>
      </c>
      <c r="T16" s="42" t="str">
        <f t="array" ref="T16">_xlfn.XLOOKUP(B16,'Up Max'!A:A,'Up Max'!E:E,)</f>
        <v/>
      </c>
      <c r="U16" s="48" t="str">
        <f t="array" ref="U16">_xlfn.XLOOKUP(B16,'Up Stats'!A:A,'Up Stats'!F:F,)</f>
        <v/>
      </c>
      <c r="V16" s="40" t="str">
        <f>IFERROR(__xludf.DUMMYFUNCTION("if(AND(W16=FALSE,X16=FALSE),,if(W16=X16,JOIN("""",""Static: "",W16),JOIN("""",""Min:  "",W16, CHAR(10),""Max: "",X16)))"),"")</f>
        <v/>
      </c>
      <c r="W16" s="42" t="str">
        <f t="array" ref="W16">_xlfn.XLOOKUP(B16,'Up Min'!A:A,'Up Min'!F:F,)</f>
        <v/>
      </c>
      <c r="X16" s="42" t="str">
        <f t="array" ref="X16">_xlfn.XLOOKUP(B16,'Up Max'!A:A,'Up Max'!F:F,)</f>
        <v/>
      </c>
      <c r="Y16" s="48" t="str">
        <f t="array" ref="Y16">_xlfn.XLOOKUP(B16,'Up Stats'!A:A,'Up Stats'!G:G,)</f>
        <v/>
      </c>
      <c r="Z16" s="40" t="str">
        <f>IFERROR(__xludf.DUMMYFUNCTION("if(AND(AA16=FALSE,AB16=FALSE),,if(AA16=AB16,JOIN("""",""Static: "",AA16),JOIN("""",""Min:  "",AA16, CHAR(10),""Max: "",AB16)))"),"")</f>
        <v/>
      </c>
      <c r="AA16" s="42" t="str">
        <f t="array" ref="AA16">_xlfn.XLOOKUP(B16,'Up Min'!A:A,'Up Min'!G:G,)</f>
        <v/>
      </c>
      <c r="AB16" s="42" t="str">
        <f t="array" ref="AB16">_xlfn.XLOOKUP(B16,'Up Max'!A:A,'Up Max'!G:G,)</f>
        <v/>
      </c>
      <c r="AC16" s="48" t="str">
        <f t="array" ref="AC16">_xlfn.XLOOKUP(B16,'Up Stats'!A:A,'Up Stats'!H:H,)</f>
        <v/>
      </c>
      <c r="AD16" s="40" t="str">
        <f>IFERROR(__xludf.DUMMYFUNCTION("if(AND(AE16=FALSE,AF16=FALSE),,if(AE16=AF16,JOIN("""",""Static: "",AE16),JOIN("""",""Min:  "",AE16, CHAR(10),""Max: "",AF16)))"),"")</f>
        <v/>
      </c>
      <c r="AE16" s="42" t="str">
        <f t="array" ref="AE16">_xlfn.XLOOKUP(B16,'Up Min'!A:A,'Up Min'!H:H,)</f>
        <v/>
      </c>
      <c r="AF16" s="42" t="str">
        <f t="array" ref="AF16">_xlfn.XLOOKUP(B16,'Up Max'!A:A,'Up Max'!H:H,)</f>
        <v/>
      </c>
      <c r="AG16" s="48" t="str">
        <f t="array" ref="AG16">_xlfn.XLOOKUP(B16,'Up Stats'!A:A,'Up Stats'!I:I,)</f>
        <v/>
      </c>
      <c r="AH16" s="40" t="str">
        <f>IFERROR(__xludf.DUMMYFUNCTION("if(AND(AI16=FALSE,AJ16=FALSE),,if(AI16=AJ16,JOIN("""",""Static: "",AI16),JOIN("""",""Min:  "",AI16, CHAR(10),""Max: "",AJ16)))"),"")</f>
        <v/>
      </c>
      <c r="AI16" s="42" t="str">
        <f t="array" ref="AI16">_xlfn.XLOOKUP(B16,'Up Min'!A:A,'Up Min'!I:I,)</f>
        <v/>
      </c>
      <c r="AJ16" s="42" t="str">
        <f t="array" ref="AJ16">_xlfn.XLOOKUP(B16,'Up Max'!A:A,'Up Max'!I:I,)</f>
        <v/>
      </c>
      <c r="AK16" s="48" t="str">
        <f t="array" ref="AK16">_xlfn.XLOOKUP(B16,'Up Stats'!A:A,'Up Stats'!J:J,)</f>
        <v/>
      </c>
      <c r="AL16" s="40" t="str">
        <f>IFERROR(__xludf.DUMMYFUNCTION("if(AND(AM16=FALSE,AN16=FALSE),,if(AM16=AN16,JOIN("""",""Static: "",AM16),JOIN("""",""Min:  "",AM16, CHAR(10),""Max: "",AN16)))"),"")</f>
        <v/>
      </c>
      <c r="AM16" s="42" t="str">
        <f t="array" ref="AM16">_xlfn.XLOOKUP(B16,'Up Min'!A:A,'Up Min'!J:J,)</f>
        <v/>
      </c>
      <c r="AN16" s="42" t="str">
        <f t="array" ref="AN16">_xlfn.XLOOKUP(B16,'Up Max'!A:A,'Up Max'!J:J,)</f>
        <v/>
      </c>
      <c r="AO16" s="34" t="s">
        <v>30</v>
      </c>
      <c r="AP16" s="34" t="str">
        <f t="array" ref="AP16">CONCATENATE(_xlfn.XLOOKUP(B16,'Up Rarity'!A:A,'Up Rarity'!B:B,),CHAR(10),"-")</f>
        <v>Rare
-</v>
      </c>
    </row>
    <row r="17">
      <c r="A17" s="83" t="str">
        <f t="array" ref="A17">_xlfn.XLOOKUP(B17,'Up Icon'!A:A,'Up Icon'!B:B,)</f>
        <v/>
      </c>
      <c r="B17" s="88" t="str">
        <f t="array" ref="B17">HYPERLINK(_xlfn.XLOOKUP('Up Names'!I14,'Up Wiki'!A:A,'Up Wiki'!B:B,),'Up Names'!I14)</f>
        <v>Forceful Expulsion</v>
      </c>
      <c r="C17" s="52" t="str">
        <f t="array" ref="C17">_xlfn.XLOOKUP(B17,'Up Desc'!A:A,'Up Desc'!B:B,)</f>
        <v>Fire globs faster and with more force. Damage and explosion size are decreased.</v>
      </c>
      <c r="D17" s="52" t="str">
        <f t="array" ref="D17">_xlfn.XLOOKUP(B17,'Up Turbo'!A:A,'Up Turbo'!B:B,)</f>
        <v>n/a</v>
      </c>
      <c r="E17" s="53" t="str">
        <f t="array" ref="E17">_xlfn.XLOOKUP(B17,'Up Stats'!A:A,'Up Stats'!B:B,)</f>
        <v>Fire Rate</v>
      </c>
      <c r="F17" s="54" t="str">
        <f>IFERROR(__xludf.DUMMYFUNCTION("if(AND(G17=FALSE,H17=FALSE),,if(G17=H17,JOIN("""",""Static: "",G17),JOIN("""",""Min:  "",G17, CHAR(10),""Max: "",H17)))"),"Min:  51.52%
Max: 35.14%")</f>
        <v>Min:  51.52%
Max: 35.14%</v>
      </c>
      <c r="G17" s="71">
        <f t="array" ref="G17">_xlfn.XLOOKUP(B17,'Up Min'!A:A,'Up Min'!B:B,)</f>
        <v>0.5152</v>
      </c>
      <c r="H17" s="71">
        <f t="array" ref="H17">_xlfn.XLOOKUP(B17,'Up Max'!A:A,'Up Max'!B:B,)</f>
        <v>0.3514</v>
      </c>
      <c r="I17" s="53" t="str">
        <f t="array" ref="I17">_xlfn.XLOOKUP(B17,'Up Stats'!A:A,'Up Stats'!C:C,)</f>
        <v>Bullet Speed</v>
      </c>
      <c r="J17" s="54" t="str">
        <f>IFERROR(__xludf.DUMMYFUNCTION("if(AND(K17=FALSE,L17=FALSE),,if(K17=L17,JOIN("""",""Static: "",K17),JOIN("""",""Min:  "",K17, CHAR(10),""Max: "",L17)))"),"Min:  15%
Max: 25%")</f>
        <v>Min:  15%
Max: 25%</v>
      </c>
      <c r="K17" s="59">
        <f t="array" ref="K17">_xlfn.XLOOKUP(B17,'Up Min'!A:A,'Up Min'!C:C,)</f>
        <v>0.15</v>
      </c>
      <c r="L17" s="59">
        <f t="array" ref="L17">_xlfn.XLOOKUP(B17,'Up Max'!A:A,'Up Max'!C:C,)</f>
        <v>0.25</v>
      </c>
      <c r="M17" s="53" t="str">
        <f t="array" ref="M17">_xlfn.XLOOKUP(B17,'Up Stats'!A:A,'Up Stats'!D:D,)</f>
        <v>Damage</v>
      </c>
      <c r="N17" s="54" t="str">
        <f>IFERROR(__xludf.DUMMYFUNCTION("if(AND(O17=FALSE,P17=FALSE),,if(O17=P17,JOIN("""",""Static: "",O17),JOIN("""",""Min:  "",O17, CHAR(10),""Max: "",P17)))"),"Min:  -34%
Max: -26%")</f>
        <v>Min:  -34%
Max: -26%</v>
      </c>
      <c r="O17" s="59">
        <f t="array" ref="O17">_xlfn.XLOOKUP(B17,'Up Min'!A:A,'Up Min'!D:D,)</f>
        <v>-0.34</v>
      </c>
      <c r="P17" s="59">
        <f t="array" ref="P17">_xlfn.XLOOKUP(B17,'Up Max'!A:A,'Up Max'!D:D,)</f>
        <v>-0.26</v>
      </c>
      <c r="Q17" s="57" t="str">
        <f t="array" ref="Q17">_xlfn.XLOOKUP(B17,'Up Stats'!A:A,'Up Stats'!E:E,)</f>
        <v>Element</v>
      </c>
      <c r="R17" s="54" t="str">
        <f>IFERROR(__xludf.DUMMYFUNCTION("if(AND(S17=FALSE,T17=FALSE),,if(S17=T17,JOIN("""",""Static: "",S17),JOIN("""",""Min:  "",S17, CHAR(10),""Max: "",T17)))"),"Min:  -34%
Max: -26%")</f>
        <v>Min:  -34%
Max: -26%</v>
      </c>
      <c r="S17" s="59">
        <f t="array" ref="S17">_xlfn.XLOOKUP(B17,'Up Min'!A:A,'Up Min'!E:E,)</f>
        <v>-0.34</v>
      </c>
      <c r="T17" s="59">
        <f t="array" ref="T17">_xlfn.XLOOKUP(B17,'Up Max'!A:A,'Up Max'!E:E,)</f>
        <v>-0.26</v>
      </c>
      <c r="U17" s="57" t="str">
        <f t="array" ref="U17">_xlfn.XLOOKUP(B17,'Up Stats'!A:A,'Up Stats'!F:F,)</f>
        <v>Explosion Size</v>
      </c>
      <c r="V17" s="54" t="str">
        <f>IFERROR(__xludf.DUMMYFUNCTION("if(AND(W17=FALSE,X17=FALSE),,if(W17=X17,JOIN("""",""Static: "",W17),JOIN("""",""Min:  "",W17, CHAR(10),""Max: "",X17)))"),"Min:  -44%
Max: -35%")</f>
        <v>Min:  -44%
Max: -35%</v>
      </c>
      <c r="W17" s="59">
        <f t="array" ref="W17">_xlfn.XLOOKUP(B17,'Up Min'!A:A,'Up Min'!F:F,)</f>
        <v>-0.44</v>
      </c>
      <c r="X17" s="59">
        <f t="array" ref="X17">_xlfn.XLOOKUP(B17,'Up Max'!A:A,'Up Max'!F:F,)</f>
        <v>-0.35</v>
      </c>
      <c r="Y17" s="53" t="str">
        <f t="array" ref="Y17">_xlfn.XLOOKUP(B17,'Up Stats'!A:A,'Up Stats'!G:G,)</f>
        <v/>
      </c>
      <c r="Z17" s="54" t="str">
        <f>IFERROR(__xludf.DUMMYFUNCTION("if(AND(AA17=FALSE,AB17=FALSE),,if(AA17=AB17,JOIN("""",""Static: "",AA17),JOIN("""",""Min:  "",AA17, CHAR(10),""Max: "",AB17)))"),"")</f>
        <v/>
      </c>
      <c r="AA17" s="55" t="str">
        <f t="array" ref="AA17">_xlfn.XLOOKUP(B17,'Up Min'!A:A,'Up Min'!G:G,)</f>
        <v/>
      </c>
      <c r="AB17" s="56" t="str">
        <f t="array" ref="AB17">_xlfn.XLOOKUP(B17,'Up Max'!A:A,'Up Max'!G:G,)</f>
        <v/>
      </c>
      <c r="AC17" s="53" t="str">
        <f t="array" ref="AC17">_xlfn.XLOOKUP(B17,'Up Stats'!A:A,'Up Stats'!H:H,)</f>
        <v/>
      </c>
      <c r="AD17" s="54" t="str">
        <f>IFERROR(__xludf.DUMMYFUNCTION("if(AND(AE17=FALSE,AF17=FALSE),,if(AE17=AF17,JOIN("""",""Static: "",AE17),JOIN("""",""Min:  "",AE17, CHAR(10),""Max: "",AF17)))"),"")</f>
        <v/>
      </c>
      <c r="AE17" s="55" t="str">
        <f t="array" ref="AE17">_xlfn.XLOOKUP(B17,'Up Min'!A:A,'Up Min'!H:H,)</f>
        <v/>
      </c>
      <c r="AF17" s="55" t="str">
        <f t="array" ref="AF17">_xlfn.XLOOKUP(B17,'Up Max'!A:A,'Up Max'!H:H,)</f>
        <v/>
      </c>
      <c r="AG17" s="57" t="str">
        <f t="array" ref="AG17">_xlfn.XLOOKUP(B17,'Up Stats'!A:A,'Up Stats'!I:I,)</f>
        <v/>
      </c>
      <c r="AH17" s="54" t="str">
        <f>IFERROR(__xludf.DUMMYFUNCTION("if(AND(AI17=FALSE,AJ17=FALSE),,if(AI17=AJ17,JOIN("""",""Static: "",AI17),JOIN("""",""Min:  "",AI17, CHAR(10),""Max: "",AJ17)))"),"")</f>
        <v/>
      </c>
      <c r="AI17" s="55" t="str">
        <f t="array" ref="AI17">_xlfn.XLOOKUP(B17,'Up Min'!A:A,'Up Min'!I:I,)</f>
        <v/>
      </c>
      <c r="AJ17" s="55" t="str">
        <f t="array" ref="AJ17">_xlfn.XLOOKUP(B17,'Up Max'!A:A,'Up Max'!I:I,)</f>
        <v/>
      </c>
      <c r="AK17" s="57" t="str">
        <f t="array" ref="AK17">_xlfn.XLOOKUP(B17,'Up Stats'!A:A,'Up Stats'!J:J,)</f>
        <v/>
      </c>
      <c r="AL17" s="54" t="str">
        <f>IFERROR(__xludf.DUMMYFUNCTION("if(AND(AM17=FALSE,AN17=FALSE),,if(AM17=AN17,JOIN("""",""Static: "",AM17),JOIN("""",""Min:  "",AM17, CHAR(10),""Max: "",AN17)))"),"")</f>
        <v/>
      </c>
      <c r="AM17" s="55" t="str">
        <f t="array" ref="AM17">_xlfn.XLOOKUP(B17,'Up Min'!A:A,'Up Min'!J:J,)</f>
        <v/>
      </c>
      <c r="AN17" s="55" t="str">
        <f t="array" ref="AN17">_xlfn.XLOOKUP(B17,'Up Max'!A:A,'Up Max'!J:J,)</f>
        <v/>
      </c>
      <c r="AO17" s="51" t="s">
        <v>30</v>
      </c>
      <c r="AP17" s="51" t="str">
        <f t="array" ref="AP17">CONCATENATE(_xlfn.XLOOKUP(B17,'Up Rarity'!A:A,'Up Rarity'!B:B,),CHAR(10),"-")</f>
        <v>Rare
-</v>
      </c>
    </row>
    <row r="18">
      <c r="A18" s="83" t="str">
        <f t="array" ref="A18">_xlfn.XLOOKUP(B18,'Up Icon'!A:A,'Up Icon'!B:B,)</f>
        <v/>
      </c>
      <c r="B18" s="89" t="str">
        <f t="array" ref="B18">HYPERLINK(_xlfn.XLOOKUP('Up Names'!I15,'Up Wiki'!A:A,'Up Wiki'!B:B,),'Up Names'!I15)</f>
        <v>Globulous Excitement</v>
      </c>
      <c r="C18" s="37" t="str">
        <f t="array" ref="C18">_xlfn.XLOOKUP(B18,'Up Desc'!A:A,'Up Desc'!B:B,)</f>
        <v>Your first shot after switching to the Globbler deals increased damage.</v>
      </c>
      <c r="D18" s="37" t="str">
        <f t="array" ref="D18">_xlfn.XLOOKUP(B18,'Up Turbo'!A:A,'Up Turbo'!B:B,)</f>
        <v>n/a</v>
      </c>
      <c r="E18" s="39" t="str">
        <f t="array" ref="E18">_xlfn.XLOOKUP(B18,'Up Stats'!A:A,'Up Stats'!B:B,)</f>
        <v>Damage</v>
      </c>
      <c r="F18" s="40" t="str">
        <f>IFERROR(__xludf.DUMMYFUNCTION("if(AND(G18=FALSE,H18=FALSE),,if(G18=H18,JOIN("""",""Static: "",G18),JOIN("""",""Min:  "",G18, CHAR(10),""Max: "",H18)))"),"Min:  60%
Max: 90%")</f>
        <v>Min:  60%
Max: 90%</v>
      </c>
      <c r="G18" s="41">
        <f t="array" ref="G18">_xlfn.XLOOKUP(B18,'Up Min'!A:A,'Up Min'!B:B,)</f>
        <v>0.6</v>
      </c>
      <c r="H18" s="41">
        <f t="array" ref="H18">_xlfn.XLOOKUP(B18,'Up Max'!A:A,'Up Max'!B:B,)</f>
        <v>0.9</v>
      </c>
      <c r="I18" s="39" t="str">
        <f t="array" ref="I18">_xlfn.XLOOKUP(B18,'Up Stats'!A:A,'Up Stats'!C:C,)</f>
        <v/>
      </c>
      <c r="J18" s="40" t="str">
        <f>IFERROR(__xludf.DUMMYFUNCTION("if(AND(K18=FALSE,L18=FALSE),,if(K18=L18,JOIN("""",""Static: "",K18),JOIN("""",""Min:  "",K18, CHAR(10),""Max: "",L18)))"),"")</f>
        <v/>
      </c>
      <c r="K18" s="42" t="str">
        <f t="array" ref="K18">_xlfn.XLOOKUP(B18,'Up Min'!A:A,'Up Min'!C:C,)</f>
        <v/>
      </c>
      <c r="L18" s="42" t="str">
        <f t="array" ref="L18">_xlfn.XLOOKUP(B18,'Up Max'!A:A,'Up Max'!C:C,)</f>
        <v/>
      </c>
      <c r="M18" s="48" t="str">
        <f t="array" ref="M18">_xlfn.XLOOKUP(B18,'Up Stats'!A:A,'Up Stats'!D:D,)</f>
        <v/>
      </c>
      <c r="N18" s="40" t="str">
        <f>IFERROR(__xludf.DUMMYFUNCTION("if(AND(O18=FALSE,P18=FALSE),,if(O18=P18,JOIN("""",""Static: "",O18),JOIN("""",""Min:  "",O18, CHAR(10),""Max: "",P18)))"),"")</f>
        <v/>
      </c>
      <c r="O18" s="42" t="str">
        <f t="array" ref="O18">_xlfn.XLOOKUP(B18,'Up Min'!A:A,'Up Min'!D:D,)</f>
        <v/>
      </c>
      <c r="P18" s="42" t="str">
        <f t="array" ref="P18">_xlfn.XLOOKUP(B18,'Up Max'!A:A,'Up Max'!D:D,)</f>
        <v/>
      </c>
      <c r="Q18" s="48" t="str">
        <f t="array" ref="Q18">_xlfn.XLOOKUP(B18,'Up Stats'!A:A,'Up Stats'!E:E,)</f>
        <v/>
      </c>
      <c r="R18" s="40" t="str">
        <f>IFERROR(__xludf.DUMMYFUNCTION("if(AND(S18=FALSE,T18=FALSE),,if(S18=T18,JOIN("""",""Static: "",S18),JOIN("""",""Min:  "",S18, CHAR(10),""Max: "",T18)))"),"")</f>
        <v/>
      </c>
      <c r="S18" s="42" t="str">
        <f t="array" ref="S18">_xlfn.XLOOKUP(B18,'Up Min'!A:A,'Up Min'!E:E,)</f>
        <v/>
      </c>
      <c r="T18" s="42" t="str">
        <f t="array" ref="T18">_xlfn.XLOOKUP(B18,'Up Max'!A:A,'Up Max'!E:E,)</f>
        <v/>
      </c>
      <c r="U18" s="48" t="str">
        <f t="array" ref="U18">_xlfn.XLOOKUP(B18,'Up Stats'!A:A,'Up Stats'!F:F,)</f>
        <v/>
      </c>
      <c r="V18" s="40" t="str">
        <f>IFERROR(__xludf.DUMMYFUNCTION("if(AND(W18=FALSE,X18=FALSE),,if(W18=X18,JOIN("""",""Static: "",W18),JOIN("""",""Min:  "",W18, CHAR(10),""Max: "",X18)))"),"")</f>
        <v/>
      </c>
      <c r="W18" s="42" t="str">
        <f t="array" ref="W18">_xlfn.XLOOKUP(B18,'Up Min'!A:A,'Up Min'!F:F,)</f>
        <v/>
      </c>
      <c r="X18" s="42" t="str">
        <f t="array" ref="X18">_xlfn.XLOOKUP(B18,'Up Max'!A:A,'Up Max'!F:F,)</f>
        <v/>
      </c>
      <c r="Y18" s="48" t="str">
        <f t="array" ref="Y18">_xlfn.XLOOKUP(B18,'Up Stats'!A:A,'Up Stats'!G:G,)</f>
        <v/>
      </c>
      <c r="Z18" s="40" t="str">
        <f>IFERROR(__xludf.DUMMYFUNCTION("if(AND(AA18=FALSE,AB18=FALSE),,if(AA18=AB18,JOIN("""",""Static: "",AA18),JOIN("""",""Min:  "",AA18, CHAR(10),""Max: "",AB18)))"),"")</f>
        <v/>
      </c>
      <c r="AA18" s="42" t="str">
        <f t="array" ref="AA18">_xlfn.XLOOKUP(B18,'Up Min'!A:A,'Up Min'!G:G,)</f>
        <v/>
      </c>
      <c r="AB18" s="42" t="str">
        <f t="array" ref="AB18">_xlfn.XLOOKUP(B18,'Up Max'!A:A,'Up Max'!G:G,)</f>
        <v/>
      </c>
      <c r="AC18" s="48" t="str">
        <f t="array" ref="AC18">_xlfn.XLOOKUP(B18,'Up Stats'!A:A,'Up Stats'!H:H,)</f>
        <v/>
      </c>
      <c r="AD18" s="40" t="str">
        <f>IFERROR(__xludf.DUMMYFUNCTION("if(AND(AE18=FALSE,AF18=FALSE),,if(AE18=AF18,JOIN("""",""Static: "",AE18),JOIN("""",""Min:  "",AE18, CHAR(10),""Max: "",AF18)))"),"")</f>
        <v/>
      </c>
      <c r="AE18" s="42" t="str">
        <f t="array" ref="AE18">_xlfn.XLOOKUP(B18,'Up Min'!A:A,'Up Min'!H:H,)</f>
        <v/>
      </c>
      <c r="AF18" s="42" t="str">
        <f t="array" ref="AF18">_xlfn.XLOOKUP(B18,'Up Max'!A:A,'Up Max'!H:H,)</f>
        <v/>
      </c>
      <c r="AG18" s="48" t="str">
        <f t="array" ref="AG18">_xlfn.XLOOKUP(B18,'Up Stats'!A:A,'Up Stats'!I:I,)</f>
        <v/>
      </c>
      <c r="AH18" s="40" t="str">
        <f>IFERROR(__xludf.DUMMYFUNCTION("if(AND(AI18=FALSE,AJ18=FALSE),,if(AI18=AJ18,JOIN("""",""Static: "",AI18),JOIN("""",""Min:  "",AI18, CHAR(10),""Max: "",AJ18)))"),"")</f>
        <v/>
      </c>
      <c r="AI18" s="42" t="str">
        <f t="array" ref="AI18">_xlfn.XLOOKUP(B18,'Up Min'!A:A,'Up Min'!I:I,)</f>
        <v/>
      </c>
      <c r="AJ18" s="42" t="str">
        <f t="array" ref="AJ18">_xlfn.XLOOKUP(B18,'Up Max'!A:A,'Up Max'!I:I,)</f>
        <v/>
      </c>
      <c r="AK18" s="48" t="str">
        <f t="array" ref="AK18">_xlfn.XLOOKUP(B18,'Up Stats'!A:A,'Up Stats'!J:J,)</f>
        <v/>
      </c>
      <c r="AL18" s="40" t="str">
        <f>IFERROR(__xludf.DUMMYFUNCTION("if(AND(AM18=FALSE,AN18=FALSE),,if(AM18=AN18,JOIN("""",""Static: "",AM18),JOIN("""",""Min:  "",AM18, CHAR(10),""Max: "",AN18)))"),"")</f>
        <v/>
      </c>
      <c r="AM18" s="42" t="str">
        <f t="array" ref="AM18">_xlfn.XLOOKUP(B18,'Up Min'!A:A,'Up Min'!J:J,)</f>
        <v/>
      </c>
      <c r="AN18" s="42" t="str">
        <f t="array" ref="AN18">_xlfn.XLOOKUP(B18,'Up Max'!A:A,'Up Max'!J:J,)</f>
        <v/>
      </c>
      <c r="AO18" s="34" t="s">
        <v>31</v>
      </c>
      <c r="AP18" s="34" t="str">
        <f t="array" ref="AP18">CONCATENATE(_xlfn.XLOOKUP(B18,'Up Rarity'!A:A,'Up Rarity'!B:B,),CHAR(10),"-")</f>
        <v>Rare
-</v>
      </c>
    </row>
    <row r="19">
      <c r="A19" s="83" t="str">
        <f t="array" ref="A19">_xlfn.XLOOKUP(B19,'Up Icon'!A:A,'Up Icon'!B:B,)</f>
        <v/>
      </c>
      <c r="B19" s="88" t="str">
        <f t="array" ref="B19">HYPERLINK(_xlfn.XLOOKUP('Up Names'!I16,'Up Wiki'!A:A,'Up Wiki'!B:B,),'Up Names'!I16)</f>
        <v>Glorb</v>
      </c>
      <c r="C19" s="52" t="str">
        <f t="array" ref="C19">_xlfn.XLOOKUP(B19,'Up Desc'!A:A,'Up Desc'!B:B,)</f>
        <v>Reload speed is decreased. But Globblometer is increased.</v>
      </c>
      <c r="D19" s="52" t="str">
        <f t="array" ref="D19">_xlfn.XLOOKUP(B19,'Up Turbo'!A:A,'Up Turbo'!B:B,)</f>
        <v>n/a</v>
      </c>
      <c r="E19" s="53" t="str">
        <f t="array" ref="E19">_xlfn.XLOOKUP(B19,'Up Stats'!A:A,'Up Stats'!B:B,)</f>
        <v>Reload Speed</v>
      </c>
      <c r="F19" s="54" t="str">
        <f>IFERROR(__xludf.DUMMYFUNCTION("if(AND(G19=FALSE,H19=FALSE),,if(G19=H19,JOIN("""",""Static: "",G19),JOIN("""",""Min:  "",G19, CHAR(10),""Max: "",H19)))"),"Min:  -18.03%
Max: -23.08%")</f>
        <v>Min:  -18.03%
Max: -23.08%</v>
      </c>
      <c r="G19" s="71">
        <f t="array" ref="G19">_xlfn.XLOOKUP(B19,'Up Min'!A:A,'Up Min'!B:B,)</f>
        <v>-0.1803</v>
      </c>
      <c r="H19" s="71">
        <f t="array" ref="H19">_xlfn.XLOOKUP(B19,'Up Max'!A:A,'Up Max'!B:B,)</f>
        <v>-0.2308</v>
      </c>
      <c r="I19" s="53" t="str">
        <f t="array" ref="I19">_xlfn.XLOOKUP(B19,'Up Stats'!A:A,'Up Stats'!C:C,)</f>
        <v>Globblometer</v>
      </c>
      <c r="J19" s="54" t="str">
        <f>IFERROR(__xludf.DUMMYFUNCTION("if(AND(K19=FALSE,L19=FALSE),,if(K19=L19,JOIN("""",""Static: "",K19),JOIN("""",""Min:  "",K19, CHAR(10),""Max: "",L19)))"),"Min:  5
Max: 11")</f>
        <v>Min:  5
Max: 11</v>
      </c>
      <c r="K19" s="64">
        <f t="array" ref="K19">_xlfn.XLOOKUP(B19,'Up Min'!A:A,'Up Min'!C:C,)</f>
        <v>5</v>
      </c>
      <c r="L19" s="64">
        <f t="array" ref="L19">_xlfn.XLOOKUP(B19,'Up Max'!A:A,'Up Max'!C:C,)</f>
        <v>11</v>
      </c>
      <c r="M19" s="53" t="str">
        <f t="array" ref="M19">_xlfn.XLOOKUP(B19,'Up Stats'!A:A,'Up Stats'!D:D,)</f>
        <v/>
      </c>
      <c r="N19" s="54" t="str">
        <f>IFERROR(__xludf.DUMMYFUNCTION("if(AND(O19=FALSE,P19=FALSE),,if(O19=P19,JOIN("""",""Static: "",O19),JOIN("""",""Min:  "",O19, CHAR(10),""Max: "",P19)))"),"")</f>
        <v/>
      </c>
      <c r="O19" s="55" t="str">
        <f t="array" ref="O19">_xlfn.XLOOKUP(B19,'Up Min'!A:A,'Up Min'!D:D,)</f>
        <v/>
      </c>
      <c r="P19" s="55" t="str">
        <f t="array" ref="P19">_xlfn.XLOOKUP(B19,'Up Max'!A:A,'Up Max'!D:D,)</f>
        <v/>
      </c>
      <c r="Q19" s="57" t="str">
        <f t="array" ref="Q19">_xlfn.XLOOKUP(B19,'Up Stats'!A:A,'Up Stats'!E:E,)</f>
        <v/>
      </c>
      <c r="R19" s="54" t="str">
        <f>IFERROR(__xludf.DUMMYFUNCTION("if(AND(S19=FALSE,T19=FALSE),,if(S19=T19,JOIN("""",""Static: "",S19),JOIN("""",""Min:  "",S19, CHAR(10),""Max: "",T19)))"),"")</f>
        <v/>
      </c>
      <c r="S19" s="55" t="str">
        <f t="array" ref="S19">_xlfn.XLOOKUP(B19,'Up Min'!A:A,'Up Min'!E:E,)</f>
        <v/>
      </c>
      <c r="T19" s="55" t="str">
        <f t="array" ref="T19">_xlfn.XLOOKUP(B19,'Up Max'!A:A,'Up Max'!E:E,)</f>
        <v/>
      </c>
      <c r="U19" s="57" t="str">
        <f t="array" ref="U19">_xlfn.XLOOKUP(B19,'Up Stats'!A:A,'Up Stats'!F:F,)</f>
        <v/>
      </c>
      <c r="V19" s="54" t="str">
        <f>IFERROR(__xludf.DUMMYFUNCTION("if(AND(W19=FALSE,X19=FALSE),,if(W19=X19,JOIN("""",""Static: "",W19),JOIN("""",""Min:  "",W19, CHAR(10),""Max: "",X19)))"),"")</f>
        <v/>
      </c>
      <c r="W19" s="55" t="str">
        <f t="array" ref="W19">_xlfn.XLOOKUP(B19,'Up Min'!A:A,'Up Min'!F:F,)</f>
        <v/>
      </c>
      <c r="X19" s="55" t="str">
        <f t="array" ref="X19">_xlfn.XLOOKUP(B19,'Up Max'!A:A,'Up Max'!F:F,)</f>
        <v/>
      </c>
      <c r="Y19" s="57" t="str">
        <f t="array" ref="Y19">_xlfn.XLOOKUP(B19,'Up Stats'!A:A,'Up Stats'!G:G,)</f>
        <v/>
      </c>
      <c r="Z19" s="54" t="str">
        <f>IFERROR(__xludf.DUMMYFUNCTION("if(AND(AA19=FALSE,AB19=FALSE),,if(AA19=AB19,JOIN("""",""Static: "",AA19),JOIN("""",""Min:  "",AA19, CHAR(10),""Max: "",AB19)))"),"")</f>
        <v/>
      </c>
      <c r="AA19" s="55" t="str">
        <f t="array" ref="AA19">_xlfn.XLOOKUP(B19,'Up Min'!A:A,'Up Min'!G:G,)</f>
        <v/>
      </c>
      <c r="AB19" s="55" t="str">
        <f t="array" ref="AB19">_xlfn.XLOOKUP(B19,'Up Max'!A:A,'Up Max'!G:G,)</f>
        <v/>
      </c>
      <c r="AC19" s="57" t="str">
        <f t="array" ref="AC19">_xlfn.XLOOKUP(B19,'Up Stats'!A:A,'Up Stats'!H:H,)</f>
        <v/>
      </c>
      <c r="AD19" s="54" t="str">
        <f>IFERROR(__xludf.DUMMYFUNCTION("if(AND(AE19=FALSE,AF19=FALSE),,if(AE19=AF19,JOIN("""",""Static: "",AE19),JOIN("""",""Min:  "",AE19, CHAR(10),""Max: "",AF19)))"),"")</f>
        <v/>
      </c>
      <c r="AE19" s="55" t="str">
        <f t="array" ref="AE19">_xlfn.XLOOKUP(B19,'Up Min'!A:A,'Up Min'!H:H,)</f>
        <v/>
      </c>
      <c r="AF19" s="55" t="str">
        <f t="array" ref="AF19">_xlfn.XLOOKUP(B19,'Up Max'!A:A,'Up Max'!H:H,)</f>
        <v/>
      </c>
      <c r="AG19" s="57" t="str">
        <f t="array" ref="AG19">_xlfn.XLOOKUP(B19,'Up Stats'!A:A,'Up Stats'!I:I,)</f>
        <v/>
      </c>
      <c r="AH19" s="54" t="str">
        <f>IFERROR(__xludf.DUMMYFUNCTION("if(AND(AI19=FALSE,AJ19=FALSE),,if(AI19=AJ19,JOIN("""",""Static: "",AI19),JOIN("""",""Min:  "",AI19, CHAR(10),""Max: "",AJ19)))"),"")</f>
        <v/>
      </c>
      <c r="AI19" s="55" t="str">
        <f t="array" ref="AI19">_xlfn.XLOOKUP(B19,'Up Min'!A:A,'Up Min'!I:I,)</f>
        <v/>
      </c>
      <c r="AJ19" s="55" t="str">
        <f t="array" ref="AJ19">_xlfn.XLOOKUP(B19,'Up Max'!A:A,'Up Max'!I:I,)</f>
        <v/>
      </c>
      <c r="AK19" s="57" t="str">
        <f t="array" ref="AK19">_xlfn.XLOOKUP(B19,'Up Stats'!A:A,'Up Stats'!J:J,)</f>
        <v/>
      </c>
      <c r="AL19" s="54" t="str">
        <f>IFERROR(__xludf.DUMMYFUNCTION("if(AND(AM19=FALSE,AN19=FALSE),,if(AM19=AN19,JOIN("""",""Static: "",AM19),JOIN("""",""Min:  "",AM19, CHAR(10),""Max: "",AN19)))"),"")</f>
        <v/>
      </c>
      <c r="AM19" s="55" t="str">
        <f t="array" ref="AM19">_xlfn.XLOOKUP(B19,'Up Min'!A:A,'Up Min'!J:J,)</f>
        <v/>
      </c>
      <c r="AN19" s="55" t="str">
        <f t="array" ref="AN19">_xlfn.XLOOKUP(B19,'Up Max'!A:A,'Up Max'!J:J,)</f>
        <v/>
      </c>
      <c r="AO19" s="51" t="s">
        <v>35</v>
      </c>
      <c r="AP19" s="51" t="str">
        <f t="array" ref="AP19">CONCATENATE(_xlfn.XLOOKUP(B19,'Up Rarity'!A:A,'Up Rarity'!B:B,),CHAR(10),"-")</f>
        <v>Rare
-</v>
      </c>
    </row>
    <row r="20">
      <c r="A20" s="83" t="str">
        <f t="array" ref="A20">_xlfn.XLOOKUP(B20,'Up Icon'!A:A,'Up Icon'!B:B,)</f>
        <v/>
      </c>
      <c r="B20" s="89" t="str">
        <f t="array" ref="B20">HYPERLINK(_xlfn.XLOOKUP('Up Names'!I17,'Up Wiki'!A:A,'Up Wiki'!B:B,),'Up Names'!I17)</f>
        <v>Gunpowder Packing</v>
      </c>
      <c r="C20" s="37" t="str">
        <f t="array" ref="C20">_xlfn.XLOOKUP(B20,'Up Desc'!A:A,'Up Desc'!B:B,)</f>
        <v>Fire globs with more force. Recoil is increased.</v>
      </c>
      <c r="D20" s="37" t="str">
        <f t="array" ref="D20">_xlfn.XLOOKUP(B20,'Up Turbo'!A:A,'Up Turbo'!B:B,)</f>
        <v>n/a</v>
      </c>
      <c r="E20" s="39" t="str">
        <f t="array" ref="E20">_xlfn.XLOOKUP(B20,'Up Stats'!A:A,'Up Stats'!B:B,)</f>
        <v>Bullet Speed</v>
      </c>
      <c r="F20" s="40" t="str">
        <f>IFERROR(__xludf.DUMMYFUNCTION("if(AND(G20=FALSE,H20=FALSE),,if(G20=H20,JOIN("""",""Static: "",G20),JOIN("""",""Min:  "",G20, CHAR(10),""Max: "",H20)))"),"Min:  26%
Max: 34%")</f>
        <v>Min:  26%
Max: 34%</v>
      </c>
      <c r="G20" s="41">
        <f t="array" ref="G20">_xlfn.XLOOKUP(B20,'Up Min'!A:A,'Up Min'!B:B,)</f>
        <v>0.26</v>
      </c>
      <c r="H20" s="41">
        <f t="array" ref="H20">_xlfn.XLOOKUP(B20,'Up Max'!A:A,'Up Max'!B:B,)</f>
        <v>0.34</v>
      </c>
      <c r="I20" s="39" t="str">
        <f t="array" ref="I20">_xlfn.XLOOKUP(B20,'Up Stats'!A:A,'Up Stats'!C:C,)</f>
        <v>Horizontal Recoil</v>
      </c>
      <c r="J20" s="40" t="str">
        <f>IFERROR(__xludf.DUMMYFUNCTION("if(AND(K20=FALSE,L20=FALSE),,if(K20=L20,JOIN("""",""Static: "",K20),JOIN("""",""Min:  "",K20, CHAR(10),""Max: "",L20)))"),"Min:  50%
Max: 70%")</f>
        <v>Min:  50%
Max: 70%</v>
      </c>
      <c r="K20" s="41">
        <f t="array" ref="K20">_xlfn.XLOOKUP(B20,'Up Min'!A:A,'Up Min'!C:C,)</f>
        <v>0.5</v>
      </c>
      <c r="L20" s="41">
        <f t="array" ref="L20">_xlfn.XLOOKUP(B20,'Up Max'!A:A,'Up Max'!C:C,)</f>
        <v>0.7</v>
      </c>
      <c r="M20" s="39" t="str">
        <f t="array" ref="M20">_xlfn.XLOOKUP(B20,'Up Stats'!A:A,'Up Stats'!D:D,)</f>
        <v>Vertical Recoil</v>
      </c>
      <c r="N20" s="40" t="str">
        <f>IFERROR(__xludf.DUMMYFUNCTION("if(AND(O20=FALSE,P20=FALSE),,if(O20=P20,JOIN("""",""Static: "",O20),JOIN("""",""Min:  "",O20, CHAR(10),""Max: "",P20)))"),"Min:  50%
Max: 70%")</f>
        <v>Min:  50%
Max: 70%</v>
      </c>
      <c r="O20" s="41">
        <f t="array" ref="O20">_xlfn.XLOOKUP(B20,'Up Min'!A:A,'Up Min'!D:D,)</f>
        <v>0.5</v>
      </c>
      <c r="P20" s="41">
        <f t="array" ref="P20">_xlfn.XLOOKUP(B20,'Up Max'!A:A,'Up Max'!D:D,)</f>
        <v>0.7</v>
      </c>
      <c r="Q20" s="48" t="str">
        <f t="array" ref="Q20">_xlfn.XLOOKUP(B20,'Up Stats'!A:A,'Up Stats'!E:E,)</f>
        <v/>
      </c>
      <c r="R20" s="40" t="str">
        <f>IFERROR(__xludf.DUMMYFUNCTION("if(AND(S20=FALSE,T20=FALSE),,if(S20=T20,JOIN("""",""Static: "",S20),JOIN("""",""Min:  "",S20, CHAR(10),""Max: "",T20)))"),"")</f>
        <v/>
      </c>
      <c r="S20" s="45" t="str">
        <f t="array" ref="S20">_xlfn.XLOOKUP(B20,'Up Min'!A:A,'Up Min'!E:E,)</f>
        <v/>
      </c>
      <c r="T20" s="42" t="str">
        <f t="array" ref="T20">_xlfn.XLOOKUP(B20,'Up Max'!A:A,'Up Max'!E:E,)</f>
        <v/>
      </c>
      <c r="U20" s="48" t="str">
        <f t="array" ref="U20">_xlfn.XLOOKUP(B20,'Up Stats'!A:A,'Up Stats'!F:F,)</f>
        <v/>
      </c>
      <c r="V20" s="40" t="str">
        <f>IFERROR(__xludf.DUMMYFUNCTION("if(AND(W20=FALSE,X20=FALSE),,if(W20=X20,JOIN("""",""Static: "",W20),JOIN("""",""Min:  "",W20, CHAR(10),""Max: "",X20)))"),"")</f>
        <v/>
      </c>
      <c r="W20" s="42" t="str">
        <f t="array" ref="W20">_xlfn.XLOOKUP(B20,'Up Min'!A:A,'Up Min'!F:F,)</f>
        <v/>
      </c>
      <c r="X20" s="42" t="str">
        <f t="array" ref="X20">_xlfn.XLOOKUP(B20,'Up Max'!A:A,'Up Max'!F:F,)</f>
        <v/>
      </c>
      <c r="Y20" s="48" t="str">
        <f t="array" ref="Y20">_xlfn.XLOOKUP(B20,'Up Stats'!A:A,'Up Stats'!G:G,)</f>
        <v/>
      </c>
      <c r="Z20" s="40" t="str">
        <f>IFERROR(__xludf.DUMMYFUNCTION("if(AND(AA20=FALSE,AB20=FALSE),,if(AA20=AB20,JOIN("""",""Static: "",AA20),JOIN("""",""Min:  "",AA20, CHAR(10),""Max: "",AB20)))"),"")</f>
        <v/>
      </c>
      <c r="AA20" s="42" t="str">
        <f t="array" ref="AA20">_xlfn.XLOOKUP(B20,'Up Min'!A:A,'Up Min'!G:G,)</f>
        <v/>
      </c>
      <c r="AB20" s="42" t="str">
        <f t="array" ref="AB20">_xlfn.XLOOKUP(B20,'Up Max'!A:A,'Up Max'!G:G,)</f>
        <v/>
      </c>
      <c r="AC20" s="48" t="str">
        <f t="array" ref="AC20">_xlfn.XLOOKUP(B20,'Up Stats'!A:A,'Up Stats'!H:H,)</f>
        <v/>
      </c>
      <c r="AD20" s="40" t="str">
        <f>IFERROR(__xludf.DUMMYFUNCTION("if(AND(AE20=FALSE,AF20=FALSE),,if(AE20=AF20,JOIN("""",""Static: "",AE20),JOIN("""",""Min:  "",AE20, CHAR(10),""Max: "",AF20)))"),"")</f>
        <v/>
      </c>
      <c r="AE20" s="42" t="str">
        <f t="array" ref="AE20">_xlfn.XLOOKUP(B20,'Up Min'!A:A,'Up Min'!H:H,)</f>
        <v/>
      </c>
      <c r="AF20" s="42" t="str">
        <f t="array" ref="AF20">_xlfn.XLOOKUP(B20,'Up Max'!A:A,'Up Max'!H:H,)</f>
        <v/>
      </c>
      <c r="AG20" s="48" t="str">
        <f t="array" ref="AG20">_xlfn.XLOOKUP(B20,'Up Stats'!A:A,'Up Stats'!I:I,)</f>
        <v/>
      </c>
      <c r="AH20" s="40" t="str">
        <f>IFERROR(__xludf.DUMMYFUNCTION("if(AND(AI20=FALSE,AJ20=FALSE),,if(AI20=AJ20,JOIN("""",""Static: "",AI20),JOIN("""",""Min:  "",AI20, CHAR(10),""Max: "",AJ20)))"),"")</f>
        <v/>
      </c>
      <c r="AI20" s="42" t="str">
        <f t="array" ref="AI20">_xlfn.XLOOKUP(B20,'Up Min'!A:A,'Up Min'!I:I,)</f>
        <v/>
      </c>
      <c r="AJ20" s="42" t="str">
        <f t="array" ref="AJ20">_xlfn.XLOOKUP(B20,'Up Max'!A:A,'Up Max'!I:I,)</f>
        <v/>
      </c>
      <c r="AK20" s="48" t="str">
        <f t="array" ref="AK20">_xlfn.XLOOKUP(B20,'Up Stats'!A:A,'Up Stats'!J:J,)</f>
        <v/>
      </c>
      <c r="AL20" s="40" t="str">
        <f>IFERROR(__xludf.DUMMYFUNCTION("if(AND(AM20=FALSE,AN20=FALSE),,if(AM20=AN20,JOIN("""",""Static: "",AM20),JOIN("""",""Min:  "",AM20, CHAR(10),""Max: "",AN20)))"),"")</f>
        <v/>
      </c>
      <c r="AM20" s="42" t="str">
        <f t="array" ref="AM20">_xlfn.XLOOKUP(B20,'Up Min'!A:A,'Up Min'!J:J,)</f>
        <v/>
      </c>
      <c r="AN20" s="42" t="str">
        <f t="array" ref="AN20">_xlfn.XLOOKUP(B20,'Up Max'!A:A,'Up Max'!J:J,)</f>
        <v/>
      </c>
      <c r="AO20" s="34" t="s">
        <v>36</v>
      </c>
      <c r="AP20" s="34" t="str">
        <f t="array" ref="AP20">CONCATENATE(_xlfn.XLOOKUP(B20,'Up Rarity'!A:A,'Up Rarity'!B:B,),CHAR(10),"-")</f>
        <v>Rare
-</v>
      </c>
    </row>
    <row r="21">
      <c r="A21" s="83" t="str">
        <f t="array" ref="A21">_xlfn.XLOOKUP(B21,'Up Icon'!A:A,'Up Icon'!B:B,)</f>
        <v/>
      </c>
      <c r="B21" s="88" t="str">
        <f t="array" ref="B21">HYPERLINK(_xlfn.XLOOKUP('Up Names'!I18,'Up Wiki'!A:A,'Up Wiki'!B:B,),'Up Names'!I18)</f>
        <v>Heavy Globs</v>
      </c>
      <c r="C21" s="52" t="str">
        <f t="array" ref="C21">_xlfn.XLOOKUP(B21,'Up Desc'!A:A,'Up Desc'!B:B,)</f>
        <v>Globs deal more damage but fall faster.</v>
      </c>
      <c r="D21" s="52" t="str">
        <f t="array" ref="D21">_xlfn.XLOOKUP(B21,'Up Turbo'!A:A,'Up Turbo'!B:B,)</f>
        <v>n/a</v>
      </c>
      <c r="E21" s="53" t="str">
        <f t="array" ref="E21">_xlfn.XLOOKUP(B21,'Up Stats'!A:A,'Up Stats'!B:B,)</f>
        <v>Bullet Gravity</v>
      </c>
      <c r="F21" s="54" t="str">
        <f>IFERROR(__xludf.DUMMYFUNCTION("if(AND(G21=FALSE,H21=FALSE),,if(G21=H21,JOIN("""",""Static: "",G21),JOIN("""",""Min:  "",G21, CHAR(10),""Max: "",H21)))"),"Min:  80%
Max: 120%")</f>
        <v>Min:  80%
Max: 120%</v>
      </c>
      <c r="G21" s="59">
        <f t="array" ref="G21">_xlfn.XLOOKUP(B21,'Up Min'!A:A,'Up Min'!B:B,)</f>
        <v>0.8</v>
      </c>
      <c r="H21" s="59">
        <f t="array" ref="H21">_xlfn.XLOOKUP(B21,'Up Max'!A:A,'Up Max'!B:B,)</f>
        <v>1.2</v>
      </c>
      <c r="I21" s="53" t="str">
        <f t="array" ref="I21">_xlfn.XLOOKUP(B21,'Up Stats'!A:A,'Up Stats'!C:C,)</f>
        <v>Damage</v>
      </c>
      <c r="J21" s="54" t="str">
        <f>IFERROR(__xludf.DUMMYFUNCTION("if(AND(K21=FALSE,L21=FALSE),,if(K21=L21,JOIN("""",""Static: "",K21),JOIN("""",""Min:  "",K21, CHAR(10),""Max: "",L21)))"),"Min:  20%
Max: 30%")</f>
        <v>Min:  20%
Max: 30%</v>
      </c>
      <c r="K21" s="59">
        <f t="array" ref="K21">_xlfn.XLOOKUP(B21,'Up Min'!A:A,'Up Min'!C:C,)</f>
        <v>0.2</v>
      </c>
      <c r="L21" s="59">
        <f t="array" ref="L21">_xlfn.XLOOKUP(B21,'Up Max'!A:A,'Up Max'!C:C,)</f>
        <v>0.3</v>
      </c>
      <c r="M21" s="53" t="str">
        <f t="array" ref="M21">_xlfn.XLOOKUP(B21,'Up Stats'!A:A,'Up Stats'!D:D,)</f>
        <v/>
      </c>
      <c r="N21" s="54" t="str">
        <f>IFERROR(__xludf.DUMMYFUNCTION("if(AND(O21=FALSE,P21=FALSE),,if(O21=P21,JOIN("""",""Static: "",O21),JOIN("""",""Min:  "",O21, CHAR(10),""Max: "",P21)))"),"")</f>
        <v/>
      </c>
      <c r="O21" s="55" t="str">
        <f t="array" ref="O21">_xlfn.XLOOKUP(B21,'Up Min'!A:A,'Up Min'!D:D,)</f>
        <v/>
      </c>
      <c r="P21" s="55" t="str">
        <f t="array" ref="P21">_xlfn.XLOOKUP(B21,'Up Max'!A:A,'Up Max'!D:D,)</f>
        <v/>
      </c>
      <c r="Q21" s="57" t="str">
        <f t="array" ref="Q21">_xlfn.XLOOKUP(B21,'Up Stats'!A:A,'Up Stats'!E:E,)</f>
        <v/>
      </c>
      <c r="R21" s="54" t="str">
        <f>IFERROR(__xludf.DUMMYFUNCTION("if(AND(S21=FALSE,T21=FALSE),,if(S21=T21,JOIN("""",""Static: "",S21),JOIN("""",""Min:  "",S21, CHAR(10),""Max: "",T21)))"),"")</f>
        <v/>
      </c>
      <c r="S21" s="55" t="str">
        <f t="array" ref="S21">_xlfn.XLOOKUP(B21,'Up Min'!A:A,'Up Min'!E:E,)</f>
        <v/>
      </c>
      <c r="T21" s="55" t="str">
        <f t="array" ref="T21">_xlfn.XLOOKUP(B21,'Up Max'!A:A,'Up Max'!E:E,)</f>
        <v/>
      </c>
      <c r="U21" s="57" t="str">
        <f t="array" ref="U21">_xlfn.XLOOKUP(B21,'Up Stats'!A:A,'Up Stats'!F:F,)</f>
        <v/>
      </c>
      <c r="V21" s="54" t="str">
        <f>IFERROR(__xludf.DUMMYFUNCTION("if(AND(W21=FALSE,X21=FALSE),,if(W21=X21,JOIN("""",""Static: "",W21),JOIN("""",""Min:  "",W21, CHAR(10),""Max: "",X21)))"),"")</f>
        <v/>
      </c>
      <c r="W21" s="55" t="str">
        <f t="array" ref="W21">_xlfn.XLOOKUP(B21,'Up Min'!A:A,'Up Min'!F:F,)</f>
        <v/>
      </c>
      <c r="X21" s="55" t="str">
        <f t="array" ref="X21">_xlfn.XLOOKUP(B21,'Up Max'!A:A,'Up Max'!F:F,)</f>
        <v/>
      </c>
      <c r="Y21" s="57" t="str">
        <f t="array" ref="Y21">_xlfn.XLOOKUP(B21,'Up Stats'!A:A,'Up Stats'!G:G,)</f>
        <v/>
      </c>
      <c r="Z21" s="54" t="str">
        <f>IFERROR(__xludf.DUMMYFUNCTION("if(AND(AA21=FALSE,AB21=FALSE),,if(AA21=AB21,JOIN("""",""Static: "",AA21),JOIN("""",""Min:  "",AA21, CHAR(10),""Max: "",AB21)))"),"")</f>
        <v/>
      </c>
      <c r="AA21" s="55" t="str">
        <f t="array" ref="AA21">_xlfn.XLOOKUP(B21,'Up Min'!A:A,'Up Min'!G:G,)</f>
        <v/>
      </c>
      <c r="AB21" s="55" t="str">
        <f t="array" ref="AB21">_xlfn.XLOOKUP(B21,'Up Max'!A:A,'Up Max'!G:G,)</f>
        <v/>
      </c>
      <c r="AC21" s="57" t="str">
        <f t="array" ref="AC21">_xlfn.XLOOKUP(B21,'Up Stats'!A:A,'Up Stats'!H:H,)</f>
        <v/>
      </c>
      <c r="AD21" s="54" t="str">
        <f>IFERROR(__xludf.DUMMYFUNCTION("if(AND(AE21=FALSE,AF21=FALSE),,if(AE21=AF21,JOIN("""",""Static: "",AE21),JOIN("""",""Min:  "",AE21, CHAR(10),""Max: "",AF21)))"),"")</f>
        <v/>
      </c>
      <c r="AE21" s="55" t="str">
        <f t="array" ref="AE21">_xlfn.XLOOKUP(B21,'Up Min'!A:A,'Up Min'!H:H,)</f>
        <v/>
      </c>
      <c r="AF21" s="55" t="str">
        <f t="array" ref="AF21">_xlfn.XLOOKUP(B21,'Up Max'!A:A,'Up Max'!H:H,)</f>
        <v/>
      </c>
      <c r="AG21" s="57" t="str">
        <f t="array" ref="AG21">_xlfn.XLOOKUP(B21,'Up Stats'!A:A,'Up Stats'!I:I,)</f>
        <v/>
      </c>
      <c r="AH21" s="54" t="str">
        <f>IFERROR(__xludf.DUMMYFUNCTION("if(AND(AI21=FALSE,AJ21=FALSE),,if(AI21=AJ21,JOIN("""",""Static: "",AI21),JOIN("""",""Min:  "",AI21, CHAR(10),""Max: "",AJ21)))"),"")</f>
        <v/>
      </c>
      <c r="AI21" s="55" t="str">
        <f t="array" ref="AI21">_xlfn.XLOOKUP(B21,'Up Min'!A:A,'Up Min'!I:I,)</f>
        <v/>
      </c>
      <c r="AJ21" s="55" t="str">
        <f t="array" ref="AJ21">_xlfn.XLOOKUP(B21,'Up Max'!A:A,'Up Max'!I:I,)</f>
        <v/>
      </c>
      <c r="AK21" s="57" t="str">
        <f t="array" ref="AK21">_xlfn.XLOOKUP(B21,'Up Stats'!A:A,'Up Stats'!J:J,)</f>
        <v/>
      </c>
      <c r="AL21" s="54" t="str">
        <f>IFERROR(__xludf.DUMMYFUNCTION("if(AND(AM21=FALSE,AN21=FALSE),,if(AM21=AN21,JOIN("""",""Static: "",AM21),JOIN("""",""Min:  "",AM21, CHAR(10),""Max: "",AN21)))"),"")</f>
        <v/>
      </c>
      <c r="AM21" s="55" t="str">
        <f t="array" ref="AM21">_xlfn.XLOOKUP(B21,'Up Min'!A:A,'Up Min'!J:J,)</f>
        <v/>
      </c>
      <c r="AN21" s="55" t="str">
        <f t="array" ref="AN21">_xlfn.XLOOKUP(B21,'Up Max'!A:A,'Up Max'!J:J,)</f>
        <v/>
      </c>
      <c r="AO21" s="51" t="s">
        <v>31</v>
      </c>
      <c r="AP21" s="51" t="str">
        <f t="array" ref="AP21">CONCATENATE(_xlfn.XLOOKUP(B21,'Up Rarity'!A:A,'Up Rarity'!B:B,),CHAR(10),"-")</f>
        <v>Rare
-</v>
      </c>
    </row>
    <row r="22">
      <c r="A22" s="83" t="str">
        <f t="array" ref="A22">_xlfn.XLOOKUP(B22,'Up Icon'!A:A,'Up Icon'!B:B,)</f>
        <v/>
      </c>
      <c r="B22" s="89" t="str">
        <f t="array" ref="B22">HYPERLINK(_xlfn.XLOOKUP('Up Names'!I19,'Up Wiki'!A:A,'Up Wiki'!B:B,),'Up Names'!I19)</f>
        <v>Improve Replication</v>
      </c>
      <c r="C22" s="37" t="str">
        <f t="array" ref="C22">_xlfn.XLOOKUP(B22,'Up Desc'!A:A,'Up Desc'!B:B,)</f>
        <v>Magazine size is increased by your Globblometer.</v>
      </c>
      <c r="D22" s="37" t="str">
        <f t="array" ref="D22">_xlfn.XLOOKUP(B22,'Up Turbo'!A:A,'Up Turbo'!B:B,)</f>
        <v>n/a</v>
      </c>
      <c r="E22" s="39" t="str">
        <f t="array" ref="E22">_xlfn.XLOOKUP(B22,'Up Stats'!A:A,'Up Stats'!B:B,)</f>
        <v>Ammo per Stack</v>
      </c>
      <c r="F22" s="40" t="str">
        <f>IFERROR(__xludf.DUMMYFUNCTION("if(AND(G22=FALSE,H22=FALSE),,if(G22=H22,JOIN("""",""Static: "",G22),JOIN("""",""Min:  "",G22, CHAR(10),""Max: "",H22)))"),"Min:  0.18
Max: 0.22")</f>
        <v>Min:  0.18
Max: 0.22</v>
      </c>
      <c r="G22" s="69">
        <f t="array" ref="G22">_xlfn.XLOOKUP(B22,'Up Min'!A:A,'Up Min'!B:B,)</f>
        <v>0.18</v>
      </c>
      <c r="H22" s="68">
        <f t="array" ref="H22">_xlfn.XLOOKUP(B22,'Up Max'!A:A,'Up Max'!B:B,)</f>
        <v>0.22</v>
      </c>
      <c r="I22" s="39" t="str">
        <f t="array" ref="I22">_xlfn.XLOOKUP(B22,'Up Stats'!A:A,'Up Stats'!C:C,)</f>
        <v/>
      </c>
      <c r="J22" s="40" t="str">
        <f>IFERROR(__xludf.DUMMYFUNCTION("if(AND(K22=FALSE,L22=FALSE),,if(K22=L22,JOIN("""",""Static: "",K22),JOIN("""",""Min:  "",K22, CHAR(10),""Max: "",L22)))"),"")</f>
        <v/>
      </c>
      <c r="K22" s="74" t="str">
        <f t="array" ref="K22">_xlfn.XLOOKUP(B22,'Up Min'!A:A,'Up Min'!C:C,)</f>
        <v/>
      </c>
      <c r="L22" s="74" t="str">
        <f t="array" ref="L22">_xlfn.XLOOKUP(B22,'Up Max'!A:A,'Up Max'!C:C,)</f>
        <v/>
      </c>
      <c r="M22" s="48" t="str">
        <f t="array" ref="M22">_xlfn.XLOOKUP(B22,'Up Stats'!A:A,'Up Stats'!D:D,)</f>
        <v/>
      </c>
      <c r="N22" s="40" t="str">
        <f>IFERROR(__xludf.DUMMYFUNCTION("if(AND(O22=FALSE,P22=FALSE),,if(O22=P22,JOIN("""",""Static: "",O22),JOIN("""",""Min:  "",O22, CHAR(10),""Max: "",P22)))"),"")</f>
        <v/>
      </c>
      <c r="O22" s="42" t="str">
        <f t="array" ref="O22">_xlfn.XLOOKUP(B22,'Up Min'!A:A,'Up Min'!D:D,)</f>
        <v/>
      </c>
      <c r="P22" s="42" t="str">
        <f t="array" ref="P22">_xlfn.XLOOKUP(B22,'Up Max'!A:A,'Up Max'!D:D,)</f>
        <v/>
      </c>
      <c r="Q22" s="48" t="str">
        <f t="array" ref="Q22">_xlfn.XLOOKUP(B22,'Up Stats'!A:A,'Up Stats'!E:E,)</f>
        <v/>
      </c>
      <c r="R22" s="40" t="str">
        <f>IFERROR(__xludf.DUMMYFUNCTION("if(AND(S22=FALSE,T22=FALSE),,if(S22=T22,JOIN("""",""Static: "",S22),JOIN("""",""Min:  "",S22, CHAR(10),""Max: "",T22)))"),"")</f>
        <v/>
      </c>
      <c r="S22" s="42" t="str">
        <f t="array" ref="S22">_xlfn.XLOOKUP(B22,'Up Min'!A:A,'Up Min'!E:E,)</f>
        <v/>
      </c>
      <c r="T22" s="42" t="str">
        <f t="array" ref="T22">_xlfn.XLOOKUP(B22,'Up Max'!A:A,'Up Max'!E:E,)</f>
        <v/>
      </c>
      <c r="U22" s="48" t="str">
        <f t="array" ref="U22">_xlfn.XLOOKUP(B22,'Up Stats'!A:A,'Up Stats'!F:F,)</f>
        <v/>
      </c>
      <c r="V22" s="40" t="str">
        <f>IFERROR(__xludf.DUMMYFUNCTION("if(AND(W22=FALSE,X22=FALSE),,if(W22=X22,JOIN("""",""Static: "",W22),JOIN("""",""Min:  "",W22, CHAR(10),""Max: "",X22)))"),"")</f>
        <v/>
      </c>
      <c r="W22" s="42" t="str">
        <f t="array" ref="W22">_xlfn.XLOOKUP(B22,'Up Min'!A:A,'Up Min'!F:F,)</f>
        <v/>
      </c>
      <c r="X22" s="42" t="str">
        <f t="array" ref="X22">_xlfn.XLOOKUP(B22,'Up Max'!A:A,'Up Max'!F:F,)</f>
        <v/>
      </c>
      <c r="Y22" s="48" t="str">
        <f t="array" ref="Y22">_xlfn.XLOOKUP(B22,'Up Stats'!A:A,'Up Stats'!G:G,)</f>
        <v/>
      </c>
      <c r="Z22" s="40" t="str">
        <f>IFERROR(__xludf.DUMMYFUNCTION("if(AND(AA22=FALSE,AB22=FALSE),,if(AA22=AB22,JOIN("""",""Static: "",AA22),JOIN("""",""Min:  "",AA22, CHAR(10),""Max: "",AB22)))"),"")</f>
        <v/>
      </c>
      <c r="AA22" s="42" t="str">
        <f t="array" ref="AA22">_xlfn.XLOOKUP(B22,'Up Min'!A:A,'Up Min'!G:G,)</f>
        <v/>
      </c>
      <c r="AB22" s="42" t="str">
        <f t="array" ref="AB22">_xlfn.XLOOKUP(B22,'Up Max'!A:A,'Up Max'!G:G,)</f>
        <v/>
      </c>
      <c r="AC22" s="48" t="str">
        <f t="array" ref="AC22">_xlfn.XLOOKUP(B22,'Up Stats'!A:A,'Up Stats'!H:H,)</f>
        <v/>
      </c>
      <c r="AD22" s="40" t="str">
        <f>IFERROR(__xludf.DUMMYFUNCTION("if(AND(AE22=FALSE,AF22=FALSE),,if(AE22=AF22,JOIN("""",""Static: "",AE22),JOIN("""",""Min:  "",AE22, CHAR(10),""Max: "",AF22)))"),"")</f>
        <v/>
      </c>
      <c r="AE22" s="42" t="str">
        <f t="array" ref="AE22">_xlfn.XLOOKUP(B22,'Up Min'!A:A,'Up Min'!H:H,)</f>
        <v/>
      </c>
      <c r="AF22" s="42" t="str">
        <f t="array" ref="AF22">_xlfn.XLOOKUP(B22,'Up Max'!A:A,'Up Max'!H:H,)</f>
        <v/>
      </c>
      <c r="AG22" s="48" t="str">
        <f t="array" ref="AG22">_xlfn.XLOOKUP(B22,'Up Stats'!A:A,'Up Stats'!I:I,)</f>
        <v/>
      </c>
      <c r="AH22" s="40" t="str">
        <f>IFERROR(__xludf.DUMMYFUNCTION("if(AND(AI22=FALSE,AJ22=FALSE),,if(AI22=AJ22,JOIN("""",""Static: "",AI22),JOIN("""",""Min:  "",AI22, CHAR(10),""Max: "",AJ22)))"),"")</f>
        <v/>
      </c>
      <c r="AI22" s="42" t="str">
        <f t="array" ref="AI22">_xlfn.XLOOKUP(B22,'Up Min'!A:A,'Up Min'!I:I,)</f>
        <v/>
      </c>
      <c r="AJ22" s="42" t="str">
        <f t="array" ref="AJ22">_xlfn.XLOOKUP(B22,'Up Max'!A:A,'Up Max'!I:I,)</f>
        <v/>
      </c>
      <c r="AK22" s="48" t="str">
        <f t="array" ref="AK22">_xlfn.XLOOKUP(B22,'Up Stats'!A:A,'Up Stats'!J:J,)</f>
        <v/>
      </c>
      <c r="AL22" s="40" t="str">
        <f>IFERROR(__xludf.DUMMYFUNCTION("if(AND(AM22=FALSE,AN22=FALSE),,if(AM22=AN22,JOIN("""",""Static: "",AM22),JOIN("""",""Min:  "",AM22, CHAR(10),""Max: "",AN22)))"),"")</f>
        <v/>
      </c>
      <c r="AM22" s="42" t="str">
        <f t="array" ref="AM22">_xlfn.XLOOKUP(B22,'Up Min'!A:A,'Up Min'!J:J,)</f>
        <v/>
      </c>
      <c r="AN22" s="42" t="str">
        <f t="array" ref="AN22">_xlfn.XLOOKUP(B22,'Up Max'!A:A,'Up Max'!J:J,)</f>
        <v/>
      </c>
      <c r="AO22" s="34" t="s">
        <v>36</v>
      </c>
      <c r="AP22" s="34" t="str">
        <f t="array" ref="AP22">CONCATENATE(_xlfn.XLOOKUP(B22,'Up Rarity'!A:A,'Up Rarity'!B:B,),CHAR(10),"-")</f>
        <v>Rare
-</v>
      </c>
    </row>
    <row r="23">
      <c r="A23" s="83" t="str">
        <f t="array" ref="A23">_xlfn.XLOOKUP(B23,'Up Icon'!A:A,'Up Icon'!B:B,)</f>
        <v/>
      </c>
      <c r="B23" s="88" t="str">
        <f t="array" ref="B23">HYPERLINK(_xlfn.XLOOKUP('Up Names'!I20,'Up Wiki'!A:A,'Up Wiki'!B:B,),'Up Names'!I20)</f>
        <v>Instant Detonation</v>
      </c>
      <c r="C23" s="52" t="str">
        <f t="array" ref="C23">_xlfn.XLOOKUP(B23,'Up Desc'!A:A,'Up Desc'!B:B,)</f>
        <v>Globs detonate when hitting a surface.</v>
      </c>
      <c r="D23" s="52" t="str">
        <f t="array" ref="D23">_xlfn.XLOOKUP(B23,'Up Turbo'!A:A,'Up Turbo'!B:B,)</f>
        <v>n/a</v>
      </c>
      <c r="E23" s="53" t="str">
        <f t="array" ref="E23">_xlfn.XLOOKUP(B23,'Up Stats'!A:A,'Up Stats'!B:B,)</f>
        <v>Bounces</v>
      </c>
      <c r="F23" s="54" t="str">
        <f>IFERROR(__xludf.DUMMYFUNCTION("if(AND(G23=FALSE,H23=FALSE),,if(G23=H23,JOIN("""",""Static: "",G23),JOIN("""",""Min:  "",G23, CHAR(10),""Max: "",H23)))"),"Static: 0")</f>
        <v>Static: 0</v>
      </c>
      <c r="G23" s="64">
        <f t="array" ref="G23">_xlfn.XLOOKUP(B23,'Up Min'!A:A,'Up Min'!B:B,)</f>
        <v>0</v>
      </c>
      <c r="H23" s="65">
        <f t="array" ref="H23">_xlfn.XLOOKUP(B23,'Up Max'!A:A,'Up Max'!B:B,)</f>
        <v>0</v>
      </c>
      <c r="I23" s="53" t="str">
        <f t="array" ref="I23">_xlfn.XLOOKUP(B23,'Up Stats'!A:A,'Up Stats'!C:C,)</f>
        <v>Globblometer</v>
      </c>
      <c r="J23" s="54" t="str">
        <f>IFERROR(__xludf.DUMMYFUNCTION("if(AND(K23=FALSE,L23=FALSE),,if(K23=L23,JOIN("""",""Static: "",K23),JOIN("""",""Min:  "",K23, CHAR(10),""Max: "",L23)))"),"Min:  0
Max: 3")</f>
        <v>Min:  0
Max: 3</v>
      </c>
      <c r="K23" s="64">
        <f t="array" ref="K23">_xlfn.XLOOKUP(B23,'Up Min'!A:A,'Up Min'!C:C,)</f>
        <v>0</v>
      </c>
      <c r="L23" s="64">
        <f t="array" ref="L23">_xlfn.XLOOKUP(B23,'Up Max'!A:A,'Up Max'!C:C,)</f>
        <v>3</v>
      </c>
      <c r="M23" s="53" t="str">
        <f t="array" ref="M23">_xlfn.XLOOKUP(B23,'Up Stats'!A:A,'Up Stats'!D:D,)</f>
        <v/>
      </c>
      <c r="N23" s="54" t="str">
        <f>IFERROR(__xludf.DUMMYFUNCTION("if(AND(O23=FALSE,P23=FALSE),,if(O23=P23,JOIN("""",""Static: "",O23),JOIN("""",""Min:  "",O23, CHAR(10),""Max: "",P23)))"),"")</f>
        <v/>
      </c>
      <c r="O23" s="55" t="str">
        <f t="array" ref="O23">_xlfn.XLOOKUP(B23,'Up Min'!A:A,'Up Min'!D:D,)</f>
        <v/>
      </c>
      <c r="P23" s="55" t="str">
        <f t="array" ref="P23">_xlfn.XLOOKUP(B23,'Up Max'!A:A,'Up Max'!D:D,)</f>
        <v/>
      </c>
      <c r="Q23" s="57" t="str">
        <f t="array" ref="Q23">_xlfn.XLOOKUP(B23,'Up Stats'!A:A,'Up Stats'!E:E,)</f>
        <v/>
      </c>
      <c r="R23" s="54" t="str">
        <f>IFERROR(__xludf.DUMMYFUNCTION("if(AND(S23=FALSE,T23=FALSE),,if(S23=T23,JOIN("""",""Static: "",S23),JOIN("""",""Min:  "",S23, CHAR(10),""Max: "",T23)))"),"")</f>
        <v/>
      </c>
      <c r="S23" s="55" t="str">
        <f t="array" ref="S23">_xlfn.XLOOKUP(B23,'Up Min'!A:A,'Up Min'!E:E,)</f>
        <v/>
      </c>
      <c r="T23" s="55" t="str">
        <f t="array" ref="T23">_xlfn.XLOOKUP(B23,'Up Max'!A:A,'Up Max'!E:E,)</f>
        <v/>
      </c>
      <c r="U23" s="57" t="str">
        <f t="array" ref="U23">_xlfn.XLOOKUP(B23,'Up Stats'!A:A,'Up Stats'!F:F,)</f>
        <v/>
      </c>
      <c r="V23" s="54" t="str">
        <f>IFERROR(__xludf.DUMMYFUNCTION("if(AND(W23=FALSE,X23=FALSE),,if(W23=X23,JOIN("""",""Static: "",W23),JOIN("""",""Min:  "",W23, CHAR(10),""Max: "",X23)))"),"")</f>
        <v/>
      </c>
      <c r="W23" s="55" t="str">
        <f t="array" ref="W23">_xlfn.XLOOKUP(B23,'Up Min'!A:A,'Up Min'!F:F,)</f>
        <v/>
      </c>
      <c r="X23" s="55" t="str">
        <f t="array" ref="X23">_xlfn.XLOOKUP(B23,'Up Max'!A:A,'Up Max'!F:F,)</f>
        <v/>
      </c>
      <c r="Y23" s="57" t="str">
        <f t="array" ref="Y23">_xlfn.XLOOKUP(B23,'Up Stats'!A:A,'Up Stats'!G:G,)</f>
        <v/>
      </c>
      <c r="Z23" s="54" t="str">
        <f>IFERROR(__xludf.DUMMYFUNCTION("if(AND(AA23=FALSE,AB23=FALSE),,if(AA23=AB23,JOIN("""",""Static: "",AA23),JOIN("""",""Min:  "",AA23, CHAR(10),""Max: "",AB23)))"),"")</f>
        <v/>
      </c>
      <c r="AA23" s="55" t="str">
        <f t="array" ref="AA23">_xlfn.XLOOKUP(B23,'Up Min'!A:A,'Up Min'!G:G,)</f>
        <v/>
      </c>
      <c r="AB23" s="55" t="str">
        <f t="array" ref="AB23">_xlfn.XLOOKUP(B23,'Up Max'!A:A,'Up Max'!G:G,)</f>
        <v/>
      </c>
      <c r="AC23" s="57" t="str">
        <f t="array" ref="AC23">_xlfn.XLOOKUP(B23,'Up Stats'!A:A,'Up Stats'!H:H,)</f>
        <v/>
      </c>
      <c r="AD23" s="54" t="str">
        <f>IFERROR(__xludf.DUMMYFUNCTION("if(AND(AE23=FALSE,AF23=FALSE),,if(AE23=AF23,JOIN("""",""Static: "",AE23),JOIN("""",""Min:  "",AE23, CHAR(10),""Max: "",AF23)))"),"")</f>
        <v/>
      </c>
      <c r="AE23" s="55" t="str">
        <f t="array" ref="AE23">_xlfn.XLOOKUP(B23,'Up Min'!A:A,'Up Min'!H:H,)</f>
        <v/>
      </c>
      <c r="AF23" s="55" t="str">
        <f t="array" ref="AF23">_xlfn.XLOOKUP(B23,'Up Max'!A:A,'Up Max'!H:H,)</f>
        <v/>
      </c>
      <c r="AG23" s="57" t="str">
        <f t="array" ref="AG23">_xlfn.XLOOKUP(B23,'Up Stats'!A:A,'Up Stats'!I:I,)</f>
        <v/>
      </c>
      <c r="AH23" s="54" t="str">
        <f>IFERROR(__xludf.DUMMYFUNCTION("if(AND(AI23=FALSE,AJ23=FALSE),,if(AI23=AJ23,JOIN("""",""Static: "",AI23),JOIN("""",""Min:  "",AI23, CHAR(10),""Max: "",AJ23)))"),"")</f>
        <v/>
      </c>
      <c r="AI23" s="55" t="str">
        <f t="array" ref="AI23">_xlfn.XLOOKUP(B23,'Up Min'!A:A,'Up Min'!I:I,)</f>
        <v/>
      </c>
      <c r="AJ23" s="55" t="str">
        <f t="array" ref="AJ23">_xlfn.XLOOKUP(B23,'Up Max'!A:A,'Up Max'!I:I,)</f>
        <v/>
      </c>
      <c r="AK23" s="57" t="str">
        <f t="array" ref="AK23">_xlfn.XLOOKUP(B23,'Up Stats'!A:A,'Up Stats'!J:J,)</f>
        <v/>
      </c>
      <c r="AL23" s="54" t="str">
        <f>IFERROR(__xludf.DUMMYFUNCTION("if(AND(AM23=FALSE,AN23=FALSE),,if(AM23=AN23,JOIN("""",""Static: "",AM23),JOIN("""",""Min:  "",AM23, CHAR(10),""Max: "",AN23)))"),"")</f>
        <v/>
      </c>
      <c r="AM23" s="55" t="str">
        <f t="array" ref="AM23">_xlfn.XLOOKUP(B23,'Up Min'!A:A,'Up Min'!J:J,)</f>
        <v/>
      </c>
      <c r="AN23" s="55" t="str">
        <f t="array" ref="AN23">_xlfn.XLOOKUP(B23,'Up Max'!A:A,'Up Max'!J:J,)</f>
        <v/>
      </c>
      <c r="AO23" s="51" t="s">
        <v>36</v>
      </c>
      <c r="AP23" s="51" t="str">
        <f t="array" ref="AP23">CONCATENATE(_xlfn.XLOOKUP(B23,'Up Rarity'!A:A,'Up Rarity'!B:B,),CHAR(10),"-")</f>
        <v>Rare
-</v>
      </c>
    </row>
    <row r="24">
      <c r="A24" s="83" t="str">
        <f t="array" ref="A24">_xlfn.XLOOKUP(B24,'Up Icon'!A:A,'Up Icon'!B:B,)</f>
        <v/>
      </c>
      <c r="B24" s="89" t="str">
        <f t="array" ref="B24">HYPERLINK(_xlfn.XLOOKUP('Up Names'!I21,'Up Wiki'!A:A,'Up Wiki'!B:B,),'Up Names'!I21)</f>
        <v>Replicator Resistance</v>
      </c>
      <c r="C24" s="37" t="str">
        <f t="array" ref="C24">_xlfn.XLOOKUP(B24,'Up Desc'!A:A,'Up Desc'!B:B,)</f>
        <v>Damaging yourself with a glob provides damage resistance for a short time. The globblometer lengthens this effect.</v>
      </c>
      <c r="D24" s="37" t="str">
        <f t="array" ref="D24">_xlfn.XLOOKUP(B24,'Up Turbo'!A:A,'Up Turbo'!B:B,)</f>
        <v>n/a</v>
      </c>
      <c r="E24" s="39" t="str">
        <f t="array" ref="E24">_xlfn.XLOOKUP(B24,'Up Stats'!A:A,'Up Stats'!B:B,)</f>
        <v>Damage Resistance</v>
      </c>
      <c r="F24" s="40" t="str">
        <f>IFERROR(__xludf.DUMMYFUNCTION("if(AND(G24=FALSE,H24=FALSE),,if(G24=H24,JOIN("""",""Static: "",G24),JOIN("""",""Min:  "",G24, CHAR(10),""Max: "",H24)))"),"Min:  28%
Max: 45%")</f>
        <v>Min:  28%
Max: 45%</v>
      </c>
      <c r="G24" s="41">
        <f t="array" ref="G24">_xlfn.XLOOKUP(B24,'Up Min'!A:A,'Up Min'!B:B,)</f>
        <v>0.28</v>
      </c>
      <c r="H24" s="41">
        <f t="array" ref="H24">_xlfn.XLOOKUP(B24,'Up Max'!A:A,'Up Max'!B:B,)</f>
        <v>0.45</v>
      </c>
      <c r="I24" s="39" t="str">
        <f t="array" ref="I24">_xlfn.XLOOKUP(B24,'Up Stats'!A:A,'Up Stats'!C:C,)</f>
        <v>Duration</v>
      </c>
      <c r="J24" s="40" t="str">
        <f>IFERROR(__xludf.DUMMYFUNCTION("if(AND(K24=FALSE,L24=FALSE),,if(K24=L24,JOIN("""",""Static: "",K24),JOIN("""",""Min:  "",K24, CHAR(10),""Max: "",L24)))"),"Min:  0.28
Max: 0.45")</f>
        <v>Min:  0.28
Max: 0.45</v>
      </c>
      <c r="K24" s="68">
        <f t="array" ref="K24">_xlfn.XLOOKUP(B24,'Up Min'!A:A,'Up Min'!C:C,)</f>
        <v>0.28</v>
      </c>
      <c r="L24" s="69">
        <f t="array" ref="L24">_xlfn.XLOOKUP(B24,'Up Max'!A:A,'Up Max'!C:C,)</f>
        <v>0.45</v>
      </c>
      <c r="M24" s="39" t="str">
        <f t="array" ref="M24">_xlfn.XLOOKUP(B24,'Up Stats'!A:A,'Up Stats'!D:D,)</f>
        <v/>
      </c>
      <c r="N24" s="40" t="str">
        <f>IFERROR(__xludf.DUMMYFUNCTION("if(AND(O24=FALSE,P24=FALSE),,if(O24=P24,JOIN("""",""Static: "",O24),JOIN("""",""Min:  "",O24, CHAR(10),""Max: "",P24)))"),"")</f>
        <v/>
      </c>
      <c r="O24" s="42" t="str">
        <f t="array" ref="O24">_xlfn.XLOOKUP(B24,'Up Min'!A:A,'Up Min'!D:D,)</f>
        <v/>
      </c>
      <c r="P24" s="42" t="str">
        <f t="array" ref="P24">_xlfn.XLOOKUP(B24,'Up Max'!A:A,'Up Max'!D:D,)</f>
        <v/>
      </c>
      <c r="Q24" s="48" t="str">
        <f t="array" ref="Q24">_xlfn.XLOOKUP(B24,'Up Stats'!A:A,'Up Stats'!E:E,)</f>
        <v/>
      </c>
      <c r="R24" s="40" t="str">
        <f>IFERROR(__xludf.DUMMYFUNCTION("if(AND(S24=FALSE,T24=FALSE),,if(S24=T24,JOIN("""",""Static: "",S24),JOIN("""",""Min:  "",S24, CHAR(10),""Max: "",T24)))"),"")</f>
        <v/>
      </c>
      <c r="S24" s="42" t="str">
        <f t="array" ref="S24">_xlfn.XLOOKUP(B24,'Up Min'!A:A,'Up Min'!E:E,)</f>
        <v/>
      </c>
      <c r="T24" s="42" t="str">
        <f t="array" ref="T24">_xlfn.XLOOKUP(B24,'Up Max'!A:A,'Up Max'!E:E,)</f>
        <v/>
      </c>
      <c r="U24" s="48" t="str">
        <f t="array" ref="U24">_xlfn.XLOOKUP(B24,'Up Stats'!A:A,'Up Stats'!F:F,)</f>
        <v/>
      </c>
      <c r="V24" s="40" t="str">
        <f>IFERROR(__xludf.DUMMYFUNCTION("if(AND(W24=FALSE,X24=FALSE),,if(W24=X24,JOIN("""",""Static: "",W24),JOIN("""",""Min:  "",W24, CHAR(10),""Max: "",X24)))"),"")</f>
        <v/>
      </c>
      <c r="W24" s="42" t="str">
        <f t="array" ref="W24">_xlfn.XLOOKUP(B24,'Up Min'!A:A,'Up Min'!F:F,)</f>
        <v/>
      </c>
      <c r="X24" s="42" t="str">
        <f t="array" ref="X24">_xlfn.XLOOKUP(B24,'Up Max'!A:A,'Up Max'!F:F,)</f>
        <v/>
      </c>
      <c r="Y24" s="48" t="str">
        <f t="array" ref="Y24">_xlfn.XLOOKUP(B24,'Up Stats'!A:A,'Up Stats'!G:G,)</f>
        <v/>
      </c>
      <c r="Z24" s="40" t="str">
        <f>IFERROR(__xludf.DUMMYFUNCTION("if(AND(AA24=FALSE,AB24=FALSE),,if(AA24=AB24,JOIN("""",""Static: "",AA24),JOIN("""",""Min:  "",AA24, CHAR(10),""Max: "",AB24)))"),"")</f>
        <v/>
      </c>
      <c r="AA24" s="42" t="str">
        <f t="array" ref="AA24">_xlfn.XLOOKUP(B24,'Up Min'!A:A,'Up Min'!G:G,)</f>
        <v/>
      </c>
      <c r="AB24" s="42" t="str">
        <f t="array" ref="AB24">_xlfn.XLOOKUP(B24,'Up Max'!A:A,'Up Max'!G:G,)</f>
        <v/>
      </c>
      <c r="AC24" s="48" t="str">
        <f t="array" ref="AC24">_xlfn.XLOOKUP(B24,'Up Stats'!A:A,'Up Stats'!H:H,)</f>
        <v/>
      </c>
      <c r="AD24" s="40" t="str">
        <f>IFERROR(__xludf.DUMMYFUNCTION("if(AND(AE24=FALSE,AF24=FALSE),,if(AE24=AF24,JOIN("""",""Static: "",AE24),JOIN("""",""Min:  "",AE24, CHAR(10),""Max: "",AF24)))"),"")</f>
        <v/>
      </c>
      <c r="AE24" s="42" t="str">
        <f t="array" ref="AE24">_xlfn.XLOOKUP(B24,'Up Min'!A:A,'Up Min'!H:H,)</f>
        <v/>
      </c>
      <c r="AF24" s="42" t="str">
        <f t="array" ref="AF24">_xlfn.XLOOKUP(B24,'Up Max'!A:A,'Up Max'!H:H,)</f>
        <v/>
      </c>
      <c r="AG24" s="48" t="str">
        <f t="array" ref="AG24">_xlfn.XLOOKUP(B24,'Up Stats'!A:A,'Up Stats'!I:I,)</f>
        <v/>
      </c>
      <c r="AH24" s="40" t="str">
        <f>IFERROR(__xludf.DUMMYFUNCTION("if(AND(AI24=FALSE,AJ24=FALSE),,if(AI24=AJ24,JOIN("""",""Static: "",AI24),JOIN("""",""Min:  "",AI24, CHAR(10),""Max: "",AJ24)))"),"")</f>
        <v/>
      </c>
      <c r="AI24" s="42" t="str">
        <f t="array" ref="AI24">_xlfn.XLOOKUP(B24,'Up Min'!A:A,'Up Min'!I:I,)</f>
        <v/>
      </c>
      <c r="AJ24" s="42" t="str">
        <f t="array" ref="AJ24">_xlfn.XLOOKUP(B24,'Up Max'!A:A,'Up Max'!I:I,)</f>
        <v/>
      </c>
      <c r="AK24" s="48" t="str">
        <f t="array" ref="AK24">_xlfn.XLOOKUP(B24,'Up Stats'!A:A,'Up Stats'!J:J,)</f>
        <v/>
      </c>
      <c r="AL24" s="40" t="str">
        <f>IFERROR(__xludf.DUMMYFUNCTION("if(AND(AM24=FALSE,AN24=FALSE),,if(AM24=AN24,JOIN("""",""Static: "",AM24),JOIN("""",""Min:  "",AM24, CHAR(10),""Max: "",AN24)))"),"")</f>
        <v/>
      </c>
      <c r="AM24" s="42" t="str">
        <f t="array" ref="AM24">_xlfn.XLOOKUP(B24,'Up Min'!A:A,'Up Min'!J:J,)</f>
        <v/>
      </c>
      <c r="AN24" s="42" t="str">
        <f t="array" ref="AN24">_xlfn.XLOOKUP(B24,'Up Max'!A:A,'Up Max'!J:J,)</f>
        <v/>
      </c>
      <c r="AO24" s="34" t="s">
        <v>31</v>
      </c>
      <c r="AP24" s="34" t="str">
        <f t="array" ref="AP24">CONCATENATE(_xlfn.XLOOKUP(B24,'Up Rarity'!A:A,'Up Rarity'!B:B,),CHAR(10),"-")</f>
        <v>Rare
-</v>
      </c>
    </row>
    <row r="25">
      <c r="A25" s="83" t="str">
        <f t="array" ref="A25">_xlfn.XLOOKUP(B25,'Up Icon'!A:A,'Up Icon'!B:B,)</f>
        <v/>
      </c>
      <c r="B25" s="88" t="str">
        <f t="array" ref="B25">HYPERLINK(_xlfn.XLOOKUP('Up Names'!I22,'Up Wiki'!A:A,'Up Wiki'!B:B,),'Up Names'!I22)</f>
        <v>The Glob</v>
      </c>
      <c r="C25" s="70" t="str">
        <f t="array" ref="C25">_xlfn.XLOOKUP(B25,'Up Desc'!A:A,'Up Desc'!B:B,)</f>
        <v>Fire only one glob with an increased explosion radius. Reload speed is decreased.</v>
      </c>
      <c r="D25" s="52" t="str">
        <f t="array" ref="D25">_xlfn.XLOOKUP(B25,'Up Turbo'!A:A,'Up Turbo'!B:B,)</f>
        <v>n/a</v>
      </c>
      <c r="E25" s="53" t="str">
        <f t="array" ref="E25">_xlfn.XLOOKUP(B25,'Up Stats'!A:A,'Up Stats'!B:B,)</f>
        <v>Magazine Size</v>
      </c>
      <c r="F25" s="54" t="str">
        <f>IFERROR(__xludf.DUMMYFUNCTION("if(AND(G25=FALSE,H25=FALSE),,if(G25=H25,JOIN("""",""Static: "",G25),JOIN("""",""Min:  "",G25, CHAR(10),""Max: "",H25)))"),"Static: 1")</f>
        <v>Static: 1</v>
      </c>
      <c r="G25" s="64">
        <f t="array" ref="G25">_xlfn.XLOOKUP(B25,'Up Min'!A:A,'Up Min'!B:B,)</f>
        <v>1</v>
      </c>
      <c r="H25" s="65">
        <f t="array" ref="H25">_xlfn.XLOOKUP(B25,'Up Max'!A:A,'Up Max'!B:B,)</f>
        <v>1</v>
      </c>
      <c r="I25" s="53" t="str">
        <f t="array" ref="I25">_xlfn.XLOOKUP(B25,'Up Stats'!A:A,'Up Stats'!C:C,)</f>
        <v>Explosion Size</v>
      </c>
      <c r="J25" s="54" t="str">
        <f>IFERROR(__xludf.DUMMYFUNCTION("if(AND(K25=FALSE,L25=FALSE),,if(K25=L25,JOIN("""",""Static: "",K25),JOIN("""",""Min:  "",K25, CHAR(10),""Max: "",L25)))"),"Min:  85%
Max: 150%")</f>
        <v>Min:  85%
Max: 150%</v>
      </c>
      <c r="K25" s="59">
        <f t="array" ref="K25">_xlfn.XLOOKUP(B25,'Up Min'!A:A,'Up Min'!C:C,)</f>
        <v>0.85</v>
      </c>
      <c r="L25" s="59">
        <f t="array" ref="L25">_xlfn.XLOOKUP(B25,'Up Max'!A:A,'Up Max'!C:C,)</f>
        <v>1.5</v>
      </c>
      <c r="M25" s="53" t="str">
        <f t="array" ref="M25">_xlfn.XLOOKUP(B25,'Up Stats'!A:A,'Up Stats'!D:D,)</f>
        <v>Reload Speed</v>
      </c>
      <c r="N25" s="54" t="str">
        <f>IFERROR(__xludf.DUMMYFUNCTION("if(AND(O25=FALSE,P25=FALSE),,if(O25=P25,JOIN("""",""Static: "",O25),JOIN("""",""Min:  "",O25, CHAR(10),""Max: "",P25)))"),"Min:  33.33%
Max: 21.95%")</f>
        <v>Min:  33.33%
Max: 21.95%</v>
      </c>
      <c r="O25" s="71">
        <f t="array" ref="O25">_xlfn.XLOOKUP(B25,'Up Min'!A:A,'Up Min'!D:D,)</f>
        <v>0.3333</v>
      </c>
      <c r="P25" s="71">
        <f t="array" ref="P25">_xlfn.XLOOKUP(B25,'Up Max'!A:A,'Up Max'!D:D,)</f>
        <v>0.2195</v>
      </c>
      <c r="Q25" s="57" t="str">
        <f t="array" ref="Q25">_xlfn.XLOOKUP(B25,'Up Stats'!A:A,'Up Stats'!E:E,)</f>
        <v/>
      </c>
      <c r="R25" s="54" t="str">
        <f>IFERROR(__xludf.DUMMYFUNCTION("if(AND(S25=FALSE,T25=FALSE),,if(S25=T25,JOIN("""",""Static: "",S25),JOIN("""",""Min:  "",S25, CHAR(10),""Max: "",T25)))"),"")</f>
        <v/>
      </c>
      <c r="S25" s="56" t="str">
        <f t="array" ref="S25">_xlfn.XLOOKUP(B25,'Up Min'!A:A,'Up Min'!E:E,)</f>
        <v/>
      </c>
      <c r="T25" s="55" t="str">
        <f t="array" ref="T25">_xlfn.XLOOKUP(B25,'Up Max'!A:A,'Up Max'!E:E,)</f>
        <v/>
      </c>
      <c r="U25" s="57" t="str">
        <f t="array" ref="U25">_xlfn.XLOOKUP(B25,'Up Stats'!A:A,'Up Stats'!F:F,)</f>
        <v/>
      </c>
      <c r="V25" s="54" t="str">
        <f>IFERROR(__xludf.DUMMYFUNCTION("if(AND(W25=FALSE,X25=FALSE),,if(W25=X25,JOIN("""",""Static: "",W25),JOIN("""",""Min:  "",W25, CHAR(10),""Max: "",X25)))"),"")</f>
        <v/>
      </c>
      <c r="W25" s="55" t="str">
        <f t="array" ref="W25">_xlfn.XLOOKUP(B25,'Up Min'!A:A,'Up Min'!F:F,)</f>
        <v/>
      </c>
      <c r="X25" s="55" t="str">
        <f t="array" ref="X25">_xlfn.XLOOKUP(B25,'Up Max'!A:A,'Up Max'!F:F,)</f>
        <v/>
      </c>
      <c r="Y25" s="57" t="str">
        <f t="array" ref="Y25">_xlfn.XLOOKUP(B25,'Up Stats'!A:A,'Up Stats'!G:G,)</f>
        <v/>
      </c>
      <c r="Z25" s="54" t="str">
        <f>IFERROR(__xludf.DUMMYFUNCTION("if(AND(AA25=FALSE,AB25=FALSE),,if(AA25=AB25,JOIN("""",""Static: "",AA25),JOIN("""",""Min:  "",AA25, CHAR(10),""Max: "",AB25)))"),"")</f>
        <v/>
      </c>
      <c r="AA25" s="55" t="str">
        <f t="array" ref="AA25">_xlfn.XLOOKUP(B25,'Up Min'!A:A,'Up Min'!G:G,)</f>
        <v/>
      </c>
      <c r="AB25" s="55" t="str">
        <f t="array" ref="AB25">_xlfn.XLOOKUP(B25,'Up Max'!A:A,'Up Max'!G:G,)</f>
        <v/>
      </c>
      <c r="AC25" s="57" t="str">
        <f t="array" ref="AC25">_xlfn.XLOOKUP(B25,'Up Stats'!A:A,'Up Stats'!H:H,)</f>
        <v/>
      </c>
      <c r="AD25" s="54" t="str">
        <f>IFERROR(__xludf.DUMMYFUNCTION("if(AND(AE25=FALSE,AF25=FALSE),,if(AE25=AF25,JOIN("""",""Static: "",AE25),JOIN("""",""Min:  "",AE25, CHAR(10),""Max: "",AF25)))"),"")</f>
        <v/>
      </c>
      <c r="AE25" s="55" t="str">
        <f t="array" ref="AE25">_xlfn.XLOOKUP(B25,'Up Min'!A:A,'Up Min'!H:H,)</f>
        <v/>
      </c>
      <c r="AF25" s="55" t="str">
        <f t="array" ref="AF25">_xlfn.XLOOKUP(B25,'Up Max'!A:A,'Up Max'!H:H,)</f>
        <v/>
      </c>
      <c r="AG25" s="57" t="str">
        <f t="array" ref="AG25">_xlfn.XLOOKUP(B25,'Up Stats'!A:A,'Up Stats'!I:I,)</f>
        <v/>
      </c>
      <c r="AH25" s="54" t="str">
        <f>IFERROR(__xludf.DUMMYFUNCTION("if(AND(AI25=FALSE,AJ25=FALSE),,if(AI25=AJ25,JOIN("""",""Static: "",AI25),JOIN("""",""Min:  "",AI25, CHAR(10),""Max: "",AJ25)))"),"")</f>
        <v/>
      </c>
      <c r="AI25" s="55" t="str">
        <f t="array" ref="AI25">_xlfn.XLOOKUP(B25,'Up Min'!A:A,'Up Min'!I:I,)</f>
        <v/>
      </c>
      <c r="AJ25" s="55" t="str">
        <f t="array" ref="AJ25">_xlfn.XLOOKUP(B25,'Up Max'!A:A,'Up Max'!I:I,)</f>
        <v/>
      </c>
      <c r="AK25" s="57" t="str">
        <f t="array" ref="AK25">_xlfn.XLOOKUP(B25,'Up Stats'!A:A,'Up Stats'!J:J,)</f>
        <v/>
      </c>
      <c r="AL25" s="54" t="str">
        <f>IFERROR(__xludf.DUMMYFUNCTION("if(AND(AM25=FALSE,AN25=FALSE),,if(AM25=AN25,JOIN("""",""Static: "",AM25),JOIN("""",""Min:  "",AM25, CHAR(10),""Max: "",AN25)))"),"")</f>
        <v/>
      </c>
      <c r="AM25" s="55" t="str">
        <f t="array" ref="AM25">_xlfn.XLOOKUP(B25,'Up Min'!A:A,'Up Min'!J:J,)</f>
        <v/>
      </c>
      <c r="AN25" s="55" t="str">
        <f t="array" ref="AN25">_xlfn.XLOOKUP(B25,'Up Max'!A:A,'Up Max'!J:J,)</f>
        <v/>
      </c>
      <c r="AO25" s="51" t="s">
        <v>30</v>
      </c>
      <c r="AP25" s="51" t="str">
        <f t="array" ref="AP25">CONCATENATE(_xlfn.XLOOKUP(B25,'Up Rarity'!A:A,'Up Rarity'!B:B,),CHAR(10),"-")</f>
        <v>Rare
-</v>
      </c>
    </row>
    <row r="26">
      <c r="A26" s="83" t="str">
        <f t="array" ref="A26">_xlfn.XLOOKUP(B26,'Up Icon'!A:A,'Up Icon'!B:B,)</f>
        <v/>
      </c>
      <c r="B26" s="89" t="str">
        <f t="array" ref="B26">HYPERLINK(_xlfn.XLOOKUP('Up Names'!I23,'Up Wiki'!A:A,'Up Wiki'!B:B,),'Up Names'!I23)</f>
        <v>Volatile Acid</v>
      </c>
      <c r="C26" s="67" t="str">
        <f t="array" ref="C26">_xlfn.XLOOKUP(B26,'Up Desc'!A:A,'Up Desc'!B:B,)</f>
        <v>Globs are fired with a random size. Max size is increased with the Globblometer.</v>
      </c>
      <c r="D26" s="37" t="str">
        <f t="array" ref="D26">_xlfn.XLOOKUP(B26,'Up Turbo'!A:A,'Up Turbo'!B:B,)</f>
        <v>n/a</v>
      </c>
      <c r="E26" s="39" t="str">
        <f t="array" ref="E26">_xlfn.XLOOKUP(B26,'Up Stats'!A:A,'Up Stats'!B:B,)</f>
        <v>Max Size</v>
      </c>
      <c r="F26" s="40" t="str">
        <f>IFERROR(__xludf.DUMMYFUNCTION("if(AND(G26=FALSE,H26=FALSE),,if(G26=H26,JOIN("""",""Static: "",G26),JOIN("""",""Min:  "",G26, CHAR(10),""Max: "",H26)))"),"Min:  2.5
Max: 3.2")</f>
        <v>Min:  2.5
Max: 3.2</v>
      </c>
      <c r="G26" s="69">
        <f t="array" ref="G26">_xlfn.XLOOKUP(B26,'Up Min'!A:A,'Up Min'!B:B,)</f>
        <v>2.5</v>
      </c>
      <c r="H26" s="68">
        <f t="array" ref="H26">_xlfn.XLOOKUP(B26,'Up Max'!A:A,'Up Max'!B:B,)</f>
        <v>3.2</v>
      </c>
      <c r="I26" s="39" t="str">
        <f t="array" ref="I26">_xlfn.XLOOKUP(B26,'Up Stats'!A:A,'Up Stats'!C:C,)</f>
        <v/>
      </c>
      <c r="J26" s="40" t="str">
        <f>IFERROR(__xludf.DUMMYFUNCTION("if(AND(K26=FALSE,L26=FALSE),,if(K26=L26,JOIN("""",""Static: "",K26),JOIN("""",""Min:  "",K26, CHAR(10),""Max: "",L26)))"),"")</f>
        <v/>
      </c>
      <c r="K26" s="42" t="str">
        <f t="array" ref="K26">_xlfn.XLOOKUP(B26,'Up Min'!A:A,'Up Min'!C:C,)</f>
        <v/>
      </c>
      <c r="L26" s="42" t="str">
        <f t="array" ref="L26">_xlfn.XLOOKUP(B26,'Up Max'!A:A,'Up Max'!C:C,)</f>
        <v/>
      </c>
      <c r="M26" s="48" t="str">
        <f t="array" ref="M26">_xlfn.XLOOKUP(B26,'Up Stats'!A:A,'Up Stats'!D:D,)</f>
        <v/>
      </c>
      <c r="N26" s="40" t="str">
        <f>IFERROR(__xludf.DUMMYFUNCTION("if(AND(O26=FALSE,P26=FALSE),,if(O26=P26,JOIN("""",""Static: "",O26),JOIN("""",""Min:  "",O26, CHAR(10),""Max: "",P26)))"),"")</f>
        <v/>
      </c>
      <c r="O26" s="42" t="str">
        <f t="array" ref="O26">_xlfn.XLOOKUP(B26,'Up Min'!A:A,'Up Min'!D:D,)</f>
        <v/>
      </c>
      <c r="P26" s="42" t="str">
        <f t="array" ref="P26">_xlfn.XLOOKUP(B26,'Up Max'!A:A,'Up Max'!D:D,)</f>
        <v/>
      </c>
      <c r="Q26" s="48" t="str">
        <f t="array" ref="Q26">_xlfn.XLOOKUP(B26,'Up Stats'!A:A,'Up Stats'!E:E,)</f>
        <v/>
      </c>
      <c r="R26" s="40" t="str">
        <f>IFERROR(__xludf.DUMMYFUNCTION("if(AND(S26=FALSE,T26=FALSE),,if(S26=T26,JOIN("""",""Static: "",S26),JOIN("""",""Min:  "",S26, CHAR(10),""Max: "",T26)))"),"")</f>
        <v/>
      </c>
      <c r="S26" s="42" t="str">
        <f t="array" ref="S26">_xlfn.XLOOKUP(B26,'Up Min'!A:A,'Up Min'!E:E,)</f>
        <v/>
      </c>
      <c r="T26" s="42" t="str">
        <f t="array" ref="T26">_xlfn.XLOOKUP(B26,'Up Max'!A:A,'Up Max'!E:E,)</f>
        <v/>
      </c>
      <c r="U26" s="48" t="str">
        <f t="array" ref="U26">_xlfn.XLOOKUP(B26,'Up Stats'!A:A,'Up Stats'!F:F,)</f>
        <v/>
      </c>
      <c r="V26" s="40" t="str">
        <f>IFERROR(__xludf.DUMMYFUNCTION("if(AND(W26=FALSE,X26=FALSE),,if(W26=X26,JOIN("""",""Static: "",W26),JOIN("""",""Min:  "",W26, CHAR(10),""Max: "",X26)))"),"")</f>
        <v/>
      </c>
      <c r="W26" s="42" t="str">
        <f t="array" ref="W26">_xlfn.XLOOKUP(B26,'Up Min'!A:A,'Up Min'!F:F,)</f>
        <v/>
      </c>
      <c r="X26" s="42" t="str">
        <f t="array" ref="X26">_xlfn.XLOOKUP(B26,'Up Max'!A:A,'Up Max'!F:F,)</f>
        <v/>
      </c>
      <c r="Y26" s="48" t="str">
        <f t="array" ref="Y26">_xlfn.XLOOKUP(B26,'Up Stats'!A:A,'Up Stats'!G:G,)</f>
        <v/>
      </c>
      <c r="Z26" s="40" t="str">
        <f>IFERROR(__xludf.DUMMYFUNCTION("if(AND(AA26=FALSE,AB26=FALSE),,if(AA26=AB26,JOIN("""",""Static: "",AA26),JOIN("""",""Min:  "",AA26, CHAR(10),""Max: "",AB26)))"),"")</f>
        <v/>
      </c>
      <c r="AA26" s="42" t="str">
        <f t="array" ref="AA26">_xlfn.XLOOKUP(B26,'Up Min'!A:A,'Up Min'!G:G,)</f>
        <v/>
      </c>
      <c r="AB26" s="42" t="str">
        <f t="array" ref="AB26">_xlfn.XLOOKUP(B26,'Up Max'!A:A,'Up Max'!G:G,)</f>
        <v/>
      </c>
      <c r="AC26" s="48" t="str">
        <f t="array" ref="AC26">_xlfn.XLOOKUP(B26,'Up Stats'!A:A,'Up Stats'!H:H,)</f>
        <v/>
      </c>
      <c r="AD26" s="40" t="str">
        <f>IFERROR(__xludf.DUMMYFUNCTION("if(AND(AE26=FALSE,AF26=FALSE),,if(AE26=AF26,JOIN("""",""Static: "",AE26),JOIN("""",""Min:  "",AE26, CHAR(10),""Max: "",AF26)))"),"")</f>
        <v/>
      </c>
      <c r="AE26" s="42" t="str">
        <f t="array" ref="AE26">_xlfn.XLOOKUP(B26,'Up Min'!A:A,'Up Min'!H:H,)</f>
        <v/>
      </c>
      <c r="AF26" s="42" t="str">
        <f t="array" ref="AF26">_xlfn.XLOOKUP(B26,'Up Max'!A:A,'Up Max'!H:H,)</f>
        <v/>
      </c>
      <c r="AG26" s="48" t="str">
        <f t="array" ref="AG26">_xlfn.XLOOKUP(B26,'Up Stats'!A:A,'Up Stats'!I:I,)</f>
        <v/>
      </c>
      <c r="AH26" s="40" t="str">
        <f>IFERROR(__xludf.DUMMYFUNCTION("if(AND(AI26=FALSE,AJ26=FALSE),,if(AI26=AJ26,JOIN("""",""Static: "",AI26),JOIN("""",""Min:  "",AI26, CHAR(10),""Max: "",AJ26)))"),"")</f>
        <v/>
      </c>
      <c r="AI26" s="42" t="str">
        <f t="array" ref="AI26">_xlfn.XLOOKUP(B26,'Up Min'!A:A,'Up Min'!I:I,)</f>
        <v/>
      </c>
      <c r="AJ26" s="42" t="str">
        <f t="array" ref="AJ26">_xlfn.XLOOKUP(B26,'Up Max'!A:A,'Up Max'!I:I,)</f>
        <v/>
      </c>
      <c r="AK26" s="48" t="str">
        <f t="array" ref="AK26">_xlfn.XLOOKUP(B26,'Up Stats'!A:A,'Up Stats'!J:J,)</f>
        <v/>
      </c>
      <c r="AL26" s="40" t="str">
        <f>IFERROR(__xludf.DUMMYFUNCTION("if(AND(AM26=FALSE,AN26=FALSE),,if(AM26=AN26,JOIN("""",""Static: "",AM26),JOIN("""",""Min:  "",AM26, CHAR(10),""Max: "",AN26)))"),"")</f>
        <v/>
      </c>
      <c r="AM26" s="42" t="str">
        <f t="array" ref="AM26">_xlfn.XLOOKUP(B26,'Up Min'!A:A,'Up Min'!J:J,)</f>
        <v/>
      </c>
      <c r="AN26" s="42" t="str">
        <f t="array" ref="AN26">_xlfn.XLOOKUP(B26,'Up Max'!A:A,'Up Max'!J:J,)</f>
        <v/>
      </c>
      <c r="AO26" s="34" t="s">
        <v>30</v>
      </c>
      <c r="AP26" s="34" t="str">
        <f t="array" ref="AP26">CONCATENATE(_xlfn.XLOOKUP(B26,'Up Rarity'!A:A,'Up Rarity'!B:B,),CHAR(10),"-")</f>
        <v>Rare
-</v>
      </c>
    </row>
    <row r="27">
      <c r="A27" s="84" t="str">
        <f t="array" ref="A27">_xlfn.XLOOKUP(B27,'Up Icon'!A:A,'Up Icon'!B:B,)</f>
        <v/>
      </c>
      <c r="B27" s="88" t="str">
        <f t="array" ref="B27">HYPERLINK(_xlfn.XLOOKUP('Up Names'!I24,'Up Wiki'!A:A,'Up Wiki'!B:B,),'Up Names'!I24)</f>
        <v>Globblin</v>
      </c>
      <c r="C27" s="52" t="str">
        <f t="array" ref="C27">_xlfn.XLOOKUP(B27,'Up Desc'!A:A,'Up Desc'!B:B,)</f>
        <v>Globblin</v>
      </c>
      <c r="D27" s="52" t="str">
        <f t="array" ref="D27">_xlfn.XLOOKUP(B27,'Up Turbo'!A:A,'Up Turbo'!B:B,)</f>
        <v>n/a</v>
      </c>
      <c r="E27" s="53" t="str">
        <f t="array" ref="E27">_xlfn.XLOOKUP(B27,'Up Stats'!A:A,'Up Stats'!B:B,)</f>
        <v>Globblometer</v>
      </c>
      <c r="F27" s="54" t="str">
        <f>IFERROR(__xludf.DUMMYFUNCTION("if(AND(G27=FALSE,H27=FALSE),,if(G27=H27,JOIN("""",""Static: "",G27),JOIN("""",""Min:  "",G27, CHAR(10),""Max: "",H27)))"),"Min:  2
Max: 8")</f>
        <v>Min:  2
Max: 8</v>
      </c>
      <c r="G27" s="64">
        <f t="array" ref="G27">_xlfn.XLOOKUP(B27,'Up Min'!A:A,'Up Min'!B:B,)</f>
        <v>2</v>
      </c>
      <c r="H27" s="65">
        <f t="array" ref="H27">_xlfn.XLOOKUP(B27,'Up Max'!A:A,'Up Max'!B:B,)</f>
        <v>8</v>
      </c>
      <c r="I27" s="53" t="str">
        <f t="array" ref="I27">_xlfn.XLOOKUP(B27,'Up Stats'!A:A,'Up Stats'!C:C,)</f>
        <v/>
      </c>
      <c r="J27" s="54" t="str">
        <f>IFERROR(__xludf.DUMMYFUNCTION("if(AND(K27=FALSE,L27=FALSE),,if(K27=L27,JOIN("""",""Static: "",K27),JOIN("""",""Min:  "",K27, CHAR(10),""Max: "",L27)))"),"")</f>
        <v/>
      </c>
      <c r="K27" s="55" t="str">
        <f t="array" ref="K27">_xlfn.XLOOKUP(B27,'Up Min'!A:A,'Up Min'!C:C,)</f>
        <v/>
      </c>
      <c r="L27" s="55" t="str">
        <f t="array" ref="L27">_xlfn.XLOOKUP(B27,'Up Max'!A:A,'Up Max'!C:C,)</f>
        <v/>
      </c>
      <c r="M27" s="57" t="str">
        <f t="array" ref="M27">_xlfn.XLOOKUP(B27,'Up Stats'!A:A,'Up Stats'!D:D,)</f>
        <v/>
      </c>
      <c r="N27" s="54" t="str">
        <f>IFERROR(__xludf.DUMMYFUNCTION("if(AND(O27=FALSE,P27=FALSE),,if(O27=P27,JOIN("""",""Static: "",O27),JOIN("""",""Min:  "",O27, CHAR(10),""Max: "",P27)))"),"")</f>
        <v/>
      </c>
      <c r="O27" s="55" t="str">
        <f t="array" ref="O27">_xlfn.XLOOKUP(B27,'Up Min'!A:A,'Up Min'!D:D,)</f>
        <v/>
      </c>
      <c r="P27" s="55" t="str">
        <f t="array" ref="P27">_xlfn.XLOOKUP(B27,'Up Max'!A:A,'Up Max'!D:D,)</f>
        <v/>
      </c>
      <c r="Q27" s="57" t="str">
        <f t="array" ref="Q27">_xlfn.XLOOKUP(B27,'Up Stats'!A:A,'Up Stats'!E:E,)</f>
        <v/>
      </c>
      <c r="R27" s="54" t="str">
        <f>IFERROR(__xludf.DUMMYFUNCTION("if(AND(S27=FALSE,T27=FALSE),,if(S27=T27,JOIN("""",""Static: "",S27),JOIN("""",""Min:  "",S27, CHAR(10),""Max: "",T27)))"),"")</f>
        <v/>
      </c>
      <c r="S27" s="55" t="str">
        <f t="array" ref="S27">_xlfn.XLOOKUP(B27,'Up Min'!A:A,'Up Min'!E:E,)</f>
        <v/>
      </c>
      <c r="T27" s="55" t="str">
        <f t="array" ref="T27">_xlfn.XLOOKUP(B27,'Up Max'!A:A,'Up Max'!E:E,)</f>
        <v/>
      </c>
      <c r="U27" s="57" t="str">
        <f t="array" ref="U27">_xlfn.XLOOKUP(B27,'Up Stats'!A:A,'Up Stats'!F:F,)</f>
        <v/>
      </c>
      <c r="V27" s="54" t="str">
        <f>IFERROR(__xludf.DUMMYFUNCTION("if(AND(W27=FALSE,X27=FALSE),,if(W27=X27,JOIN("""",""Static: "",W27),JOIN("""",""Min:  "",W27, CHAR(10),""Max: "",X27)))"),"")</f>
        <v/>
      </c>
      <c r="W27" s="55" t="str">
        <f t="array" ref="W27">_xlfn.XLOOKUP(B27,'Up Min'!A:A,'Up Min'!F:F,)</f>
        <v/>
      </c>
      <c r="X27" s="55" t="str">
        <f t="array" ref="X27">_xlfn.XLOOKUP(B27,'Up Max'!A:A,'Up Max'!F:F,)</f>
        <v/>
      </c>
      <c r="Y27" s="57" t="str">
        <f t="array" ref="Y27">_xlfn.XLOOKUP(B27,'Up Stats'!A:A,'Up Stats'!G:G,)</f>
        <v/>
      </c>
      <c r="Z27" s="54" t="str">
        <f>IFERROR(__xludf.DUMMYFUNCTION("if(AND(AA27=FALSE,AB27=FALSE),,if(AA27=AB27,JOIN("""",""Static: "",AA27),JOIN("""",""Min:  "",AA27, CHAR(10),""Max: "",AB27)))"),"")</f>
        <v/>
      </c>
      <c r="AA27" s="55" t="str">
        <f t="array" ref="AA27">_xlfn.XLOOKUP(B27,'Up Min'!A:A,'Up Min'!G:G,)</f>
        <v/>
      </c>
      <c r="AB27" s="55" t="str">
        <f t="array" ref="AB27">_xlfn.XLOOKUP(B27,'Up Max'!A:A,'Up Max'!G:G,)</f>
        <v/>
      </c>
      <c r="AC27" s="57" t="str">
        <f t="array" ref="AC27">_xlfn.XLOOKUP(B27,'Up Stats'!A:A,'Up Stats'!H:H,)</f>
        <v/>
      </c>
      <c r="AD27" s="54" t="str">
        <f>IFERROR(__xludf.DUMMYFUNCTION("if(AND(AE27=FALSE,AF27=FALSE),,if(AE27=AF27,JOIN("""",""Static: "",AE27),JOIN("""",""Min:  "",AE27, CHAR(10),""Max: "",AF27)))"),"")</f>
        <v/>
      </c>
      <c r="AE27" s="55" t="str">
        <f t="array" ref="AE27">_xlfn.XLOOKUP(B27,'Up Min'!A:A,'Up Min'!H:H,)</f>
        <v/>
      </c>
      <c r="AF27" s="55" t="str">
        <f t="array" ref="AF27">_xlfn.XLOOKUP(B27,'Up Max'!A:A,'Up Max'!H:H,)</f>
        <v/>
      </c>
      <c r="AG27" s="57" t="str">
        <f t="array" ref="AG27">_xlfn.XLOOKUP(B27,'Up Stats'!A:A,'Up Stats'!I:I,)</f>
        <v/>
      </c>
      <c r="AH27" s="54" t="str">
        <f>IFERROR(__xludf.DUMMYFUNCTION("if(AND(AI27=FALSE,AJ27=FALSE),,if(AI27=AJ27,JOIN("""",""Static: "",AI27),JOIN("""",""Min:  "",AI27, CHAR(10),""Max: "",AJ27)))"),"")</f>
        <v/>
      </c>
      <c r="AI27" s="55" t="str">
        <f t="array" ref="AI27">_xlfn.XLOOKUP(B27,'Up Min'!A:A,'Up Min'!I:I,)</f>
        <v/>
      </c>
      <c r="AJ27" s="55" t="str">
        <f t="array" ref="AJ27">_xlfn.XLOOKUP(B27,'Up Max'!A:A,'Up Max'!I:I,)</f>
        <v/>
      </c>
      <c r="AK27" s="57" t="str">
        <f t="array" ref="AK27">_xlfn.XLOOKUP(B27,'Up Stats'!A:A,'Up Stats'!J:J,)</f>
        <v/>
      </c>
      <c r="AL27" s="54" t="str">
        <f>IFERROR(__xludf.DUMMYFUNCTION("if(AND(AM27=FALSE,AN27=FALSE),,if(AM27=AN27,JOIN("""",""Static: "",AM27),JOIN("""",""Min:  "",AM27, CHAR(10),""Max: "",AN27)))"),"")</f>
        <v/>
      </c>
      <c r="AM27" s="55" t="str">
        <f t="array" ref="AM27">_xlfn.XLOOKUP(B27,'Up Min'!A:A,'Up Min'!J:J,)</f>
        <v/>
      </c>
      <c r="AN27" s="55" t="str">
        <f t="array" ref="AN27">_xlfn.XLOOKUP(B27,'Up Max'!A:A,'Up Max'!J:J,)</f>
        <v/>
      </c>
      <c r="AO27" s="51" t="s">
        <v>30</v>
      </c>
      <c r="AP27" s="51" t="str">
        <f t="array" ref="AP27">CONCATENATE(_xlfn.XLOOKUP(B27,'Up Rarity'!A:A,'Up Rarity'!B:B,),CHAR(10),"-")</f>
        <v>Standard
-</v>
      </c>
    </row>
    <row r="28">
      <c r="A28" s="84" t="str">
        <f t="array" ref="A28">_xlfn.XLOOKUP(B28,'Up Icon'!A:A,'Up Icon'!B:B,)</f>
        <v/>
      </c>
      <c r="B28" s="89" t="str">
        <f t="array" ref="B28">HYPERLINK(_xlfn.XLOOKUP('Up Names'!I25,'Up Wiki'!A:A,'Up Wiki'!B:B,),'Up Names'!I25)</f>
        <v>Pack Eater</v>
      </c>
      <c r="C28" s="37" t="str">
        <f t="array" ref="C28">_xlfn.XLOOKUP(B28,'Up Desc'!A:A,'Up Desc'!B:B,)</f>
        <v>Ammo reserves are decreased.</v>
      </c>
      <c r="D28" s="37" t="str">
        <f t="array" ref="D28">_xlfn.XLOOKUP(B28,'Up Turbo'!A:A,'Up Turbo'!B:B,)</f>
        <v>n/a</v>
      </c>
      <c r="E28" s="39" t="str">
        <f t="array" ref="E28">_xlfn.XLOOKUP(B28,'Up Stats'!A:A,'Up Stats'!B:B,)</f>
        <v>Ammo Capacity</v>
      </c>
      <c r="F28" s="40" t="str">
        <f>IFERROR(__xludf.DUMMYFUNCTION("if(AND(G28=FALSE,H28=FALSE),,if(G28=H28,JOIN("""",""Static: "",G28),JOIN("""",""Min:  "",G28, CHAR(10),""Max: "",H28)))"),"Min:  -60%
Max: -40%")</f>
        <v>Min:  -60%
Max: -40%</v>
      </c>
      <c r="G28" s="41">
        <f t="array" ref="G28">_xlfn.XLOOKUP(B28,'Up Min'!A:A,'Up Min'!B:B,)</f>
        <v>-0.6</v>
      </c>
      <c r="H28" s="41">
        <f t="array" ref="H28">_xlfn.XLOOKUP(B28,'Up Max'!A:A,'Up Max'!B:B,)</f>
        <v>-0.4</v>
      </c>
      <c r="I28" s="39" t="str">
        <f t="array" ref="I28">_xlfn.XLOOKUP(B28,'Up Stats'!A:A,'Up Stats'!C:C,)</f>
        <v>Globblometer</v>
      </c>
      <c r="J28" s="40" t="str">
        <f>IFERROR(__xludf.DUMMYFUNCTION("if(AND(K28=FALSE,L28=FALSE),,if(K28=L28,JOIN("""",""Static: "",K28),JOIN("""",""Min:  "",K28, CHAR(10),""Max: "",L28)))"),"Min:  6
Max: 12")</f>
        <v>Min:  6
Max: 12</v>
      </c>
      <c r="K28" s="68">
        <f t="array" ref="K28">_xlfn.XLOOKUP(B28,'Up Min'!A:A,'Up Min'!C:C,)</f>
        <v>6</v>
      </c>
      <c r="L28" s="69">
        <f t="array" ref="L28">_xlfn.XLOOKUP(B28,'Up Max'!A:A,'Up Max'!C:C,)</f>
        <v>12</v>
      </c>
      <c r="M28" s="39" t="str">
        <f t="array" ref="M28">_xlfn.XLOOKUP(B28,'Up Stats'!A:A,'Up Stats'!D:D,)</f>
        <v/>
      </c>
      <c r="N28" s="40" t="str">
        <f>IFERROR(__xludf.DUMMYFUNCTION("if(AND(O28=FALSE,P28=FALSE),,if(O28=P28,JOIN("""",""Static: "",O28),JOIN("""",""Min:  "",O28, CHAR(10),""Max: "",P28)))"),"")</f>
        <v/>
      </c>
      <c r="O28" s="42" t="str">
        <f t="array" ref="O28">_xlfn.XLOOKUP(B28,'Up Min'!A:A,'Up Min'!D:D,)</f>
        <v/>
      </c>
      <c r="P28" s="42" t="str">
        <f t="array" ref="P28">_xlfn.XLOOKUP(B28,'Up Max'!A:A,'Up Max'!D:D,)</f>
        <v/>
      </c>
      <c r="Q28" s="48" t="str">
        <f t="array" ref="Q28">_xlfn.XLOOKUP(B28,'Up Stats'!A:A,'Up Stats'!E:E,)</f>
        <v/>
      </c>
      <c r="R28" s="40" t="str">
        <f>IFERROR(__xludf.DUMMYFUNCTION("if(AND(S28=FALSE,T28=FALSE),,if(S28=T28,JOIN("""",""Static: "",S28),JOIN("""",""Min:  "",S28, CHAR(10),""Max: "",T28)))"),"")</f>
        <v/>
      </c>
      <c r="S28" s="42" t="str">
        <f t="array" ref="S28">_xlfn.XLOOKUP(B28,'Up Min'!A:A,'Up Min'!E:E,)</f>
        <v/>
      </c>
      <c r="T28" s="42" t="str">
        <f t="array" ref="T28">_xlfn.XLOOKUP(B28,'Up Max'!A:A,'Up Max'!E:E,)</f>
        <v/>
      </c>
      <c r="U28" s="48" t="str">
        <f t="array" ref="U28">_xlfn.XLOOKUP(B28,'Up Stats'!A:A,'Up Stats'!F:F,)</f>
        <v/>
      </c>
      <c r="V28" s="40" t="str">
        <f>IFERROR(__xludf.DUMMYFUNCTION("if(AND(W28=FALSE,X28=FALSE),,if(W28=X28,JOIN("""",""Static: "",W28),JOIN("""",""Min:  "",W28, CHAR(10),""Max: "",X28)))"),"")</f>
        <v/>
      </c>
      <c r="W28" s="42" t="str">
        <f t="array" ref="W28">_xlfn.XLOOKUP(B28,'Up Min'!A:A,'Up Min'!F:F,)</f>
        <v/>
      </c>
      <c r="X28" s="42" t="str">
        <f t="array" ref="X28">_xlfn.XLOOKUP(B28,'Up Max'!A:A,'Up Max'!F:F,)</f>
        <v/>
      </c>
      <c r="Y28" s="48" t="str">
        <f t="array" ref="Y28">_xlfn.XLOOKUP(B28,'Up Stats'!A:A,'Up Stats'!G:G,)</f>
        <v/>
      </c>
      <c r="Z28" s="40" t="str">
        <f>IFERROR(__xludf.DUMMYFUNCTION("if(AND(AA28=FALSE,AB28=FALSE),,if(AA28=AB28,JOIN("""",""Static: "",AA28),JOIN("""",""Min:  "",AA28, CHAR(10),""Max: "",AB28)))"),"")</f>
        <v/>
      </c>
      <c r="AA28" s="42" t="str">
        <f t="array" ref="AA28">_xlfn.XLOOKUP(B28,'Up Min'!A:A,'Up Min'!G:G,)</f>
        <v/>
      </c>
      <c r="AB28" s="42" t="str">
        <f t="array" ref="AB28">_xlfn.XLOOKUP(B28,'Up Max'!A:A,'Up Max'!G:G,)</f>
        <v/>
      </c>
      <c r="AC28" s="48" t="str">
        <f t="array" ref="AC28">_xlfn.XLOOKUP(B28,'Up Stats'!A:A,'Up Stats'!H:H,)</f>
        <v/>
      </c>
      <c r="AD28" s="40" t="str">
        <f>IFERROR(__xludf.DUMMYFUNCTION("if(AND(AE28=FALSE,AF28=FALSE),,if(AE28=AF28,JOIN("""",""Static: "",AE28),JOIN("""",""Min:  "",AE28, CHAR(10),""Max: "",AF28)))"),"")</f>
        <v/>
      </c>
      <c r="AE28" s="42" t="str">
        <f t="array" ref="AE28">_xlfn.XLOOKUP(B28,'Up Min'!A:A,'Up Min'!H:H,)</f>
        <v/>
      </c>
      <c r="AF28" s="42" t="str">
        <f t="array" ref="AF28">_xlfn.XLOOKUP(B28,'Up Max'!A:A,'Up Max'!H:H,)</f>
        <v/>
      </c>
      <c r="AG28" s="48" t="str">
        <f t="array" ref="AG28">_xlfn.XLOOKUP(B28,'Up Stats'!A:A,'Up Stats'!I:I,)</f>
        <v/>
      </c>
      <c r="AH28" s="40" t="str">
        <f>IFERROR(__xludf.DUMMYFUNCTION("if(AND(AI28=FALSE,AJ28=FALSE),,if(AI28=AJ28,JOIN("""",""Static: "",AI28),JOIN("""",""Min:  "",AI28, CHAR(10),""Max: "",AJ28)))"),"")</f>
        <v/>
      </c>
      <c r="AI28" s="42" t="str">
        <f t="array" ref="AI28">_xlfn.XLOOKUP(B28,'Up Min'!A:A,'Up Min'!I:I,)</f>
        <v/>
      </c>
      <c r="AJ28" s="42" t="str">
        <f t="array" ref="AJ28">_xlfn.XLOOKUP(B28,'Up Max'!A:A,'Up Max'!I:I,)</f>
        <v/>
      </c>
      <c r="AK28" s="48" t="str">
        <f t="array" ref="AK28">_xlfn.XLOOKUP(B28,'Up Stats'!A:A,'Up Stats'!J:J,)</f>
        <v/>
      </c>
      <c r="AL28" s="40" t="str">
        <f>IFERROR(__xludf.DUMMYFUNCTION("if(AND(AM28=FALSE,AN28=FALSE),,if(AM28=AN28,JOIN("""",""Static: "",AM28),JOIN("""",""Min:  "",AM28, CHAR(10),""Max: "",AN28)))"),"")</f>
        <v/>
      </c>
      <c r="AM28" s="42" t="str">
        <f t="array" ref="AM28">_xlfn.XLOOKUP(B28,'Up Min'!A:A,'Up Min'!J:J,)</f>
        <v/>
      </c>
      <c r="AN28" s="42" t="str">
        <f t="array" ref="AN28">_xlfn.XLOOKUP(B28,'Up Max'!A:A,'Up Max'!J:J,)</f>
        <v/>
      </c>
      <c r="AO28" s="34" t="s">
        <v>36</v>
      </c>
      <c r="AP28" s="34" t="str">
        <f t="array" ref="AP28">CONCATENATE(_xlfn.XLOOKUP(B28,'Up Rarity'!A:A,'Up Rarity'!B:B,),CHAR(10),"-")</f>
        <v>Standard
-</v>
      </c>
    </row>
    <row r="29">
      <c r="A29" s="84" t="str">
        <f t="array" ref="A29">_xlfn.XLOOKUP(B29,'Up Icon'!A:A,'Up Icon'!B:B,)</f>
        <v/>
      </c>
      <c r="B29" s="88" t="str">
        <f t="array" ref="B29">HYPERLINK(_xlfn.XLOOKUP('Up Names'!I26,'Up Wiki'!A:A,'Up Wiki'!B:B,),'Up Names'!I26)</f>
        <v>Shrunken Container</v>
      </c>
      <c r="C29" s="52" t="str">
        <f t="array" ref="C29">_xlfn.XLOOKUP(B29,'Up Desc'!A:A,'Up Desc'!B:B,)</f>
        <v>Magazine size is reduced.</v>
      </c>
      <c r="D29" s="52" t="str">
        <f t="array" ref="D29">_xlfn.XLOOKUP(B29,'Up Turbo'!A:A,'Up Turbo'!B:B,)</f>
        <v>n/a</v>
      </c>
      <c r="E29" s="53" t="str">
        <f t="array" ref="E29">_xlfn.XLOOKUP(B29,'Up Stats'!A:A,'Up Stats'!B:B,)</f>
        <v>Magazine Size</v>
      </c>
      <c r="F29" s="54" t="str">
        <f>IFERROR(__xludf.DUMMYFUNCTION("if(AND(G29=FALSE,H29=FALSE),,if(G29=H29,JOIN("""",""Static: "",G29),JOIN("""",""Min:  "",G29, CHAR(10),""Max: "",H29)))"),"Min:  -40%
Max: -30%")</f>
        <v>Min:  -40%
Max: -30%</v>
      </c>
      <c r="G29" s="59">
        <f t="array" ref="G29">_xlfn.XLOOKUP(B29,'Up Min'!A:A,'Up Min'!B:B,)</f>
        <v>-0.4</v>
      </c>
      <c r="H29" s="59">
        <f t="array" ref="H29">_xlfn.XLOOKUP(B29,'Up Max'!A:A,'Up Max'!B:B,)</f>
        <v>-0.3</v>
      </c>
      <c r="I29" s="53" t="str">
        <f t="array" ref="I29">_xlfn.XLOOKUP(B29,'Up Stats'!A:A,'Up Stats'!C:C,)</f>
        <v>Globblometer</v>
      </c>
      <c r="J29" s="54" t="str">
        <f>IFERROR(__xludf.DUMMYFUNCTION("if(AND(K29=FALSE,L29=FALSE),,if(K29=L29,JOIN("""",""Static: "",K29),JOIN("""",""Min:  "",K29, CHAR(10),""Max: "",L29)))"),"Min:  7
Max: 14")</f>
        <v>Min:  7
Max: 14</v>
      </c>
      <c r="K29" s="65">
        <f t="array" ref="K29">_xlfn.XLOOKUP(B29,'Up Min'!A:A,'Up Min'!C:C,)</f>
        <v>7</v>
      </c>
      <c r="L29" s="64">
        <f t="array" ref="L29">_xlfn.XLOOKUP(B29,'Up Max'!A:A,'Up Max'!C:C,)</f>
        <v>14</v>
      </c>
      <c r="M29" s="53" t="str">
        <f t="array" ref="M29">_xlfn.XLOOKUP(B29,'Up Stats'!A:A,'Up Stats'!D:D,)</f>
        <v/>
      </c>
      <c r="N29" s="54" t="str">
        <f>IFERROR(__xludf.DUMMYFUNCTION("if(AND(O29=FALSE,P29=FALSE),,if(O29=P29,JOIN("""",""Static: "",O29),JOIN("""",""Min:  "",O29, CHAR(10),""Max: "",P29)))"),"")</f>
        <v/>
      </c>
      <c r="O29" s="55" t="str">
        <f t="array" ref="O29">_xlfn.XLOOKUP(B29,'Up Min'!A:A,'Up Min'!D:D,)</f>
        <v/>
      </c>
      <c r="P29" s="55" t="str">
        <f t="array" ref="P29">_xlfn.XLOOKUP(B29,'Up Max'!A:A,'Up Max'!D:D,)</f>
        <v/>
      </c>
      <c r="Q29" s="57" t="str">
        <f t="array" ref="Q29">_xlfn.XLOOKUP(B29,'Up Stats'!A:A,'Up Stats'!E:E,)</f>
        <v/>
      </c>
      <c r="R29" s="54" t="str">
        <f>IFERROR(__xludf.DUMMYFUNCTION("if(AND(S29=FALSE,T29=FALSE),,if(S29=T29,JOIN("""",""Static: "",S29),JOIN("""",""Min:  "",S29, CHAR(10),""Max: "",T29)))"),"")</f>
        <v/>
      </c>
      <c r="S29" s="55" t="str">
        <f t="array" ref="S29">_xlfn.XLOOKUP(B29,'Up Min'!A:A,'Up Min'!E:E,)</f>
        <v/>
      </c>
      <c r="T29" s="55" t="str">
        <f t="array" ref="T29">_xlfn.XLOOKUP(B29,'Up Max'!A:A,'Up Max'!E:E,)</f>
        <v/>
      </c>
      <c r="U29" s="57" t="str">
        <f t="array" ref="U29">_xlfn.XLOOKUP(B29,'Up Stats'!A:A,'Up Stats'!F:F,)</f>
        <v/>
      </c>
      <c r="V29" s="54" t="str">
        <f>IFERROR(__xludf.DUMMYFUNCTION("if(AND(W29=FALSE,X29=FALSE),,if(W29=X29,JOIN("""",""Static: "",W29),JOIN("""",""Min:  "",W29, CHAR(10),""Max: "",X29)))"),"")</f>
        <v/>
      </c>
      <c r="W29" s="55" t="str">
        <f t="array" ref="W29">_xlfn.XLOOKUP(B29,'Up Min'!A:A,'Up Min'!F:F,)</f>
        <v/>
      </c>
      <c r="X29" s="55" t="str">
        <f t="array" ref="X29">_xlfn.XLOOKUP(B29,'Up Max'!A:A,'Up Max'!F:F,)</f>
        <v/>
      </c>
      <c r="Y29" s="57" t="str">
        <f t="array" ref="Y29">_xlfn.XLOOKUP(B29,'Up Stats'!A:A,'Up Stats'!G:G,)</f>
        <v/>
      </c>
      <c r="Z29" s="54" t="str">
        <f>IFERROR(__xludf.DUMMYFUNCTION("if(AND(AA29=FALSE,AB29=FALSE),,if(AA29=AB29,JOIN("""",""Static: "",AA29),JOIN("""",""Min:  "",AA29, CHAR(10),""Max: "",AB29)))"),"")</f>
        <v/>
      </c>
      <c r="AA29" s="55" t="str">
        <f t="array" ref="AA29">_xlfn.XLOOKUP(B29,'Up Min'!A:A,'Up Min'!G:G,)</f>
        <v/>
      </c>
      <c r="AB29" s="55" t="str">
        <f t="array" ref="AB29">_xlfn.XLOOKUP(B29,'Up Max'!A:A,'Up Max'!G:G,)</f>
        <v/>
      </c>
      <c r="AC29" s="57" t="str">
        <f t="array" ref="AC29">_xlfn.XLOOKUP(B29,'Up Stats'!A:A,'Up Stats'!H:H,)</f>
        <v/>
      </c>
      <c r="AD29" s="54" t="str">
        <f>IFERROR(__xludf.DUMMYFUNCTION("if(AND(AE29=FALSE,AF29=FALSE),,if(AE29=AF29,JOIN("""",""Static: "",AE29),JOIN("""",""Min:  "",AE29, CHAR(10),""Max: "",AF29)))"),"")</f>
        <v/>
      </c>
      <c r="AE29" s="55" t="str">
        <f t="array" ref="AE29">_xlfn.XLOOKUP(B29,'Up Min'!A:A,'Up Min'!H:H,)</f>
        <v/>
      </c>
      <c r="AF29" s="55" t="str">
        <f t="array" ref="AF29">_xlfn.XLOOKUP(B29,'Up Max'!A:A,'Up Max'!H:H,)</f>
        <v/>
      </c>
      <c r="AG29" s="57" t="str">
        <f t="array" ref="AG29">_xlfn.XLOOKUP(B29,'Up Stats'!A:A,'Up Stats'!I:I,)</f>
        <v/>
      </c>
      <c r="AH29" s="54" t="str">
        <f>IFERROR(__xludf.DUMMYFUNCTION("if(AND(AI29=FALSE,AJ29=FALSE),,if(AI29=AJ29,JOIN("""",""Static: "",AI29),JOIN("""",""Min:  "",AI29, CHAR(10),""Max: "",AJ29)))"),"")</f>
        <v/>
      </c>
      <c r="AI29" s="55" t="str">
        <f t="array" ref="AI29">_xlfn.XLOOKUP(B29,'Up Min'!A:A,'Up Min'!I:I,)</f>
        <v/>
      </c>
      <c r="AJ29" s="55" t="str">
        <f t="array" ref="AJ29">_xlfn.XLOOKUP(B29,'Up Max'!A:A,'Up Max'!I:I,)</f>
        <v/>
      </c>
      <c r="AK29" s="57" t="str">
        <f t="array" ref="AK29">_xlfn.XLOOKUP(B29,'Up Stats'!A:A,'Up Stats'!J:J,)</f>
        <v/>
      </c>
      <c r="AL29" s="54" t="str">
        <f>IFERROR(__xludf.DUMMYFUNCTION("if(AND(AM29=FALSE,AN29=FALSE),,if(AM29=AN29,JOIN("""",""Static: "",AM29),JOIN("""",""Min:  "",AM29, CHAR(10),""Max: "",AN29)))"),"")</f>
        <v/>
      </c>
      <c r="AM29" s="55" t="str">
        <f t="array" ref="AM29">_xlfn.XLOOKUP(B29,'Up Min'!A:A,'Up Min'!J:J,)</f>
        <v/>
      </c>
      <c r="AN29" s="55" t="str">
        <f t="array" ref="AN29">_xlfn.XLOOKUP(B29,'Up Max'!A:A,'Up Max'!J:J,)</f>
        <v/>
      </c>
      <c r="AO29" s="51" t="s">
        <v>31</v>
      </c>
      <c r="AP29" s="51" t="str">
        <f t="array" ref="AP29">CONCATENATE(_xlfn.XLOOKUP(B29,'Up Rarity'!A:A,'Up Rarity'!B:B,),CHAR(10),"-")</f>
        <v>Standard
-</v>
      </c>
    </row>
    <row r="30">
      <c r="A30" s="87" t="str">
        <f t="array" ref="A30">_xlfn.XLOOKUP(B30,'Up Icon'!A:A,'Up Icon'!B:B,)</f>
        <v/>
      </c>
      <c r="B30" s="58" t="str">
        <f t="array" ref="B30">HYPERLINK(_xlfn.XLOOKUP('Up Names'!I30,'Up Wiki'!A:A,'Up Wiki'!B:B,),'Up Names'!I30)</f>
        <v/>
      </c>
      <c r="C30" s="37" t="str">
        <f t="array" ref="C30">_xlfn.XLOOKUP(B30,'Up Desc'!A:A,'Up Desc'!B:B,)</f>
        <v/>
      </c>
      <c r="D30" s="37" t="str">
        <f t="array" ref="D30">_xlfn.XLOOKUP(B30,'Up Turbo'!A:A,'Up Turbo'!B:B,)</f>
        <v/>
      </c>
      <c r="E30" s="39" t="str">
        <f t="array" ref="E30">_xlfn.XLOOKUP(B30,'Up Stats'!A:A,'Up Stats'!B:B,)</f>
        <v/>
      </c>
      <c r="F30" s="40" t="str">
        <f>IFERROR(__xludf.DUMMYFUNCTION("if(AND(G30=FALSE,H30=FALSE),,if(G30=H30,JOIN("""",""Static: "",G30),JOIN("""",""Min:  "",G30, CHAR(10),""Max: "",H30)))"),"")</f>
        <v/>
      </c>
      <c r="G30" s="42" t="str">
        <f t="array" ref="G30">_xlfn.XLOOKUP(B30,'Up Min'!A:A,'Up Min'!B:B,)</f>
        <v/>
      </c>
      <c r="H30" s="45" t="str">
        <f t="array" ref="H30">_xlfn.XLOOKUP(B30,'Up Max'!A:A,'Up Max'!B:B,)</f>
        <v/>
      </c>
      <c r="I30" s="39" t="str">
        <f t="array" ref="I30">_xlfn.XLOOKUP(B30,'Up Stats'!A:A,'Up Stats'!C:C,)</f>
        <v/>
      </c>
      <c r="J30" s="40" t="str">
        <f>IFERROR(__xludf.DUMMYFUNCTION("if(AND(K30=FALSE,L30=FALSE),,if(K30=L30,JOIN("""",""Static: "",K30),JOIN("""",""Min:  "",K30, CHAR(10),""Max: "",L30)))"),"")</f>
        <v/>
      </c>
      <c r="K30" s="45" t="str">
        <f t="array" ref="K30">_xlfn.XLOOKUP(B30,'Up Min'!A:A,'Up Min'!C:C,)</f>
        <v/>
      </c>
      <c r="L30" s="42" t="str">
        <f t="array" ref="L30">_xlfn.XLOOKUP(B30,'Up Max'!A:A,'Up Max'!C:C,)</f>
        <v/>
      </c>
      <c r="M30" s="39" t="str">
        <f t="array" ref="M30">_xlfn.XLOOKUP(B30,'Up Stats'!A:A,'Up Stats'!D:D,)</f>
        <v/>
      </c>
      <c r="N30" s="40" t="str">
        <f>IFERROR(__xludf.DUMMYFUNCTION("if(AND(O30=FALSE,P30=FALSE),,if(O30=P30,JOIN("""",""Static: "",O30),JOIN("""",""Min:  "",O30, CHAR(10),""Max: "",P30)))"),"")</f>
        <v/>
      </c>
      <c r="O30" s="42" t="str">
        <f t="array" ref="O30">_xlfn.XLOOKUP(B30,'Up Min'!A:A,'Up Min'!D:D,)</f>
        <v/>
      </c>
      <c r="P30" s="42" t="str">
        <f t="array" ref="P30">_xlfn.XLOOKUP(B30,'Up Max'!A:A,'Up Max'!D:D,)</f>
        <v/>
      </c>
      <c r="Q30" s="48" t="str">
        <f t="array" ref="Q30">_xlfn.XLOOKUP(B30,'Up Stats'!A:A,'Up Stats'!E:E,)</f>
        <v/>
      </c>
      <c r="R30" s="40" t="str">
        <f>IFERROR(__xludf.DUMMYFUNCTION("if(AND(S30=FALSE,T30=FALSE),,if(S30=T30,JOIN("""",""Static: "",S30),JOIN("""",""Min:  "",S30, CHAR(10),""Max: "",T30)))"),"")</f>
        <v/>
      </c>
      <c r="S30" s="42" t="str">
        <f t="array" ref="S30">_xlfn.XLOOKUP(B30,'Up Min'!A:A,'Up Min'!E:E,)</f>
        <v/>
      </c>
      <c r="T30" s="42" t="str">
        <f t="array" ref="T30">_xlfn.XLOOKUP(B30,'Up Max'!A:A,'Up Max'!E:E,)</f>
        <v/>
      </c>
      <c r="U30" s="48" t="str">
        <f t="array" ref="U30">_xlfn.XLOOKUP(B30,'Up Stats'!A:A,'Up Stats'!F:F,)</f>
        <v/>
      </c>
      <c r="V30" s="40" t="str">
        <f>IFERROR(__xludf.DUMMYFUNCTION("if(AND(W30=FALSE,X30=FALSE),,if(W30=X30,JOIN("""",""Static: "",W30),JOIN("""",""Min:  "",W30, CHAR(10),""Max: "",X30)))"),"")</f>
        <v/>
      </c>
      <c r="W30" s="42" t="str">
        <f t="array" ref="W30">_xlfn.XLOOKUP(B30,'Up Min'!A:A,'Up Min'!F:F,)</f>
        <v/>
      </c>
      <c r="X30" s="42" t="str">
        <f t="array" ref="X30">_xlfn.XLOOKUP(B30,'Up Max'!A:A,'Up Max'!F:F,)</f>
        <v/>
      </c>
      <c r="Y30" s="48" t="str">
        <f t="array" ref="Y30">_xlfn.XLOOKUP(B30,'Up Stats'!A:A,'Up Stats'!G:G,)</f>
        <v/>
      </c>
      <c r="Z30" s="40" t="str">
        <f>IFERROR(__xludf.DUMMYFUNCTION("if(AND(AA30=FALSE,AB30=FALSE),,if(AA30=AB30,JOIN("""",""Static: "",AA30),JOIN("""",""Min:  "",AA30, CHAR(10),""Max: "",AB30)))"),"")</f>
        <v/>
      </c>
      <c r="AA30" s="42" t="str">
        <f t="array" ref="AA30">_xlfn.XLOOKUP(B30,'Up Min'!A:A,'Up Min'!G:G,)</f>
        <v/>
      </c>
      <c r="AB30" s="42" t="str">
        <f t="array" ref="AB30">_xlfn.XLOOKUP(B30,'Up Max'!A:A,'Up Max'!G:G,)</f>
        <v/>
      </c>
      <c r="AC30" s="48" t="str">
        <f t="array" ref="AC30">_xlfn.XLOOKUP(B30,'Up Stats'!A:A,'Up Stats'!H:H,)</f>
        <v/>
      </c>
      <c r="AD30" s="40" t="str">
        <f>IFERROR(__xludf.DUMMYFUNCTION("if(AND(AE30=FALSE,AF30=FALSE),,if(AE30=AF30,JOIN("""",""Static: "",AE30),JOIN("""",""Min:  "",AE30, CHAR(10),""Max: "",AF30)))"),"")</f>
        <v/>
      </c>
      <c r="AE30" s="42" t="str">
        <f t="array" ref="AE30">_xlfn.XLOOKUP(B30,'Up Min'!A:A,'Up Min'!H:H,)</f>
        <v/>
      </c>
      <c r="AF30" s="42" t="str">
        <f t="array" ref="AF30">_xlfn.XLOOKUP(B30,'Up Max'!A:A,'Up Max'!H:H,)</f>
        <v/>
      </c>
      <c r="AG30" s="48" t="str">
        <f t="array" ref="AG30">_xlfn.XLOOKUP(B30,'Up Stats'!A:A,'Up Stats'!I:I,)</f>
        <v/>
      </c>
      <c r="AH30" s="40" t="str">
        <f>IFERROR(__xludf.DUMMYFUNCTION("if(AND(AI30=FALSE,AJ30=FALSE),,if(AI30=AJ30,JOIN("""",""Static: "",AI30),JOIN("""",""Min:  "",AI30, CHAR(10),""Max: "",AJ30)))"),"")</f>
        <v/>
      </c>
      <c r="AI30" s="42" t="str">
        <f t="array" ref="AI30">_xlfn.XLOOKUP(B30,'Up Min'!A:A,'Up Min'!I:I,)</f>
        <v/>
      </c>
      <c r="AJ30" s="42" t="str">
        <f t="array" ref="AJ30">_xlfn.XLOOKUP(B30,'Up Max'!A:A,'Up Max'!I:I,)</f>
        <v/>
      </c>
      <c r="AK30" s="48" t="str">
        <f t="array" ref="AK30">_xlfn.XLOOKUP(B30,'Up Stats'!A:A,'Up Stats'!J:J,)</f>
        <v/>
      </c>
      <c r="AL30" s="40" t="str">
        <f>IFERROR(__xludf.DUMMYFUNCTION("if(AND(AM30=FALSE,AN30=FALSE),,if(AM30=AN30,JOIN("""",""Static: "",AM30),JOIN("""",""Min:  "",AM30, CHAR(10),""Max: "",AN30)))"),"")</f>
        <v/>
      </c>
      <c r="AM30" s="42" t="str">
        <f t="array" ref="AM30">_xlfn.XLOOKUP(B30,'Up Min'!A:A,'Up Min'!J:J,)</f>
        <v/>
      </c>
      <c r="AN30" s="42" t="str">
        <f t="array" ref="AN30">_xlfn.XLOOKUP(B30,'Up Max'!A:A,'Up Max'!J:J,)</f>
        <v/>
      </c>
      <c r="AO30" s="34" t="s">
        <v>30</v>
      </c>
      <c r="AP30" s="34" t="str">
        <f t="array" ref="AP30">CONCATENATE(_xlfn.XLOOKUP(B30,'Up Rarity'!A:A,'Up Rarity'!B:B,),CHAR(10),"-")</f>
        <v>
-</v>
      </c>
    </row>
    <row r="31">
      <c r="A31" s="86" t="str">
        <f t="array" ref="A31">_xlfn.XLOOKUP(B31,'Up Icon'!A:A,'Up Icon'!B:B,)</f>
        <v/>
      </c>
      <c r="B31" s="61" t="str">
        <f t="array" ref="B31">HYPERLINK(_xlfn.XLOOKUP('Up Names'!I31,'Up Wiki'!A:A,'Up Wiki'!B:B,),'Up Names'!I31)</f>
        <v/>
      </c>
      <c r="C31" s="52" t="str">
        <f t="array" ref="C31">_xlfn.XLOOKUP(B31,'Up Desc'!A:A,'Up Desc'!B:B,)</f>
        <v/>
      </c>
      <c r="D31" s="52" t="str">
        <f t="array" ref="D31">_xlfn.XLOOKUP(B31,'Up Turbo'!A:A,'Up Turbo'!B:B,)</f>
        <v/>
      </c>
      <c r="E31" s="53" t="str">
        <f t="array" ref="E31">_xlfn.XLOOKUP(B31,'Up Stats'!A:A,'Up Stats'!B:B,)</f>
        <v/>
      </c>
      <c r="F31" s="54" t="str">
        <f>IFERROR(__xludf.DUMMYFUNCTION("if(AND(G31=FALSE,H31=FALSE),,if(G31=H31,JOIN("""",""Static: "",G31),JOIN("""",""Min:  "",G31, CHAR(10),""Max: "",H31)))"),"")</f>
        <v/>
      </c>
      <c r="G31" s="55" t="str">
        <f t="array" ref="G31">_xlfn.XLOOKUP(B31,'Up Min'!A:A,'Up Min'!B:B,)</f>
        <v/>
      </c>
      <c r="H31" s="56" t="str">
        <f t="array" ref="H31">_xlfn.XLOOKUP(B31,'Up Max'!A:A,'Up Max'!B:B,)</f>
        <v/>
      </c>
      <c r="I31" s="53" t="str">
        <f t="array" ref="I31">_xlfn.XLOOKUP(B31,'Up Stats'!A:A,'Up Stats'!C:C,)</f>
        <v/>
      </c>
      <c r="J31" s="54" t="str">
        <f>IFERROR(__xludf.DUMMYFUNCTION("if(AND(K31=FALSE,L31=FALSE),,if(K31=L31,JOIN("""",""Static: "",K31),JOIN("""",""Min:  "",K31, CHAR(10),""Max: "",L31)))"),"")</f>
        <v/>
      </c>
      <c r="K31" s="56" t="str">
        <f t="array" ref="K31">_xlfn.XLOOKUP(B31,'Up Min'!A:A,'Up Min'!C:C,)</f>
        <v/>
      </c>
      <c r="L31" s="55" t="str">
        <f t="array" ref="L31">_xlfn.XLOOKUP(B31,'Up Max'!A:A,'Up Max'!C:C,)</f>
        <v/>
      </c>
      <c r="M31" s="53" t="str">
        <f t="array" ref="M31">_xlfn.XLOOKUP(B31,'Up Stats'!A:A,'Up Stats'!D:D,)</f>
        <v/>
      </c>
      <c r="N31" s="54" t="str">
        <f>IFERROR(__xludf.DUMMYFUNCTION("if(AND(O31=FALSE,P31=FALSE),,if(O31=P31,JOIN("""",""Static: "",O31),JOIN("""",""Min:  "",O31, CHAR(10),""Max: "",P31)))"),"")</f>
        <v/>
      </c>
      <c r="O31" s="55" t="str">
        <f t="array" ref="O31">_xlfn.XLOOKUP(B31,'Up Min'!A:A,'Up Min'!D:D,)</f>
        <v/>
      </c>
      <c r="P31" s="55" t="str">
        <f t="array" ref="P31">_xlfn.XLOOKUP(B31,'Up Max'!A:A,'Up Max'!D:D,)</f>
        <v/>
      </c>
      <c r="Q31" s="57" t="str">
        <f t="array" ref="Q31">_xlfn.XLOOKUP(B31,'Up Stats'!A:A,'Up Stats'!E:E,)</f>
        <v/>
      </c>
      <c r="R31" s="54" t="str">
        <f>IFERROR(__xludf.DUMMYFUNCTION("if(AND(S31=FALSE,T31=FALSE),,if(S31=T31,JOIN("""",""Static: "",S31),JOIN("""",""Min:  "",S31, CHAR(10),""Max: "",T31)))"),"")</f>
        <v/>
      </c>
      <c r="S31" s="55" t="str">
        <f t="array" ref="S31">_xlfn.XLOOKUP(B31,'Up Min'!A:A,'Up Min'!E:E,)</f>
        <v/>
      </c>
      <c r="T31" s="55" t="str">
        <f t="array" ref="T31">_xlfn.XLOOKUP(B31,'Up Max'!A:A,'Up Max'!E:E,)</f>
        <v/>
      </c>
      <c r="U31" s="57" t="str">
        <f t="array" ref="U31">_xlfn.XLOOKUP(B31,'Up Stats'!A:A,'Up Stats'!F:F,)</f>
        <v/>
      </c>
      <c r="V31" s="54" t="str">
        <f>IFERROR(__xludf.DUMMYFUNCTION("if(AND(W31=FALSE,X31=FALSE),,if(W31=X31,JOIN("""",""Static: "",W31),JOIN("""",""Min:  "",W31, CHAR(10),""Max: "",X31)))"),"")</f>
        <v/>
      </c>
      <c r="W31" s="55" t="str">
        <f t="array" ref="W31">_xlfn.XLOOKUP(B31,'Up Min'!A:A,'Up Min'!F:F,)</f>
        <v/>
      </c>
      <c r="X31" s="55" t="str">
        <f t="array" ref="X31">_xlfn.XLOOKUP(B31,'Up Max'!A:A,'Up Max'!F:F,)</f>
        <v/>
      </c>
      <c r="Y31" s="57" t="str">
        <f t="array" ref="Y31">_xlfn.XLOOKUP(B31,'Up Stats'!A:A,'Up Stats'!G:G,)</f>
        <v/>
      </c>
      <c r="Z31" s="54" t="str">
        <f>IFERROR(__xludf.DUMMYFUNCTION("if(AND(AA31=FALSE,AB31=FALSE),,if(AA31=AB31,JOIN("""",""Static: "",AA31),JOIN("""",""Min:  "",AA31, CHAR(10),""Max: "",AB31)))"),"")</f>
        <v/>
      </c>
      <c r="AA31" s="55" t="str">
        <f t="array" ref="AA31">_xlfn.XLOOKUP(B31,'Up Min'!A:A,'Up Min'!G:G,)</f>
        <v/>
      </c>
      <c r="AB31" s="55" t="str">
        <f t="array" ref="AB31">_xlfn.XLOOKUP(B31,'Up Max'!A:A,'Up Max'!G:G,)</f>
        <v/>
      </c>
      <c r="AC31" s="57" t="str">
        <f t="array" ref="AC31">_xlfn.XLOOKUP(B31,'Up Stats'!A:A,'Up Stats'!H:H,)</f>
        <v/>
      </c>
      <c r="AD31" s="54" t="str">
        <f>IFERROR(__xludf.DUMMYFUNCTION("if(AND(AE31=FALSE,AF31=FALSE),,if(AE31=AF31,JOIN("""",""Static: "",AE31),JOIN("""",""Min:  "",AE31, CHAR(10),""Max: "",AF31)))"),"")</f>
        <v/>
      </c>
      <c r="AE31" s="55" t="str">
        <f t="array" ref="AE31">_xlfn.XLOOKUP(B31,'Up Min'!A:A,'Up Min'!H:H,)</f>
        <v/>
      </c>
      <c r="AF31" s="55" t="str">
        <f t="array" ref="AF31">_xlfn.XLOOKUP(B31,'Up Max'!A:A,'Up Max'!H:H,)</f>
        <v/>
      </c>
      <c r="AG31" s="57" t="str">
        <f t="array" ref="AG31">_xlfn.XLOOKUP(B31,'Up Stats'!A:A,'Up Stats'!I:I,)</f>
        <v/>
      </c>
      <c r="AH31" s="54" t="str">
        <f>IFERROR(__xludf.DUMMYFUNCTION("if(AND(AI31=FALSE,AJ31=FALSE),,if(AI31=AJ31,JOIN("""",""Static: "",AI31),JOIN("""",""Min:  "",AI31, CHAR(10),""Max: "",AJ31)))"),"")</f>
        <v/>
      </c>
      <c r="AI31" s="55" t="str">
        <f t="array" ref="AI31">_xlfn.XLOOKUP(B31,'Up Min'!A:A,'Up Min'!I:I,)</f>
        <v/>
      </c>
      <c r="AJ31" s="55" t="str">
        <f t="array" ref="AJ31">_xlfn.XLOOKUP(B31,'Up Max'!A:A,'Up Max'!I:I,)</f>
        <v/>
      </c>
      <c r="AK31" s="57" t="str">
        <f t="array" ref="AK31">_xlfn.XLOOKUP(B31,'Up Stats'!A:A,'Up Stats'!J:J,)</f>
        <v/>
      </c>
      <c r="AL31" s="54" t="str">
        <f>IFERROR(__xludf.DUMMYFUNCTION("if(AND(AM31=FALSE,AN31=FALSE),,if(AM31=AN31,JOIN("""",""Static: "",AM31),JOIN("""",""Min:  "",AM31, CHAR(10),""Max: "",AN31)))"),"")</f>
        <v/>
      </c>
      <c r="AM31" s="55" t="str">
        <f t="array" ref="AM31">_xlfn.XLOOKUP(B31,'Up Min'!A:A,'Up Min'!J:J,)</f>
        <v/>
      </c>
      <c r="AN31" s="55" t="str">
        <f t="array" ref="AN31">_xlfn.XLOOKUP(B31,'Up Max'!A:A,'Up Max'!J:J,)</f>
        <v/>
      </c>
      <c r="AO31" s="51" t="s">
        <v>30</v>
      </c>
      <c r="AP31" s="51" t="str">
        <f t="array" ref="AP31">CONCATENATE(_xlfn.XLOOKUP(B31,'Up Rarity'!A:A,'Up Rarity'!B:B,),CHAR(10),"-")</f>
        <v>
-</v>
      </c>
    </row>
    <row r="32">
      <c r="A32" s="87" t="str">
        <f t="array" ref="A32">_xlfn.XLOOKUP(B32,'Up Icon'!A:A,'Up Icon'!B:B,)</f>
        <v/>
      </c>
      <c r="B32" s="58" t="str">
        <f t="array" ref="B32">HYPERLINK(_xlfn.XLOOKUP('Up Names'!I32,'Up Wiki'!A:A,'Up Wiki'!B:B,),'Up Names'!I32)</f>
        <v/>
      </c>
      <c r="C32" s="37" t="str">
        <f t="array" ref="C32">_xlfn.XLOOKUP(B32,'Up Desc'!A:A,'Up Desc'!B:B,)</f>
        <v/>
      </c>
      <c r="D32" s="37" t="str">
        <f t="array" ref="D32">_xlfn.XLOOKUP(B32,'Up Turbo'!A:A,'Up Turbo'!B:B,)</f>
        <v/>
      </c>
      <c r="E32" s="39" t="str">
        <f t="array" ref="E32">_xlfn.XLOOKUP(B32,'Up Stats'!A:A,'Up Stats'!B:B,)</f>
        <v/>
      </c>
      <c r="F32" s="40" t="str">
        <f>IFERROR(__xludf.DUMMYFUNCTION("if(AND(G32=FALSE,H32=FALSE),,if(G32=H32,JOIN("""",""Static: "",G32),JOIN("""",""Min:  "",G32, CHAR(10),""Max: "",H32)))"),"")</f>
        <v/>
      </c>
      <c r="G32" s="42" t="str">
        <f t="array" ref="G32">_xlfn.XLOOKUP(B32,'Up Min'!A:A,'Up Min'!B:B,)</f>
        <v/>
      </c>
      <c r="H32" s="45" t="str">
        <f t="array" ref="H32">_xlfn.XLOOKUP(B32,'Up Max'!A:A,'Up Max'!B:B,)</f>
        <v/>
      </c>
      <c r="I32" s="39" t="str">
        <f t="array" ref="I32">_xlfn.XLOOKUP(B32,'Up Stats'!A:A,'Up Stats'!C:C,)</f>
        <v/>
      </c>
      <c r="J32" s="40" t="str">
        <f>IFERROR(__xludf.DUMMYFUNCTION("if(AND(K32=FALSE,L32=FALSE),,if(K32=L32,JOIN("""",""Static: "",K32),JOIN("""",""Min:  "",K32, CHAR(10),""Max: "",L32)))"),"")</f>
        <v/>
      </c>
      <c r="K32" s="45" t="str">
        <f t="array" ref="K32">_xlfn.XLOOKUP(B32,'Up Min'!A:A,'Up Min'!C:C,)</f>
        <v/>
      </c>
      <c r="L32" s="42" t="str">
        <f t="array" ref="L32">_xlfn.XLOOKUP(B32,'Up Max'!A:A,'Up Max'!C:C,)</f>
        <v/>
      </c>
      <c r="M32" s="39" t="str">
        <f t="array" ref="M32">_xlfn.XLOOKUP(B32,'Up Stats'!A:A,'Up Stats'!D:D,)</f>
        <v/>
      </c>
      <c r="N32" s="40" t="str">
        <f>IFERROR(__xludf.DUMMYFUNCTION("if(AND(O32=FALSE,P32=FALSE),,if(O32=P32,JOIN("""",""Static: "",O32),JOIN("""",""Min:  "",O32, CHAR(10),""Max: "",P32)))"),"")</f>
        <v/>
      </c>
      <c r="O32" s="42" t="str">
        <f t="array" ref="O32">_xlfn.XLOOKUP(B32,'Up Min'!A:A,'Up Min'!D:D,)</f>
        <v/>
      </c>
      <c r="P32" s="42" t="str">
        <f t="array" ref="P32">_xlfn.XLOOKUP(B32,'Up Max'!A:A,'Up Max'!D:D,)</f>
        <v/>
      </c>
      <c r="Q32" s="48" t="str">
        <f t="array" ref="Q32">_xlfn.XLOOKUP(B32,'Up Stats'!A:A,'Up Stats'!E:E,)</f>
        <v/>
      </c>
      <c r="R32" s="40" t="str">
        <f>IFERROR(__xludf.DUMMYFUNCTION("if(AND(S32=FALSE,T32=FALSE),,if(S32=T32,JOIN("""",""Static: "",S32),JOIN("""",""Min:  "",S32, CHAR(10),""Max: "",T32)))"),"")</f>
        <v/>
      </c>
      <c r="S32" s="42" t="str">
        <f t="array" ref="S32">_xlfn.XLOOKUP(B32,'Up Min'!A:A,'Up Min'!E:E,)</f>
        <v/>
      </c>
      <c r="T32" s="42" t="str">
        <f t="array" ref="T32">_xlfn.XLOOKUP(B32,'Up Max'!A:A,'Up Max'!E:E,)</f>
        <v/>
      </c>
      <c r="U32" s="48" t="str">
        <f t="array" ref="U32">_xlfn.XLOOKUP(B32,'Up Stats'!A:A,'Up Stats'!F:F,)</f>
        <v/>
      </c>
      <c r="V32" s="40" t="str">
        <f>IFERROR(__xludf.DUMMYFUNCTION("if(AND(W32=FALSE,X32=FALSE),,if(W32=X32,JOIN("""",""Static: "",W32),JOIN("""",""Min:  "",W32, CHAR(10),""Max: "",X32)))"),"")</f>
        <v/>
      </c>
      <c r="W32" s="42" t="str">
        <f t="array" ref="W32">_xlfn.XLOOKUP(B32,'Up Min'!A:A,'Up Min'!F:F,)</f>
        <v/>
      </c>
      <c r="X32" s="42" t="str">
        <f t="array" ref="X32">_xlfn.XLOOKUP(B32,'Up Max'!A:A,'Up Max'!F:F,)</f>
        <v/>
      </c>
      <c r="Y32" s="48" t="str">
        <f t="array" ref="Y32">_xlfn.XLOOKUP(B32,'Up Stats'!A:A,'Up Stats'!G:G,)</f>
        <v/>
      </c>
      <c r="Z32" s="40" t="str">
        <f>IFERROR(__xludf.DUMMYFUNCTION("if(AND(AA32=FALSE,AB32=FALSE),,if(AA32=AB32,JOIN("""",""Static: "",AA32),JOIN("""",""Min:  "",AA32, CHAR(10),""Max: "",AB32)))"),"")</f>
        <v/>
      </c>
      <c r="AA32" s="42" t="str">
        <f t="array" ref="AA32">_xlfn.XLOOKUP(B32,'Up Min'!A:A,'Up Min'!G:G,)</f>
        <v/>
      </c>
      <c r="AB32" s="42" t="str">
        <f t="array" ref="AB32">_xlfn.XLOOKUP(B32,'Up Max'!A:A,'Up Max'!G:G,)</f>
        <v/>
      </c>
      <c r="AC32" s="48" t="str">
        <f t="array" ref="AC32">_xlfn.XLOOKUP(B32,'Up Stats'!A:A,'Up Stats'!H:H,)</f>
        <v/>
      </c>
      <c r="AD32" s="40" t="str">
        <f>IFERROR(__xludf.DUMMYFUNCTION("if(AND(AE32=FALSE,AF32=FALSE),,if(AE32=AF32,JOIN("""",""Static: "",AE32),JOIN("""",""Min:  "",AE32, CHAR(10),""Max: "",AF32)))"),"")</f>
        <v/>
      </c>
      <c r="AE32" s="42" t="str">
        <f t="array" ref="AE32">_xlfn.XLOOKUP(B32,'Up Min'!A:A,'Up Min'!H:H,)</f>
        <v/>
      </c>
      <c r="AF32" s="42" t="str">
        <f t="array" ref="AF32">_xlfn.XLOOKUP(B32,'Up Max'!A:A,'Up Max'!H:H,)</f>
        <v/>
      </c>
      <c r="AG32" s="48" t="str">
        <f t="array" ref="AG32">_xlfn.XLOOKUP(B32,'Up Stats'!A:A,'Up Stats'!I:I,)</f>
        <v/>
      </c>
      <c r="AH32" s="40" t="str">
        <f>IFERROR(__xludf.DUMMYFUNCTION("if(AND(AI32=FALSE,AJ32=FALSE),,if(AI32=AJ32,JOIN("""",""Static: "",AI32),JOIN("""",""Min:  "",AI32, CHAR(10),""Max: "",AJ32)))"),"")</f>
        <v/>
      </c>
      <c r="AI32" s="42" t="str">
        <f t="array" ref="AI32">_xlfn.XLOOKUP(B32,'Up Min'!A:A,'Up Min'!I:I,)</f>
        <v/>
      </c>
      <c r="AJ32" s="42" t="str">
        <f t="array" ref="AJ32">_xlfn.XLOOKUP(B32,'Up Max'!A:A,'Up Max'!I:I,)</f>
        <v/>
      </c>
      <c r="AK32" s="48" t="str">
        <f t="array" ref="AK32">_xlfn.XLOOKUP(B32,'Up Stats'!A:A,'Up Stats'!J:J,)</f>
        <v/>
      </c>
      <c r="AL32" s="40" t="str">
        <f>IFERROR(__xludf.DUMMYFUNCTION("if(AND(AM32=FALSE,AN32=FALSE),,if(AM32=AN32,JOIN("""",""Static: "",AM32),JOIN("""",""Min:  "",AM32, CHAR(10),""Max: "",AN32)))"),"")</f>
        <v/>
      </c>
      <c r="AM32" s="42" t="str">
        <f t="array" ref="AM32">_xlfn.XLOOKUP(B32,'Up Min'!A:A,'Up Min'!J:J,)</f>
        <v/>
      </c>
      <c r="AN32" s="42" t="str">
        <f t="array" ref="AN32">_xlfn.XLOOKUP(B32,'Up Max'!A:A,'Up Max'!J:J,)</f>
        <v/>
      </c>
      <c r="AO32" s="34" t="s">
        <v>30</v>
      </c>
      <c r="AP32" s="34" t="str">
        <f t="array" ref="AP32">CONCATENATE(_xlfn.XLOOKUP(B32,'Up Rarity'!A:A,'Up Rarity'!B:B,),CHAR(10),"-")</f>
        <v>
-</v>
      </c>
    </row>
    <row r="33">
      <c r="A33" s="86" t="str">
        <f t="array" ref="A33">_xlfn.XLOOKUP(B33,'Up Icon'!A:A,'Up Icon'!B:B,)</f>
        <v/>
      </c>
      <c r="B33" s="61" t="str">
        <f t="array" ref="B33">HYPERLINK(_xlfn.XLOOKUP('Up Names'!I33,'Up Wiki'!A:A,'Up Wiki'!B:B,),'Up Names'!I33)</f>
        <v/>
      </c>
      <c r="C33" s="52" t="str">
        <f t="array" ref="C33">_xlfn.XLOOKUP(B33,'Up Desc'!A:A,'Up Desc'!B:B,)</f>
        <v/>
      </c>
      <c r="D33" s="52" t="str">
        <f t="array" ref="D33">_xlfn.XLOOKUP(B33,'Up Turbo'!A:A,'Up Turbo'!B:B,)</f>
        <v/>
      </c>
      <c r="E33" s="53" t="str">
        <f t="array" ref="E33">_xlfn.XLOOKUP(B33,'Up Stats'!A:A,'Up Stats'!B:B,)</f>
        <v/>
      </c>
      <c r="F33" s="54" t="str">
        <f>IFERROR(__xludf.DUMMYFUNCTION("if(AND(G33=FALSE,H33=FALSE),,if(G33=H33,JOIN("""",""Static: "",G33),JOIN("""",""Min:  "",G33, CHAR(10),""Max: "",H33)))"),"")</f>
        <v/>
      </c>
      <c r="G33" s="55" t="str">
        <f t="array" ref="G33">_xlfn.XLOOKUP(B33,'Up Min'!A:A,'Up Min'!B:B,)</f>
        <v/>
      </c>
      <c r="H33" s="56" t="str">
        <f t="array" ref="H33">_xlfn.XLOOKUP(B33,'Up Max'!A:A,'Up Max'!B:B,)</f>
        <v/>
      </c>
      <c r="I33" s="53" t="str">
        <f t="array" ref="I33">_xlfn.XLOOKUP(B33,'Up Stats'!A:A,'Up Stats'!C:C,)</f>
        <v/>
      </c>
      <c r="J33" s="54" t="str">
        <f>IFERROR(__xludf.DUMMYFUNCTION("if(AND(K33=FALSE,L33=FALSE),,if(K33=L33,JOIN("""",""Static: "",K33),JOIN("""",""Min:  "",K33, CHAR(10),""Max: "",L33)))"),"")</f>
        <v/>
      </c>
      <c r="K33" s="56" t="str">
        <f t="array" ref="K33">_xlfn.XLOOKUP(B33,'Up Min'!A:A,'Up Min'!C:C,)</f>
        <v/>
      </c>
      <c r="L33" s="55" t="str">
        <f t="array" ref="L33">_xlfn.XLOOKUP(B33,'Up Max'!A:A,'Up Max'!C:C,)</f>
        <v/>
      </c>
      <c r="M33" s="53" t="str">
        <f t="array" ref="M33">_xlfn.XLOOKUP(B33,'Up Stats'!A:A,'Up Stats'!D:D,)</f>
        <v/>
      </c>
      <c r="N33" s="54" t="str">
        <f>IFERROR(__xludf.DUMMYFUNCTION("if(AND(O33=FALSE,P33=FALSE),,if(O33=P33,JOIN("""",""Static: "",O33),JOIN("""",""Min:  "",O33, CHAR(10),""Max: "",P33)))"),"")</f>
        <v/>
      </c>
      <c r="O33" s="55" t="str">
        <f t="array" ref="O33">_xlfn.XLOOKUP(B33,'Up Min'!A:A,'Up Min'!D:D,)</f>
        <v/>
      </c>
      <c r="P33" s="55" t="str">
        <f t="array" ref="P33">_xlfn.XLOOKUP(B33,'Up Max'!A:A,'Up Max'!D:D,)</f>
        <v/>
      </c>
      <c r="Q33" s="57" t="str">
        <f t="array" ref="Q33">_xlfn.XLOOKUP(B33,'Up Stats'!A:A,'Up Stats'!E:E,)</f>
        <v/>
      </c>
      <c r="R33" s="54" t="str">
        <f>IFERROR(__xludf.DUMMYFUNCTION("if(AND(S33=FALSE,T33=FALSE),,if(S33=T33,JOIN("""",""Static: "",S33),JOIN("""",""Min:  "",S33, CHAR(10),""Max: "",T33)))"),"")</f>
        <v/>
      </c>
      <c r="S33" s="55" t="str">
        <f t="array" ref="S33">_xlfn.XLOOKUP(B33,'Up Min'!A:A,'Up Min'!E:E,)</f>
        <v/>
      </c>
      <c r="T33" s="55" t="str">
        <f t="array" ref="T33">_xlfn.XLOOKUP(B33,'Up Max'!A:A,'Up Max'!E:E,)</f>
        <v/>
      </c>
      <c r="U33" s="57" t="str">
        <f t="array" ref="U33">_xlfn.XLOOKUP(B33,'Up Stats'!A:A,'Up Stats'!F:F,)</f>
        <v/>
      </c>
      <c r="V33" s="54" t="str">
        <f>IFERROR(__xludf.DUMMYFUNCTION("if(AND(W33=FALSE,X33=FALSE),,if(W33=X33,JOIN("""",""Static: "",W33),JOIN("""",""Min:  "",W33, CHAR(10),""Max: "",X33)))"),"")</f>
        <v/>
      </c>
      <c r="W33" s="55" t="str">
        <f t="array" ref="W33">_xlfn.XLOOKUP(B33,'Up Min'!A:A,'Up Min'!F:F,)</f>
        <v/>
      </c>
      <c r="X33" s="55" t="str">
        <f t="array" ref="X33">_xlfn.XLOOKUP(B33,'Up Max'!A:A,'Up Max'!F:F,)</f>
        <v/>
      </c>
      <c r="Y33" s="57" t="str">
        <f t="array" ref="Y33">_xlfn.XLOOKUP(B33,'Up Stats'!A:A,'Up Stats'!G:G,)</f>
        <v/>
      </c>
      <c r="Z33" s="54" t="str">
        <f>IFERROR(__xludf.DUMMYFUNCTION("if(AND(AA33=FALSE,AB33=FALSE),,if(AA33=AB33,JOIN("""",""Static: "",AA33),JOIN("""",""Min:  "",AA33, CHAR(10),""Max: "",AB33)))"),"")</f>
        <v/>
      </c>
      <c r="AA33" s="55" t="str">
        <f t="array" ref="AA33">_xlfn.XLOOKUP(B33,'Up Min'!A:A,'Up Min'!G:G,)</f>
        <v/>
      </c>
      <c r="AB33" s="55" t="str">
        <f t="array" ref="AB33">_xlfn.XLOOKUP(B33,'Up Max'!A:A,'Up Max'!G:G,)</f>
        <v/>
      </c>
      <c r="AC33" s="57" t="str">
        <f t="array" ref="AC33">_xlfn.XLOOKUP(B33,'Up Stats'!A:A,'Up Stats'!H:H,)</f>
        <v/>
      </c>
      <c r="AD33" s="54" t="str">
        <f>IFERROR(__xludf.DUMMYFUNCTION("if(AND(AE33=FALSE,AF33=FALSE),,if(AE33=AF33,JOIN("""",""Static: "",AE33),JOIN("""",""Min:  "",AE33, CHAR(10),""Max: "",AF33)))"),"")</f>
        <v/>
      </c>
      <c r="AE33" s="55" t="str">
        <f t="array" ref="AE33">_xlfn.XLOOKUP(B33,'Up Min'!A:A,'Up Min'!H:H,)</f>
        <v/>
      </c>
      <c r="AF33" s="55" t="str">
        <f t="array" ref="AF33">_xlfn.XLOOKUP(B33,'Up Max'!A:A,'Up Max'!H:H,)</f>
        <v/>
      </c>
      <c r="AG33" s="57" t="str">
        <f t="array" ref="AG33">_xlfn.XLOOKUP(B33,'Up Stats'!A:A,'Up Stats'!I:I,)</f>
        <v/>
      </c>
      <c r="AH33" s="54" t="str">
        <f>IFERROR(__xludf.DUMMYFUNCTION("if(AND(AI33=FALSE,AJ33=FALSE),,if(AI33=AJ33,JOIN("""",""Static: "",AI33),JOIN("""",""Min:  "",AI33, CHAR(10),""Max: "",AJ33)))"),"")</f>
        <v/>
      </c>
      <c r="AI33" s="55" t="str">
        <f t="array" ref="AI33">_xlfn.XLOOKUP(B33,'Up Min'!A:A,'Up Min'!I:I,)</f>
        <v/>
      </c>
      <c r="AJ33" s="55" t="str">
        <f t="array" ref="AJ33">_xlfn.XLOOKUP(B33,'Up Max'!A:A,'Up Max'!I:I,)</f>
        <v/>
      </c>
      <c r="AK33" s="57" t="str">
        <f t="array" ref="AK33">_xlfn.XLOOKUP(B33,'Up Stats'!A:A,'Up Stats'!J:J,)</f>
        <v/>
      </c>
      <c r="AL33" s="54" t="str">
        <f>IFERROR(__xludf.DUMMYFUNCTION("if(AND(AM33=FALSE,AN33=FALSE),,if(AM33=AN33,JOIN("""",""Static: "",AM33),JOIN("""",""Min:  "",AM33, CHAR(10),""Max: "",AN33)))"),"")</f>
        <v/>
      </c>
      <c r="AM33" s="55" t="str">
        <f t="array" ref="AM33">_xlfn.XLOOKUP(B33,'Up Min'!A:A,'Up Min'!J:J,)</f>
        <v/>
      </c>
      <c r="AN33" s="55" t="str">
        <f t="array" ref="AN33">_xlfn.XLOOKUP(B33,'Up Max'!A:A,'Up Max'!J:J,)</f>
        <v/>
      </c>
      <c r="AO33" s="51" t="s">
        <v>30</v>
      </c>
      <c r="AP33" s="51" t="str">
        <f t="array" ref="AP33">CONCATENATE(_xlfn.XLOOKUP(B33,'Up Rarity'!A:A,'Up Rarity'!B:B,),CHAR(10),"-")</f>
        <v>
-</v>
      </c>
    </row>
    <row r="34">
      <c r="A34" s="87" t="str">
        <f t="array" ref="A34">_xlfn.XLOOKUP(B34,'Up Icon'!A:A,'Up Icon'!B:B,)</f>
        <v/>
      </c>
      <c r="B34" s="58" t="str">
        <f t="array" ref="B34">HYPERLINK(_xlfn.XLOOKUP('Up Names'!I34,'Up Wiki'!A:A,'Up Wiki'!B:B,),'Up Names'!I34)</f>
        <v/>
      </c>
      <c r="C34" s="37" t="str">
        <f t="array" ref="C34">_xlfn.XLOOKUP(B34,'Up Desc'!A:A,'Up Desc'!B:B,)</f>
        <v/>
      </c>
      <c r="D34" s="37" t="str">
        <f t="array" ref="D34">_xlfn.XLOOKUP(B34,'Up Turbo'!A:A,'Up Turbo'!B:B,)</f>
        <v/>
      </c>
      <c r="E34" s="39" t="str">
        <f t="array" ref="E34">_xlfn.XLOOKUP(B34,'Up Stats'!A:A,'Up Stats'!B:B,)</f>
        <v/>
      </c>
      <c r="F34" s="40" t="str">
        <f>IFERROR(__xludf.DUMMYFUNCTION("if(AND(G34=FALSE,H34=FALSE),,if(G34=H34,JOIN("""",""Static: "",G34),JOIN("""",""Min:  "",G34, CHAR(10),""Max: "",H34)))"),"")</f>
        <v/>
      </c>
      <c r="G34" s="42" t="str">
        <f t="array" ref="G34">_xlfn.XLOOKUP(B34,'Up Min'!A:A,'Up Min'!B:B,)</f>
        <v/>
      </c>
      <c r="H34" s="45" t="str">
        <f t="array" ref="H34">_xlfn.XLOOKUP(B34,'Up Max'!A:A,'Up Max'!B:B,)</f>
        <v/>
      </c>
      <c r="I34" s="39" t="str">
        <f t="array" ref="I34">_xlfn.XLOOKUP(B34,'Up Stats'!A:A,'Up Stats'!C:C,)</f>
        <v/>
      </c>
      <c r="J34" s="40" t="str">
        <f>IFERROR(__xludf.DUMMYFUNCTION("if(AND(K34=FALSE,L34=FALSE),,if(K34=L34,JOIN("""",""Static: "",K34),JOIN("""",""Min:  "",K34, CHAR(10),""Max: "",L34)))"),"")</f>
        <v/>
      </c>
      <c r="K34" s="45" t="str">
        <f t="array" ref="K34">_xlfn.XLOOKUP(B34,'Up Min'!A:A,'Up Min'!C:C,)</f>
        <v/>
      </c>
      <c r="L34" s="42" t="str">
        <f t="array" ref="L34">_xlfn.XLOOKUP(B34,'Up Max'!A:A,'Up Max'!C:C,)</f>
        <v/>
      </c>
      <c r="M34" s="39" t="str">
        <f t="array" ref="M34">_xlfn.XLOOKUP(B34,'Up Stats'!A:A,'Up Stats'!D:D,)</f>
        <v/>
      </c>
      <c r="N34" s="40" t="str">
        <f>IFERROR(__xludf.DUMMYFUNCTION("if(AND(O34=FALSE,P34=FALSE),,if(O34=P34,JOIN("""",""Static: "",O34),JOIN("""",""Min:  "",O34, CHAR(10),""Max: "",P34)))"),"")</f>
        <v/>
      </c>
      <c r="O34" s="42" t="str">
        <f t="array" ref="O34">_xlfn.XLOOKUP(B34,'Up Min'!A:A,'Up Min'!D:D,)</f>
        <v/>
      </c>
      <c r="P34" s="42" t="str">
        <f t="array" ref="P34">_xlfn.XLOOKUP(B34,'Up Max'!A:A,'Up Max'!D:D,)</f>
        <v/>
      </c>
      <c r="Q34" s="48" t="str">
        <f t="array" ref="Q34">_xlfn.XLOOKUP(B34,'Up Stats'!A:A,'Up Stats'!E:E,)</f>
        <v/>
      </c>
      <c r="R34" s="40" t="str">
        <f>IFERROR(__xludf.DUMMYFUNCTION("if(AND(S34=FALSE,T34=FALSE),,if(S34=T34,JOIN("""",""Static: "",S34),JOIN("""",""Min:  "",S34, CHAR(10),""Max: "",T34)))"),"")</f>
        <v/>
      </c>
      <c r="S34" s="42" t="str">
        <f t="array" ref="S34">_xlfn.XLOOKUP(B34,'Up Min'!A:A,'Up Min'!E:E,)</f>
        <v/>
      </c>
      <c r="T34" s="42" t="str">
        <f t="array" ref="T34">_xlfn.XLOOKUP(B34,'Up Max'!A:A,'Up Max'!E:E,)</f>
        <v/>
      </c>
      <c r="U34" s="48" t="str">
        <f t="array" ref="U34">_xlfn.XLOOKUP(B34,'Up Stats'!A:A,'Up Stats'!F:F,)</f>
        <v/>
      </c>
      <c r="V34" s="40" t="str">
        <f>IFERROR(__xludf.DUMMYFUNCTION("if(AND(W34=FALSE,X34=FALSE),,if(W34=X34,JOIN("""",""Static: "",W34),JOIN("""",""Min:  "",W34, CHAR(10),""Max: "",X34)))"),"")</f>
        <v/>
      </c>
      <c r="W34" s="42" t="str">
        <f t="array" ref="W34">_xlfn.XLOOKUP(B34,'Up Min'!A:A,'Up Min'!F:F,)</f>
        <v/>
      </c>
      <c r="X34" s="42" t="str">
        <f t="array" ref="X34">_xlfn.XLOOKUP(B34,'Up Max'!A:A,'Up Max'!F:F,)</f>
        <v/>
      </c>
      <c r="Y34" s="48" t="str">
        <f t="array" ref="Y34">_xlfn.XLOOKUP(B34,'Up Stats'!A:A,'Up Stats'!G:G,)</f>
        <v/>
      </c>
      <c r="Z34" s="40" t="str">
        <f>IFERROR(__xludf.DUMMYFUNCTION("if(AND(AA34=FALSE,AB34=FALSE),,if(AA34=AB34,JOIN("""",""Static: "",AA34),JOIN("""",""Min:  "",AA34, CHAR(10),""Max: "",AB34)))"),"")</f>
        <v/>
      </c>
      <c r="AA34" s="42" t="str">
        <f t="array" ref="AA34">_xlfn.XLOOKUP(B34,'Up Min'!A:A,'Up Min'!G:G,)</f>
        <v/>
      </c>
      <c r="AB34" s="42" t="str">
        <f t="array" ref="AB34">_xlfn.XLOOKUP(B34,'Up Max'!A:A,'Up Max'!G:G,)</f>
        <v/>
      </c>
      <c r="AC34" s="48" t="str">
        <f t="array" ref="AC34">_xlfn.XLOOKUP(B34,'Up Stats'!A:A,'Up Stats'!H:H,)</f>
        <v/>
      </c>
      <c r="AD34" s="40" t="str">
        <f>IFERROR(__xludf.DUMMYFUNCTION("if(AND(AE34=FALSE,AF34=FALSE),,if(AE34=AF34,JOIN("""",""Static: "",AE34),JOIN("""",""Min:  "",AE34, CHAR(10),""Max: "",AF34)))"),"")</f>
        <v/>
      </c>
      <c r="AE34" s="42" t="str">
        <f t="array" ref="AE34">_xlfn.XLOOKUP(B34,'Up Min'!A:A,'Up Min'!H:H,)</f>
        <v/>
      </c>
      <c r="AF34" s="42" t="str">
        <f t="array" ref="AF34">_xlfn.XLOOKUP(B34,'Up Max'!A:A,'Up Max'!H:H,)</f>
        <v/>
      </c>
      <c r="AG34" s="48" t="str">
        <f t="array" ref="AG34">_xlfn.XLOOKUP(B34,'Up Stats'!A:A,'Up Stats'!I:I,)</f>
        <v/>
      </c>
      <c r="AH34" s="40" t="str">
        <f>IFERROR(__xludf.DUMMYFUNCTION("if(AND(AI34=FALSE,AJ34=FALSE),,if(AI34=AJ34,JOIN("""",""Static: "",AI34),JOIN("""",""Min:  "",AI34, CHAR(10),""Max: "",AJ34)))"),"")</f>
        <v/>
      </c>
      <c r="AI34" s="42" t="str">
        <f t="array" ref="AI34">_xlfn.XLOOKUP(B34,'Up Min'!A:A,'Up Min'!I:I,)</f>
        <v/>
      </c>
      <c r="AJ34" s="42" t="str">
        <f t="array" ref="AJ34">_xlfn.XLOOKUP(B34,'Up Max'!A:A,'Up Max'!I:I,)</f>
        <v/>
      </c>
      <c r="AK34" s="48" t="str">
        <f t="array" ref="AK34">_xlfn.XLOOKUP(B34,'Up Stats'!A:A,'Up Stats'!J:J,)</f>
        <v/>
      </c>
      <c r="AL34" s="40" t="str">
        <f>IFERROR(__xludf.DUMMYFUNCTION("if(AND(AM34=FALSE,AN34=FALSE),,if(AM34=AN34,JOIN("""",""Static: "",AM34),JOIN("""",""Min:  "",AM34, CHAR(10),""Max: "",AN34)))"),"")</f>
        <v/>
      </c>
      <c r="AM34" s="42" t="str">
        <f t="array" ref="AM34">_xlfn.XLOOKUP(B34,'Up Min'!A:A,'Up Min'!J:J,)</f>
        <v/>
      </c>
      <c r="AN34" s="42" t="str">
        <f t="array" ref="AN34">_xlfn.XLOOKUP(B34,'Up Max'!A:A,'Up Max'!J:J,)</f>
        <v/>
      </c>
      <c r="AO34" s="34" t="s">
        <v>30</v>
      </c>
      <c r="AP34" s="34" t="str">
        <f t="array" ref="AP34">CONCATENATE(_xlfn.XLOOKUP(B34,'Up Rarity'!A:A,'Up Rarity'!B:B,),CHAR(10),"-")</f>
        <v>
-</v>
      </c>
    </row>
    <row r="35">
      <c r="A35" s="86" t="str">
        <f t="array" ref="A35">_xlfn.XLOOKUP(B35,'Up Icon'!A:A,'Up Icon'!B:B,)</f>
        <v/>
      </c>
      <c r="B35" s="61" t="str">
        <f t="array" ref="B35">HYPERLINK(_xlfn.XLOOKUP('Up Names'!I35,'Up Wiki'!A:A,'Up Wiki'!B:B,),'Up Names'!I35)</f>
        <v/>
      </c>
      <c r="C35" s="52" t="str">
        <f t="array" ref="C35">_xlfn.XLOOKUP(B35,'Up Desc'!A:A,'Up Desc'!B:B,)</f>
        <v/>
      </c>
      <c r="D35" s="52" t="str">
        <f t="array" ref="D35">_xlfn.XLOOKUP(B35,'Up Turbo'!A:A,'Up Turbo'!B:B,)</f>
        <v/>
      </c>
      <c r="E35" s="53" t="str">
        <f t="array" ref="E35">_xlfn.XLOOKUP(B35,'Up Stats'!A:A,'Up Stats'!B:B,)</f>
        <v/>
      </c>
      <c r="F35" s="54" t="str">
        <f>IFERROR(__xludf.DUMMYFUNCTION("if(AND(G35=FALSE,H35=FALSE),,if(G35=H35,JOIN("""",""Static: "",G35),JOIN("""",""Min:  "",G35, CHAR(10),""Max: "",H35)))"),"")</f>
        <v/>
      </c>
      <c r="G35" s="55" t="str">
        <f t="array" ref="G35">_xlfn.XLOOKUP(B35,'Up Min'!A:A,'Up Min'!B:B,)</f>
        <v/>
      </c>
      <c r="H35" s="56" t="str">
        <f t="array" ref="H35">_xlfn.XLOOKUP(B35,'Up Max'!A:A,'Up Max'!B:B,)</f>
        <v/>
      </c>
      <c r="I35" s="53" t="str">
        <f t="array" ref="I35">_xlfn.XLOOKUP(B35,'Up Stats'!A:A,'Up Stats'!C:C,)</f>
        <v/>
      </c>
      <c r="J35" s="54" t="str">
        <f>IFERROR(__xludf.DUMMYFUNCTION("if(AND(K35=FALSE,L35=FALSE),,if(K35=L35,JOIN("""",""Static: "",K35),JOIN("""",""Min:  "",K35, CHAR(10),""Max: "",L35)))"),"")</f>
        <v/>
      </c>
      <c r="K35" s="56" t="str">
        <f t="array" ref="K35">_xlfn.XLOOKUP(B35,'Up Min'!A:A,'Up Min'!C:C,)</f>
        <v/>
      </c>
      <c r="L35" s="55" t="str">
        <f t="array" ref="L35">_xlfn.XLOOKUP(B35,'Up Max'!A:A,'Up Max'!C:C,)</f>
        <v/>
      </c>
      <c r="M35" s="53" t="str">
        <f t="array" ref="M35">_xlfn.XLOOKUP(B35,'Up Stats'!A:A,'Up Stats'!D:D,)</f>
        <v/>
      </c>
      <c r="N35" s="54" t="str">
        <f>IFERROR(__xludf.DUMMYFUNCTION("if(AND(O35=FALSE,P35=FALSE),,if(O35=P35,JOIN("""",""Static: "",O35),JOIN("""",""Min:  "",O35, CHAR(10),""Max: "",P35)))"),"")</f>
        <v/>
      </c>
      <c r="O35" s="55" t="str">
        <f t="array" ref="O35">_xlfn.XLOOKUP(B35,'Up Min'!A:A,'Up Min'!D:D,)</f>
        <v/>
      </c>
      <c r="P35" s="55" t="str">
        <f t="array" ref="P35">_xlfn.XLOOKUP(B35,'Up Max'!A:A,'Up Max'!D:D,)</f>
        <v/>
      </c>
      <c r="Q35" s="57" t="str">
        <f t="array" ref="Q35">_xlfn.XLOOKUP(B35,'Up Stats'!A:A,'Up Stats'!E:E,)</f>
        <v/>
      </c>
      <c r="R35" s="54" t="str">
        <f>IFERROR(__xludf.DUMMYFUNCTION("if(AND(S35=FALSE,T35=FALSE),,if(S35=T35,JOIN("""",""Static: "",S35),JOIN("""",""Min:  "",S35, CHAR(10),""Max: "",T35)))"),"")</f>
        <v/>
      </c>
      <c r="S35" s="55" t="str">
        <f t="array" ref="S35">_xlfn.XLOOKUP(B35,'Up Min'!A:A,'Up Min'!E:E,)</f>
        <v/>
      </c>
      <c r="T35" s="55" t="str">
        <f t="array" ref="T35">_xlfn.XLOOKUP(B35,'Up Max'!A:A,'Up Max'!E:E,)</f>
        <v/>
      </c>
      <c r="U35" s="57" t="str">
        <f t="array" ref="U35">_xlfn.XLOOKUP(B35,'Up Stats'!A:A,'Up Stats'!F:F,)</f>
        <v/>
      </c>
      <c r="V35" s="54" t="str">
        <f>IFERROR(__xludf.DUMMYFUNCTION("if(AND(W35=FALSE,X35=FALSE),,if(W35=X35,JOIN("""",""Static: "",W35),JOIN("""",""Min:  "",W35, CHAR(10),""Max: "",X35)))"),"")</f>
        <v/>
      </c>
      <c r="W35" s="55" t="str">
        <f t="array" ref="W35">_xlfn.XLOOKUP(B35,'Up Min'!A:A,'Up Min'!F:F,)</f>
        <v/>
      </c>
      <c r="X35" s="55" t="str">
        <f t="array" ref="X35">_xlfn.XLOOKUP(B35,'Up Max'!A:A,'Up Max'!F:F,)</f>
        <v/>
      </c>
      <c r="Y35" s="57" t="str">
        <f t="array" ref="Y35">_xlfn.XLOOKUP(B35,'Up Stats'!A:A,'Up Stats'!G:G,)</f>
        <v/>
      </c>
      <c r="Z35" s="54" t="str">
        <f>IFERROR(__xludf.DUMMYFUNCTION("if(AND(AA35=FALSE,AB35=FALSE),,if(AA35=AB35,JOIN("""",""Static: "",AA35),JOIN("""",""Min:  "",AA35, CHAR(10),""Max: "",AB35)))"),"")</f>
        <v/>
      </c>
      <c r="AA35" s="55" t="str">
        <f t="array" ref="AA35">_xlfn.XLOOKUP(B35,'Up Min'!A:A,'Up Min'!G:G,)</f>
        <v/>
      </c>
      <c r="AB35" s="55" t="str">
        <f t="array" ref="AB35">_xlfn.XLOOKUP(B35,'Up Max'!A:A,'Up Max'!G:G,)</f>
        <v/>
      </c>
      <c r="AC35" s="57" t="str">
        <f t="array" ref="AC35">_xlfn.XLOOKUP(B35,'Up Stats'!A:A,'Up Stats'!H:H,)</f>
        <v/>
      </c>
      <c r="AD35" s="54" t="str">
        <f>IFERROR(__xludf.DUMMYFUNCTION("if(AND(AE35=FALSE,AF35=FALSE),,if(AE35=AF35,JOIN("""",""Static: "",AE35),JOIN("""",""Min:  "",AE35, CHAR(10),""Max: "",AF35)))"),"")</f>
        <v/>
      </c>
      <c r="AE35" s="55" t="str">
        <f t="array" ref="AE35">_xlfn.XLOOKUP(B35,'Up Min'!A:A,'Up Min'!H:H,)</f>
        <v/>
      </c>
      <c r="AF35" s="55" t="str">
        <f t="array" ref="AF35">_xlfn.XLOOKUP(B35,'Up Max'!A:A,'Up Max'!H:H,)</f>
        <v/>
      </c>
      <c r="AG35" s="57" t="str">
        <f t="array" ref="AG35">_xlfn.XLOOKUP(B35,'Up Stats'!A:A,'Up Stats'!I:I,)</f>
        <v/>
      </c>
      <c r="AH35" s="54" t="str">
        <f>IFERROR(__xludf.DUMMYFUNCTION("if(AND(AI35=FALSE,AJ35=FALSE),,if(AI35=AJ35,JOIN("""",""Static: "",AI35),JOIN("""",""Min:  "",AI35, CHAR(10),""Max: "",AJ35)))"),"")</f>
        <v/>
      </c>
      <c r="AI35" s="55" t="str">
        <f t="array" ref="AI35">_xlfn.XLOOKUP(B35,'Up Min'!A:A,'Up Min'!I:I,)</f>
        <v/>
      </c>
      <c r="AJ35" s="55" t="str">
        <f t="array" ref="AJ35">_xlfn.XLOOKUP(B35,'Up Max'!A:A,'Up Max'!I:I,)</f>
        <v/>
      </c>
      <c r="AK35" s="57" t="str">
        <f t="array" ref="AK35">_xlfn.XLOOKUP(B35,'Up Stats'!A:A,'Up Stats'!J:J,)</f>
        <v/>
      </c>
      <c r="AL35" s="54" t="str">
        <f>IFERROR(__xludf.DUMMYFUNCTION("if(AND(AM35=FALSE,AN35=FALSE),,if(AM35=AN35,JOIN("""",""Static: "",AM35),JOIN("""",""Min:  "",AM35, CHAR(10),""Max: "",AN35)))"),"")</f>
        <v/>
      </c>
      <c r="AM35" s="55" t="str">
        <f t="array" ref="AM35">_xlfn.XLOOKUP(B35,'Up Min'!A:A,'Up Min'!J:J,)</f>
        <v/>
      </c>
      <c r="AN35" s="55" t="str">
        <f t="array" ref="AN35">_xlfn.XLOOKUP(B35,'Up Max'!A:A,'Up Max'!J:J,)</f>
        <v/>
      </c>
      <c r="AO35" s="51" t="s">
        <v>30</v>
      </c>
      <c r="AP35" s="51" t="str">
        <f t="array" ref="AP35">CONCATENATE(_xlfn.XLOOKUP(B35,'Up Rarity'!A:A,'Up Rarity'!B:B,),CHAR(10),"-")</f>
        <v>
-</v>
      </c>
    </row>
    <row r="36">
      <c r="A36" s="87" t="str">
        <f t="array" ref="A36">_xlfn.XLOOKUP(B36,'Up Icon'!A:A,'Up Icon'!B:B,)</f>
        <v/>
      </c>
      <c r="B36" s="58" t="str">
        <f t="array" ref="B36">HYPERLINK(_xlfn.XLOOKUP('Up Names'!I36,'Up Wiki'!A:A,'Up Wiki'!B:B,),'Up Names'!I36)</f>
        <v/>
      </c>
      <c r="C36" s="37" t="str">
        <f t="array" ref="C36">_xlfn.XLOOKUP(B36,'Up Desc'!A:A,'Up Desc'!B:B,)</f>
        <v/>
      </c>
      <c r="D36" s="37" t="str">
        <f t="array" ref="D36">_xlfn.XLOOKUP(B36,'Up Turbo'!A:A,'Up Turbo'!B:B,)</f>
        <v/>
      </c>
      <c r="E36" s="39" t="str">
        <f t="array" ref="E36">_xlfn.XLOOKUP(B36,'Up Stats'!A:A,'Up Stats'!B:B,)</f>
        <v/>
      </c>
      <c r="F36" s="40" t="str">
        <f>IFERROR(__xludf.DUMMYFUNCTION("if(AND(G36=FALSE,H36=FALSE),,if(G36=H36,JOIN("""",""Static: "",G36),JOIN("""",""Min:  "",G36, CHAR(10),""Max: "",H36)))"),"")</f>
        <v/>
      </c>
      <c r="G36" s="42" t="str">
        <f t="array" ref="G36">_xlfn.XLOOKUP(B36,'Up Min'!A:A,'Up Min'!B:B,)</f>
        <v/>
      </c>
      <c r="H36" s="45" t="str">
        <f t="array" ref="H36">_xlfn.XLOOKUP(B36,'Up Max'!A:A,'Up Max'!B:B,)</f>
        <v/>
      </c>
      <c r="I36" s="39" t="str">
        <f t="array" ref="I36">_xlfn.XLOOKUP(B36,'Up Stats'!A:A,'Up Stats'!C:C,)</f>
        <v/>
      </c>
      <c r="J36" s="40" t="str">
        <f>IFERROR(__xludf.DUMMYFUNCTION("if(AND(K36=FALSE,L36=FALSE),,if(K36=L36,JOIN("""",""Static: "",K36),JOIN("""",""Min:  "",K36, CHAR(10),""Max: "",L36)))"),"")</f>
        <v/>
      </c>
      <c r="K36" s="45" t="str">
        <f t="array" ref="K36">_xlfn.XLOOKUP(B36,'Up Min'!A:A,'Up Min'!C:C,)</f>
        <v/>
      </c>
      <c r="L36" s="42" t="str">
        <f t="array" ref="L36">_xlfn.XLOOKUP(B36,'Up Max'!A:A,'Up Max'!C:C,)</f>
        <v/>
      </c>
      <c r="M36" s="39" t="str">
        <f t="array" ref="M36">_xlfn.XLOOKUP(B36,'Up Stats'!A:A,'Up Stats'!D:D,)</f>
        <v/>
      </c>
      <c r="N36" s="40" t="str">
        <f>IFERROR(__xludf.DUMMYFUNCTION("if(AND(O36=FALSE,P36=FALSE),,if(O36=P36,JOIN("""",""Static: "",O36),JOIN("""",""Min:  "",O36, CHAR(10),""Max: "",P36)))"),"")</f>
        <v/>
      </c>
      <c r="O36" s="42" t="str">
        <f t="array" ref="O36">_xlfn.XLOOKUP(B36,'Up Min'!A:A,'Up Min'!D:D,)</f>
        <v/>
      </c>
      <c r="P36" s="42" t="str">
        <f t="array" ref="P36">_xlfn.XLOOKUP(B36,'Up Max'!A:A,'Up Max'!D:D,)</f>
        <v/>
      </c>
      <c r="Q36" s="48" t="str">
        <f t="array" ref="Q36">_xlfn.XLOOKUP(B36,'Up Stats'!A:A,'Up Stats'!E:E,)</f>
        <v/>
      </c>
      <c r="R36" s="40" t="str">
        <f>IFERROR(__xludf.DUMMYFUNCTION("if(AND(S36=FALSE,T36=FALSE),,if(S36=T36,JOIN("""",""Static: "",S36),JOIN("""",""Min:  "",S36, CHAR(10),""Max: "",T36)))"),"")</f>
        <v/>
      </c>
      <c r="S36" s="42" t="str">
        <f t="array" ref="S36">_xlfn.XLOOKUP(B36,'Up Min'!A:A,'Up Min'!E:E,)</f>
        <v/>
      </c>
      <c r="T36" s="42" t="str">
        <f t="array" ref="T36">_xlfn.XLOOKUP(B36,'Up Max'!A:A,'Up Max'!E:E,)</f>
        <v/>
      </c>
      <c r="U36" s="48" t="str">
        <f t="array" ref="U36">_xlfn.XLOOKUP(B36,'Up Stats'!A:A,'Up Stats'!F:F,)</f>
        <v/>
      </c>
      <c r="V36" s="40" t="str">
        <f>IFERROR(__xludf.DUMMYFUNCTION("if(AND(W36=FALSE,X36=FALSE),,if(W36=X36,JOIN("""",""Static: "",W36),JOIN("""",""Min:  "",W36, CHAR(10),""Max: "",X36)))"),"")</f>
        <v/>
      </c>
      <c r="W36" s="42" t="str">
        <f t="array" ref="W36">_xlfn.XLOOKUP(B36,'Up Min'!A:A,'Up Min'!F:F,)</f>
        <v/>
      </c>
      <c r="X36" s="42" t="str">
        <f t="array" ref="X36">_xlfn.XLOOKUP(B36,'Up Max'!A:A,'Up Max'!F:F,)</f>
        <v/>
      </c>
      <c r="Y36" s="48" t="str">
        <f t="array" ref="Y36">_xlfn.XLOOKUP(B36,'Up Stats'!A:A,'Up Stats'!G:G,)</f>
        <v/>
      </c>
      <c r="Z36" s="40" t="str">
        <f>IFERROR(__xludf.DUMMYFUNCTION("if(AND(AA36=FALSE,AB36=FALSE),,if(AA36=AB36,JOIN("""",""Static: "",AA36),JOIN("""",""Min:  "",AA36, CHAR(10),""Max: "",AB36)))"),"")</f>
        <v/>
      </c>
      <c r="AA36" s="42" t="str">
        <f t="array" ref="AA36">_xlfn.XLOOKUP(B36,'Up Min'!A:A,'Up Min'!G:G,)</f>
        <v/>
      </c>
      <c r="AB36" s="42" t="str">
        <f t="array" ref="AB36">_xlfn.XLOOKUP(B36,'Up Max'!A:A,'Up Max'!G:G,)</f>
        <v/>
      </c>
      <c r="AC36" s="48" t="str">
        <f t="array" ref="AC36">_xlfn.XLOOKUP(B36,'Up Stats'!A:A,'Up Stats'!H:H,)</f>
        <v/>
      </c>
      <c r="AD36" s="40" t="str">
        <f>IFERROR(__xludf.DUMMYFUNCTION("if(AND(AE36=FALSE,AF36=FALSE),,if(AE36=AF36,JOIN("""",""Static: "",AE36),JOIN("""",""Min:  "",AE36, CHAR(10),""Max: "",AF36)))"),"")</f>
        <v/>
      </c>
      <c r="AE36" s="42" t="str">
        <f t="array" ref="AE36">_xlfn.XLOOKUP(B36,'Up Min'!A:A,'Up Min'!H:H,)</f>
        <v/>
      </c>
      <c r="AF36" s="42" t="str">
        <f t="array" ref="AF36">_xlfn.XLOOKUP(B36,'Up Max'!A:A,'Up Max'!H:H,)</f>
        <v/>
      </c>
      <c r="AG36" s="48" t="str">
        <f t="array" ref="AG36">_xlfn.XLOOKUP(B36,'Up Stats'!A:A,'Up Stats'!I:I,)</f>
        <v/>
      </c>
      <c r="AH36" s="40" t="str">
        <f>IFERROR(__xludf.DUMMYFUNCTION("if(AND(AI36=FALSE,AJ36=FALSE),,if(AI36=AJ36,JOIN("""",""Static: "",AI36),JOIN("""",""Min:  "",AI36, CHAR(10),""Max: "",AJ36)))"),"")</f>
        <v/>
      </c>
      <c r="AI36" s="42" t="str">
        <f t="array" ref="AI36">_xlfn.XLOOKUP(B36,'Up Min'!A:A,'Up Min'!I:I,)</f>
        <v/>
      </c>
      <c r="AJ36" s="42" t="str">
        <f t="array" ref="AJ36">_xlfn.XLOOKUP(B36,'Up Max'!A:A,'Up Max'!I:I,)</f>
        <v/>
      </c>
      <c r="AK36" s="48" t="str">
        <f t="array" ref="AK36">_xlfn.XLOOKUP(B36,'Up Stats'!A:A,'Up Stats'!J:J,)</f>
        <v/>
      </c>
      <c r="AL36" s="40" t="str">
        <f>IFERROR(__xludf.DUMMYFUNCTION("if(AND(AM36=FALSE,AN36=FALSE),,if(AM36=AN36,JOIN("""",""Static: "",AM36),JOIN("""",""Min:  "",AM36, CHAR(10),""Max: "",AN36)))"),"")</f>
        <v/>
      </c>
      <c r="AM36" s="42" t="str">
        <f t="array" ref="AM36">_xlfn.XLOOKUP(B36,'Up Min'!A:A,'Up Min'!J:J,)</f>
        <v/>
      </c>
      <c r="AN36" s="42" t="str">
        <f t="array" ref="AN36">_xlfn.XLOOKUP(B36,'Up Max'!A:A,'Up Max'!J:J,)</f>
        <v/>
      </c>
      <c r="AO36" s="34" t="s">
        <v>30</v>
      </c>
      <c r="AP36" s="34" t="str">
        <f t="array" ref="AP36">CONCATENATE(_xlfn.XLOOKUP(B36,'Up Rarity'!A:A,'Up Rarity'!B:B,),CHAR(10),"-")</f>
        <v>
-</v>
      </c>
    </row>
    <row r="37">
      <c r="A37" s="86" t="str">
        <f t="array" ref="A37">_xlfn.XLOOKUP(B37,'Up Icon'!A:A,'Up Icon'!B:B,)</f>
        <v/>
      </c>
      <c r="B37" s="61" t="str">
        <f t="array" ref="B37">HYPERLINK(_xlfn.XLOOKUP('Up Names'!I37,'Up Wiki'!A:A,'Up Wiki'!B:B,),'Up Names'!I37)</f>
        <v/>
      </c>
      <c r="C37" s="52" t="str">
        <f t="array" ref="C37">_xlfn.XLOOKUP(B37,'Up Desc'!A:A,'Up Desc'!B:B,)</f>
        <v/>
      </c>
      <c r="D37" s="52" t="str">
        <f t="array" ref="D37">_xlfn.XLOOKUP(B37,'Up Turbo'!A:A,'Up Turbo'!B:B,)</f>
        <v/>
      </c>
      <c r="E37" s="53" t="str">
        <f t="array" ref="E37">_xlfn.XLOOKUP(B37,'Up Stats'!A:A,'Up Stats'!B:B,)</f>
        <v/>
      </c>
      <c r="F37" s="54" t="str">
        <f>IFERROR(__xludf.DUMMYFUNCTION("if(AND(G37=FALSE,H37=FALSE),,if(G37=H37,JOIN("""",""Static: "",G37),JOIN("""",""Min:  "",G37, CHAR(10),""Max: "",H37)))"),"")</f>
        <v/>
      </c>
      <c r="G37" s="55" t="str">
        <f t="array" ref="G37">_xlfn.XLOOKUP(B37,'Up Min'!A:A,'Up Min'!B:B,)</f>
        <v/>
      </c>
      <c r="H37" s="56" t="str">
        <f t="array" ref="H37">_xlfn.XLOOKUP(B37,'Up Max'!A:A,'Up Max'!B:B,)</f>
        <v/>
      </c>
      <c r="I37" s="53" t="str">
        <f t="array" ref="I37">_xlfn.XLOOKUP(B37,'Up Stats'!A:A,'Up Stats'!C:C,)</f>
        <v/>
      </c>
      <c r="J37" s="54" t="str">
        <f>IFERROR(__xludf.DUMMYFUNCTION("if(AND(K37=FALSE,L37=FALSE),,if(K37=L37,JOIN("""",""Static: "",K37),JOIN("""",""Min:  "",K37, CHAR(10),""Max: "",L37)))"),"")</f>
        <v/>
      </c>
      <c r="K37" s="56" t="str">
        <f t="array" ref="K37">_xlfn.XLOOKUP(B37,'Up Min'!A:A,'Up Min'!C:C,)</f>
        <v/>
      </c>
      <c r="L37" s="55" t="str">
        <f t="array" ref="L37">_xlfn.XLOOKUP(B37,'Up Max'!A:A,'Up Max'!C:C,)</f>
        <v/>
      </c>
      <c r="M37" s="53" t="str">
        <f t="array" ref="M37">_xlfn.XLOOKUP(B37,'Up Stats'!A:A,'Up Stats'!D:D,)</f>
        <v/>
      </c>
      <c r="N37" s="54" t="str">
        <f>IFERROR(__xludf.DUMMYFUNCTION("if(AND(O37=FALSE,P37=FALSE),,if(O37=P37,JOIN("""",""Static: "",O37),JOIN("""",""Min:  "",O37, CHAR(10),""Max: "",P37)))"),"")</f>
        <v/>
      </c>
      <c r="O37" s="55" t="str">
        <f t="array" ref="O37">_xlfn.XLOOKUP(B37,'Up Min'!A:A,'Up Min'!D:D,)</f>
        <v/>
      </c>
      <c r="P37" s="55" t="str">
        <f t="array" ref="P37">_xlfn.XLOOKUP(B37,'Up Max'!A:A,'Up Max'!D:D,)</f>
        <v/>
      </c>
      <c r="Q37" s="57" t="str">
        <f t="array" ref="Q37">_xlfn.XLOOKUP(B37,'Up Stats'!A:A,'Up Stats'!E:E,)</f>
        <v/>
      </c>
      <c r="R37" s="54" t="str">
        <f>IFERROR(__xludf.DUMMYFUNCTION("if(AND(S37=FALSE,T37=FALSE),,if(S37=T37,JOIN("""",""Static: "",S37),JOIN("""",""Min:  "",S37, CHAR(10),""Max: "",T37)))"),"")</f>
        <v/>
      </c>
      <c r="S37" s="55" t="str">
        <f t="array" ref="S37">_xlfn.XLOOKUP(B37,'Up Min'!A:A,'Up Min'!E:E,)</f>
        <v/>
      </c>
      <c r="T37" s="55" t="str">
        <f t="array" ref="T37">_xlfn.XLOOKUP(B37,'Up Max'!A:A,'Up Max'!E:E,)</f>
        <v/>
      </c>
      <c r="U37" s="57" t="str">
        <f t="array" ref="U37">_xlfn.XLOOKUP(B37,'Up Stats'!A:A,'Up Stats'!F:F,)</f>
        <v/>
      </c>
      <c r="V37" s="54" t="str">
        <f>IFERROR(__xludf.DUMMYFUNCTION("if(AND(W37=FALSE,X37=FALSE),,if(W37=X37,JOIN("""",""Static: "",W37),JOIN("""",""Min:  "",W37, CHAR(10),""Max: "",X37)))"),"")</f>
        <v/>
      </c>
      <c r="W37" s="55" t="str">
        <f t="array" ref="W37">_xlfn.XLOOKUP(B37,'Up Min'!A:A,'Up Min'!F:F,)</f>
        <v/>
      </c>
      <c r="X37" s="55" t="str">
        <f t="array" ref="X37">_xlfn.XLOOKUP(B37,'Up Max'!A:A,'Up Max'!F:F,)</f>
        <v/>
      </c>
      <c r="Y37" s="57" t="str">
        <f t="array" ref="Y37">_xlfn.XLOOKUP(B37,'Up Stats'!A:A,'Up Stats'!G:G,)</f>
        <v/>
      </c>
      <c r="Z37" s="54" t="str">
        <f>IFERROR(__xludf.DUMMYFUNCTION("if(AND(AA37=FALSE,AB37=FALSE),,if(AA37=AB37,JOIN("""",""Static: "",AA37),JOIN("""",""Min:  "",AA37, CHAR(10),""Max: "",AB37)))"),"")</f>
        <v/>
      </c>
      <c r="AA37" s="55" t="str">
        <f t="array" ref="AA37">_xlfn.XLOOKUP(B37,'Up Min'!A:A,'Up Min'!G:G,)</f>
        <v/>
      </c>
      <c r="AB37" s="55" t="str">
        <f t="array" ref="AB37">_xlfn.XLOOKUP(B37,'Up Max'!A:A,'Up Max'!G:G,)</f>
        <v/>
      </c>
      <c r="AC37" s="57" t="str">
        <f t="array" ref="AC37">_xlfn.XLOOKUP(B37,'Up Stats'!A:A,'Up Stats'!H:H,)</f>
        <v/>
      </c>
      <c r="AD37" s="54" t="str">
        <f>IFERROR(__xludf.DUMMYFUNCTION("if(AND(AE37=FALSE,AF37=FALSE),,if(AE37=AF37,JOIN("""",""Static: "",AE37),JOIN("""",""Min:  "",AE37, CHAR(10),""Max: "",AF37)))"),"")</f>
        <v/>
      </c>
      <c r="AE37" s="55" t="str">
        <f t="array" ref="AE37">_xlfn.XLOOKUP(B37,'Up Min'!A:A,'Up Min'!H:H,)</f>
        <v/>
      </c>
      <c r="AF37" s="55" t="str">
        <f t="array" ref="AF37">_xlfn.XLOOKUP(B37,'Up Max'!A:A,'Up Max'!H:H,)</f>
        <v/>
      </c>
      <c r="AG37" s="57" t="str">
        <f t="array" ref="AG37">_xlfn.XLOOKUP(B37,'Up Stats'!A:A,'Up Stats'!I:I,)</f>
        <v/>
      </c>
      <c r="AH37" s="54" t="str">
        <f>IFERROR(__xludf.DUMMYFUNCTION("if(AND(AI37=FALSE,AJ37=FALSE),,if(AI37=AJ37,JOIN("""",""Static: "",AI37),JOIN("""",""Min:  "",AI37, CHAR(10),""Max: "",AJ37)))"),"")</f>
        <v/>
      </c>
      <c r="AI37" s="55" t="str">
        <f t="array" ref="AI37">_xlfn.XLOOKUP(B37,'Up Min'!A:A,'Up Min'!I:I,)</f>
        <v/>
      </c>
      <c r="AJ37" s="55" t="str">
        <f t="array" ref="AJ37">_xlfn.XLOOKUP(B37,'Up Max'!A:A,'Up Max'!I:I,)</f>
        <v/>
      </c>
      <c r="AK37" s="57" t="str">
        <f t="array" ref="AK37">_xlfn.XLOOKUP(B37,'Up Stats'!A:A,'Up Stats'!J:J,)</f>
        <v/>
      </c>
      <c r="AL37" s="54" t="str">
        <f>IFERROR(__xludf.DUMMYFUNCTION("if(AND(AM37=FALSE,AN37=FALSE),,if(AM37=AN37,JOIN("""",""Static: "",AM37),JOIN("""",""Min:  "",AM37, CHAR(10),""Max: "",AN37)))"),"")</f>
        <v/>
      </c>
      <c r="AM37" s="55" t="str">
        <f t="array" ref="AM37">_xlfn.XLOOKUP(B37,'Up Min'!A:A,'Up Min'!J:J,)</f>
        <v/>
      </c>
      <c r="AN37" s="55" t="str">
        <f t="array" ref="AN37">_xlfn.XLOOKUP(B37,'Up Max'!A:A,'Up Max'!J:J,)</f>
        <v/>
      </c>
      <c r="AO37" s="51" t="s">
        <v>30</v>
      </c>
      <c r="AP37" s="51" t="str">
        <f t="array" ref="AP37">CONCATENATE(_xlfn.XLOOKUP(B37,'Up Rarity'!A:A,'Up Rarity'!B:B,),CHAR(10),"-")</f>
        <v>
-</v>
      </c>
    </row>
    <row r="38">
      <c r="A38" s="87" t="str">
        <f t="array" ref="A38">_xlfn.XLOOKUP(B38,'Up Icon'!A:A,'Up Icon'!B:B,)</f>
        <v/>
      </c>
      <c r="B38" s="58" t="str">
        <f t="array" ref="B38">HYPERLINK(_xlfn.XLOOKUP('Up Names'!I38,'Up Wiki'!A:A,'Up Wiki'!B:B,),'Up Names'!I38)</f>
        <v/>
      </c>
      <c r="C38" s="37" t="str">
        <f t="array" ref="C38">_xlfn.XLOOKUP(B38,'Up Desc'!A:A,'Up Desc'!B:B,)</f>
        <v/>
      </c>
      <c r="D38" s="37" t="str">
        <f t="array" ref="D38">_xlfn.XLOOKUP(B38,'Up Turbo'!A:A,'Up Turbo'!B:B,)</f>
        <v/>
      </c>
      <c r="E38" s="39" t="str">
        <f t="array" ref="E38">_xlfn.XLOOKUP(B38,'Up Stats'!A:A,'Up Stats'!B:B,)</f>
        <v/>
      </c>
      <c r="F38" s="40" t="str">
        <f>IFERROR(__xludf.DUMMYFUNCTION("if(AND(G38=FALSE,H38=FALSE),,if(G38=H38,JOIN("""",""Static: "",G38),JOIN("""",""Min:  "",G38, CHAR(10),""Max: "",H38)))"),"")</f>
        <v/>
      </c>
      <c r="G38" s="42" t="str">
        <f t="array" ref="G38">_xlfn.XLOOKUP(B38,'Up Min'!A:A,'Up Min'!B:B,)</f>
        <v/>
      </c>
      <c r="H38" s="45" t="str">
        <f t="array" ref="H38">_xlfn.XLOOKUP(B38,'Up Max'!A:A,'Up Max'!B:B,)</f>
        <v/>
      </c>
      <c r="I38" s="39" t="str">
        <f t="array" ref="I38">_xlfn.XLOOKUP(B38,'Up Stats'!A:A,'Up Stats'!C:C,)</f>
        <v/>
      </c>
      <c r="J38" s="40" t="str">
        <f>IFERROR(__xludf.DUMMYFUNCTION("if(AND(K38=FALSE,L38=FALSE),,if(K38=L38,JOIN("""",""Static: "",K38),JOIN("""",""Min:  "",K38, CHAR(10),""Max: "",L38)))"),"")</f>
        <v/>
      </c>
      <c r="K38" s="45" t="str">
        <f t="array" ref="K38">_xlfn.XLOOKUP(B38,'Up Min'!A:A,'Up Min'!C:C,)</f>
        <v/>
      </c>
      <c r="L38" s="42" t="str">
        <f t="array" ref="L38">_xlfn.XLOOKUP(B38,'Up Max'!A:A,'Up Max'!C:C,)</f>
        <v/>
      </c>
      <c r="M38" s="39" t="str">
        <f t="array" ref="M38">_xlfn.XLOOKUP(B38,'Up Stats'!A:A,'Up Stats'!D:D,)</f>
        <v/>
      </c>
      <c r="N38" s="40" t="str">
        <f>IFERROR(__xludf.DUMMYFUNCTION("if(AND(O38=FALSE,P38=FALSE),,if(O38=P38,JOIN("""",""Static: "",O38),JOIN("""",""Min:  "",O38, CHAR(10),""Max: "",P38)))"),"")</f>
        <v/>
      </c>
      <c r="O38" s="42" t="str">
        <f t="array" ref="O38">_xlfn.XLOOKUP(B38,'Up Min'!A:A,'Up Min'!D:D,)</f>
        <v/>
      </c>
      <c r="P38" s="42" t="str">
        <f t="array" ref="P38">_xlfn.XLOOKUP(B38,'Up Max'!A:A,'Up Max'!D:D,)</f>
        <v/>
      </c>
      <c r="Q38" s="48" t="str">
        <f t="array" ref="Q38">_xlfn.XLOOKUP(B38,'Up Stats'!A:A,'Up Stats'!E:E,)</f>
        <v/>
      </c>
      <c r="R38" s="40" t="str">
        <f>IFERROR(__xludf.DUMMYFUNCTION("if(AND(S38=FALSE,T38=FALSE),,if(S38=T38,JOIN("""",""Static: "",S38),JOIN("""",""Min:  "",S38, CHAR(10),""Max: "",T38)))"),"")</f>
        <v/>
      </c>
      <c r="S38" s="42" t="str">
        <f t="array" ref="S38">_xlfn.XLOOKUP(B38,'Up Min'!A:A,'Up Min'!E:E,)</f>
        <v/>
      </c>
      <c r="T38" s="42" t="str">
        <f t="array" ref="T38">_xlfn.XLOOKUP(B38,'Up Max'!A:A,'Up Max'!E:E,)</f>
        <v/>
      </c>
      <c r="U38" s="48" t="str">
        <f t="array" ref="U38">_xlfn.XLOOKUP(B38,'Up Stats'!A:A,'Up Stats'!F:F,)</f>
        <v/>
      </c>
      <c r="V38" s="40" t="str">
        <f>IFERROR(__xludf.DUMMYFUNCTION("if(AND(W38=FALSE,X38=FALSE),,if(W38=X38,JOIN("""",""Static: "",W38),JOIN("""",""Min:  "",W38, CHAR(10),""Max: "",X38)))"),"")</f>
        <v/>
      </c>
      <c r="W38" s="42" t="str">
        <f t="array" ref="W38">_xlfn.XLOOKUP(B38,'Up Min'!A:A,'Up Min'!F:F,)</f>
        <v/>
      </c>
      <c r="X38" s="42" t="str">
        <f t="array" ref="X38">_xlfn.XLOOKUP(B38,'Up Max'!A:A,'Up Max'!F:F,)</f>
        <v/>
      </c>
      <c r="Y38" s="48" t="str">
        <f t="array" ref="Y38">_xlfn.XLOOKUP(B38,'Up Stats'!A:A,'Up Stats'!G:G,)</f>
        <v/>
      </c>
      <c r="Z38" s="40" t="str">
        <f>IFERROR(__xludf.DUMMYFUNCTION("if(AND(AA38=FALSE,AB38=FALSE),,if(AA38=AB38,JOIN("""",""Static: "",AA38),JOIN("""",""Min:  "",AA38, CHAR(10),""Max: "",AB38)))"),"")</f>
        <v/>
      </c>
      <c r="AA38" s="42" t="str">
        <f t="array" ref="AA38">_xlfn.XLOOKUP(B38,'Up Min'!A:A,'Up Min'!G:G,)</f>
        <v/>
      </c>
      <c r="AB38" s="42" t="str">
        <f t="array" ref="AB38">_xlfn.XLOOKUP(B38,'Up Max'!A:A,'Up Max'!G:G,)</f>
        <v/>
      </c>
      <c r="AC38" s="48" t="str">
        <f t="array" ref="AC38">_xlfn.XLOOKUP(B38,'Up Stats'!A:A,'Up Stats'!H:H,)</f>
        <v/>
      </c>
      <c r="AD38" s="40" t="str">
        <f>IFERROR(__xludf.DUMMYFUNCTION("if(AND(AE38=FALSE,AF38=FALSE),,if(AE38=AF38,JOIN("""",""Static: "",AE38),JOIN("""",""Min:  "",AE38, CHAR(10),""Max: "",AF38)))"),"")</f>
        <v/>
      </c>
      <c r="AE38" s="42" t="str">
        <f t="array" ref="AE38">_xlfn.XLOOKUP(B38,'Up Min'!A:A,'Up Min'!H:H,)</f>
        <v/>
      </c>
      <c r="AF38" s="42" t="str">
        <f t="array" ref="AF38">_xlfn.XLOOKUP(B38,'Up Max'!A:A,'Up Max'!H:H,)</f>
        <v/>
      </c>
      <c r="AG38" s="48" t="str">
        <f t="array" ref="AG38">_xlfn.XLOOKUP(B38,'Up Stats'!A:A,'Up Stats'!I:I,)</f>
        <v/>
      </c>
      <c r="AH38" s="40" t="str">
        <f>IFERROR(__xludf.DUMMYFUNCTION("if(AND(AI38=FALSE,AJ38=FALSE),,if(AI38=AJ38,JOIN("""",""Static: "",AI38),JOIN("""",""Min:  "",AI38, CHAR(10),""Max: "",AJ38)))"),"")</f>
        <v/>
      </c>
      <c r="AI38" s="42" t="str">
        <f t="array" ref="AI38">_xlfn.XLOOKUP(B38,'Up Min'!A:A,'Up Min'!I:I,)</f>
        <v/>
      </c>
      <c r="AJ38" s="42" t="str">
        <f t="array" ref="AJ38">_xlfn.XLOOKUP(B38,'Up Max'!A:A,'Up Max'!I:I,)</f>
        <v/>
      </c>
      <c r="AK38" s="48" t="str">
        <f t="array" ref="AK38">_xlfn.XLOOKUP(B38,'Up Stats'!A:A,'Up Stats'!J:J,)</f>
        <v/>
      </c>
      <c r="AL38" s="40" t="str">
        <f>IFERROR(__xludf.DUMMYFUNCTION("if(AND(AM38=FALSE,AN38=FALSE),,if(AM38=AN38,JOIN("""",""Static: "",AM38),JOIN("""",""Min:  "",AM38, CHAR(10),""Max: "",AN38)))"),"")</f>
        <v/>
      </c>
      <c r="AM38" s="42" t="str">
        <f t="array" ref="AM38">_xlfn.XLOOKUP(B38,'Up Min'!A:A,'Up Min'!J:J,)</f>
        <v/>
      </c>
      <c r="AN38" s="42" t="str">
        <f t="array" ref="AN38">_xlfn.XLOOKUP(B38,'Up Max'!A:A,'Up Max'!J:J,)</f>
        <v/>
      </c>
      <c r="AO38" s="34" t="s">
        <v>30</v>
      </c>
      <c r="AP38" s="34" t="str">
        <f t="array" ref="AP38">CONCATENATE(_xlfn.XLOOKUP(B38,'Up Rarity'!A:A,'Up Rarity'!B:B,),CHAR(10),"-")</f>
        <v>
-</v>
      </c>
    </row>
    <row r="39">
      <c r="A39" s="86" t="str">
        <f t="array" ref="A39">_xlfn.XLOOKUP(B39,'Up Icon'!A:A,'Up Icon'!B:B,)</f>
        <v/>
      </c>
      <c r="B39" s="61" t="str">
        <f t="array" ref="B39">HYPERLINK(_xlfn.XLOOKUP('Up Names'!I39,'Up Wiki'!A:A,'Up Wiki'!B:B,),'Up Names'!I39)</f>
        <v/>
      </c>
      <c r="C39" s="52" t="str">
        <f t="array" ref="C39">_xlfn.XLOOKUP(B39,'Up Desc'!A:A,'Up Desc'!B:B,)</f>
        <v/>
      </c>
      <c r="D39" s="52" t="str">
        <f t="array" ref="D39">_xlfn.XLOOKUP(B39,'Up Turbo'!A:A,'Up Turbo'!B:B,)</f>
        <v/>
      </c>
      <c r="E39" s="53" t="str">
        <f t="array" ref="E39">_xlfn.XLOOKUP(B39,'Up Stats'!A:A,'Up Stats'!B:B,)</f>
        <v/>
      </c>
      <c r="F39" s="54" t="str">
        <f>IFERROR(__xludf.DUMMYFUNCTION("if(AND(G39=FALSE,H39=FALSE),,if(G39=H39,JOIN("""",""Static: "",G39),JOIN("""",""Min:  "",G39, CHAR(10),""Max: "",H39)))"),"")</f>
        <v/>
      </c>
      <c r="G39" s="55" t="str">
        <f t="array" ref="G39">_xlfn.XLOOKUP(B39,'Up Min'!A:A,'Up Min'!B:B,)</f>
        <v/>
      </c>
      <c r="H39" s="56" t="str">
        <f t="array" ref="H39">_xlfn.XLOOKUP(B39,'Up Max'!A:A,'Up Max'!B:B,)</f>
        <v/>
      </c>
      <c r="I39" s="53" t="str">
        <f t="array" ref="I39">_xlfn.XLOOKUP(B39,'Up Stats'!A:A,'Up Stats'!C:C,)</f>
        <v/>
      </c>
      <c r="J39" s="54" t="str">
        <f>IFERROR(__xludf.DUMMYFUNCTION("if(AND(K39=FALSE,L39=FALSE),,if(K39=L39,JOIN("""",""Static: "",K39),JOIN("""",""Min:  "",K39, CHAR(10),""Max: "",L39)))"),"")</f>
        <v/>
      </c>
      <c r="K39" s="56" t="str">
        <f t="array" ref="K39">_xlfn.XLOOKUP(B39,'Up Min'!A:A,'Up Min'!C:C,)</f>
        <v/>
      </c>
      <c r="L39" s="55" t="str">
        <f t="array" ref="L39">_xlfn.XLOOKUP(B39,'Up Max'!A:A,'Up Max'!C:C,)</f>
        <v/>
      </c>
      <c r="M39" s="53" t="str">
        <f t="array" ref="M39">_xlfn.XLOOKUP(B39,'Up Stats'!A:A,'Up Stats'!D:D,)</f>
        <v/>
      </c>
      <c r="N39" s="54" t="str">
        <f>IFERROR(__xludf.DUMMYFUNCTION("if(AND(O39=FALSE,P39=FALSE),,if(O39=P39,JOIN("""",""Static: "",O39),JOIN("""",""Min:  "",O39, CHAR(10),""Max: "",P39)))"),"")</f>
        <v/>
      </c>
      <c r="O39" s="55" t="str">
        <f t="array" ref="O39">_xlfn.XLOOKUP(B39,'Up Min'!A:A,'Up Min'!D:D,)</f>
        <v/>
      </c>
      <c r="P39" s="55" t="str">
        <f t="array" ref="P39">_xlfn.XLOOKUP(B39,'Up Max'!A:A,'Up Max'!D:D,)</f>
        <v/>
      </c>
      <c r="Q39" s="57" t="str">
        <f t="array" ref="Q39">_xlfn.XLOOKUP(B39,'Up Stats'!A:A,'Up Stats'!E:E,)</f>
        <v/>
      </c>
      <c r="R39" s="54" t="str">
        <f>IFERROR(__xludf.DUMMYFUNCTION("if(AND(S39=FALSE,T39=FALSE),,if(S39=T39,JOIN("""",""Static: "",S39),JOIN("""",""Min:  "",S39, CHAR(10),""Max: "",T39)))"),"")</f>
        <v/>
      </c>
      <c r="S39" s="55" t="str">
        <f t="array" ref="S39">_xlfn.XLOOKUP(B39,'Up Min'!A:A,'Up Min'!E:E,)</f>
        <v/>
      </c>
      <c r="T39" s="55" t="str">
        <f t="array" ref="T39">_xlfn.XLOOKUP(B39,'Up Max'!A:A,'Up Max'!E:E,)</f>
        <v/>
      </c>
      <c r="U39" s="57" t="str">
        <f t="array" ref="U39">_xlfn.XLOOKUP(B39,'Up Stats'!A:A,'Up Stats'!F:F,)</f>
        <v/>
      </c>
      <c r="V39" s="54" t="str">
        <f>IFERROR(__xludf.DUMMYFUNCTION("if(AND(W39=FALSE,X39=FALSE),,if(W39=X39,JOIN("""",""Static: "",W39),JOIN("""",""Min:  "",W39, CHAR(10),""Max: "",X39)))"),"")</f>
        <v/>
      </c>
      <c r="W39" s="55" t="str">
        <f t="array" ref="W39">_xlfn.XLOOKUP(B39,'Up Min'!A:A,'Up Min'!F:F,)</f>
        <v/>
      </c>
      <c r="X39" s="55" t="str">
        <f t="array" ref="X39">_xlfn.XLOOKUP(B39,'Up Max'!A:A,'Up Max'!F:F,)</f>
        <v/>
      </c>
      <c r="Y39" s="57" t="str">
        <f t="array" ref="Y39">_xlfn.XLOOKUP(B39,'Up Stats'!A:A,'Up Stats'!G:G,)</f>
        <v/>
      </c>
      <c r="Z39" s="54" t="str">
        <f>IFERROR(__xludf.DUMMYFUNCTION("if(AND(AA39=FALSE,AB39=FALSE),,if(AA39=AB39,JOIN("""",""Static: "",AA39),JOIN("""",""Min:  "",AA39, CHAR(10),""Max: "",AB39)))"),"")</f>
        <v/>
      </c>
      <c r="AA39" s="55" t="str">
        <f t="array" ref="AA39">_xlfn.XLOOKUP(B39,'Up Min'!A:A,'Up Min'!G:G,)</f>
        <v/>
      </c>
      <c r="AB39" s="55" t="str">
        <f t="array" ref="AB39">_xlfn.XLOOKUP(B39,'Up Max'!A:A,'Up Max'!G:G,)</f>
        <v/>
      </c>
      <c r="AC39" s="57" t="str">
        <f t="array" ref="AC39">_xlfn.XLOOKUP(B39,'Up Stats'!A:A,'Up Stats'!H:H,)</f>
        <v/>
      </c>
      <c r="AD39" s="54" t="str">
        <f>IFERROR(__xludf.DUMMYFUNCTION("if(AND(AE39=FALSE,AF39=FALSE),,if(AE39=AF39,JOIN("""",""Static: "",AE39),JOIN("""",""Min:  "",AE39, CHAR(10),""Max: "",AF39)))"),"")</f>
        <v/>
      </c>
      <c r="AE39" s="55" t="str">
        <f t="array" ref="AE39">_xlfn.XLOOKUP(B39,'Up Min'!A:A,'Up Min'!H:H,)</f>
        <v/>
      </c>
      <c r="AF39" s="55" t="str">
        <f t="array" ref="AF39">_xlfn.XLOOKUP(B39,'Up Max'!A:A,'Up Max'!H:H,)</f>
        <v/>
      </c>
      <c r="AG39" s="57" t="str">
        <f t="array" ref="AG39">_xlfn.XLOOKUP(B39,'Up Stats'!A:A,'Up Stats'!I:I,)</f>
        <v/>
      </c>
      <c r="AH39" s="54" t="str">
        <f>IFERROR(__xludf.DUMMYFUNCTION("if(AND(AI39=FALSE,AJ39=FALSE),,if(AI39=AJ39,JOIN("""",""Static: "",AI39),JOIN("""",""Min:  "",AI39, CHAR(10),""Max: "",AJ39)))"),"")</f>
        <v/>
      </c>
      <c r="AI39" s="55" t="str">
        <f t="array" ref="AI39">_xlfn.XLOOKUP(B39,'Up Min'!A:A,'Up Min'!I:I,)</f>
        <v/>
      </c>
      <c r="AJ39" s="55" t="str">
        <f t="array" ref="AJ39">_xlfn.XLOOKUP(B39,'Up Max'!A:A,'Up Max'!I:I,)</f>
        <v/>
      </c>
      <c r="AK39" s="57" t="str">
        <f t="array" ref="AK39">_xlfn.XLOOKUP(B39,'Up Stats'!A:A,'Up Stats'!J:J,)</f>
        <v/>
      </c>
      <c r="AL39" s="54" t="str">
        <f>IFERROR(__xludf.DUMMYFUNCTION("if(AND(AM39=FALSE,AN39=FALSE),,if(AM39=AN39,JOIN("""",""Static: "",AM39),JOIN("""",""Min:  "",AM39, CHAR(10),""Max: "",AN39)))"),"")</f>
        <v/>
      </c>
      <c r="AM39" s="55" t="str">
        <f t="array" ref="AM39">_xlfn.XLOOKUP(B39,'Up Min'!A:A,'Up Min'!J:J,)</f>
        <v/>
      </c>
      <c r="AN39" s="55" t="str">
        <f t="array" ref="AN39">_xlfn.XLOOKUP(B39,'Up Max'!A:A,'Up Max'!J:J,)</f>
        <v/>
      </c>
      <c r="AO39" s="51" t="s">
        <v>30</v>
      </c>
      <c r="AP39" s="51" t="str">
        <f t="array" ref="AP39">CONCATENATE(_xlfn.XLOOKUP(B39,'Up Rarity'!A:A,'Up Rarity'!B:B,),CHAR(10),"-")</f>
        <v>
-</v>
      </c>
    </row>
    <row r="40">
      <c r="A40" s="87" t="str">
        <f t="array" ref="A40">_xlfn.XLOOKUP(B40,'Up Icon'!A:A,'Up Icon'!B:B,)</f>
        <v/>
      </c>
      <c r="B40" s="58" t="str">
        <f t="array" ref="B40">HYPERLINK(_xlfn.XLOOKUP('Up Names'!I40,'Up Wiki'!A:A,'Up Wiki'!B:B,),'Up Names'!I40)</f>
        <v/>
      </c>
      <c r="C40" s="37" t="str">
        <f t="array" ref="C40">_xlfn.XLOOKUP(B40,'Up Desc'!A:A,'Up Desc'!B:B,)</f>
        <v/>
      </c>
      <c r="D40" s="37" t="str">
        <f t="array" ref="D40">_xlfn.XLOOKUP(B40,'Up Turbo'!A:A,'Up Turbo'!B:B,)</f>
        <v/>
      </c>
      <c r="E40" s="39" t="str">
        <f t="array" ref="E40">_xlfn.XLOOKUP(B40,'Up Stats'!A:A,'Up Stats'!B:B,)</f>
        <v/>
      </c>
      <c r="F40" s="40" t="str">
        <f>IFERROR(__xludf.DUMMYFUNCTION("if(AND(G40=FALSE,H40=FALSE),,if(G40=H40,JOIN("""",""Static: "",G40),JOIN("""",""Min:  "",G40, CHAR(10),""Max: "",H40)))"),"")</f>
        <v/>
      </c>
      <c r="G40" s="42" t="str">
        <f t="array" ref="G40">_xlfn.XLOOKUP(B40,'Up Min'!A:A,'Up Min'!B:B,)</f>
        <v/>
      </c>
      <c r="H40" s="45" t="str">
        <f t="array" ref="H40">_xlfn.XLOOKUP(B40,'Up Max'!A:A,'Up Max'!B:B,)</f>
        <v/>
      </c>
      <c r="I40" s="39" t="str">
        <f t="array" ref="I40">_xlfn.XLOOKUP(B40,'Up Stats'!A:A,'Up Stats'!C:C,)</f>
        <v/>
      </c>
      <c r="J40" s="40" t="str">
        <f>IFERROR(__xludf.DUMMYFUNCTION("if(AND(K40=FALSE,L40=FALSE),,if(K40=L40,JOIN("""",""Static: "",K40),JOIN("""",""Min:  "",K40, CHAR(10),""Max: "",L40)))"),"")</f>
        <v/>
      </c>
      <c r="K40" s="45" t="str">
        <f t="array" ref="K40">_xlfn.XLOOKUP(B40,'Up Min'!A:A,'Up Min'!C:C,)</f>
        <v/>
      </c>
      <c r="L40" s="42" t="str">
        <f t="array" ref="L40">_xlfn.XLOOKUP(B40,'Up Max'!A:A,'Up Max'!C:C,)</f>
        <v/>
      </c>
      <c r="M40" s="39" t="str">
        <f t="array" ref="M40">_xlfn.XLOOKUP(B40,'Up Stats'!A:A,'Up Stats'!D:D,)</f>
        <v/>
      </c>
      <c r="N40" s="40" t="str">
        <f>IFERROR(__xludf.DUMMYFUNCTION("if(AND(O40=FALSE,P40=FALSE),,if(O40=P40,JOIN("""",""Static: "",O40),JOIN("""",""Min:  "",O40, CHAR(10),""Max: "",P40)))"),"")</f>
        <v/>
      </c>
      <c r="O40" s="42" t="str">
        <f t="array" ref="O40">_xlfn.XLOOKUP(B40,'Up Min'!A:A,'Up Min'!D:D,)</f>
        <v/>
      </c>
      <c r="P40" s="42" t="str">
        <f t="array" ref="P40">_xlfn.XLOOKUP(B40,'Up Max'!A:A,'Up Max'!D:D,)</f>
        <v/>
      </c>
      <c r="Q40" s="48" t="str">
        <f t="array" ref="Q40">_xlfn.XLOOKUP(B40,'Up Stats'!A:A,'Up Stats'!E:E,)</f>
        <v/>
      </c>
      <c r="R40" s="40" t="str">
        <f>IFERROR(__xludf.DUMMYFUNCTION("if(AND(S40=FALSE,T40=FALSE),,if(S40=T40,JOIN("""",""Static: "",S40),JOIN("""",""Min:  "",S40, CHAR(10),""Max: "",T40)))"),"")</f>
        <v/>
      </c>
      <c r="S40" s="42" t="str">
        <f t="array" ref="S40">_xlfn.XLOOKUP(B40,'Up Min'!A:A,'Up Min'!E:E,)</f>
        <v/>
      </c>
      <c r="T40" s="42" t="str">
        <f t="array" ref="T40">_xlfn.XLOOKUP(B40,'Up Max'!A:A,'Up Max'!E:E,)</f>
        <v/>
      </c>
      <c r="U40" s="48" t="str">
        <f t="array" ref="U40">_xlfn.XLOOKUP(B40,'Up Stats'!A:A,'Up Stats'!F:F,)</f>
        <v/>
      </c>
      <c r="V40" s="40" t="str">
        <f>IFERROR(__xludf.DUMMYFUNCTION("if(AND(W40=FALSE,X40=FALSE),,if(W40=X40,JOIN("""",""Static: "",W40),JOIN("""",""Min:  "",W40, CHAR(10),""Max: "",X40)))"),"")</f>
        <v/>
      </c>
      <c r="W40" s="42" t="str">
        <f t="array" ref="W40">_xlfn.XLOOKUP(B40,'Up Min'!A:A,'Up Min'!F:F,)</f>
        <v/>
      </c>
      <c r="X40" s="42" t="str">
        <f t="array" ref="X40">_xlfn.XLOOKUP(B40,'Up Max'!A:A,'Up Max'!F:F,)</f>
        <v/>
      </c>
      <c r="Y40" s="48" t="str">
        <f t="array" ref="Y40">_xlfn.XLOOKUP(B40,'Up Stats'!A:A,'Up Stats'!G:G,)</f>
        <v/>
      </c>
      <c r="Z40" s="40" t="str">
        <f>IFERROR(__xludf.DUMMYFUNCTION("if(AND(AA40=FALSE,AB40=FALSE),,if(AA40=AB40,JOIN("""",""Static: "",AA40),JOIN("""",""Min:  "",AA40, CHAR(10),""Max: "",AB40)))"),"")</f>
        <v/>
      </c>
      <c r="AA40" s="42" t="str">
        <f t="array" ref="AA40">_xlfn.XLOOKUP(B40,'Up Min'!A:A,'Up Min'!G:G,)</f>
        <v/>
      </c>
      <c r="AB40" s="42" t="str">
        <f t="array" ref="AB40">_xlfn.XLOOKUP(B40,'Up Max'!A:A,'Up Max'!G:G,)</f>
        <v/>
      </c>
      <c r="AC40" s="48" t="str">
        <f t="array" ref="AC40">_xlfn.XLOOKUP(B40,'Up Stats'!A:A,'Up Stats'!H:H,)</f>
        <v/>
      </c>
      <c r="AD40" s="40" t="str">
        <f>IFERROR(__xludf.DUMMYFUNCTION("if(AND(AE40=FALSE,AF40=FALSE),,if(AE40=AF40,JOIN("""",""Static: "",AE40),JOIN("""",""Min:  "",AE40, CHAR(10),""Max: "",AF40)))"),"")</f>
        <v/>
      </c>
      <c r="AE40" s="42" t="str">
        <f t="array" ref="AE40">_xlfn.XLOOKUP(B40,'Up Min'!A:A,'Up Min'!H:H,)</f>
        <v/>
      </c>
      <c r="AF40" s="42" t="str">
        <f t="array" ref="AF40">_xlfn.XLOOKUP(B40,'Up Max'!A:A,'Up Max'!H:H,)</f>
        <v/>
      </c>
      <c r="AG40" s="48" t="str">
        <f t="array" ref="AG40">_xlfn.XLOOKUP(B40,'Up Stats'!A:A,'Up Stats'!I:I,)</f>
        <v/>
      </c>
      <c r="AH40" s="40" t="str">
        <f>IFERROR(__xludf.DUMMYFUNCTION("if(AND(AI40=FALSE,AJ40=FALSE),,if(AI40=AJ40,JOIN("""",""Static: "",AI40),JOIN("""",""Min:  "",AI40, CHAR(10),""Max: "",AJ40)))"),"")</f>
        <v/>
      </c>
      <c r="AI40" s="42" t="str">
        <f t="array" ref="AI40">_xlfn.XLOOKUP(B40,'Up Min'!A:A,'Up Min'!I:I,)</f>
        <v/>
      </c>
      <c r="AJ40" s="42" t="str">
        <f t="array" ref="AJ40">_xlfn.XLOOKUP(B40,'Up Max'!A:A,'Up Max'!I:I,)</f>
        <v/>
      </c>
      <c r="AK40" s="48" t="str">
        <f t="array" ref="AK40">_xlfn.XLOOKUP(B40,'Up Stats'!A:A,'Up Stats'!J:J,)</f>
        <v/>
      </c>
      <c r="AL40" s="40" t="str">
        <f>IFERROR(__xludf.DUMMYFUNCTION("if(AND(AM40=FALSE,AN40=FALSE),,if(AM40=AN40,JOIN("""",""Static: "",AM40),JOIN("""",""Min:  "",AM40, CHAR(10),""Max: "",AN40)))"),"")</f>
        <v/>
      </c>
      <c r="AM40" s="42" t="str">
        <f t="array" ref="AM40">_xlfn.XLOOKUP(B40,'Up Min'!A:A,'Up Min'!J:J,)</f>
        <v/>
      </c>
      <c r="AN40" s="42" t="str">
        <f t="array" ref="AN40">_xlfn.XLOOKUP(B40,'Up Max'!A:A,'Up Max'!J:J,)</f>
        <v/>
      </c>
      <c r="AO40" s="34" t="s">
        <v>30</v>
      </c>
      <c r="AP40" s="34" t="str">
        <f t="array" ref="AP40">CONCATENATE(_xlfn.XLOOKUP(B40,'Up Rarity'!A:A,'Up Rarity'!B:B,),CHAR(10),"-")</f>
        <v>
-</v>
      </c>
    </row>
    <row r="41">
      <c r="A41" s="86" t="str">
        <f t="array" ref="A41">_xlfn.XLOOKUP(B41,'Up Icon'!A:A,'Up Icon'!B:B,)</f>
        <v/>
      </c>
      <c r="B41" s="61" t="str">
        <f t="array" ref="B41">HYPERLINK(_xlfn.XLOOKUP('Up Names'!I41,'Up Wiki'!A:A,'Up Wiki'!B:B,),'Up Names'!I41)</f>
        <v/>
      </c>
      <c r="C41" s="52" t="str">
        <f t="array" ref="C41">_xlfn.XLOOKUP(B41,'Up Desc'!A:A,'Up Desc'!B:B,)</f>
        <v/>
      </c>
      <c r="D41" s="52" t="str">
        <f t="array" ref="D41">_xlfn.XLOOKUP(B41,'Up Turbo'!A:A,'Up Turbo'!B:B,)</f>
        <v/>
      </c>
      <c r="E41" s="53" t="str">
        <f t="array" ref="E41">_xlfn.XLOOKUP(B41,'Up Stats'!A:A,'Up Stats'!B:B,)</f>
        <v/>
      </c>
      <c r="F41" s="54" t="str">
        <f>IFERROR(__xludf.DUMMYFUNCTION("if(AND(G41=FALSE,H41=FALSE),,if(G41=H41,JOIN("""",""Static: "",G41),JOIN("""",""Min:  "",G41, CHAR(10),""Max: "",H41)))"),"")</f>
        <v/>
      </c>
      <c r="G41" s="55" t="str">
        <f t="array" ref="G41">_xlfn.XLOOKUP(B41,'Up Min'!A:A,'Up Min'!B:B,)</f>
        <v/>
      </c>
      <c r="H41" s="56" t="str">
        <f t="array" ref="H41">_xlfn.XLOOKUP(B41,'Up Max'!A:A,'Up Max'!B:B,)</f>
        <v/>
      </c>
      <c r="I41" s="53" t="str">
        <f t="array" ref="I41">_xlfn.XLOOKUP(B41,'Up Stats'!A:A,'Up Stats'!C:C,)</f>
        <v/>
      </c>
      <c r="J41" s="54" t="str">
        <f>IFERROR(__xludf.DUMMYFUNCTION("if(AND(K41=FALSE,L41=FALSE),,if(K41=L41,JOIN("""",""Static: "",K41),JOIN("""",""Min:  "",K41, CHAR(10),""Max: "",L41)))"),"")</f>
        <v/>
      </c>
      <c r="K41" s="56" t="str">
        <f t="array" ref="K41">_xlfn.XLOOKUP(B41,'Up Min'!A:A,'Up Min'!C:C,)</f>
        <v/>
      </c>
      <c r="L41" s="55" t="str">
        <f t="array" ref="L41">_xlfn.XLOOKUP(B41,'Up Max'!A:A,'Up Max'!C:C,)</f>
        <v/>
      </c>
      <c r="M41" s="53" t="str">
        <f t="array" ref="M41">_xlfn.XLOOKUP(B41,'Up Stats'!A:A,'Up Stats'!D:D,)</f>
        <v/>
      </c>
      <c r="N41" s="54" t="str">
        <f>IFERROR(__xludf.DUMMYFUNCTION("if(AND(O41=FALSE,P41=FALSE),,if(O41=P41,JOIN("""",""Static: "",O41),JOIN("""",""Min:  "",O41, CHAR(10),""Max: "",P41)))"),"")</f>
        <v/>
      </c>
      <c r="O41" s="55" t="str">
        <f t="array" ref="O41">_xlfn.XLOOKUP(B41,'Up Min'!A:A,'Up Min'!D:D,)</f>
        <v/>
      </c>
      <c r="P41" s="55" t="str">
        <f t="array" ref="P41">_xlfn.XLOOKUP(B41,'Up Max'!A:A,'Up Max'!D:D,)</f>
        <v/>
      </c>
      <c r="Q41" s="57" t="str">
        <f t="array" ref="Q41">_xlfn.XLOOKUP(B41,'Up Stats'!A:A,'Up Stats'!E:E,)</f>
        <v/>
      </c>
      <c r="R41" s="54" t="str">
        <f>IFERROR(__xludf.DUMMYFUNCTION("if(AND(S41=FALSE,T41=FALSE),,if(S41=T41,JOIN("""",""Static: "",S41),JOIN("""",""Min:  "",S41, CHAR(10),""Max: "",T41)))"),"")</f>
        <v/>
      </c>
      <c r="S41" s="55" t="str">
        <f t="array" ref="S41">_xlfn.XLOOKUP(B41,'Up Min'!A:A,'Up Min'!E:E,)</f>
        <v/>
      </c>
      <c r="T41" s="55" t="str">
        <f t="array" ref="T41">_xlfn.XLOOKUP(B41,'Up Max'!A:A,'Up Max'!E:E,)</f>
        <v/>
      </c>
      <c r="U41" s="57" t="str">
        <f t="array" ref="U41">_xlfn.XLOOKUP(B41,'Up Stats'!A:A,'Up Stats'!F:F,)</f>
        <v/>
      </c>
      <c r="V41" s="54" t="str">
        <f>IFERROR(__xludf.DUMMYFUNCTION("if(AND(W41=FALSE,X41=FALSE),,if(W41=X41,JOIN("""",""Static: "",W41),JOIN("""",""Min:  "",W41, CHAR(10),""Max: "",X41)))"),"")</f>
        <v/>
      </c>
      <c r="W41" s="55" t="str">
        <f t="array" ref="W41">_xlfn.XLOOKUP(B41,'Up Min'!A:A,'Up Min'!F:F,)</f>
        <v/>
      </c>
      <c r="X41" s="55" t="str">
        <f t="array" ref="X41">_xlfn.XLOOKUP(B41,'Up Max'!A:A,'Up Max'!F:F,)</f>
        <v/>
      </c>
      <c r="Y41" s="57" t="str">
        <f t="array" ref="Y41">_xlfn.XLOOKUP(B41,'Up Stats'!A:A,'Up Stats'!G:G,)</f>
        <v/>
      </c>
      <c r="Z41" s="54" t="str">
        <f>IFERROR(__xludf.DUMMYFUNCTION("if(AND(AA41=FALSE,AB41=FALSE),,if(AA41=AB41,JOIN("""",""Static: "",AA41),JOIN("""",""Min:  "",AA41, CHAR(10),""Max: "",AB41)))"),"")</f>
        <v/>
      </c>
      <c r="AA41" s="55" t="str">
        <f t="array" ref="AA41">_xlfn.XLOOKUP(B41,'Up Min'!A:A,'Up Min'!G:G,)</f>
        <v/>
      </c>
      <c r="AB41" s="55" t="str">
        <f t="array" ref="AB41">_xlfn.XLOOKUP(B41,'Up Max'!A:A,'Up Max'!G:G,)</f>
        <v/>
      </c>
      <c r="AC41" s="57" t="str">
        <f t="array" ref="AC41">_xlfn.XLOOKUP(B41,'Up Stats'!A:A,'Up Stats'!H:H,)</f>
        <v/>
      </c>
      <c r="AD41" s="54" t="str">
        <f>IFERROR(__xludf.DUMMYFUNCTION("if(AND(AE41=FALSE,AF41=FALSE),,if(AE41=AF41,JOIN("""",""Static: "",AE41),JOIN("""",""Min:  "",AE41, CHAR(10),""Max: "",AF41)))"),"")</f>
        <v/>
      </c>
      <c r="AE41" s="55" t="str">
        <f t="array" ref="AE41">_xlfn.XLOOKUP(B41,'Up Min'!A:A,'Up Min'!H:H,)</f>
        <v/>
      </c>
      <c r="AF41" s="55" t="str">
        <f t="array" ref="AF41">_xlfn.XLOOKUP(B41,'Up Max'!A:A,'Up Max'!H:H,)</f>
        <v/>
      </c>
      <c r="AG41" s="57" t="str">
        <f t="array" ref="AG41">_xlfn.XLOOKUP(B41,'Up Stats'!A:A,'Up Stats'!I:I,)</f>
        <v/>
      </c>
      <c r="AH41" s="54" t="str">
        <f>IFERROR(__xludf.DUMMYFUNCTION("if(AND(AI41=FALSE,AJ41=FALSE),,if(AI41=AJ41,JOIN("""",""Static: "",AI41),JOIN("""",""Min:  "",AI41, CHAR(10),""Max: "",AJ41)))"),"")</f>
        <v/>
      </c>
      <c r="AI41" s="55" t="str">
        <f t="array" ref="AI41">_xlfn.XLOOKUP(B41,'Up Min'!A:A,'Up Min'!I:I,)</f>
        <v/>
      </c>
      <c r="AJ41" s="55" t="str">
        <f t="array" ref="AJ41">_xlfn.XLOOKUP(B41,'Up Max'!A:A,'Up Max'!I:I,)</f>
        <v/>
      </c>
      <c r="AK41" s="57" t="str">
        <f t="array" ref="AK41">_xlfn.XLOOKUP(B41,'Up Stats'!A:A,'Up Stats'!J:J,)</f>
        <v/>
      </c>
      <c r="AL41" s="54" t="str">
        <f>IFERROR(__xludf.DUMMYFUNCTION("if(AND(AM41=FALSE,AN41=FALSE),,if(AM41=AN41,JOIN("""",""Static: "",AM41),JOIN("""",""Min:  "",AM41, CHAR(10),""Max: "",AN41)))"),"")</f>
        <v/>
      </c>
      <c r="AM41" s="55" t="str">
        <f t="array" ref="AM41">_xlfn.XLOOKUP(B41,'Up Min'!A:A,'Up Min'!J:J,)</f>
        <v/>
      </c>
      <c r="AN41" s="55" t="str">
        <f t="array" ref="AN41">_xlfn.XLOOKUP(B41,'Up Max'!A:A,'Up Max'!J:J,)</f>
        <v/>
      </c>
      <c r="AO41" s="51" t="s">
        <v>30</v>
      </c>
      <c r="AP41" s="51" t="str">
        <f t="array" ref="AP41">CONCATENATE(_xlfn.XLOOKUP(B41,'Up Rarity'!A:A,'Up Rarity'!B:B,),CHAR(10),"-")</f>
        <v>
-</v>
      </c>
    </row>
    <row r="42">
      <c r="A42" s="87" t="str">
        <f t="array" ref="A42">_xlfn.XLOOKUP(B42,'Up Icon'!A:A,'Up Icon'!B:B,)</f>
        <v/>
      </c>
      <c r="B42" s="58" t="str">
        <f t="array" ref="B42">HYPERLINK(_xlfn.XLOOKUP('Up Names'!I42,'Up Wiki'!A:A,'Up Wiki'!B:B,),'Up Names'!I42)</f>
        <v/>
      </c>
      <c r="C42" s="37" t="str">
        <f t="array" ref="C42">_xlfn.XLOOKUP(B42,'Up Desc'!A:A,'Up Desc'!B:B,)</f>
        <v/>
      </c>
      <c r="D42" s="37" t="str">
        <f t="array" ref="D42">_xlfn.XLOOKUP(B42,'Up Turbo'!A:A,'Up Turbo'!B:B,)</f>
        <v/>
      </c>
      <c r="E42" s="39" t="str">
        <f t="array" ref="E42">_xlfn.XLOOKUP(B42,'Up Stats'!A:A,'Up Stats'!B:B,)</f>
        <v/>
      </c>
      <c r="F42" s="40" t="str">
        <f>IFERROR(__xludf.DUMMYFUNCTION("if(AND(G42=FALSE,H42=FALSE),,if(G42=H42,JOIN("""",""Static: "",G42),JOIN("""",""Min:  "",G42, CHAR(10),""Max: "",H42)))"),"")</f>
        <v/>
      </c>
      <c r="G42" s="42" t="str">
        <f t="array" ref="G42">_xlfn.XLOOKUP(B42,'Up Min'!A:A,'Up Min'!B:B,)</f>
        <v/>
      </c>
      <c r="H42" s="45" t="str">
        <f t="array" ref="H42">_xlfn.XLOOKUP(B42,'Up Max'!A:A,'Up Max'!B:B,)</f>
        <v/>
      </c>
      <c r="I42" s="39" t="str">
        <f t="array" ref="I42">_xlfn.XLOOKUP(B42,'Up Stats'!A:A,'Up Stats'!C:C,)</f>
        <v/>
      </c>
      <c r="J42" s="40" t="str">
        <f>IFERROR(__xludf.DUMMYFUNCTION("if(AND(K42=FALSE,L42=FALSE),,if(K42=L42,JOIN("""",""Static: "",K42),JOIN("""",""Min:  "",K42, CHAR(10),""Max: "",L42)))"),"")</f>
        <v/>
      </c>
      <c r="K42" s="45" t="str">
        <f t="array" ref="K42">_xlfn.XLOOKUP(B42,'Up Min'!A:A,'Up Min'!C:C,)</f>
        <v/>
      </c>
      <c r="L42" s="42" t="str">
        <f t="array" ref="L42">_xlfn.XLOOKUP(B42,'Up Max'!A:A,'Up Max'!C:C,)</f>
        <v/>
      </c>
      <c r="M42" s="39" t="str">
        <f t="array" ref="M42">_xlfn.XLOOKUP(B42,'Up Stats'!A:A,'Up Stats'!D:D,)</f>
        <v/>
      </c>
      <c r="N42" s="40" t="str">
        <f>IFERROR(__xludf.DUMMYFUNCTION("if(AND(O42=FALSE,P42=FALSE),,if(O42=P42,JOIN("""",""Static: "",O42),JOIN("""",""Min:  "",O42, CHAR(10),""Max: "",P42)))"),"")</f>
        <v/>
      </c>
      <c r="O42" s="42" t="str">
        <f t="array" ref="O42">_xlfn.XLOOKUP(B42,'Up Min'!A:A,'Up Min'!D:D,)</f>
        <v/>
      </c>
      <c r="P42" s="42" t="str">
        <f t="array" ref="P42">_xlfn.XLOOKUP(B42,'Up Max'!A:A,'Up Max'!D:D,)</f>
        <v/>
      </c>
      <c r="Q42" s="48" t="str">
        <f t="array" ref="Q42">_xlfn.XLOOKUP(B42,'Up Stats'!A:A,'Up Stats'!E:E,)</f>
        <v/>
      </c>
      <c r="R42" s="40" t="str">
        <f>IFERROR(__xludf.DUMMYFUNCTION("if(AND(S42=FALSE,T42=FALSE),,if(S42=T42,JOIN("""",""Static: "",S42),JOIN("""",""Min:  "",S42, CHAR(10),""Max: "",T42)))"),"")</f>
        <v/>
      </c>
      <c r="S42" s="42" t="str">
        <f t="array" ref="S42">_xlfn.XLOOKUP(B42,'Up Min'!A:A,'Up Min'!E:E,)</f>
        <v/>
      </c>
      <c r="T42" s="42" t="str">
        <f t="array" ref="T42">_xlfn.XLOOKUP(B42,'Up Max'!A:A,'Up Max'!E:E,)</f>
        <v/>
      </c>
      <c r="U42" s="48" t="str">
        <f t="array" ref="U42">_xlfn.XLOOKUP(B42,'Up Stats'!A:A,'Up Stats'!F:F,)</f>
        <v/>
      </c>
      <c r="V42" s="40" t="str">
        <f>IFERROR(__xludf.DUMMYFUNCTION("if(AND(W42=FALSE,X42=FALSE),,if(W42=X42,JOIN("""",""Static: "",W42),JOIN("""",""Min:  "",W42, CHAR(10),""Max: "",X42)))"),"")</f>
        <v/>
      </c>
      <c r="W42" s="42" t="str">
        <f t="array" ref="W42">_xlfn.XLOOKUP(B42,'Up Min'!A:A,'Up Min'!F:F,)</f>
        <v/>
      </c>
      <c r="X42" s="42" t="str">
        <f t="array" ref="X42">_xlfn.XLOOKUP(B42,'Up Max'!A:A,'Up Max'!F:F,)</f>
        <v/>
      </c>
      <c r="Y42" s="48" t="str">
        <f t="array" ref="Y42">_xlfn.XLOOKUP(B42,'Up Stats'!A:A,'Up Stats'!G:G,)</f>
        <v/>
      </c>
      <c r="Z42" s="40" t="str">
        <f>IFERROR(__xludf.DUMMYFUNCTION("if(AND(AA42=FALSE,AB42=FALSE),,if(AA42=AB42,JOIN("""",""Static: "",AA42),JOIN("""",""Min:  "",AA42, CHAR(10),""Max: "",AB42)))"),"")</f>
        <v/>
      </c>
      <c r="AA42" s="42" t="str">
        <f t="array" ref="AA42">_xlfn.XLOOKUP(B42,'Up Min'!A:A,'Up Min'!G:G,)</f>
        <v/>
      </c>
      <c r="AB42" s="42" t="str">
        <f t="array" ref="AB42">_xlfn.XLOOKUP(B42,'Up Max'!A:A,'Up Max'!G:G,)</f>
        <v/>
      </c>
      <c r="AC42" s="48" t="str">
        <f t="array" ref="AC42">_xlfn.XLOOKUP(B42,'Up Stats'!A:A,'Up Stats'!H:H,)</f>
        <v/>
      </c>
      <c r="AD42" s="40" t="str">
        <f>IFERROR(__xludf.DUMMYFUNCTION("if(AND(AE42=FALSE,AF42=FALSE),,if(AE42=AF42,JOIN("""",""Static: "",AE42),JOIN("""",""Min:  "",AE42, CHAR(10),""Max: "",AF42)))"),"")</f>
        <v/>
      </c>
      <c r="AE42" s="42" t="str">
        <f t="array" ref="AE42">_xlfn.XLOOKUP(B42,'Up Min'!A:A,'Up Min'!H:H,)</f>
        <v/>
      </c>
      <c r="AF42" s="42" t="str">
        <f t="array" ref="AF42">_xlfn.XLOOKUP(B42,'Up Max'!A:A,'Up Max'!H:H,)</f>
        <v/>
      </c>
      <c r="AG42" s="48" t="str">
        <f t="array" ref="AG42">_xlfn.XLOOKUP(B42,'Up Stats'!A:A,'Up Stats'!I:I,)</f>
        <v/>
      </c>
      <c r="AH42" s="40" t="str">
        <f>IFERROR(__xludf.DUMMYFUNCTION("if(AND(AI42=FALSE,AJ42=FALSE),,if(AI42=AJ42,JOIN("""",""Static: "",AI42),JOIN("""",""Min:  "",AI42, CHAR(10),""Max: "",AJ42)))"),"")</f>
        <v/>
      </c>
      <c r="AI42" s="42" t="str">
        <f t="array" ref="AI42">_xlfn.XLOOKUP(B42,'Up Min'!A:A,'Up Min'!I:I,)</f>
        <v/>
      </c>
      <c r="AJ42" s="42" t="str">
        <f t="array" ref="AJ42">_xlfn.XLOOKUP(B42,'Up Max'!A:A,'Up Max'!I:I,)</f>
        <v/>
      </c>
      <c r="AK42" s="48" t="str">
        <f t="array" ref="AK42">_xlfn.XLOOKUP(B42,'Up Stats'!A:A,'Up Stats'!J:J,)</f>
        <v/>
      </c>
      <c r="AL42" s="40" t="str">
        <f>IFERROR(__xludf.DUMMYFUNCTION("if(AND(AM42=FALSE,AN42=FALSE),,if(AM42=AN42,JOIN("""",""Static: "",AM42),JOIN("""",""Min:  "",AM42, CHAR(10),""Max: "",AN42)))"),"")</f>
        <v/>
      </c>
      <c r="AM42" s="42" t="str">
        <f t="array" ref="AM42">_xlfn.XLOOKUP(B42,'Up Min'!A:A,'Up Min'!J:J,)</f>
        <v/>
      </c>
      <c r="AN42" s="42" t="str">
        <f t="array" ref="AN42">_xlfn.XLOOKUP(B42,'Up Max'!A:A,'Up Max'!J:J,)</f>
        <v/>
      </c>
      <c r="AO42" s="34" t="s">
        <v>30</v>
      </c>
      <c r="AP42" s="34" t="str">
        <f t="array" ref="AP42">CONCATENATE(_xlfn.XLOOKUP(B42,'Up Rarity'!A:A,'Up Rarity'!B:B,),CHAR(10),"-")</f>
        <v>
-</v>
      </c>
    </row>
    <row r="43">
      <c r="A43" s="86" t="str">
        <f t="array" ref="A43">_xlfn.XLOOKUP(B43,'Up Icon'!A:A,'Up Icon'!B:B,)</f>
        <v/>
      </c>
      <c r="B43" s="61" t="str">
        <f t="array" ref="B43">HYPERLINK(_xlfn.XLOOKUP('Up Names'!I43,'Up Wiki'!A:A,'Up Wiki'!B:B,),'Up Names'!I43)</f>
        <v/>
      </c>
      <c r="C43" s="52" t="str">
        <f t="array" ref="C43">_xlfn.XLOOKUP(B43,'Up Desc'!A:A,'Up Desc'!B:B,)</f>
        <v/>
      </c>
      <c r="D43" s="52" t="str">
        <f t="array" ref="D43">_xlfn.XLOOKUP(B43,'Up Turbo'!A:A,'Up Turbo'!B:B,)</f>
        <v/>
      </c>
      <c r="E43" s="53" t="str">
        <f t="array" ref="E43">_xlfn.XLOOKUP(B43,'Up Stats'!A:A,'Up Stats'!B:B,)</f>
        <v/>
      </c>
      <c r="F43" s="54" t="str">
        <f>IFERROR(__xludf.DUMMYFUNCTION("if(AND(G43=FALSE,H43=FALSE),,if(G43=H43,JOIN("""",""Static: "",G43),JOIN("""",""Min:  "",G43, CHAR(10),""Max: "",H43)))"),"")</f>
        <v/>
      </c>
      <c r="G43" s="55" t="str">
        <f t="array" ref="G43">_xlfn.XLOOKUP(B43,'Up Min'!A:A,'Up Min'!B:B,)</f>
        <v/>
      </c>
      <c r="H43" s="56" t="str">
        <f t="array" ref="H43">_xlfn.XLOOKUP(B43,'Up Max'!A:A,'Up Max'!B:B,)</f>
        <v/>
      </c>
      <c r="I43" s="53" t="str">
        <f t="array" ref="I43">_xlfn.XLOOKUP(B43,'Up Stats'!A:A,'Up Stats'!C:C,)</f>
        <v/>
      </c>
      <c r="J43" s="54" t="str">
        <f>IFERROR(__xludf.DUMMYFUNCTION("if(AND(K43=FALSE,L43=FALSE),,if(K43=L43,JOIN("""",""Static: "",K43),JOIN("""",""Min:  "",K43, CHAR(10),""Max: "",L43)))"),"")</f>
        <v/>
      </c>
      <c r="K43" s="56" t="str">
        <f t="array" ref="K43">_xlfn.XLOOKUP(B43,'Up Min'!A:A,'Up Min'!C:C,)</f>
        <v/>
      </c>
      <c r="L43" s="55" t="str">
        <f t="array" ref="L43">_xlfn.XLOOKUP(B43,'Up Max'!A:A,'Up Max'!C:C,)</f>
        <v/>
      </c>
      <c r="M43" s="53" t="str">
        <f t="array" ref="M43">_xlfn.XLOOKUP(B43,'Up Stats'!A:A,'Up Stats'!D:D,)</f>
        <v/>
      </c>
      <c r="N43" s="54" t="str">
        <f>IFERROR(__xludf.DUMMYFUNCTION("if(AND(O43=FALSE,P43=FALSE),,if(O43=P43,JOIN("""",""Static: "",O43),JOIN("""",""Min:  "",O43, CHAR(10),""Max: "",P43)))"),"")</f>
        <v/>
      </c>
      <c r="O43" s="55" t="str">
        <f t="array" ref="O43">_xlfn.XLOOKUP(B43,'Up Min'!A:A,'Up Min'!D:D,)</f>
        <v/>
      </c>
      <c r="P43" s="55" t="str">
        <f t="array" ref="P43">_xlfn.XLOOKUP(B43,'Up Max'!A:A,'Up Max'!D:D,)</f>
        <v/>
      </c>
      <c r="Q43" s="57" t="str">
        <f t="array" ref="Q43">_xlfn.XLOOKUP(B43,'Up Stats'!A:A,'Up Stats'!E:E,)</f>
        <v/>
      </c>
      <c r="R43" s="54" t="str">
        <f>IFERROR(__xludf.DUMMYFUNCTION("if(AND(S43=FALSE,T43=FALSE),,if(S43=T43,JOIN("""",""Static: "",S43),JOIN("""",""Min:  "",S43, CHAR(10),""Max: "",T43)))"),"")</f>
        <v/>
      </c>
      <c r="S43" s="55" t="str">
        <f t="array" ref="S43">_xlfn.XLOOKUP(B43,'Up Min'!A:A,'Up Min'!E:E,)</f>
        <v/>
      </c>
      <c r="T43" s="55" t="str">
        <f t="array" ref="T43">_xlfn.XLOOKUP(B43,'Up Max'!A:A,'Up Max'!E:E,)</f>
        <v/>
      </c>
      <c r="U43" s="57" t="str">
        <f t="array" ref="U43">_xlfn.XLOOKUP(B43,'Up Stats'!A:A,'Up Stats'!F:F,)</f>
        <v/>
      </c>
      <c r="V43" s="54" t="str">
        <f>IFERROR(__xludf.DUMMYFUNCTION("if(AND(W43=FALSE,X43=FALSE),,if(W43=X43,JOIN("""",""Static: "",W43),JOIN("""",""Min:  "",W43, CHAR(10),""Max: "",X43)))"),"")</f>
        <v/>
      </c>
      <c r="W43" s="55" t="str">
        <f t="array" ref="W43">_xlfn.XLOOKUP(B43,'Up Min'!A:A,'Up Min'!F:F,)</f>
        <v/>
      </c>
      <c r="X43" s="55" t="str">
        <f t="array" ref="X43">_xlfn.XLOOKUP(B43,'Up Max'!A:A,'Up Max'!F:F,)</f>
        <v/>
      </c>
      <c r="Y43" s="57" t="str">
        <f t="array" ref="Y43">_xlfn.XLOOKUP(B43,'Up Stats'!A:A,'Up Stats'!G:G,)</f>
        <v/>
      </c>
      <c r="Z43" s="54" t="str">
        <f>IFERROR(__xludf.DUMMYFUNCTION("if(AND(AA43=FALSE,AB43=FALSE),,if(AA43=AB43,JOIN("""",""Static: "",AA43),JOIN("""",""Min:  "",AA43, CHAR(10),""Max: "",AB43)))"),"")</f>
        <v/>
      </c>
      <c r="AA43" s="55" t="str">
        <f t="array" ref="AA43">_xlfn.XLOOKUP(B43,'Up Min'!A:A,'Up Min'!G:G,)</f>
        <v/>
      </c>
      <c r="AB43" s="55" t="str">
        <f t="array" ref="AB43">_xlfn.XLOOKUP(B43,'Up Max'!A:A,'Up Max'!G:G,)</f>
        <v/>
      </c>
      <c r="AC43" s="57" t="str">
        <f t="array" ref="AC43">_xlfn.XLOOKUP(B43,'Up Stats'!A:A,'Up Stats'!H:H,)</f>
        <v/>
      </c>
      <c r="AD43" s="54" t="str">
        <f>IFERROR(__xludf.DUMMYFUNCTION("if(AND(AE43=FALSE,AF43=FALSE),,if(AE43=AF43,JOIN("""",""Static: "",AE43),JOIN("""",""Min:  "",AE43, CHAR(10),""Max: "",AF43)))"),"")</f>
        <v/>
      </c>
      <c r="AE43" s="55" t="str">
        <f t="array" ref="AE43">_xlfn.XLOOKUP(B43,'Up Min'!A:A,'Up Min'!H:H,)</f>
        <v/>
      </c>
      <c r="AF43" s="55" t="str">
        <f t="array" ref="AF43">_xlfn.XLOOKUP(B43,'Up Max'!A:A,'Up Max'!H:H,)</f>
        <v/>
      </c>
      <c r="AG43" s="57" t="str">
        <f t="array" ref="AG43">_xlfn.XLOOKUP(B43,'Up Stats'!A:A,'Up Stats'!I:I,)</f>
        <v/>
      </c>
      <c r="AH43" s="54" t="str">
        <f>IFERROR(__xludf.DUMMYFUNCTION("if(AND(AI43=FALSE,AJ43=FALSE),,if(AI43=AJ43,JOIN("""",""Static: "",AI43),JOIN("""",""Min:  "",AI43, CHAR(10),""Max: "",AJ43)))"),"")</f>
        <v/>
      </c>
      <c r="AI43" s="55" t="str">
        <f t="array" ref="AI43">_xlfn.XLOOKUP(B43,'Up Min'!A:A,'Up Min'!I:I,)</f>
        <v/>
      </c>
      <c r="AJ43" s="55" t="str">
        <f t="array" ref="AJ43">_xlfn.XLOOKUP(B43,'Up Max'!A:A,'Up Max'!I:I,)</f>
        <v/>
      </c>
      <c r="AK43" s="57" t="str">
        <f t="array" ref="AK43">_xlfn.XLOOKUP(B43,'Up Stats'!A:A,'Up Stats'!J:J,)</f>
        <v/>
      </c>
      <c r="AL43" s="54" t="str">
        <f>IFERROR(__xludf.DUMMYFUNCTION("if(AND(AM43=FALSE,AN43=FALSE),,if(AM43=AN43,JOIN("""",""Static: "",AM43),JOIN("""",""Min:  "",AM43, CHAR(10),""Max: "",AN43)))"),"")</f>
        <v/>
      </c>
      <c r="AM43" s="55" t="str">
        <f t="array" ref="AM43">_xlfn.XLOOKUP(B43,'Up Min'!A:A,'Up Min'!J:J,)</f>
        <v/>
      </c>
      <c r="AN43" s="55" t="str">
        <f t="array" ref="AN43">_xlfn.XLOOKUP(B43,'Up Max'!A:A,'Up Max'!J:J,)</f>
        <v/>
      </c>
      <c r="AO43" s="51" t="s">
        <v>30</v>
      </c>
      <c r="AP43" s="51" t="str">
        <f t="array" ref="AP43">CONCATENATE(_xlfn.XLOOKUP(B43,'Up Rarity'!A:A,'Up Rarity'!B:B,),CHAR(10),"-")</f>
        <v>
-</v>
      </c>
    </row>
    <row r="44">
      <c r="A44" s="87" t="str">
        <f t="array" ref="A44">_xlfn.XLOOKUP(B44,'Up Icon'!A:A,'Up Icon'!B:B,)</f>
        <v/>
      </c>
      <c r="B44" s="58" t="str">
        <f t="array" ref="B44">HYPERLINK(_xlfn.XLOOKUP('Up Names'!I44,'Up Wiki'!A:A,'Up Wiki'!B:B,),'Up Names'!I44)</f>
        <v/>
      </c>
      <c r="C44" s="37" t="str">
        <f t="array" ref="C44">_xlfn.XLOOKUP(B44,'Up Desc'!A:A,'Up Desc'!B:B,)</f>
        <v/>
      </c>
      <c r="D44" s="37" t="str">
        <f t="array" ref="D44">_xlfn.XLOOKUP(B44,'Up Turbo'!A:A,'Up Turbo'!B:B,)</f>
        <v/>
      </c>
      <c r="E44" s="39" t="str">
        <f t="array" ref="E44">_xlfn.XLOOKUP(B44,'Up Stats'!A:A,'Up Stats'!B:B,)</f>
        <v/>
      </c>
      <c r="F44" s="40" t="str">
        <f>IFERROR(__xludf.DUMMYFUNCTION("if(AND(G44=FALSE,H44=FALSE),,if(G44=H44,JOIN("""",""Static: "",G44),JOIN("""",""Min:  "",G44, CHAR(10),""Max: "",H44)))"),"")</f>
        <v/>
      </c>
      <c r="G44" s="42" t="str">
        <f t="array" ref="G44">_xlfn.XLOOKUP(B44,'Up Min'!A:A,'Up Min'!B:B,)</f>
        <v/>
      </c>
      <c r="H44" s="45" t="str">
        <f t="array" ref="H44">_xlfn.XLOOKUP(B44,'Up Max'!A:A,'Up Max'!B:B,)</f>
        <v/>
      </c>
      <c r="I44" s="39" t="str">
        <f t="array" ref="I44">_xlfn.XLOOKUP(B44,'Up Stats'!A:A,'Up Stats'!C:C,)</f>
        <v/>
      </c>
      <c r="J44" s="40" t="str">
        <f>IFERROR(__xludf.DUMMYFUNCTION("if(AND(K44=FALSE,L44=FALSE),,if(K44=L44,JOIN("""",""Static: "",K44),JOIN("""",""Min:  "",K44, CHAR(10),""Max: "",L44)))"),"")</f>
        <v/>
      </c>
      <c r="K44" s="45" t="str">
        <f t="array" ref="K44">_xlfn.XLOOKUP(B44,'Up Min'!A:A,'Up Min'!C:C,)</f>
        <v/>
      </c>
      <c r="L44" s="42" t="str">
        <f t="array" ref="L44">_xlfn.XLOOKUP(B44,'Up Max'!A:A,'Up Max'!C:C,)</f>
        <v/>
      </c>
      <c r="M44" s="39" t="str">
        <f t="array" ref="M44">_xlfn.XLOOKUP(B44,'Up Stats'!A:A,'Up Stats'!D:D,)</f>
        <v/>
      </c>
      <c r="N44" s="40" t="str">
        <f>IFERROR(__xludf.DUMMYFUNCTION("if(AND(O44=FALSE,P44=FALSE),,if(O44=P44,JOIN("""",""Static: "",O44),JOIN("""",""Min:  "",O44, CHAR(10),""Max: "",P44)))"),"")</f>
        <v/>
      </c>
      <c r="O44" s="42" t="str">
        <f t="array" ref="O44">_xlfn.XLOOKUP(B44,'Up Min'!A:A,'Up Min'!D:D,)</f>
        <v/>
      </c>
      <c r="P44" s="42" t="str">
        <f t="array" ref="P44">_xlfn.XLOOKUP(B44,'Up Max'!A:A,'Up Max'!D:D,)</f>
        <v/>
      </c>
      <c r="Q44" s="48" t="str">
        <f t="array" ref="Q44">_xlfn.XLOOKUP(B44,'Up Stats'!A:A,'Up Stats'!E:E,)</f>
        <v/>
      </c>
      <c r="R44" s="40" t="str">
        <f>IFERROR(__xludf.DUMMYFUNCTION("if(AND(S44=FALSE,T44=FALSE),,if(S44=T44,JOIN("""",""Static: "",S44),JOIN("""",""Min:  "",S44, CHAR(10),""Max: "",T44)))"),"")</f>
        <v/>
      </c>
      <c r="S44" s="42" t="str">
        <f t="array" ref="S44">_xlfn.XLOOKUP(B44,'Up Min'!A:A,'Up Min'!E:E,)</f>
        <v/>
      </c>
      <c r="T44" s="42" t="str">
        <f t="array" ref="T44">_xlfn.XLOOKUP(B44,'Up Max'!A:A,'Up Max'!E:E,)</f>
        <v/>
      </c>
      <c r="U44" s="48" t="str">
        <f t="array" ref="U44">_xlfn.XLOOKUP(B44,'Up Stats'!A:A,'Up Stats'!F:F,)</f>
        <v/>
      </c>
      <c r="V44" s="40" t="str">
        <f>IFERROR(__xludf.DUMMYFUNCTION("if(AND(W44=FALSE,X44=FALSE),,if(W44=X44,JOIN("""",""Static: "",W44),JOIN("""",""Min:  "",W44, CHAR(10),""Max: "",X44)))"),"")</f>
        <v/>
      </c>
      <c r="W44" s="42" t="str">
        <f t="array" ref="W44">_xlfn.XLOOKUP(B44,'Up Min'!A:A,'Up Min'!F:F,)</f>
        <v/>
      </c>
      <c r="X44" s="42" t="str">
        <f t="array" ref="X44">_xlfn.XLOOKUP(B44,'Up Max'!A:A,'Up Max'!F:F,)</f>
        <v/>
      </c>
      <c r="Y44" s="48" t="str">
        <f t="array" ref="Y44">_xlfn.XLOOKUP(B44,'Up Stats'!A:A,'Up Stats'!G:G,)</f>
        <v/>
      </c>
      <c r="Z44" s="40" t="str">
        <f>IFERROR(__xludf.DUMMYFUNCTION("if(AND(AA44=FALSE,AB44=FALSE),,if(AA44=AB44,JOIN("""",""Static: "",AA44),JOIN("""",""Min:  "",AA44, CHAR(10),""Max: "",AB44)))"),"")</f>
        <v/>
      </c>
      <c r="AA44" s="42" t="str">
        <f t="array" ref="AA44">_xlfn.XLOOKUP(B44,'Up Min'!A:A,'Up Min'!G:G,)</f>
        <v/>
      </c>
      <c r="AB44" s="42" t="str">
        <f t="array" ref="AB44">_xlfn.XLOOKUP(B44,'Up Max'!A:A,'Up Max'!G:G,)</f>
        <v/>
      </c>
      <c r="AC44" s="48" t="str">
        <f t="array" ref="AC44">_xlfn.XLOOKUP(B44,'Up Stats'!A:A,'Up Stats'!H:H,)</f>
        <v/>
      </c>
      <c r="AD44" s="40" t="str">
        <f>IFERROR(__xludf.DUMMYFUNCTION("if(AND(AE44=FALSE,AF44=FALSE),,if(AE44=AF44,JOIN("""",""Static: "",AE44),JOIN("""",""Min:  "",AE44, CHAR(10),""Max: "",AF44)))"),"")</f>
        <v/>
      </c>
      <c r="AE44" s="42" t="str">
        <f t="array" ref="AE44">_xlfn.XLOOKUP(B44,'Up Min'!A:A,'Up Min'!H:H,)</f>
        <v/>
      </c>
      <c r="AF44" s="42" t="str">
        <f t="array" ref="AF44">_xlfn.XLOOKUP(B44,'Up Max'!A:A,'Up Max'!H:H,)</f>
        <v/>
      </c>
      <c r="AG44" s="48" t="str">
        <f t="array" ref="AG44">_xlfn.XLOOKUP(B44,'Up Stats'!A:A,'Up Stats'!I:I,)</f>
        <v/>
      </c>
      <c r="AH44" s="40" t="str">
        <f>IFERROR(__xludf.DUMMYFUNCTION("if(AND(AI44=FALSE,AJ44=FALSE),,if(AI44=AJ44,JOIN("""",""Static: "",AI44),JOIN("""",""Min:  "",AI44, CHAR(10),""Max: "",AJ44)))"),"")</f>
        <v/>
      </c>
      <c r="AI44" s="42" t="str">
        <f t="array" ref="AI44">_xlfn.XLOOKUP(B44,'Up Min'!A:A,'Up Min'!I:I,)</f>
        <v/>
      </c>
      <c r="AJ44" s="42" t="str">
        <f t="array" ref="AJ44">_xlfn.XLOOKUP(B44,'Up Max'!A:A,'Up Max'!I:I,)</f>
        <v/>
      </c>
      <c r="AK44" s="48" t="str">
        <f t="array" ref="AK44">_xlfn.XLOOKUP(B44,'Up Stats'!A:A,'Up Stats'!J:J,)</f>
        <v/>
      </c>
      <c r="AL44" s="40" t="str">
        <f>IFERROR(__xludf.DUMMYFUNCTION("if(AND(AM44=FALSE,AN44=FALSE),,if(AM44=AN44,JOIN("""",""Static: "",AM44),JOIN("""",""Min:  "",AM44, CHAR(10),""Max: "",AN44)))"),"")</f>
        <v/>
      </c>
      <c r="AM44" s="42" t="str">
        <f t="array" ref="AM44">_xlfn.XLOOKUP(B44,'Up Min'!A:A,'Up Min'!J:J,)</f>
        <v/>
      </c>
      <c r="AN44" s="42" t="str">
        <f t="array" ref="AN44">_xlfn.XLOOKUP(B44,'Up Max'!A:A,'Up Max'!J:J,)</f>
        <v/>
      </c>
      <c r="AO44" s="34" t="s">
        <v>30</v>
      </c>
      <c r="AP44" s="34" t="str">
        <f t="array" ref="AP44">CONCATENATE(_xlfn.XLOOKUP(B44,'Up Rarity'!A:A,'Up Rarity'!B:B,),CHAR(10),"-")</f>
        <v>
-</v>
      </c>
    </row>
    <row r="45">
      <c r="A45" s="86" t="str">
        <f t="array" ref="A45">_xlfn.XLOOKUP(B45,'Up Icon'!A:A,'Up Icon'!B:B,)</f>
        <v/>
      </c>
      <c r="B45" s="61" t="str">
        <f t="array" ref="B45">HYPERLINK(_xlfn.XLOOKUP('Up Names'!I45,'Up Wiki'!A:A,'Up Wiki'!B:B,),'Up Names'!I45)</f>
        <v/>
      </c>
      <c r="C45" s="52" t="str">
        <f t="array" ref="C45">_xlfn.XLOOKUP(B45,'Up Desc'!A:A,'Up Desc'!B:B,)</f>
        <v/>
      </c>
      <c r="D45" s="52" t="str">
        <f t="array" ref="D45">_xlfn.XLOOKUP(B45,'Up Turbo'!A:A,'Up Turbo'!B:B,)</f>
        <v/>
      </c>
      <c r="E45" s="53" t="str">
        <f t="array" ref="E45">_xlfn.XLOOKUP(B45,'Up Stats'!A:A,'Up Stats'!B:B,)</f>
        <v/>
      </c>
      <c r="F45" s="54" t="str">
        <f>IFERROR(__xludf.DUMMYFUNCTION("if(AND(G45=FALSE,H45=FALSE),,if(G45=H45,JOIN("""",""Static: "",G45),JOIN("""",""Min:  "",G45, CHAR(10),""Max: "",H45)))"),"")</f>
        <v/>
      </c>
      <c r="G45" s="55" t="str">
        <f t="array" ref="G45">_xlfn.XLOOKUP(B45,'Up Min'!A:A,'Up Min'!B:B,)</f>
        <v/>
      </c>
      <c r="H45" s="56" t="str">
        <f t="array" ref="H45">_xlfn.XLOOKUP(B45,'Up Max'!A:A,'Up Max'!B:B,)</f>
        <v/>
      </c>
      <c r="I45" s="53" t="str">
        <f t="array" ref="I45">_xlfn.XLOOKUP(B45,'Up Stats'!A:A,'Up Stats'!C:C,)</f>
        <v/>
      </c>
      <c r="J45" s="54" t="str">
        <f>IFERROR(__xludf.DUMMYFUNCTION("if(AND(K45=FALSE,L45=FALSE),,if(K45=L45,JOIN("""",""Static: "",K45),JOIN("""",""Min:  "",K45, CHAR(10),""Max: "",L45)))"),"")</f>
        <v/>
      </c>
      <c r="K45" s="56" t="str">
        <f t="array" ref="K45">_xlfn.XLOOKUP(B45,'Up Min'!A:A,'Up Min'!C:C,)</f>
        <v/>
      </c>
      <c r="L45" s="55" t="str">
        <f t="array" ref="L45">_xlfn.XLOOKUP(B45,'Up Max'!A:A,'Up Max'!C:C,)</f>
        <v/>
      </c>
      <c r="M45" s="53" t="str">
        <f t="array" ref="M45">_xlfn.XLOOKUP(B45,'Up Stats'!A:A,'Up Stats'!D:D,)</f>
        <v/>
      </c>
      <c r="N45" s="54" t="str">
        <f>IFERROR(__xludf.DUMMYFUNCTION("if(AND(O45=FALSE,P45=FALSE),,if(O45=P45,JOIN("""",""Static: "",O45),JOIN("""",""Min:  "",O45, CHAR(10),""Max: "",P45)))"),"")</f>
        <v/>
      </c>
      <c r="O45" s="55" t="str">
        <f t="array" ref="O45">_xlfn.XLOOKUP(B45,'Up Min'!A:A,'Up Min'!D:D,)</f>
        <v/>
      </c>
      <c r="P45" s="55" t="str">
        <f t="array" ref="P45">_xlfn.XLOOKUP(B45,'Up Max'!A:A,'Up Max'!D:D,)</f>
        <v/>
      </c>
      <c r="Q45" s="57" t="str">
        <f t="array" ref="Q45">_xlfn.XLOOKUP(B45,'Up Stats'!A:A,'Up Stats'!E:E,)</f>
        <v/>
      </c>
      <c r="R45" s="54" t="str">
        <f>IFERROR(__xludf.DUMMYFUNCTION("if(AND(S45=FALSE,T45=FALSE),,if(S45=T45,JOIN("""",""Static: "",S45),JOIN("""",""Min:  "",S45, CHAR(10),""Max: "",T45)))"),"")</f>
        <v/>
      </c>
      <c r="S45" s="55" t="str">
        <f t="array" ref="S45">_xlfn.XLOOKUP(B45,'Up Min'!A:A,'Up Min'!E:E,)</f>
        <v/>
      </c>
      <c r="T45" s="55" t="str">
        <f t="array" ref="T45">_xlfn.XLOOKUP(B45,'Up Max'!A:A,'Up Max'!E:E,)</f>
        <v/>
      </c>
      <c r="U45" s="57" t="str">
        <f t="array" ref="U45">_xlfn.XLOOKUP(B45,'Up Stats'!A:A,'Up Stats'!F:F,)</f>
        <v/>
      </c>
      <c r="V45" s="54" t="str">
        <f>IFERROR(__xludf.DUMMYFUNCTION("if(AND(W45=FALSE,X45=FALSE),,if(W45=X45,JOIN("""",""Static: "",W45),JOIN("""",""Min:  "",W45, CHAR(10),""Max: "",X45)))"),"")</f>
        <v/>
      </c>
      <c r="W45" s="55" t="str">
        <f t="array" ref="W45">_xlfn.XLOOKUP(B45,'Up Min'!A:A,'Up Min'!F:F,)</f>
        <v/>
      </c>
      <c r="X45" s="55" t="str">
        <f t="array" ref="X45">_xlfn.XLOOKUP(B45,'Up Max'!A:A,'Up Max'!F:F,)</f>
        <v/>
      </c>
      <c r="Y45" s="57" t="str">
        <f t="array" ref="Y45">_xlfn.XLOOKUP(B45,'Up Stats'!A:A,'Up Stats'!G:G,)</f>
        <v/>
      </c>
      <c r="Z45" s="54" t="str">
        <f>IFERROR(__xludf.DUMMYFUNCTION("if(AND(AA45=FALSE,AB45=FALSE),,if(AA45=AB45,JOIN("""",""Static: "",AA45),JOIN("""",""Min:  "",AA45, CHAR(10),""Max: "",AB45)))"),"")</f>
        <v/>
      </c>
      <c r="AA45" s="55" t="str">
        <f t="array" ref="AA45">_xlfn.XLOOKUP(B45,'Up Min'!A:A,'Up Min'!G:G,)</f>
        <v/>
      </c>
      <c r="AB45" s="55" t="str">
        <f t="array" ref="AB45">_xlfn.XLOOKUP(B45,'Up Max'!A:A,'Up Max'!G:G,)</f>
        <v/>
      </c>
      <c r="AC45" s="57" t="str">
        <f t="array" ref="AC45">_xlfn.XLOOKUP(B45,'Up Stats'!A:A,'Up Stats'!H:H,)</f>
        <v/>
      </c>
      <c r="AD45" s="54" t="str">
        <f>IFERROR(__xludf.DUMMYFUNCTION("if(AND(AE45=FALSE,AF45=FALSE),,if(AE45=AF45,JOIN("""",""Static: "",AE45),JOIN("""",""Min:  "",AE45, CHAR(10),""Max: "",AF45)))"),"")</f>
        <v/>
      </c>
      <c r="AE45" s="55" t="str">
        <f t="array" ref="AE45">_xlfn.XLOOKUP(B45,'Up Min'!A:A,'Up Min'!H:H,)</f>
        <v/>
      </c>
      <c r="AF45" s="55" t="str">
        <f t="array" ref="AF45">_xlfn.XLOOKUP(B45,'Up Max'!A:A,'Up Max'!H:H,)</f>
        <v/>
      </c>
      <c r="AG45" s="57" t="str">
        <f t="array" ref="AG45">_xlfn.XLOOKUP(B45,'Up Stats'!A:A,'Up Stats'!I:I,)</f>
        <v/>
      </c>
      <c r="AH45" s="54" t="str">
        <f>IFERROR(__xludf.DUMMYFUNCTION("if(AND(AI45=FALSE,AJ45=FALSE),,if(AI45=AJ45,JOIN("""",""Static: "",AI45),JOIN("""",""Min:  "",AI45, CHAR(10),""Max: "",AJ45)))"),"")</f>
        <v/>
      </c>
      <c r="AI45" s="55" t="str">
        <f t="array" ref="AI45">_xlfn.XLOOKUP(B45,'Up Min'!A:A,'Up Min'!I:I,)</f>
        <v/>
      </c>
      <c r="AJ45" s="55" t="str">
        <f t="array" ref="AJ45">_xlfn.XLOOKUP(B45,'Up Max'!A:A,'Up Max'!I:I,)</f>
        <v/>
      </c>
      <c r="AK45" s="57" t="str">
        <f t="array" ref="AK45">_xlfn.XLOOKUP(B45,'Up Stats'!A:A,'Up Stats'!J:J,)</f>
        <v/>
      </c>
      <c r="AL45" s="54" t="str">
        <f>IFERROR(__xludf.DUMMYFUNCTION("if(AND(AM45=FALSE,AN45=FALSE),,if(AM45=AN45,JOIN("""",""Static: "",AM45),JOIN("""",""Min:  "",AM45, CHAR(10),""Max: "",AN45)))"),"")</f>
        <v/>
      </c>
      <c r="AM45" s="55" t="str">
        <f t="array" ref="AM45">_xlfn.XLOOKUP(B45,'Up Min'!A:A,'Up Min'!J:J,)</f>
        <v/>
      </c>
      <c r="AN45" s="55" t="str">
        <f t="array" ref="AN45">_xlfn.XLOOKUP(B45,'Up Max'!A:A,'Up Max'!J:J,)</f>
        <v/>
      </c>
      <c r="AO45" s="51" t="s">
        <v>30</v>
      </c>
      <c r="AP45" s="51" t="str">
        <f t="array" ref="AP45">CONCATENATE(_xlfn.XLOOKUP(B45,'Up Rarity'!A:A,'Up Rarity'!B:B,),CHAR(10),"-")</f>
        <v>
-</v>
      </c>
    </row>
    <row r="46">
      <c r="A46" s="87" t="str">
        <f t="array" ref="A46">_xlfn.XLOOKUP(B46,'Up Icon'!A:A,'Up Icon'!B:B,)</f>
        <v/>
      </c>
      <c r="B46" s="58" t="str">
        <f t="array" ref="B46">HYPERLINK(_xlfn.XLOOKUP('Up Names'!I46,'Up Wiki'!A:A,'Up Wiki'!B:B,),'Up Names'!I46)</f>
        <v/>
      </c>
      <c r="C46" s="37" t="str">
        <f t="array" ref="C46">_xlfn.XLOOKUP(B46,'Up Desc'!A:A,'Up Desc'!B:B,)</f>
        <v/>
      </c>
      <c r="D46" s="37" t="str">
        <f t="array" ref="D46">_xlfn.XLOOKUP(B46,'Up Turbo'!A:A,'Up Turbo'!B:B,)</f>
        <v/>
      </c>
      <c r="E46" s="39" t="str">
        <f t="array" ref="E46">_xlfn.XLOOKUP(B46,'Up Stats'!A:A,'Up Stats'!B:B,)</f>
        <v/>
      </c>
      <c r="F46" s="40" t="str">
        <f>IFERROR(__xludf.DUMMYFUNCTION("if(AND(G46=FALSE,H46=FALSE),,if(G46=H46,JOIN("""",""Static: "",G46),JOIN("""",""Min:  "",G46, CHAR(10),""Max: "",H46)))"),"")</f>
        <v/>
      </c>
      <c r="G46" s="42" t="str">
        <f t="array" ref="G46">_xlfn.XLOOKUP(B46,'Up Min'!A:A,'Up Min'!B:B,)</f>
        <v/>
      </c>
      <c r="H46" s="45" t="str">
        <f t="array" ref="H46">_xlfn.XLOOKUP(B46,'Up Max'!A:A,'Up Max'!B:B,)</f>
        <v/>
      </c>
      <c r="I46" s="39" t="str">
        <f t="array" ref="I46">_xlfn.XLOOKUP(B46,'Up Stats'!A:A,'Up Stats'!C:C,)</f>
        <v/>
      </c>
      <c r="J46" s="40" t="str">
        <f>IFERROR(__xludf.DUMMYFUNCTION("if(AND(K46=FALSE,L46=FALSE),,if(K46=L46,JOIN("""",""Static: "",K46),JOIN("""",""Min:  "",K46, CHAR(10),""Max: "",L46)))"),"")</f>
        <v/>
      </c>
      <c r="K46" s="45" t="str">
        <f t="array" ref="K46">_xlfn.XLOOKUP(B46,'Up Min'!A:A,'Up Min'!C:C,)</f>
        <v/>
      </c>
      <c r="L46" s="42" t="str">
        <f t="array" ref="L46">_xlfn.XLOOKUP(B46,'Up Max'!A:A,'Up Max'!C:C,)</f>
        <v/>
      </c>
      <c r="M46" s="39" t="str">
        <f t="array" ref="M46">_xlfn.XLOOKUP(B46,'Up Stats'!A:A,'Up Stats'!D:D,)</f>
        <v/>
      </c>
      <c r="N46" s="40" t="str">
        <f>IFERROR(__xludf.DUMMYFUNCTION("if(AND(O46=FALSE,P46=FALSE),,if(O46=P46,JOIN("""",""Static: "",O46),JOIN("""",""Min:  "",O46, CHAR(10),""Max: "",P46)))"),"")</f>
        <v/>
      </c>
      <c r="O46" s="42" t="str">
        <f t="array" ref="O46">_xlfn.XLOOKUP(B46,'Up Min'!A:A,'Up Min'!D:D,)</f>
        <v/>
      </c>
      <c r="P46" s="42" t="str">
        <f t="array" ref="P46">_xlfn.XLOOKUP(B46,'Up Max'!A:A,'Up Max'!D:D,)</f>
        <v/>
      </c>
      <c r="Q46" s="48" t="str">
        <f t="array" ref="Q46">_xlfn.XLOOKUP(B46,'Up Stats'!A:A,'Up Stats'!E:E,)</f>
        <v/>
      </c>
      <c r="R46" s="40" t="str">
        <f>IFERROR(__xludf.DUMMYFUNCTION("if(AND(S46=FALSE,T46=FALSE),,if(S46=T46,JOIN("""",""Static: "",S46),JOIN("""",""Min:  "",S46, CHAR(10),""Max: "",T46)))"),"")</f>
        <v/>
      </c>
      <c r="S46" s="42" t="str">
        <f t="array" ref="S46">_xlfn.XLOOKUP(B46,'Up Min'!A:A,'Up Min'!E:E,)</f>
        <v/>
      </c>
      <c r="T46" s="42" t="str">
        <f t="array" ref="T46">_xlfn.XLOOKUP(B46,'Up Max'!A:A,'Up Max'!E:E,)</f>
        <v/>
      </c>
      <c r="U46" s="48" t="str">
        <f t="array" ref="U46">_xlfn.XLOOKUP(B46,'Up Stats'!A:A,'Up Stats'!F:F,)</f>
        <v/>
      </c>
      <c r="V46" s="40" t="str">
        <f>IFERROR(__xludf.DUMMYFUNCTION("if(AND(W46=FALSE,X46=FALSE),,if(W46=X46,JOIN("""",""Static: "",W46),JOIN("""",""Min:  "",W46, CHAR(10),""Max: "",X46)))"),"")</f>
        <v/>
      </c>
      <c r="W46" s="42" t="str">
        <f t="array" ref="W46">_xlfn.XLOOKUP(B46,'Up Min'!A:A,'Up Min'!F:F,)</f>
        <v/>
      </c>
      <c r="X46" s="42" t="str">
        <f t="array" ref="X46">_xlfn.XLOOKUP(B46,'Up Max'!A:A,'Up Max'!F:F,)</f>
        <v/>
      </c>
      <c r="Y46" s="48" t="str">
        <f t="array" ref="Y46">_xlfn.XLOOKUP(B46,'Up Stats'!A:A,'Up Stats'!G:G,)</f>
        <v/>
      </c>
      <c r="Z46" s="40" t="str">
        <f>IFERROR(__xludf.DUMMYFUNCTION("if(AND(AA46=FALSE,AB46=FALSE),,if(AA46=AB46,JOIN("""",""Static: "",AA46),JOIN("""",""Min:  "",AA46, CHAR(10),""Max: "",AB46)))"),"")</f>
        <v/>
      </c>
      <c r="AA46" s="42" t="str">
        <f t="array" ref="AA46">_xlfn.XLOOKUP(B46,'Up Min'!A:A,'Up Min'!G:G,)</f>
        <v/>
      </c>
      <c r="AB46" s="42" t="str">
        <f t="array" ref="AB46">_xlfn.XLOOKUP(B46,'Up Max'!A:A,'Up Max'!G:G,)</f>
        <v/>
      </c>
      <c r="AC46" s="48" t="str">
        <f t="array" ref="AC46">_xlfn.XLOOKUP(B46,'Up Stats'!A:A,'Up Stats'!H:H,)</f>
        <v/>
      </c>
      <c r="AD46" s="40" t="str">
        <f>IFERROR(__xludf.DUMMYFUNCTION("if(AND(AE46=FALSE,AF46=FALSE),,if(AE46=AF46,JOIN("""",""Static: "",AE46),JOIN("""",""Min:  "",AE46, CHAR(10),""Max: "",AF46)))"),"")</f>
        <v/>
      </c>
      <c r="AE46" s="42" t="str">
        <f t="array" ref="AE46">_xlfn.XLOOKUP(B46,'Up Min'!A:A,'Up Min'!H:H,)</f>
        <v/>
      </c>
      <c r="AF46" s="42" t="str">
        <f t="array" ref="AF46">_xlfn.XLOOKUP(B46,'Up Max'!A:A,'Up Max'!H:H,)</f>
        <v/>
      </c>
      <c r="AG46" s="48" t="str">
        <f t="array" ref="AG46">_xlfn.XLOOKUP(B46,'Up Stats'!A:A,'Up Stats'!I:I,)</f>
        <v/>
      </c>
      <c r="AH46" s="40" t="str">
        <f>IFERROR(__xludf.DUMMYFUNCTION("if(AND(AI46=FALSE,AJ46=FALSE),,if(AI46=AJ46,JOIN("""",""Static: "",AI46),JOIN("""",""Min:  "",AI46, CHAR(10),""Max: "",AJ46)))"),"")</f>
        <v/>
      </c>
      <c r="AI46" s="42" t="str">
        <f t="array" ref="AI46">_xlfn.XLOOKUP(B46,'Up Min'!A:A,'Up Min'!I:I,)</f>
        <v/>
      </c>
      <c r="AJ46" s="42" t="str">
        <f t="array" ref="AJ46">_xlfn.XLOOKUP(B46,'Up Max'!A:A,'Up Max'!I:I,)</f>
        <v/>
      </c>
      <c r="AK46" s="48" t="str">
        <f t="array" ref="AK46">_xlfn.XLOOKUP(B46,'Up Stats'!A:A,'Up Stats'!J:J,)</f>
        <v/>
      </c>
      <c r="AL46" s="40" t="str">
        <f>IFERROR(__xludf.DUMMYFUNCTION("if(AND(AM46=FALSE,AN46=FALSE),,if(AM46=AN46,JOIN("""",""Static: "",AM46),JOIN("""",""Min:  "",AM46, CHAR(10),""Max: "",AN46)))"),"")</f>
        <v/>
      </c>
      <c r="AM46" s="42" t="str">
        <f t="array" ref="AM46">_xlfn.XLOOKUP(B46,'Up Min'!A:A,'Up Min'!J:J,)</f>
        <v/>
      </c>
      <c r="AN46" s="42" t="str">
        <f t="array" ref="AN46">_xlfn.XLOOKUP(B46,'Up Max'!A:A,'Up Max'!J:J,)</f>
        <v/>
      </c>
      <c r="AO46" s="34" t="s">
        <v>30</v>
      </c>
      <c r="AP46" s="34" t="str">
        <f t="array" ref="AP46">CONCATENATE(_xlfn.XLOOKUP(B46,'Up Rarity'!A:A,'Up Rarity'!B:B,),CHAR(10),"-")</f>
        <v>
-</v>
      </c>
    </row>
    <row r="47">
      <c r="A47" s="86" t="str">
        <f t="array" ref="A47">_xlfn.XLOOKUP(B47,'Up Icon'!A:A,'Up Icon'!B:B,)</f>
        <v/>
      </c>
      <c r="B47" s="61" t="str">
        <f t="array" ref="B47">HYPERLINK(_xlfn.XLOOKUP('Up Names'!I47,'Up Wiki'!A:A,'Up Wiki'!B:B,),'Up Names'!I47)</f>
        <v/>
      </c>
      <c r="C47" s="52" t="str">
        <f t="array" ref="C47">_xlfn.XLOOKUP(B47,'Up Desc'!A:A,'Up Desc'!B:B,)</f>
        <v/>
      </c>
      <c r="D47" s="52" t="str">
        <f t="array" ref="D47">_xlfn.XLOOKUP(B47,'Up Turbo'!A:A,'Up Turbo'!B:B,)</f>
        <v/>
      </c>
      <c r="E47" s="53" t="str">
        <f t="array" ref="E47">_xlfn.XLOOKUP(B47,'Up Stats'!A:A,'Up Stats'!B:B,)</f>
        <v/>
      </c>
      <c r="F47" s="54" t="str">
        <f>IFERROR(__xludf.DUMMYFUNCTION("if(AND(G47=FALSE,H47=FALSE),,if(G47=H47,JOIN("""",""Static: "",G47),JOIN("""",""Min:  "",G47, CHAR(10),""Max: "",H47)))"),"")</f>
        <v/>
      </c>
      <c r="G47" s="55" t="str">
        <f t="array" ref="G47">_xlfn.XLOOKUP(B47,'Up Min'!A:A,'Up Min'!B:B,)</f>
        <v/>
      </c>
      <c r="H47" s="56" t="str">
        <f t="array" ref="H47">_xlfn.XLOOKUP(B47,'Up Max'!A:A,'Up Max'!B:B,)</f>
        <v/>
      </c>
      <c r="I47" s="53" t="str">
        <f t="array" ref="I47">_xlfn.XLOOKUP(B47,'Up Stats'!A:A,'Up Stats'!C:C,)</f>
        <v/>
      </c>
      <c r="J47" s="54" t="str">
        <f>IFERROR(__xludf.DUMMYFUNCTION("if(AND(K47=FALSE,L47=FALSE),,if(K47=L47,JOIN("""",""Static: "",K47),JOIN("""",""Min:  "",K47, CHAR(10),""Max: "",L47)))"),"")</f>
        <v/>
      </c>
      <c r="K47" s="56" t="str">
        <f t="array" ref="K47">_xlfn.XLOOKUP(B47,'Up Min'!A:A,'Up Min'!C:C,)</f>
        <v/>
      </c>
      <c r="L47" s="55" t="str">
        <f t="array" ref="L47">_xlfn.XLOOKUP(B47,'Up Max'!A:A,'Up Max'!C:C,)</f>
        <v/>
      </c>
      <c r="M47" s="53" t="str">
        <f t="array" ref="M47">_xlfn.XLOOKUP(B47,'Up Stats'!A:A,'Up Stats'!D:D,)</f>
        <v/>
      </c>
      <c r="N47" s="54" t="str">
        <f>IFERROR(__xludf.DUMMYFUNCTION("if(AND(O47=FALSE,P47=FALSE),,if(O47=P47,JOIN("""",""Static: "",O47),JOIN("""",""Min:  "",O47, CHAR(10),""Max: "",P47)))"),"")</f>
        <v/>
      </c>
      <c r="O47" s="55" t="str">
        <f t="array" ref="O47">_xlfn.XLOOKUP(B47,'Up Min'!A:A,'Up Min'!D:D,)</f>
        <v/>
      </c>
      <c r="P47" s="55" t="str">
        <f t="array" ref="P47">_xlfn.XLOOKUP(B47,'Up Max'!A:A,'Up Max'!D:D,)</f>
        <v/>
      </c>
      <c r="Q47" s="57" t="str">
        <f t="array" ref="Q47">_xlfn.XLOOKUP(B47,'Up Stats'!A:A,'Up Stats'!E:E,)</f>
        <v/>
      </c>
      <c r="R47" s="54" t="str">
        <f>IFERROR(__xludf.DUMMYFUNCTION("if(AND(S47=FALSE,T47=FALSE),,if(S47=T47,JOIN("""",""Static: "",S47),JOIN("""",""Min:  "",S47, CHAR(10),""Max: "",T47)))"),"")</f>
        <v/>
      </c>
      <c r="S47" s="55" t="str">
        <f t="array" ref="S47">_xlfn.XLOOKUP(B47,'Up Min'!A:A,'Up Min'!E:E,)</f>
        <v/>
      </c>
      <c r="T47" s="55" t="str">
        <f t="array" ref="T47">_xlfn.XLOOKUP(B47,'Up Max'!A:A,'Up Max'!E:E,)</f>
        <v/>
      </c>
      <c r="U47" s="57" t="str">
        <f t="array" ref="U47">_xlfn.XLOOKUP(B47,'Up Stats'!A:A,'Up Stats'!F:F,)</f>
        <v/>
      </c>
      <c r="V47" s="54" t="str">
        <f>IFERROR(__xludf.DUMMYFUNCTION("if(AND(W47=FALSE,X47=FALSE),,if(W47=X47,JOIN("""",""Static: "",W47),JOIN("""",""Min:  "",W47, CHAR(10),""Max: "",X47)))"),"")</f>
        <v/>
      </c>
      <c r="W47" s="55" t="str">
        <f t="array" ref="W47">_xlfn.XLOOKUP(B47,'Up Min'!A:A,'Up Min'!F:F,)</f>
        <v/>
      </c>
      <c r="X47" s="55" t="str">
        <f t="array" ref="X47">_xlfn.XLOOKUP(B47,'Up Max'!A:A,'Up Max'!F:F,)</f>
        <v/>
      </c>
      <c r="Y47" s="57" t="str">
        <f t="array" ref="Y47">_xlfn.XLOOKUP(B47,'Up Stats'!A:A,'Up Stats'!G:G,)</f>
        <v/>
      </c>
      <c r="Z47" s="54" t="str">
        <f>IFERROR(__xludf.DUMMYFUNCTION("if(AND(AA47=FALSE,AB47=FALSE),,if(AA47=AB47,JOIN("""",""Static: "",AA47),JOIN("""",""Min:  "",AA47, CHAR(10),""Max: "",AB47)))"),"")</f>
        <v/>
      </c>
      <c r="AA47" s="55" t="str">
        <f t="array" ref="AA47">_xlfn.XLOOKUP(B47,'Up Min'!A:A,'Up Min'!G:G,)</f>
        <v/>
      </c>
      <c r="AB47" s="55" t="str">
        <f t="array" ref="AB47">_xlfn.XLOOKUP(B47,'Up Max'!A:A,'Up Max'!G:G,)</f>
        <v/>
      </c>
      <c r="AC47" s="57" t="str">
        <f t="array" ref="AC47">_xlfn.XLOOKUP(B47,'Up Stats'!A:A,'Up Stats'!H:H,)</f>
        <v/>
      </c>
      <c r="AD47" s="54" t="str">
        <f>IFERROR(__xludf.DUMMYFUNCTION("if(AND(AE47=FALSE,AF47=FALSE),,if(AE47=AF47,JOIN("""",""Static: "",AE47),JOIN("""",""Min:  "",AE47, CHAR(10),""Max: "",AF47)))"),"")</f>
        <v/>
      </c>
      <c r="AE47" s="55" t="str">
        <f t="array" ref="AE47">_xlfn.XLOOKUP(B47,'Up Min'!A:A,'Up Min'!H:H,)</f>
        <v/>
      </c>
      <c r="AF47" s="55" t="str">
        <f t="array" ref="AF47">_xlfn.XLOOKUP(B47,'Up Max'!A:A,'Up Max'!H:H,)</f>
        <v/>
      </c>
      <c r="AG47" s="57" t="str">
        <f t="array" ref="AG47">_xlfn.XLOOKUP(B47,'Up Stats'!A:A,'Up Stats'!I:I,)</f>
        <v/>
      </c>
      <c r="AH47" s="54" t="str">
        <f>IFERROR(__xludf.DUMMYFUNCTION("if(AND(AI47=FALSE,AJ47=FALSE),,if(AI47=AJ47,JOIN("""",""Static: "",AI47),JOIN("""",""Min:  "",AI47, CHAR(10),""Max: "",AJ47)))"),"")</f>
        <v/>
      </c>
      <c r="AI47" s="55" t="str">
        <f t="array" ref="AI47">_xlfn.XLOOKUP(B47,'Up Min'!A:A,'Up Min'!I:I,)</f>
        <v/>
      </c>
      <c r="AJ47" s="55" t="str">
        <f t="array" ref="AJ47">_xlfn.XLOOKUP(B47,'Up Max'!A:A,'Up Max'!I:I,)</f>
        <v/>
      </c>
      <c r="AK47" s="57" t="str">
        <f t="array" ref="AK47">_xlfn.XLOOKUP(B47,'Up Stats'!A:A,'Up Stats'!J:J,)</f>
        <v/>
      </c>
      <c r="AL47" s="54" t="str">
        <f>IFERROR(__xludf.DUMMYFUNCTION("if(AND(AM47=FALSE,AN47=FALSE),,if(AM47=AN47,JOIN("""",""Static: "",AM47),JOIN("""",""Min:  "",AM47, CHAR(10),""Max: "",AN47)))"),"")</f>
        <v/>
      </c>
      <c r="AM47" s="55" t="str">
        <f t="array" ref="AM47">_xlfn.XLOOKUP(B47,'Up Min'!A:A,'Up Min'!J:J,)</f>
        <v/>
      </c>
      <c r="AN47" s="55" t="str">
        <f t="array" ref="AN47">_xlfn.XLOOKUP(B47,'Up Max'!A:A,'Up Max'!J:J,)</f>
        <v/>
      </c>
      <c r="AO47" s="51" t="s">
        <v>30</v>
      </c>
      <c r="AP47" s="51" t="str">
        <f t="array" ref="AP47">CONCATENATE(_xlfn.XLOOKUP(B47,'Up Rarity'!A:A,'Up Rarity'!B:B,),CHAR(10),"-")</f>
        <v>
-</v>
      </c>
    </row>
  </sheetData>
  <autoFilter ref="$A$1:$AP$47">
    <sortState ref="A1:AP47">
      <sortCondition descending="1" sortBy="cellColor" ref="AP1:AP47" dxfId="2"/>
    </sortState>
  </autoFilter>
  <conditionalFormatting sqref="AO1:AP47">
    <cfRule type="containsText" dxfId="3" priority="1" operator="containsText" text="Oddity">
      <formula>NOT(ISERROR(SEARCH(("Oddity"),(AO1))))</formula>
    </cfRule>
  </conditionalFormatting>
  <conditionalFormatting sqref="AO1:AP47">
    <cfRule type="containsText" dxfId="4" priority="2" operator="containsText" text="Exotic">
      <formula>NOT(ISERROR(SEARCH(("Exotic"),(AO1))))</formula>
    </cfRule>
  </conditionalFormatting>
  <conditionalFormatting sqref="AO1:AP47">
    <cfRule type="containsText" dxfId="5" priority="3" operator="containsText" text="Epic">
      <formula>NOT(ISERROR(SEARCH(("Epic"),(AO1))))</formula>
    </cfRule>
  </conditionalFormatting>
  <conditionalFormatting sqref="AO1:AP47">
    <cfRule type="containsText" dxfId="6" priority="4" operator="containsText" text="Rare">
      <formula>NOT(ISERROR(SEARCH(("Rare"),(AO1))))</formula>
    </cfRule>
  </conditionalFormatting>
  <conditionalFormatting sqref="AO1:AP47">
    <cfRule type="containsText" dxfId="7" priority="5" operator="containsText" text="Standard">
      <formula>NOT(ISERROR(SEARCH(("Standard"),(AO1))))</formula>
    </cfRule>
  </conditionalFormatting>
  <conditionalFormatting sqref="AO1:AP47">
    <cfRule type="containsText" dxfId="8" priority="6" operator="containsText" text="Contraband">
      <formula>NOT(ISERROR(SEARCH(("Contraband"),(AO1))))</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12.63"/>
    <col customWidth="1" min="3" max="4" width="31.38"/>
    <col customWidth="1" min="5" max="6" width="12.63"/>
    <col customWidth="1" hidden="1" min="7" max="8" width="12.63"/>
    <col customWidth="1" min="9" max="10" width="12.63"/>
    <col customWidth="1" hidden="1" min="11" max="12" width="12.63"/>
    <col customWidth="1" min="13" max="14" width="12.63"/>
    <col customWidth="1" hidden="1" min="15" max="16" width="12.63"/>
    <col customWidth="1" min="17" max="18" width="12.63"/>
    <col customWidth="1" hidden="1" min="19" max="20" width="12.63"/>
    <col customWidth="1" min="21" max="22" width="12.63"/>
    <col customWidth="1" hidden="1" min="23" max="24" width="12.63"/>
    <col customWidth="1" min="25" max="26" width="12.63"/>
    <col customWidth="1" hidden="1" min="27" max="28" width="12.63"/>
    <col customWidth="1" min="29" max="30" width="12.63"/>
    <col customWidth="1" hidden="1" min="31" max="32" width="12.63"/>
    <col customWidth="1" min="33" max="34" width="12.63"/>
    <col customWidth="1" hidden="1" min="35" max="36" width="12.63"/>
    <col customWidth="1" min="37" max="38" width="12.63"/>
    <col customWidth="1" hidden="1" min="39" max="40" width="12.63"/>
    <col customWidth="1" min="41" max="42" width="8.25"/>
  </cols>
  <sheetData>
    <row r="1">
      <c r="A1" s="28" t="s">
        <v>1</v>
      </c>
      <c r="B1" s="9" t="s">
        <v>2</v>
      </c>
      <c r="C1" s="9" t="s">
        <v>3</v>
      </c>
      <c r="D1" s="11" t="s">
        <v>4</v>
      </c>
      <c r="E1" s="16" t="s">
        <v>6</v>
      </c>
      <c r="F1" s="19" t="s">
        <v>7</v>
      </c>
      <c r="G1" s="21" t="s">
        <v>8</v>
      </c>
      <c r="H1" s="25" t="s">
        <v>9</v>
      </c>
      <c r="I1" s="29" t="s">
        <v>6</v>
      </c>
      <c r="J1" s="19" t="s">
        <v>7</v>
      </c>
      <c r="K1" s="21" t="s">
        <v>8</v>
      </c>
      <c r="L1" s="21" t="s">
        <v>9</v>
      </c>
      <c r="M1" s="29" t="s">
        <v>6</v>
      </c>
      <c r="N1" s="19" t="s">
        <v>7</v>
      </c>
      <c r="O1" s="21" t="s">
        <v>8</v>
      </c>
      <c r="P1" s="21" t="s">
        <v>9</v>
      </c>
      <c r="Q1" s="16" t="s">
        <v>6</v>
      </c>
      <c r="R1" s="19" t="s">
        <v>7</v>
      </c>
      <c r="S1" s="21" t="s">
        <v>8</v>
      </c>
      <c r="T1" s="21" t="s">
        <v>9</v>
      </c>
      <c r="U1" s="16" t="s">
        <v>6</v>
      </c>
      <c r="V1" s="19" t="s">
        <v>7</v>
      </c>
      <c r="W1" s="21" t="s">
        <v>8</v>
      </c>
      <c r="X1" s="21" t="s">
        <v>9</v>
      </c>
      <c r="Y1" s="16" t="s">
        <v>6</v>
      </c>
      <c r="Z1" s="19" t="s">
        <v>7</v>
      </c>
      <c r="AA1" s="21" t="s">
        <v>8</v>
      </c>
      <c r="AB1" s="21" t="s">
        <v>9</v>
      </c>
      <c r="AC1" s="16" t="s">
        <v>6</v>
      </c>
      <c r="AD1" s="19" t="s">
        <v>7</v>
      </c>
      <c r="AE1" s="21" t="s">
        <v>8</v>
      </c>
      <c r="AF1" s="21" t="s">
        <v>9</v>
      </c>
      <c r="AG1" s="16" t="s">
        <v>6</v>
      </c>
      <c r="AH1" s="19" t="s">
        <v>7</v>
      </c>
      <c r="AI1" s="21" t="s">
        <v>8</v>
      </c>
      <c r="AJ1" s="21" t="s">
        <v>9</v>
      </c>
      <c r="AK1" s="16" t="s">
        <v>6</v>
      </c>
      <c r="AL1" s="19" t="s">
        <v>7</v>
      </c>
      <c r="AM1" s="21" t="s">
        <v>8</v>
      </c>
      <c r="AN1" s="21" t="s">
        <v>9</v>
      </c>
      <c r="AO1" s="11" t="s">
        <v>12</v>
      </c>
      <c r="AP1" s="22" t="s">
        <v>13</v>
      </c>
    </row>
    <row r="2">
      <c r="A2" s="31" t="str">
        <f t="array" ref="A2">_xlfn.XLOOKUP(B2,'Up Icon'!A:A,'Up Icon'!B:B,)</f>
        <v/>
      </c>
      <c r="B2" s="58" t="str">
        <f t="array" ref="B2">HYPERLINK(_xlfn.XLOOKUP('Up Names'!J29,'Up Wiki'!A:A,'Up Wiki'!B:B,),'Up Names'!J29)</f>
        <v>Edge Fault</v>
      </c>
      <c r="C2" s="37" t="str">
        <f t="array" ref="C2">_xlfn.XLOOKUP(B2,'Up Desc'!A:A,'Up Desc'!B:B,)</f>
        <v>Increases the size of your upgrade grid.</v>
      </c>
      <c r="D2" s="37" t="str">
        <f t="array" ref="D2">_xlfn.XLOOKUP(B2,'Up Turbo'!A:A,'Up Turbo'!B:B,)</f>
        <v>n/a</v>
      </c>
      <c r="E2" s="39" t="str">
        <f t="array" ref="E2">_xlfn.XLOOKUP(B2,'Up Stats'!A:A,'Up Stats'!B:B,)</f>
        <v/>
      </c>
      <c r="F2" s="40" t="str">
        <f>IFERROR(__xludf.DUMMYFUNCTION("if(AND(G2=FALSE,H2=FALSE),,if(G2=H2,JOIN("""",""Static: "",G2),JOIN("""",""Min:  "",G2, CHAR(10),""Max: "",H2)))"),"")</f>
        <v/>
      </c>
      <c r="G2" s="42" t="str">
        <f t="array" ref="G2">_xlfn.XLOOKUP(B2,'Up Min'!A:A,'Up Min'!B:B,)</f>
        <v/>
      </c>
      <c r="H2" s="45" t="str">
        <f t="array" ref="H2">_xlfn.XLOOKUP(B2,'Up Max'!A:A,'Up Max'!B:B,)</f>
        <v/>
      </c>
      <c r="I2" s="39" t="str">
        <f t="array" ref="I2">_xlfn.XLOOKUP(B2,'Up Stats'!A:A,'Up Stats'!C:C,)</f>
        <v/>
      </c>
      <c r="J2" s="40" t="str">
        <f>IFERROR(__xludf.DUMMYFUNCTION("if(AND(K2=FALSE,L2=FALSE),,if(K2=L2,JOIN("""",""Static: "",K2),JOIN("""",""Min:  "",K2, CHAR(10),""Max: "",L2)))"),"")</f>
        <v/>
      </c>
      <c r="K2" s="42" t="str">
        <f t="array" ref="K2">_xlfn.XLOOKUP(B2,'Up Min'!A:A,'Up Min'!C:C,)</f>
        <v/>
      </c>
      <c r="L2" s="42" t="str">
        <f t="array" ref="L2">_xlfn.XLOOKUP(B2,'Up Max'!A:A,'Up Max'!C:C,)</f>
        <v/>
      </c>
      <c r="M2" s="48" t="str">
        <f t="array" ref="M2">_xlfn.XLOOKUP(B2,'Up Stats'!A:A,'Up Stats'!D:D,)</f>
        <v/>
      </c>
      <c r="N2" s="40" t="str">
        <f>IFERROR(__xludf.DUMMYFUNCTION("if(AND(O2=FALSE,P2=FALSE),,if(O2=P2,JOIN("""",""Static: "",O2),JOIN("""",""Min:  "",O2, CHAR(10),""Max: "",P2)))"),"")</f>
        <v/>
      </c>
      <c r="O2" s="42" t="str">
        <f t="array" ref="O2">_xlfn.XLOOKUP(B2,'Up Min'!A:A,'Up Min'!D:D,)</f>
        <v/>
      </c>
      <c r="P2" s="42" t="str">
        <f t="array" ref="P2">_xlfn.XLOOKUP(B2,'Up Max'!A:A,'Up Max'!D:D,)</f>
        <v/>
      </c>
      <c r="Q2" s="48" t="str">
        <f t="array" ref="Q2">_xlfn.XLOOKUP(B2,'Up Stats'!A:A,'Up Stats'!E:E,)</f>
        <v/>
      </c>
      <c r="R2" s="40" t="str">
        <f>IFERROR(__xludf.DUMMYFUNCTION("if(AND(S2=FALSE,T2=FALSE),,if(S2=T2,JOIN("""",""Static: "",S2),JOIN("""",""Min:  "",S2, CHAR(10),""Max: "",T2)))"),"")</f>
        <v/>
      </c>
      <c r="S2" s="42" t="str">
        <f t="array" ref="S2">_xlfn.XLOOKUP(B2,'Up Min'!A:A,'Up Min'!E:E,)</f>
        <v/>
      </c>
      <c r="T2" s="42" t="str">
        <f t="array" ref="T2">_xlfn.XLOOKUP(B2,'Up Max'!A:A,'Up Max'!E:E,)</f>
        <v/>
      </c>
      <c r="U2" s="48" t="str">
        <f t="array" ref="U2">_xlfn.XLOOKUP(B2,'Up Stats'!A:A,'Up Stats'!F:F,)</f>
        <v/>
      </c>
      <c r="V2" s="40" t="str">
        <f>IFERROR(__xludf.DUMMYFUNCTION("if(AND(W2=FALSE,X2=FALSE),,if(W2=X2,JOIN("""",""Static: "",W2),JOIN("""",""Min:  "",W2, CHAR(10),""Max: "",X2)))"),"")</f>
        <v/>
      </c>
      <c r="W2" s="42" t="str">
        <f t="array" ref="W2">_xlfn.XLOOKUP(B2,'Up Min'!A:A,'Up Min'!F:F,)</f>
        <v/>
      </c>
      <c r="X2" s="42" t="str">
        <f t="array" ref="X2">_xlfn.XLOOKUP(B2,'Up Max'!A:A,'Up Max'!F:F,)</f>
        <v/>
      </c>
      <c r="Y2" s="48" t="str">
        <f t="array" ref="Y2">_xlfn.XLOOKUP(B2,'Up Stats'!A:A,'Up Stats'!G:G,)</f>
        <v/>
      </c>
      <c r="Z2" s="40" t="str">
        <f>IFERROR(__xludf.DUMMYFUNCTION("if(AND(AA2=FALSE,AB2=FALSE),,if(AA2=AB2,JOIN("""",""Static: "",AA2),JOIN("""",""Min:  "",AA2, CHAR(10),""Max: "",AB2)))"),"")</f>
        <v/>
      </c>
      <c r="AA2" s="42" t="str">
        <f t="array" ref="AA2">_xlfn.XLOOKUP(B2,'Up Min'!A:A,'Up Min'!G:G,)</f>
        <v/>
      </c>
      <c r="AB2" s="42" t="str">
        <f t="array" ref="AB2">_xlfn.XLOOKUP(B2,'Up Max'!A:A,'Up Max'!G:G,)</f>
        <v/>
      </c>
      <c r="AC2" s="48" t="str">
        <f t="array" ref="AC2">_xlfn.XLOOKUP(B2,'Up Stats'!A:A,'Up Stats'!H:H,)</f>
        <v/>
      </c>
      <c r="AD2" s="40" t="str">
        <f>IFERROR(__xludf.DUMMYFUNCTION("if(AND(AE2=FALSE,AF2=FALSE),,if(AE2=AF2,JOIN("""",""Static: "",AE2),JOIN("""",""Min:  "",AE2, CHAR(10),""Max: "",AF2)))"),"")</f>
        <v/>
      </c>
      <c r="AE2" s="42" t="str">
        <f t="array" ref="AE2">_xlfn.XLOOKUP(B2,'Up Min'!A:A,'Up Min'!H:H,)</f>
        <v/>
      </c>
      <c r="AF2" s="42" t="str">
        <f t="array" ref="AF2">_xlfn.XLOOKUP(B2,'Up Max'!A:A,'Up Max'!H:H,)</f>
        <v/>
      </c>
      <c r="AG2" s="48" t="str">
        <f t="array" ref="AG2">_xlfn.XLOOKUP(B2,'Up Stats'!A:A,'Up Stats'!I:I,)</f>
        <v/>
      </c>
      <c r="AH2" s="40" t="str">
        <f>IFERROR(__xludf.DUMMYFUNCTION("if(AND(AI2=FALSE,AJ2=FALSE),,if(AI2=AJ2,JOIN("""",""Static: "",AI2),JOIN("""",""Min:  "",AI2, CHAR(10),""Max: "",AJ2)))"),"")</f>
        <v/>
      </c>
      <c r="AI2" s="42" t="str">
        <f t="array" ref="AI2">_xlfn.XLOOKUP(B2,'Up Min'!A:A,'Up Min'!I:I,)</f>
        <v/>
      </c>
      <c r="AJ2" s="42" t="str">
        <f t="array" ref="AJ2">_xlfn.XLOOKUP(B2,'Up Max'!A:A,'Up Max'!I:I,)</f>
        <v/>
      </c>
      <c r="AK2" s="48" t="str">
        <f t="array" ref="AK2">_xlfn.XLOOKUP(B2,'Up Stats'!A:A,'Up Stats'!J:J,)</f>
        <v/>
      </c>
      <c r="AL2" s="40" t="str">
        <f>IFERROR(__xludf.DUMMYFUNCTION("if(AND(AM2=FALSE,AN2=FALSE),,if(AM2=AN2,JOIN("""",""Static: "",AM2),JOIN("""",""Min:  "",AM2, CHAR(10),""Max: "",AN2)))"),"")</f>
        <v/>
      </c>
      <c r="AM2" s="42" t="str">
        <f t="array" ref="AM2">_xlfn.XLOOKUP(B2,'Up Min'!A:A,'Up Min'!J:J,)</f>
        <v/>
      </c>
      <c r="AN2" s="42" t="str">
        <f t="array" ref="AN2">_xlfn.XLOOKUP(B2,'Up Max'!A:A,'Up Max'!J:J,)</f>
        <v/>
      </c>
      <c r="AO2" s="34" t="str">
        <f t="array" ref="AO2">CONCATENATE(_xlfn.XLOOKUP(B2,'Up Cells'!A:A,'Up Cells'!B:B,))</f>
        <v>1</v>
      </c>
      <c r="AP2" s="34" t="str">
        <f t="array" ref="AP2">CONCATENATE(_xlfn.XLOOKUP(B2,'Up Rarity'!A:A,'Up Rarity'!B:B,),CHAR(10),"-")</f>
        <v>Contraband
-</v>
      </c>
    </row>
    <row r="3">
      <c r="A3" s="31" t="str">
        <f t="array" ref="A3">_xlfn.XLOOKUP(B3,'Up Icon'!A:A,'Up Icon'!B:B,)</f>
        <v/>
      </c>
      <c r="B3" s="61" t="str">
        <f t="array" ref="B3">HYPERLINK(_xlfn.XLOOKUP('Up Names'!J30,'Up Wiki'!A:A,'Up Wiki'!B:B,),'Up Names'!J30)</f>
        <v>Multiversal Thievery</v>
      </c>
      <c r="C3" s="52" t="str">
        <f t="array" ref="C3">_xlfn.XLOOKUP(B3,'Up Desc'!A:A,'Up Desc'!B:B,)</f>
        <v>Commandeers 1 column from each of your other upgrade grids.</v>
      </c>
      <c r="D3" s="52" t="str">
        <f t="array" ref="D3">_xlfn.XLOOKUP(B3,'Up Turbo'!A:A,'Up Turbo'!B:B,)</f>
        <v>n/a</v>
      </c>
      <c r="E3" s="53" t="str">
        <f t="array" ref="E3">_xlfn.XLOOKUP(B3,'Up Stats'!A:A,'Up Stats'!B:B,)</f>
        <v/>
      </c>
      <c r="F3" s="54" t="str">
        <f>IFERROR(__xludf.DUMMYFUNCTION("if(AND(G3=FALSE,H3=FALSE),,if(G3=H3,JOIN("""",""Static: "",G3),JOIN("""",""Min:  "",G3, CHAR(10),""Max: "",H3)))"),"")</f>
        <v/>
      </c>
      <c r="G3" s="55" t="str">
        <f t="array" ref="G3">_xlfn.XLOOKUP(B3,'Up Min'!A:A,'Up Min'!B:B,)</f>
        <v/>
      </c>
      <c r="H3" s="56" t="str">
        <f t="array" ref="H3">_xlfn.XLOOKUP(B3,'Up Max'!A:A,'Up Max'!B:B,)</f>
        <v/>
      </c>
      <c r="I3" s="53" t="str">
        <f t="array" ref="I3">_xlfn.XLOOKUP(B3,'Up Stats'!A:A,'Up Stats'!C:C,)</f>
        <v/>
      </c>
      <c r="J3" s="54" t="str">
        <f>IFERROR(__xludf.DUMMYFUNCTION("if(AND(K3=FALSE,L3=FALSE),,if(K3=L3,JOIN("""",""Static: "",K3),JOIN("""",""Min:  "",K3, CHAR(10),""Max: "",L3)))"),"")</f>
        <v/>
      </c>
      <c r="K3" s="55" t="str">
        <f t="array" ref="K3">_xlfn.XLOOKUP(B3,'Up Min'!A:A,'Up Min'!C:C,)</f>
        <v/>
      </c>
      <c r="L3" s="55" t="str">
        <f t="array" ref="L3">_xlfn.XLOOKUP(B3,'Up Max'!A:A,'Up Max'!C:C,)</f>
        <v/>
      </c>
      <c r="M3" s="57" t="str">
        <f t="array" ref="M3">_xlfn.XLOOKUP(B3,'Up Stats'!A:A,'Up Stats'!D:D,)</f>
        <v/>
      </c>
      <c r="N3" s="54" t="str">
        <f>IFERROR(__xludf.DUMMYFUNCTION("if(AND(O3=FALSE,P3=FALSE),,if(O3=P3,JOIN("""",""Static: "",O3),JOIN("""",""Min:  "",O3, CHAR(10),""Max: "",P3)))"),"")</f>
        <v/>
      </c>
      <c r="O3" s="55" t="str">
        <f t="array" ref="O3">_xlfn.XLOOKUP(B3,'Up Min'!A:A,'Up Min'!D:D,)</f>
        <v/>
      </c>
      <c r="P3" s="55" t="str">
        <f t="array" ref="P3">_xlfn.XLOOKUP(B3,'Up Max'!A:A,'Up Max'!D:D,)</f>
        <v/>
      </c>
      <c r="Q3" s="57" t="str">
        <f t="array" ref="Q3">_xlfn.XLOOKUP(B3,'Up Stats'!A:A,'Up Stats'!E:E,)</f>
        <v/>
      </c>
      <c r="R3" s="54" t="str">
        <f>IFERROR(__xludf.DUMMYFUNCTION("if(AND(S3=FALSE,T3=FALSE),,if(S3=T3,JOIN("""",""Static: "",S3),JOIN("""",""Min:  "",S3, CHAR(10),""Max: "",T3)))"),"")</f>
        <v/>
      </c>
      <c r="S3" s="55" t="str">
        <f t="array" ref="S3">_xlfn.XLOOKUP(B3,'Up Min'!A:A,'Up Min'!E:E,)</f>
        <v/>
      </c>
      <c r="T3" s="55" t="str">
        <f t="array" ref="T3">_xlfn.XLOOKUP(B3,'Up Max'!A:A,'Up Max'!E:E,)</f>
        <v/>
      </c>
      <c r="U3" s="57" t="str">
        <f t="array" ref="U3">_xlfn.XLOOKUP(B3,'Up Stats'!A:A,'Up Stats'!F:F,)</f>
        <v/>
      </c>
      <c r="V3" s="54" t="str">
        <f>IFERROR(__xludf.DUMMYFUNCTION("if(AND(W3=FALSE,X3=FALSE),,if(W3=X3,JOIN("""",""Static: "",W3),JOIN("""",""Min:  "",W3, CHAR(10),""Max: "",X3)))"),"")</f>
        <v/>
      </c>
      <c r="W3" s="55" t="str">
        <f t="array" ref="W3">_xlfn.XLOOKUP(B3,'Up Min'!A:A,'Up Min'!F:F,)</f>
        <v/>
      </c>
      <c r="X3" s="55" t="str">
        <f t="array" ref="X3">_xlfn.XLOOKUP(B3,'Up Max'!A:A,'Up Max'!F:F,)</f>
        <v/>
      </c>
      <c r="Y3" s="57" t="str">
        <f t="array" ref="Y3">_xlfn.XLOOKUP(B3,'Up Stats'!A:A,'Up Stats'!G:G,)</f>
        <v/>
      </c>
      <c r="Z3" s="54" t="str">
        <f>IFERROR(__xludf.DUMMYFUNCTION("if(AND(AA3=FALSE,AB3=FALSE),,if(AA3=AB3,JOIN("""",""Static: "",AA3),JOIN("""",""Min:  "",AA3, CHAR(10),""Max: "",AB3)))"),"")</f>
        <v/>
      </c>
      <c r="AA3" s="55" t="str">
        <f t="array" ref="AA3">_xlfn.XLOOKUP(B3,'Up Min'!A:A,'Up Min'!G:G,)</f>
        <v/>
      </c>
      <c r="AB3" s="55" t="str">
        <f t="array" ref="AB3">_xlfn.XLOOKUP(B3,'Up Max'!A:A,'Up Max'!G:G,)</f>
        <v/>
      </c>
      <c r="AC3" s="57" t="str">
        <f t="array" ref="AC3">_xlfn.XLOOKUP(B3,'Up Stats'!A:A,'Up Stats'!H:H,)</f>
        <v/>
      </c>
      <c r="AD3" s="54" t="str">
        <f>IFERROR(__xludf.DUMMYFUNCTION("if(AND(AE3=FALSE,AF3=FALSE),,if(AE3=AF3,JOIN("""",""Static: "",AE3),JOIN("""",""Min:  "",AE3, CHAR(10),""Max: "",AF3)))"),"")</f>
        <v/>
      </c>
      <c r="AE3" s="55" t="str">
        <f t="array" ref="AE3">_xlfn.XLOOKUP(B3,'Up Min'!A:A,'Up Min'!H:H,)</f>
        <v/>
      </c>
      <c r="AF3" s="55" t="str">
        <f t="array" ref="AF3">_xlfn.XLOOKUP(B3,'Up Max'!A:A,'Up Max'!H:H,)</f>
        <v/>
      </c>
      <c r="AG3" s="57" t="str">
        <f t="array" ref="AG3">_xlfn.XLOOKUP(B3,'Up Stats'!A:A,'Up Stats'!I:I,)</f>
        <v/>
      </c>
      <c r="AH3" s="54" t="str">
        <f>IFERROR(__xludf.DUMMYFUNCTION("if(AND(AI3=FALSE,AJ3=FALSE),,if(AI3=AJ3,JOIN("""",""Static: "",AI3),JOIN("""",""Min:  "",AI3, CHAR(10),""Max: "",AJ3)))"),"")</f>
        <v/>
      </c>
      <c r="AI3" s="55" t="str">
        <f t="array" ref="AI3">_xlfn.XLOOKUP(B3,'Up Min'!A:A,'Up Min'!I:I,)</f>
        <v/>
      </c>
      <c r="AJ3" s="55" t="str">
        <f t="array" ref="AJ3">_xlfn.XLOOKUP(B3,'Up Max'!A:A,'Up Max'!I:I,)</f>
        <v/>
      </c>
      <c r="AK3" s="57" t="str">
        <f t="array" ref="AK3">_xlfn.XLOOKUP(B3,'Up Stats'!A:A,'Up Stats'!J:J,)</f>
        <v/>
      </c>
      <c r="AL3" s="54" t="str">
        <f>IFERROR(__xludf.DUMMYFUNCTION("if(AND(AM3=FALSE,AN3=FALSE),,if(AM3=AN3,JOIN("""",""Static: "",AM3),JOIN("""",""Min:  "",AM3, CHAR(10),""Max: "",AN3)))"),"")</f>
        <v/>
      </c>
      <c r="AM3" s="55" t="str">
        <f t="array" ref="AM3">_xlfn.XLOOKUP(B3,'Up Min'!A:A,'Up Min'!J:J,)</f>
        <v/>
      </c>
      <c r="AN3" s="55" t="str">
        <f t="array" ref="AN3">_xlfn.XLOOKUP(B3,'Up Max'!A:A,'Up Max'!J:J,)</f>
        <v/>
      </c>
      <c r="AO3" s="51" t="str">
        <f t="array" ref="AO3">CONCATENATE(_xlfn.XLOOKUP(B3,'Up Cells'!A:A,'Up Cells'!B:B,))</f>
        <v>1</v>
      </c>
      <c r="AP3" s="51" t="str">
        <f t="array" ref="AP3">CONCATENATE(_xlfn.XLOOKUP(B3,'Up Rarity'!A:A,'Up Rarity'!B:B,),CHAR(10),"-")</f>
        <v>Contraband
-</v>
      </c>
    </row>
    <row r="4">
      <c r="A4" s="60" t="str">
        <f t="array" ref="A4">_xlfn.XLOOKUP(B4,'Up Icon'!A:A,'Up Icon'!B:B,)</f>
        <v/>
      </c>
      <c r="B4" s="58" t="str">
        <f t="array" ref="B4">HYPERLINK(_xlfn.XLOOKUP('Up Names'!J31,'Up Wiki'!A:A,'Up Wiki'!B:B,),'Up Names'!J31)</f>
        <v>Boundary Incursion</v>
      </c>
      <c r="C4" s="37" t="str">
        <f t="array" ref="C4">_xlfn.XLOOKUP(B4,'Up Desc'!A:A,'Up Desc'!B:B,)</f>
        <v>Increases the size of your upgrade grid.</v>
      </c>
      <c r="D4" s="37" t="str">
        <f t="array" ref="D4">_xlfn.XLOOKUP(B4,'Up Turbo'!A:A,'Up Turbo'!B:B,)</f>
        <v>n/a</v>
      </c>
      <c r="E4" s="39" t="str">
        <f t="array" ref="E4">_xlfn.XLOOKUP(B4,'Up Stats'!A:A,'Up Stats'!B:B,)</f>
        <v/>
      </c>
      <c r="F4" s="40" t="str">
        <f>IFERROR(__xludf.DUMMYFUNCTION("if(AND(G4=FALSE,H4=FALSE),,if(G4=H4,JOIN("""",""Static: "",G4),JOIN("""",""Min:  "",G4, CHAR(10),""Max: "",H4)))"),"")</f>
        <v/>
      </c>
      <c r="G4" s="42" t="str">
        <f t="array" ref="G4">_xlfn.XLOOKUP(B4,'Up Min'!A:A,'Up Min'!B:B,)</f>
        <v/>
      </c>
      <c r="H4" s="45" t="str">
        <f t="array" ref="H4">_xlfn.XLOOKUP(B4,'Up Max'!A:A,'Up Max'!B:B,)</f>
        <v/>
      </c>
      <c r="I4" s="39" t="str">
        <f t="array" ref="I4">_xlfn.XLOOKUP(B4,'Up Stats'!A:A,'Up Stats'!C:C,)</f>
        <v/>
      </c>
      <c r="J4" s="40" t="str">
        <f>IFERROR(__xludf.DUMMYFUNCTION("if(AND(K4=FALSE,L4=FALSE),,if(K4=L4,JOIN("""",""Static: "",K4),JOIN("""",""Min:  "",K4, CHAR(10),""Max: "",L4)))"),"")</f>
        <v/>
      </c>
      <c r="K4" s="42" t="str">
        <f t="array" ref="K4">_xlfn.XLOOKUP(B4,'Up Min'!A:A,'Up Min'!C:C,)</f>
        <v/>
      </c>
      <c r="L4" s="42" t="str">
        <f t="array" ref="L4">_xlfn.XLOOKUP(B4,'Up Max'!A:A,'Up Max'!C:C,)</f>
        <v/>
      </c>
      <c r="M4" s="48" t="str">
        <f t="array" ref="M4">_xlfn.XLOOKUP(B4,'Up Stats'!A:A,'Up Stats'!D:D,)</f>
        <v/>
      </c>
      <c r="N4" s="40" t="str">
        <f>IFERROR(__xludf.DUMMYFUNCTION("if(AND(O4=FALSE,P4=FALSE),,if(O4=P4,JOIN("""",""Static: "",O4),JOIN("""",""Min:  "",O4, CHAR(10),""Max: "",P4)))"),"")</f>
        <v/>
      </c>
      <c r="O4" s="42" t="str">
        <f t="array" ref="O4">_xlfn.XLOOKUP(B4,'Up Min'!A:A,'Up Min'!D:D,)</f>
        <v/>
      </c>
      <c r="P4" s="42" t="str">
        <f t="array" ref="P4">_xlfn.XLOOKUP(B4,'Up Max'!A:A,'Up Max'!D:D,)</f>
        <v/>
      </c>
      <c r="Q4" s="48" t="str">
        <f t="array" ref="Q4">_xlfn.XLOOKUP(B4,'Up Stats'!A:A,'Up Stats'!E:E,)</f>
        <v/>
      </c>
      <c r="R4" s="40" t="str">
        <f>IFERROR(__xludf.DUMMYFUNCTION("if(AND(S4=FALSE,T4=FALSE),,if(S4=T4,JOIN("""",""Static: "",S4),JOIN("""",""Min:  "",S4, CHAR(10),""Max: "",T4)))"),"")</f>
        <v/>
      </c>
      <c r="S4" s="42" t="str">
        <f t="array" ref="S4">_xlfn.XLOOKUP(B4,'Up Min'!A:A,'Up Min'!E:E,)</f>
        <v/>
      </c>
      <c r="T4" s="42" t="str">
        <f t="array" ref="T4">_xlfn.XLOOKUP(B4,'Up Max'!A:A,'Up Max'!E:E,)</f>
        <v/>
      </c>
      <c r="U4" s="48" t="str">
        <f t="array" ref="U4">_xlfn.XLOOKUP(B4,'Up Stats'!A:A,'Up Stats'!F:F,)</f>
        <v/>
      </c>
      <c r="V4" s="40" t="str">
        <f>IFERROR(__xludf.DUMMYFUNCTION("if(AND(W4=FALSE,X4=FALSE),,if(W4=X4,JOIN("""",""Static: "",W4),JOIN("""",""Min:  "",W4, CHAR(10),""Max: "",X4)))"),"")</f>
        <v/>
      </c>
      <c r="W4" s="42" t="str">
        <f t="array" ref="W4">_xlfn.XLOOKUP(B4,'Up Min'!A:A,'Up Min'!F:F,)</f>
        <v/>
      </c>
      <c r="X4" s="42" t="str">
        <f t="array" ref="X4">_xlfn.XLOOKUP(B4,'Up Max'!A:A,'Up Max'!F:F,)</f>
        <v/>
      </c>
      <c r="Y4" s="48" t="str">
        <f t="array" ref="Y4">_xlfn.XLOOKUP(B4,'Up Stats'!A:A,'Up Stats'!G:G,)</f>
        <v/>
      </c>
      <c r="Z4" s="40" t="str">
        <f>IFERROR(__xludf.DUMMYFUNCTION("if(AND(AA4=FALSE,AB4=FALSE),,if(AA4=AB4,JOIN("""",""Static: "",AA4),JOIN("""",""Min:  "",AA4, CHAR(10),""Max: "",AB4)))"),"")</f>
        <v/>
      </c>
      <c r="AA4" s="42" t="str">
        <f t="array" ref="AA4">_xlfn.XLOOKUP(B4,'Up Min'!A:A,'Up Min'!G:G,)</f>
        <v/>
      </c>
      <c r="AB4" s="42" t="str">
        <f t="array" ref="AB4">_xlfn.XLOOKUP(B4,'Up Max'!A:A,'Up Max'!G:G,)</f>
        <v/>
      </c>
      <c r="AC4" s="48" t="str">
        <f t="array" ref="AC4">_xlfn.XLOOKUP(B4,'Up Stats'!A:A,'Up Stats'!H:H,)</f>
        <v/>
      </c>
      <c r="AD4" s="40" t="str">
        <f>IFERROR(__xludf.DUMMYFUNCTION("if(AND(AE4=FALSE,AF4=FALSE),,if(AE4=AF4,JOIN("""",""Static: "",AE4),JOIN("""",""Min:  "",AE4, CHAR(10),""Max: "",AF4)))"),"")</f>
        <v/>
      </c>
      <c r="AE4" s="42" t="str">
        <f t="array" ref="AE4">_xlfn.XLOOKUP(B4,'Up Min'!A:A,'Up Min'!H:H,)</f>
        <v/>
      </c>
      <c r="AF4" s="42" t="str">
        <f t="array" ref="AF4">_xlfn.XLOOKUP(B4,'Up Max'!A:A,'Up Max'!H:H,)</f>
        <v/>
      </c>
      <c r="AG4" s="48" t="str">
        <f t="array" ref="AG4">_xlfn.XLOOKUP(B4,'Up Stats'!A:A,'Up Stats'!I:I,)</f>
        <v/>
      </c>
      <c r="AH4" s="40" t="str">
        <f>IFERROR(__xludf.DUMMYFUNCTION("if(AND(AI4=FALSE,AJ4=FALSE),,if(AI4=AJ4,JOIN("""",""Static: "",AI4),JOIN("""",""Min:  "",AI4, CHAR(10),""Max: "",AJ4)))"),"")</f>
        <v/>
      </c>
      <c r="AI4" s="42" t="str">
        <f t="array" ref="AI4">_xlfn.XLOOKUP(B4,'Up Min'!A:A,'Up Min'!I:I,)</f>
        <v/>
      </c>
      <c r="AJ4" s="42" t="str">
        <f t="array" ref="AJ4">_xlfn.XLOOKUP(B4,'Up Max'!A:A,'Up Max'!I:I,)</f>
        <v/>
      </c>
      <c r="AK4" s="48" t="str">
        <f t="array" ref="AK4">_xlfn.XLOOKUP(B4,'Up Stats'!A:A,'Up Stats'!J:J,)</f>
        <v/>
      </c>
      <c r="AL4" s="40" t="str">
        <f>IFERROR(__xludf.DUMMYFUNCTION("if(AND(AM4=FALSE,AN4=FALSE),,if(AM4=AN4,JOIN("""",""Static: "",AM4),JOIN("""",""Min:  "",AM4, CHAR(10),""Max: "",AN4)))"),"")</f>
        <v/>
      </c>
      <c r="AM4" s="42" t="str">
        <f t="array" ref="AM4">_xlfn.XLOOKUP(B4,'Up Min'!A:A,'Up Min'!J:J,)</f>
        <v/>
      </c>
      <c r="AN4" s="42" t="str">
        <f t="array" ref="AN4">_xlfn.XLOOKUP(B4,'Up Max'!A:A,'Up Max'!J:J,)</f>
        <v/>
      </c>
      <c r="AO4" s="34" t="str">
        <f t="array" ref="AO4">CONCATENATE(_xlfn.XLOOKUP(B4,'Up Cells'!A:A,'Up Cells'!B:B,))</f>
        <v>1</v>
      </c>
      <c r="AP4" s="34" t="str">
        <f t="array" ref="AP4">CONCATENATE(_xlfn.XLOOKUP(B4,'Up Rarity'!A:A,'Up Rarity'!B:B,),CHAR(10),"-")</f>
        <v>Oddity
-</v>
      </c>
    </row>
    <row r="5">
      <c r="A5" s="62" t="str">
        <f t="array" ref="A5">_xlfn.XLOOKUP(B5,'Up Icon'!A:A,'Up Icon'!B:B,)</f>
        <v/>
      </c>
      <c r="B5" s="88" t="str">
        <f t="array" ref="B5">HYPERLINK(_xlfn.XLOOKUP('Up Names'!J2,'Up Wiki'!A:A,'Up Wiki'!B:B,),'Up Names'!J2)</f>
        <v>Deflector</v>
      </c>
      <c r="C5" s="70" t="str">
        <f t="array" ref="C5">_xlfn.XLOOKUP(B5,'Up Desc'!A:A,'Up Desc'!B:B,)</f>
        <v>You deflect incoming projectiles and gain damage resistance while sawing.</v>
      </c>
      <c r="D5" s="52" t="str">
        <f t="array" ref="D5">_xlfn.XLOOKUP(B5,'Up Turbo'!A:A,'Up Turbo'!B:B,)</f>
        <v/>
      </c>
      <c r="E5" s="53" t="str">
        <f t="array" ref="E5">_xlfn.XLOOKUP(B5,'Up Stats'!A:A,'Up Stats'!B:B,)</f>
        <v>Size</v>
      </c>
      <c r="F5" s="54" t="str">
        <f>IFERROR(__xludf.DUMMYFUNCTION("if(AND(G5=FALSE,H5=FALSE),,if(G5=H5,JOIN("""",""Static: "",G5),JOIN("""",""Min:  "",G5, CHAR(10),""Max: "",H5)))"),"Min:  2
Max: 4")</f>
        <v>Min:  2
Max: 4</v>
      </c>
      <c r="G5" s="64">
        <f t="array" ref="G5">_xlfn.XLOOKUP(B5,'Up Min'!A:A,'Up Min'!B:B,)</f>
        <v>2</v>
      </c>
      <c r="H5" s="65">
        <f t="array" ref="H5">_xlfn.XLOOKUP(B5,'Up Max'!A:A,'Up Max'!B:B,)</f>
        <v>4</v>
      </c>
      <c r="I5" s="53" t="str">
        <f t="array" ref="I5">_xlfn.XLOOKUP(B5,'Up Stats'!A:A,'Up Stats'!C:C,)</f>
        <v>Damage Resistance</v>
      </c>
      <c r="J5" s="54" t="str">
        <f>IFERROR(__xludf.DUMMYFUNCTION("if(AND(K5=FALSE,L5=FALSE),,if(K5=L5,JOIN("""",""Static: "",K5),JOIN("""",""Min:  "",K5, CHAR(10),""Max: "",L5)))"),"Min:  11%
Max: 14%")</f>
        <v>Min:  11%
Max: 14%</v>
      </c>
      <c r="K5" s="72">
        <f t="array" ref="K5">_xlfn.XLOOKUP(B5,'Up Min'!A:A,'Up Min'!C:C,)</f>
        <v>0.11</v>
      </c>
      <c r="L5" s="72">
        <f t="array" ref="L5">_xlfn.XLOOKUP(B5,'Up Max'!A:A,'Up Max'!C:C,)</f>
        <v>0.14</v>
      </c>
      <c r="M5" s="57" t="str">
        <f t="array" ref="M5">_xlfn.XLOOKUP(B5,'Up Stats'!A:A,'Up Stats'!D:D,)</f>
        <v/>
      </c>
      <c r="N5" s="54" t="str">
        <f>IFERROR(__xludf.DUMMYFUNCTION("if(AND(O5=FALSE,P5=FALSE),,if(O5=P5,JOIN("""",""Static: "",O5),JOIN("""",""Min:  "",O5, CHAR(10),""Max: "",P5)))"),"")</f>
        <v/>
      </c>
      <c r="O5" s="55" t="str">
        <f t="array" ref="O5">_xlfn.XLOOKUP(B5,'Up Min'!A:A,'Up Min'!D:D,)</f>
        <v/>
      </c>
      <c r="P5" s="55" t="str">
        <f t="array" ref="P5">_xlfn.XLOOKUP(B5,'Up Max'!A:A,'Up Max'!D:D,)</f>
        <v/>
      </c>
      <c r="Q5" s="57" t="str">
        <f t="array" ref="Q5">_xlfn.XLOOKUP(B5,'Up Stats'!A:A,'Up Stats'!E:E,)</f>
        <v/>
      </c>
      <c r="R5" s="54" t="str">
        <f>IFERROR(__xludf.DUMMYFUNCTION("if(AND(S5=FALSE,T5=FALSE),,if(S5=T5,JOIN("""",""Static: "",S5),JOIN("""",""Min:  "",S5, CHAR(10),""Max: "",T5)))"),"")</f>
        <v/>
      </c>
      <c r="S5" s="55" t="str">
        <f t="array" ref="S5">_xlfn.XLOOKUP(B5,'Up Min'!A:A,'Up Min'!E:E,)</f>
        <v/>
      </c>
      <c r="T5" s="55" t="str">
        <f t="array" ref="T5">_xlfn.XLOOKUP(B5,'Up Max'!A:A,'Up Max'!E:E,)</f>
        <v/>
      </c>
      <c r="U5" s="57" t="str">
        <f t="array" ref="U5">_xlfn.XLOOKUP(B5,'Up Stats'!A:A,'Up Stats'!F:F,)</f>
        <v/>
      </c>
      <c r="V5" s="54" t="str">
        <f>IFERROR(__xludf.DUMMYFUNCTION("if(AND(W5=FALSE,X5=FALSE),,if(W5=X5,JOIN("""",""Static: "",W5),JOIN("""",""Min:  "",W5, CHAR(10),""Max: "",X5)))"),"")</f>
        <v/>
      </c>
      <c r="W5" s="55" t="str">
        <f t="array" ref="W5">_xlfn.XLOOKUP(B5,'Up Min'!A:A,'Up Min'!F:F,)</f>
        <v/>
      </c>
      <c r="X5" s="55" t="str">
        <f t="array" ref="X5">_xlfn.XLOOKUP(B5,'Up Max'!A:A,'Up Max'!F:F,)</f>
        <v/>
      </c>
      <c r="Y5" s="57" t="str">
        <f t="array" ref="Y5">_xlfn.XLOOKUP(B5,'Up Stats'!A:A,'Up Stats'!G:G,)</f>
        <v/>
      </c>
      <c r="Z5" s="54" t="str">
        <f>IFERROR(__xludf.DUMMYFUNCTION("if(AND(AA5=FALSE,AB5=FALSE),,if(AA5=AB5,JOIN("""",""Static: "",AA5),JOIN("""",""Min:  "",AA5, CHAR(10),""Max: "",AB5)))"),"")</f>
        <v/>
      </c>
      <c r="AA5" s="55" t="str">
        <f t="array" ref="AA5">_xlfn.XLOOKUP(B5,'Up Min'!A:A,'Up Min'!G:G,)</f>
        <v/>
      </c>
      <c r="AB5" s="55" t="str">
        <f t="array" ref="AB5">_xlfn.XLOOKUP(B5,'Up Max'!A:A,'Up Max'!G:G,)</f>
        <v/>
      </c>
      <c r="AC5" s="57" t="str">
        <f t="array" ref="AC5">_xlfn.XLOOKUP(B5,'Up Stats'!A:A,'Up Stats'!H:H,)</f>
        <v/>
      </c>
      <c r="AD5" s="54" t="str">
        <f>IFERROR(__xludf.DUMMYFUNCTION("if(AND(AE5=FALSE,AF5=FALSE),,if(AE5=AF5,JOIN("""",""Static: "",AE5),JOIN("""",""Min:  "",AE5, CHAR(10),""Max: "",AF5)))"),"")</f>
        <v/>
      </c>
      <c r="AE5" s="55" t="str">
        <f t="array" ref="AE5">_xlfn.XLOOKUP(B5,'Up Min'!A:A,'Up Min'!H:H,)</f>
        <v/>
      </c>
      <c r="AF5" s="55" t="str">
        <f t="array" ref="AF5">_xlfn.XLOOKUP(B5,'Up Max'!A:A,'Up Max'!H:H,)</f>
        <v/>
      </c>
      <c r="AG5" s="57" t="str">
        <f t="array" ref="AG5">_xlfn.XLOOKUP(B5,'Up Stats'!A:A,'Up Stats'!I:I,)</f>
        <v/>
      </c>
      <c r="AH5" s="54" t="str">
        <f>IFERROR(__xludf.DUMMYFUNCTION("if(AND(AI5=FALSE,AJ5=FALSE),,if(AI5=AJ5,JOIN("""",""Static: "",AI5),JOIN("""",""Min:  "",AI5, CHAR(10),""Max: "",AJ5)))"),"")</f>
        <v/>
      </c>
      <c r="AI5" s="55" t="str">
        <f t="array" ref="AI5">_xlfn.XLOOKUP(B5,'Up Min'!A:A,'Up Min'!I:I,)</f>
        <v/>
      </c>
      <c r="AJ5" s="55" t="str">
        <f t="array" ref="AJ5">_xlfn.XLOOKUP(B5,'Up Max'!A:A,'Up Max'!I:I,)</f>
        <v/>
      </c>
      <c r="AK5" s="57" t="str">
        <f t="array" ref="AK5">_xlfn.XLOOKUP(B5,'Up Stats'!A:A,'Up Stats'!J:J,)</f>
        <v/>
      </c>
      <c r="AL5" s="54" t="str">
        <f>IFERROR(__xludf.DUMMYFUNCTION("if(AND(AM5=FALSE,AN5=FALSE),,if(AM5=AN5,JOIN("""",""Static: "",AM5),JOIN("""",""Min:  "",AM5, CHAR(10),""Max: "",AN5)))"),"")</f>
        <v/>
      </c>
      <c r="AM5" s="55" t="str">
        <f t="array" ref="AM5">_xlfn.XLOOKUP(B5,'Up Min'!A:A,'Up Min'!J:J,)</f>
        <v/>
      </c>
      <c r="AN5" s="55" t="str">
        <f t="array" ref="AN5">_xlfn.XLOOKUP(B5,'Up Max'!A:A,'Up Max'!J:J,)</f>
        <v/>
      </c>
      <c r="AO5" s="51" t="str">
        <f t="array" ref="AO5">CONCATENATE(_xlfn.XLOOKUP(B5,'Up Cells'!A:A,'Up Cells'!B:B,))</f>
        <v>4</v>
      </c>
      <c r="AP5" s="51" t="str">
        <f t="array" ref="AP5">CONCATENATE(_xlfn.XLOOKUP(B5,'Up Rarity'!A:A,'Up Rarity'!B:B,),CHAR(10),"-")</f>
        <v>Exotic
-</v>
      </c>
    </row>
    <row r="6">
      <c r="A6" s="62" t="str">
        <f t="array" ref="A6">_xlfn.XLOOKUP(B6,'Up Icon'!A:A,'Up Icon'!B:B,)</f>
        <v/>
      </c>
      <c r="B6" s="89" t="str">
        <f t="array" ref="B6">HYPERLINK(_xlfn.XLOOKUP('Up Names'!J3,'Up Wiki'!A:A,'Up Wiki'!B:B,),'Up Names'!J3)</f>
        <v>Nutrition Sampler</v>
      </c>
      <c r="C6" s="67" t="str">
        <f t="array" ref="C6">_xlfn.XLOOKUP(B6,'Up Desc'!A:A,'Up Desc'!B:B,)</f>
        <v>Killing a target has a chance to drop a chunk of health.</v>
      </c>
      <c r="D6" s="37" t="str">
        <f t="array" ref="D6">_xlfn.XLOOKUP(B6,'Up Turbo'!A:A,'Up Turbo'!B:B,)</f>
        <v/>
      </c>
      <c r="E6" s="39" t="str">
        <f t="array" ref="E6">_xlfn.XLOOKUP(B6,'Up Stats'!A:A,'Up Stats'!B:B,)</f>
        <v>Health</v>
      </c>
      <c r="F6" s="40" t="str">
        <f>IFERROR(__xludf.DUMMYFUNCTION("if(AND(G6=FALSE,H6=FALSE),,if(G6=H6,JOIN("""",""Static: "",G6),JOIN("""",""Min:  "",G6, CHAR(10),""Max: "",H6)))"),"Min:  5.5
Max: 6.5")</f>
        <v>Min:  5.5
Max: 6.5</v>
      </c>
      <c r="G6" s="69">
        <f t="array" ref="G6">_xlfn.XLOOKUP(B6,'Up Min'!A:A,'Up Min'!B:B,)</f>
        <v>5.5</v>
      </c>
      <c r="H6" s="68">
        <f t="array" ref="H6">_xlfn.XLOOKUP(B6,'Up Max'!A:A,'Up Max'!B:B,)</f>
        <v>6.5</v>
      </c>
      <c r="I6" s="39" t="str">
        <f t="array" ref="I6">_xlfn.XLOOKUP(B6,'Up Stats'!A:A,'Up Stats'!C:C,)</f>
        <v>Chance</v>
      </c>
      <c r="J6" s="40" t="str">
        <f>IFERROR(__xludf.DUMMYFUNCTION("if(AND(K6=FALSE,L6=FALSE),,if(K6=L6,JOIN("""",""Static: "",K6),JOIN("""",""Min:  "",K6, CHAR(10),""Max: "",L6)))"),"Min:  11%
Max: 18%")</f>
        <v>Min:  11%
Max: 18%</v>
      </c>
      <c r="K6" s="41">
        <f t="array" ref="K6">_xlfn.XLOOKUP(B6,'Up Min'!A:A,'Up Min'!C:C,)</f>
        <v>0.113</v>
      </c>
      <c r="L6" s="41">
        <f t="array" ref="L6">_xlfn.XLOOKUP(B6,'Up Max'!A:A,'Up Max'!C:C,)</f>
        <v>0.18</v>
      </c>
      <c r="M6" s="39" t="str">
        <f t="array" ref="M6">_xlfn.XLOOKUP(B6,'Up Stats'!A:A,'Up Stats'!D:D,)</f>
        <v/>
      </c>
      <c r="N6" s="40" t="str">
        <f>IFERROR(__xludf.DUMMYFUNCTION("if(AND(O6=FALSE,P6=FALSE),,if(O6=P6,JOIN("""",""Static: "",O6),JOIN("""",""Min:  "",O6, CHAR(10),""Max: "",P6)))"),"")</f>
        <v/>
      </c>
      <c r="O6" s="42" t="str">
        <f t="array" ref="O6">_xlfn.XLOOKUP(B6,'Up Min'!A:A,'Up Min'!D:D,)</f>
        <v/>
      </c>
      <c r="P6" s="42" t="str">
        <f t="array" ref="P6">_xlfn.XLOOKUP(B6,'Up Max'!A:A,'Up Max'!D:D,)</f>
        <v/>
      </c>
      <c r="Q6" s="48" t="str">
        <f t="array" ref="Q6">_xlfn.XLOOKUP(B6,'Up Stats'!A:A,'Up Stats'!E:E,)</f>
        <v/>
      </c>
      <c r="R6" s="40" t="str">
        <f>IFERROR(__xludf.DUMMYFUNCTION("if(AND(S6=FALSE,T6=FALSE),,if(S6=T6,JOIN("""",""Static: "",S6),JOIN("""",""Min:  "",S6, CHAR(10),""Max: "",T6)))"),"")</f>
        <v/>
      </c>
      <c r="S6" s="42" t="str">
        <f t="array" ref="S6">_xlfn.XLOOKUP(B6,'Up Min'!A:A,'Up Min'!E:E,)</f>
        <v/>
      </c>
      <c r="T6" s="42" t="str">
        <f t="array" ref="T6">_xlfn.XLOOKUP(B6,'Up Max'!A:A,'Up Max'!E:E,)</f>
        <v/>
      </c>
      <c r="U6" s="48" t="str">
        <f t="array" ref="U6">_xlfn.XLOOKUP(B6,'Up Stats'!A:A,'Up Stats'!F:F,)</f>
        <v/>
      </c>
      <c r="V6" s="40" t="str">
        <f>IFERROR(__xludf.DUMMYFUNCTION("if(AND(W6=FALSE,X6=FALSE),,if(W6=X6,JOIN("""",""Static: "",W6),JOIN("""",""Min:  "",W6, CHAR(10),""Max: "",X6)))"),"")</f>
        <v/>
      </c>
      <c r="W6" s="42" t="str">
        <f t="array" ref="W6">_xlfn.XLOOKUP(B6,'Up Min'!A:A,'Up Min'!F:F,)</f>
        <v/>
      </c>
      <c r="X6" s="42" t="str">
        <f t="array" ref="X6">_xlfn.XLOOKUP(B6,'Up Max'!A:A,'Up Max'!F:F,)</f>
        <v/>
      </c>
      <c r="Y6" s="48" t="str">
        <f t="array" ref="Y6">_xlfn.XLOOKUP(B6,'Up Stats'!A:A,'Up Stats'!G:G,)</f>
        <v/>
      </c>
      <c r="Z6" s="40" t="str">
        <f>IFERROR(__xludf.DUMMYFUNCTION("if(AND(AA6=FALSE,AB6=FALSE),,if(AA6=AB6,JOIN("""",""Static: "",AA6),JOIN("""",""Min:  "",AA6, CHAR(10),""Max: "",AB6)))"),"")</f>
        <v/>
      </c>
      <c r="AA6" s="42" t="str">
        <f t="array" ref="AA6">_xlfn.XLOOKUP(B6,'Up Min'!A:A,'Up Min'!G:G,)</f>
        <v/>
      </c>
      <c r="AB6" s="42" t="str">
        <f t="array" ref="AB6">_xlfn.XLOOKUP(B6,'Up Max'!A:A,'Up Max'!G:G,)</f>
        <v/>
      </c>
      <c r="AC6" s="48" t="str">
        <f t="array" ref="AC6">_xlfn.XLOOKUP(B6,'Up Stats'!A:A,'Up Stats'!H:H,)</f>
        <v/>
      </c>
      <c r="AD6" s="40" t="str">
        <f>IFERROR(__xludf.DUMMYFUNCTION("if(AND(AE6=FALSE,AF6=FALSE),,if(AE6=AF6,JOIN("""",""Static: "",AE6),JOIN("""",""Min:  "",AE6, CHAR(10),""Max: "",AF6)))"),"")</f>
        <v/>
      </c>
      <c r="AE6" s="42" t="str">
        <f t="array" ref="AE6">_xlfn.XLOOKUP(B6,'Up Min'!A:A,'Up Min'!H:H,)</f>
        <v/>
      </c>
      <c r="AF6" s="42" t="str">
        <f t="array" ref="AF6">_xlfn.XLOOKUP(B6,'Up Max'!A:A,'Up Max'!H:H,)</f>
        <v/>
      </c>
      <c r="AG6" s="48" t="str">
        <f t="array" ref="AG6">_xlfn.XLOOKUP(B6,'Up Stats'!A:A,'Up Stats'!I:I,)</f>
        <v/>
      </c>
      <c r="AH6" s="40" t="str">
        <f>IFERROR(__xludf.DUMMYFUNCTION("if(AND(AI6=FALSE,AJ6=FALSE),,if(AI6=AJ6,JOIN("""",""Static: "",AI6),JOIN("""",""Min:  "",AI6, CHAR(10),""Max: "",AJ6)))"),"")</f>
        <v/>
      </c>
      <c r="AI6" s="42" t="str">
        <f t="array" ref="AI6">_xlfn.XLOOKUP(B6,'Up Min'!A:A,'Up Min'!I:I,)</f>
        <v/>
      </c>
      <c r="AJ6" s="42" t="str">
        <f t="array" ref="AJ6">_xlfn.XLOOKUP(B6,'Up Max'!A:A,'Up Max'!I:I,)</f>
        <v/>
      </c>
      <c r="AK6" s="48" t="str">
        <f t="array" ref="AK6">_xlfn.XLOOKUP(B6,'Up Stats'!A:A,'Up Stats'!J:J,)</f>
        <v/>
      </c>
      <c r="AL6" s="40" t="str">
        <f>IFERROR(__xludf.DUMMYFUNCTION("if(AND(AM6=FALSE,AN6=FALSE),,if(AM6=AN6,JOIN("""",""Static: "",AM6),JOIN("""",""Min:  "",AM6, CHAR(10),""Max: "",AN6)))"),"")</f>
        <v/>
      </c>
      <c r="AM6" s="42" t="str">
        <f t="array" ref="AM6">_xlfn.XLOOKUP(B6,'Up Min'!A:A,'Up Min'!J:J,)</f>
        <v/>
      </c>
      <c r="AN6" s="42" t="str">
        <f t="array" ref="AN6">_xlfn.XLOOKUP(B6,'Up Max'!A:A,'Up Max'!J:J,)</f>
        <v/>
      </c>
      <c r="AO6" s="34" t="str">
        <f t="array" ref="AO6">CONCATENATE(_xlfn.XLOOKUP(B6,'Up Cells'!A:A,'Up Cells'!B:B,))</f>
        <v>5</v>
      </c>
      <c r="AP6" s="34" t="str">
        <f t="array" ref="AP6">CONCATENATE(_xlfn.XLOOKUP(B6,'Up Rarity'!A:A,'Up Rarity'!B:B,),CHAR(10),"-")</f>
        <v>Exotic
-</v>
      </c>
    </row>
    <row r="7">
      <c r="A7" s="62" t="str">
        <f t="array" ref="A7">_xlfn.XLOOKUP(B7,'Up Icon'!A:A,'Up Icon'!B:B,)</f>
        <v/>
      </c>
      <c r="B7" s="88" t="str">
        <f t="array" ref="B7">HYPERLINK(_xlfn.XLOOKUP('Up Names'!J4,'Up Wiki'!A:A,'Up Wiki'!B:B,),'Up Names'!J4)</f>
        <v>Rage</v>
      </c>
      <c r="C7" s="52" t="str">
        <f t="array" ref="C7">_xlfn.XLOOKUP(B7,'Up Desc'!A:A,'Up Desc'!B:B,)</f>
        <v>Gain stacks of rage by killing targets. Rage increases your move speed and damage as long as you keep sawing.</v>
      </c>
      <c r="D7" s="52" t="str">
        <f t="array" ref="D7">_xlfn.XLOOKUP(B7,'Up Turbo'!A:A,'Up Turbo'!B:B,)</f>
        <v/>
      </c>
      <c r="E7" s="53" t="str">
        <f t="array" ref="E7">_xlfn.XLOOKUP(B7,'Up Stats'!A:A,'Up Stats'!B:B,)</f>
        <v>Stacks on Kill</v>
      </c>
      <c r="F7" s="54" t="str">
        <f>IFERROR(__xludf.DUMMYFUNCTION("if(AND(G7=FALSE,H7=FALSE),,if(G7=H7,JOIN("""",""Static: "",G7),JOIN("""",""Min:  "",G7, CHAR(10),""Max: "",H7)))"),"Min:  0.5
Max: 0.7")</f>
        <v>Min:  0.5
Max: 0.7</v>
      </c>
      <c r="G7" s="64">
        <f t="array" ref="G7">_xlfn.XLOOKUP(B7,'Up Min'!A:A,'Up Min'!B:B,)</f>
        <v>0.5</v>
      </c>
      <c r="H7" s="65">
        <f t="array" ref="H7">_xlfn.XLOOKUP(B7,'Up Max'!A:A,'Up Max'!B:B,)</f>
        <v>0.7</v>
      </c>
      <c r="I7" s="53" t="str">
        <f t="array" ref="I7">_xlfn.XLOOKUP(B7,'Up Stats'!A:A,'Up Stats'!C:C,)</f>
        <v>Speed per Stack</v>
      </c>
      <c r="J7" s="54" t="str">
        <f>IFERROR(__xludf.DUMMYFUNCTION("if(AND(K7=FALSE,L7=FALSE),,if(K7=L7,JOIN("""",""Static: "",K7),JOIN("""",""Min:  "",K7, CHAR(10),""Max: "",L7)))"),"Min:  0.32
Max: 0.38")</f>
        <v>Min:  0.32
Max: 0.38</v>
      </c>
      <c r="K7" s="64">
        <f t="array" ref="K7">_xlfn.XLOOKUP(B7,'Up Min'!A:A,'Up Min'!C:C,)</f>
        <v>0.32</v>
      </c>
      <c r="L7" s="64">
        <f t="array" ref="L7">_xlfn.XLOOKUP(B7,'Up Max'!A:A,'Up Max'!C:C,)</f>
        <v>0.38</v>
      </c>
      <c r="M7" s="53" t="str">
        <f t="array" ref="M7">_xlfn.XLOOKUP(B7,'Up Stats'!A:A,'Up Stats'!D:D,)</f>
        <v>Damage per Stack</v>
      </c>
      <c r="N7" s="54" t="str">
        <f>IFERROR(__xludf.DUMMYFUNCTION("if(AND(O7=FALSE,P7=FALSE),,if(O7=P7,JOIN("""",""Static: "",O7),JOIN("""",""Min:  "",O7, CHAR(10),""Max: "",P7)))"),"Min:  0.25
Max: 0.39")</f>
        <v>Min:  0.25
Max: 0.39</v>
      </c>
      <c r="O7" s="65">
        <f t="array" ref="O7">_xlfn.XLOOKUP(B7,'Up Min'!A:A,'Up Min'!D:D,)</f>
        <v>0.25</v>
      </c>
      <c r="P7" s="64">
        <f t="array" ref="P7">_xlfn.XLOOKUP(B7,'Up Max'!A:A,'Up Max'!D:D,)</f>
        <v>0.39</v>
      </c>
      <c r="Q7" s="57" t="str">
        <f t="array" ref="Q7">_xlfn.XLOOKUP(B7,'Up Stats'!A:A,'Up Stats'!E:E,)</f>
        <v/>
      </c>
      <c r="R7" s="54" t="str">
        <f>IFERROR(__xludf.DUMMYFUNCTION("if(AND(S7=FALSE,T7=FALSE),,if(S7=T7,JOIN("""",""Static: "",S7),JOIN("""",""Min:  "",S7, CHAR(10),""Max: "",T7)))"),"")</f>
        <v/>
      </c>
      <c r="S7" s="55" t="str">
        <f t="array" ref="S7">_xlfn.XLOOKUP(B7,'Up Min'!A:A,'Up Min'!E:E,)</f>
        <v/>
      </c>
      <c r="T7" s="55" t="str">
        <f t="array" ref="T7">_xlfn.XLOOKUP(B7,'Up Max'!A:A,'Up Max'!E:E,)</f>
        <v/>
      </c>
      <c r="U7" s="57" t="str">
        <f t="array" ref="U7">_xlfn.XLOOKUP(B7,'Up Stats'!A:A,'Up Stats'!F:F,)</f>
        <v/>
      </c>
      <c r="V7" s="54" t="str">
        <f>IFERROR(__xludf.DUMMYFUNCTION("if(AND(W7=FALSE,X7=FALSE),,if(W7=X7,JOIN("""",""Static: "",W7),JOIN("""",""Min:  "",W7, CHAR(10),""Max: "",X7)))"),"")</f>
        <v/>
      </c>
      <c r="W7" s="55" t="str">
        <f t="array" ref="W7">_xlfn.XLOOKUP(B7,'Up Min'!A:A,'Up Min'!F:F,)</f>
        <v/>
      </c>
      <c r="X7" s="55" t="str">
        <f t="array" ref="X7">_xlfn.XLOOKUP(B7,'Up Max'!A:A,'Up Max'!F:F,)</f>
        <v/>
      </c>
      <c r="Y7" s="57" t="str">
        <f t="array" ref="Y7">_xlfn.XLOOKUP(B7,'Up Stats'!A:A,'Up Stats'!G:G,)</f>
        <v/>
      </c>
      <c r="Z7" s="54" t="str">
        <f>IFERROR(__xludf.DUMMYFUNCTION("if(AND(AA7=FALSE,AB7=FALSE),,if(AA7=AB7,JOIN("""",""Static: "",AA7),JOIN("""",""Min:  "",AA7, CHAR(10),""Max: "",AB7)))"),"")</f>
        <v/>
      </c>
      <c r="AA7" s="55" t="str">
        <f t="array" ref="AA7">_xlfn.XLOOKUP(B7,'Up Min'!A:A,'Up Min'!G:G,)</f>
        <v/>
      </c>
      <c r="AB7" s="55" t="str">
        <f t="array" ref="AB7">_xlfn.XLOOKUP(B7,'Up Max'!A:A,'Up Max'!G:G,)</f>
        <v/>
      </c>
      <c r="AC7" s="57" t="str">
        <f t="array" ref="AC7">_xlfn.XLOOKUP(B7,'Up Stats'!A:A,'Up Stats'!H:H,)</f>
        <v/>
      </c>
      <c r="AD7" s="54" t="str">
        <f>IFERROR(__xludf.DUMMYFUNCTION("if(AND(AE7=FALSE,AF7=FALSE),,if(AE7=AF7,JOIN("""",""Static: "",AE7),JOIN("""",""Min:  "",AE7, CHAR(10),""Max: "",AF7)))"),"")</f>
        <v/>
      </c>
      <c r="AE7" s="55" t="str">
        <f t="array" ref="AE7">_xlfn.XLOOKUP(B7,'Up Min'!A:A,'Up Min'!H:H,)</f>
        <v/>
      </c>
      <c r="AF7" s="55" t="str">
        <f t="array" ref="AF7">_xlfn.XLOOKUP(B7,'Up Max'!A:A,'Up Max'!H:H,)</f>
        <v/>
      </c>
      <c r="AG7" s="57" t="str">
        <f t="array" ref="AG7">_xlfn.XLOOKUP(B7,'Up Stats'!A:A,'Up Stats'!I:I,)</f>
        <v/>
      </c>
      <c r="AH7" s="54" t="str">
        <f>IFERROR(__xludf.DUMMYFUNCTION("if(AND(AI7=FALSE,AJ7=FALSE),,if(AI7=AJ7,JOIN("""",""Static: "",AI7),JOIN("""",""Min:  "",AI7, CHAR(10),""Max: "",AJ7)))"),"")</f>
        <v/>
      </c>
      <c r="AI7" s="55" t="str">
        <f t="array" ref="AI7">_xlfn.XLOOKUP(B7,'Up Min'!A:A,'Up Min'!I:I,)</f>
        <v/>
      </c>
      <c r="AJ7" s="55" t="str">
        <f t="array" ref="AJ7">_xlfn.XLOOKUP(B7,'Up Max'!A:A,'Up Max'!I:I,)</f>
        <v/>
      </c>
      <c r="AK7" s="57" t="str">
        <f t="array" ref="AK7">_xlfn.XLOOKUP(B7,'Up Stats'!A:A,'Up Stats'!J:J,)</f>
        <v/>
      </c>
      <c r="AL7" s="54" t="str">
        <f>IFERROR(__xludf.DUMMYFUNCTION("if(AND(AM7=FALSE,AN7=FALSE),,if(AM7=AN7,JOIN("""",""Static: "",AM7),JOIN("""",""Min:  "",AM7, CHAR(10),""Max: "",AN7)))"),"")</f>
        <v/>
      </c>
      <c r="AM7" s="55" t="str">
        <f t="array" ref="AM7">_xlfn.XLOOKUP(B7,'Up Min'!A:A,'Up Min'!J:J,)</f>
        <v/>
      </c>
      <c r="AN7" s="55" t="str">
        <f t="array" ref="AN7">_xlfn.XLOOKUP(B7,'Up Max'!A:A,'Up Max'!J:J,)</f>
        <v/>
      </c>
      <c r="AO7" s="51" t="str">
        <f t="array" ref="AO7">CONCATENATE(_xlfn.XLOOKUP(B7,'Up Cells'!A:A,'Up Cells'!B:B,))</f>
        <v>7</v>
      </c>
      <c r="AP7" s="51" t="str">
        <f t="array" ref="AP7">CONCATENATE(_xlfn.XLOOKUP(B7,'Up Rarity'!A:A,'Up Rarity'!B:B,),CHAR(10),"-")</f>
        <v>Exotic
-</v>
      </c>
    </row>
    <row r="8">
      <c r="A8" s="62" t="str">
        <f t="array" ref="A8">_xlfn.XLOOKUP(B8,'Up Icon'!A:A,'Up Icon'!B:B,)</f>
        <v/>
      </c>
      <c r="B8" s="89" t="str">
        <f t="array" ref="B8">HYPERLINK(_xlfn.XLOOKUP('Up Names'!J5,'Up Wiki'!A:A,'Up Wiki'!B:B,),'Up Names'!J5)</f>
        <v>Super Magnet</v>
      </c>
      <c r="C8" s="67" t="str">
        <f t="array" ref="C8">_xlfn.XLOOKUP(B8,'Up Desc'!A:A,'Up Desc'!B:B,)</f>
        <v>Pull nearby grunts toward you while sawing.</v>
      </c>
      <c r="D8" s="37" t="str">
        <f t="array" ref="D8">_xlfn.XLOOKUP(B8,'Up Turbo'!A:A,'Up Turbo'!B:B,)</f>
        <v/>
      </c>
      <c r="E8" s="39" t="str">
        <f t="array" ref="E8">_xlfn.XLOOKUP(B8,'Up Stats'!A:A,'Up Stats'!B:B,)</f>
        <v>Force</v>
      </c>
      <c r="F8" s="40" t="str">
        <f>IFERROR(__xludf.DUMMYFUNCTION("if(AND(G8=FALSE,H8=FALSE),,if(G8=H8,JOIN("""",""Static: "",G8),JOIN("""",""Min:  "",G8, CHAR(10),""Max: "",H8)))"),"Static: 10")</f>
        <v>Static: 10</v>
      </c>
      <c r="G8" s="69">
        <f t="array" ref="G8">_xlfn.XLOOKUP(B8,'Up Min'!A:A,'Up Min'!B:B,)</f>
        <v>10</v>
      </c>
      <c r="H8" s="68">
        <f t="array" ref="H8">_xlfn.XLOOKUP(B8,'Up Max'!A:A,'Up Max'!B:B,)</f>
        <v>10</v>
      </c>
      <c r="I8" s="39" t="str">
        <f t="array" ref="I8">_xlfn.XLOOKUP(B8,'Up Stats'!A:A,'Up Stats'!C:C,)</f>
        <v>Range</v>
      </c>
      <c r="J8" s="40" t="str">
        <f>IFERROR(__xludf.DUMMYFUNCTION("if(AND(K8=FALSE,L8=FALSE),,if(K8=L8,JOIN("""",""Static: "",K8),JOIN("""",""Min:  "",K8, CHAR(10),""Max: "",L8)))"),"Static: 8")</f>
        <v>Static: 8</v>
      </c>
      <c r="K8" s="68">
        <f t="array" ref="K8">_xlfn.XLOOKUP(B8,'Up Min'!A:A,'Up Min'!C:C,)</f>
        <v>8</v>
      </c>
      <c r="L8" s="69">
        <f t="array" ref="L8">_xlfn.XLOOKUP(B8,'Up Max'!A:A,'Up Max'!C:C,)</f>
        <v>8</v>
      </c>
      <c r="M8" s="39" t="str">
        <f t="array" ref="M8">_xlfn.XLOOKUP(B8,'Up Stats'!A:A,'Up Stats'!D:D,)</f>
        <v/>
      </c>
      <c r="N8" s="40" t="str">
        <f>IFERROR(__xludf.DUMMYFUNCTION("if(AND(O8=FALSE,P8=FALSE),,if(O8=P8,JOIN("""",""Static: "",O8),JOIN("""",""Min:  "",O8, CHAR(10),""Max: "",P8)))"),"")</f>
        <v/>
      </c>
      <c r="O8" s="74" t="str">
        <f t="array" ref="O8">_xlfn.XLOOKUP(B8,'Up Min'!A:A,'Up Min'!D:D,)</f>
        <v/>
      </c>
      <c r="P8" s="74" t="str">
        <f t="array" ref="P8">_xlfn.XLOOKUP(B8,'Up Max'!A:A,'Up Max'!D:D,)</f>
        <v/>
      </c>
      <c r="Q8" s="48" t="str">
        <f t="array" ref="Q8">_xlfn.XLOOKUP(B8,'Up Stats'!A:A,'Up Stats'!E:E,)</f>
        <v/>
      </c>
      <c r="R8" s="40" t="str">
        <f>IFERROR(__xludf.DUMMYFUNCTION("if(AND(S8=FALSE,T8=FALSE),,if(S8=T8,JOIN("""",""Static: "",S8),JOIN("""",""Min:  "",S8, CHAR(10),""Max: "",T8)))"),"")</f>
        <v/>
      </c>
      <c r="S8" s="42" t="str">
        <f t="array" ref="S8">_xlfn.XLOOKUP(B8,'Up Min'!A:A,'Up Min'!E:E,)</f>
        <v/>
      </c>
      <c r="T8" s="42" t="str">
        <f t="array" ref="T8">_xlfn.XLOOKUP(B8,'Up Max'!A:A,'Up Max'!E:E,)</f>
        <v/>
      </c>
      <c r="U8" s="48" t="str">
        <f t="array" ref="U8">_xlfn.XLOOKUP(B8,'Up Stats'!A:A,'Up Stats'!F:F,)</f>
        <v/>
      </c>
      <c r="V8" s="40" t="str">
        <f>IFERROR(__xludf.DUMMYFUNCTION("if(AND(W8=FALSE,X8=FALSE),,if(W8=X8,JOIN("""",""Static: "",W8),JOIN("""",""Min:  "",W8, CHAR(10),""Max: "",X8)))"),"")</f>
        <v/>
      </c>
      <c r="W8" s="42" t="str">
        <f t="array" ref="W8">_xlfn.XLOOKUP(B8,'Up Min'!A:A,'Up Min'!F:F,)</f>
        <v/>
      </c>
      <c r="X8" s="42" t="str">
        <f t="array" ref="X8">_xlfn.XLOOKUP(B8,'Up Max'!A:A,'Up Max'!F:F,)</f>
        <v/>
      </c>
      <c r="Y8" s="48" t="str">
        <f t="array" ref="Y8">_xlfn.XLOOKUP(B8,'Up Stats'!A:A,'Up Stats'!G:G,)</f>
        <v/>
      </c>
      <c r="Z8" s="40" t="str">
        <f>IFERROR(__xludf.DUMMYFUNCTION("if(AND(AA8=FALSE,AB8=FALSE),,if(AA8=AB8,JOIN("""",""Static: "",AA8),JOIN("""",""Min:  "",AA8, CHAR(10),""Max: "",AB8)))"),"")</f>
        <v/>
      </c>
      <c r="AA8" s="42" t="str">
        <f t="array" ref="AA8">_xlfn.XLOOKUP(B8,'Up Min'!A:A,'Up Min'!G:G,)</f>
        <v/>
      </c>
      <c r="AB8" s="42" t="str">
        <f t="array" ref="AB8">_xlfn.XLOOKUP(B8,'Up Max'!A:A,'Up Max'!G:G,)</f>
        <v/>
      </c>
      <c r="AC8" s="48" t="str">
        <f t="array" ref="AC8">_xlfn.XLOOKUP(B8,'Up Stats'!A:A,'Up Stats'!H:H,)</f>
        <v/>
      </c>
      <c r="AD8" s="40" t="str">
        <f>IFERROR(__xludf.DUMMYFUNCTION("if(AND(AE8=FALSE,AF8=FALSE),,if(AE8=AF8,JOIN("""",""Static: "",AE8),JOIN("""",""Min:  "",AE8, CHAR(10),""Max: "",AF8)))"),"")</f>
        <v/>
      </c>
      <c r="AE8" s="42" t="str">
        <f t="array" ref="AE8">_xlfn.XLOOKUP(B8,'Up Min'!A:A,'Up Min'!H:H,)</f>
        <v/>
      </c>
      <c r="AF8" s="42" t="str">
        <f t="array" ref="AF8">_xlfn.XLOOKUP(B8,'Up Max'!A:A,'Up Max'!H:H,)</f>
        <v/>
      </c>
      <c r="AG8" s="48" t="str">
        <f t="array" ref="AG8">_xlfn.XLOOKUP(B8,'Up Stats'!A:A,'Up Stats'!I:I,)</f>
        <v/>
      </c>
      <c r="AH8" s="40" t="str">
        <f>IFERROR(__xludf.DUMMYFUNCTION("if(AND(AI8=FALSE,AJ8=FALSE),,if(AI8=AJ8,JOIN("""",""Static: "",AI8),JOIN("""",""Min:  "",AI8, CHAR(10),""Max: "",AJ8)))"),"")</f>
        <v/>
      </c>
      <c r="AI8" s="42" t="str">
        <f t="array" ref="AI8">_xlfn.XLOOKUP(B8,'Up Min'!A:A,'Up Min'!I:I,)</f>
        <v/>
      </c>
      <c r="AJ8" s="42" t="str">
        <f t="array" ref="AJ8">_xlfn.XLOOKUP(B8,'Up Max'!A:A,'Up Max'!I:I,)</f>
        <v/>
      </c>
      <c r="AK8" s="48" t="str">
        <f t="array" ref="AK8">_xlfn.XLOOKUP(B8,'Up Stats'!A:A,'Up Stats'!J:J,)</f>
        <v/>
      </c>
      <c r="AL8" s="40" t="str">
        <f>IFERROR(__xludf.DUMMYFUNCTION("if(AND(AM8=FALSE,AN8=FALSE),,if(AM8=AN8,JOIN("""",""Static: "",AM8),JOIN("""",""Min:  "",AM8, CHAR(10),""Max: "",AN8)))"),"")</f>
        <v/>
      </c>
      <c r="AM8" s="42" t="str">
        <f t="array" ref="AM8">_xlfn.XLOOKUP(B8,'Up Min'!A:A,'Up Min'!J:J,)</f>
        <v/>
      </c>
      <c r="AN8" s="42" t="str">
        <f t="array" ref="AN8">_xlfn.XLOOKUP(B8,'Up Max'!A:A,'Up Max'!J:J,)</f>
        <v/>
      </c>
      <c r="AO8" s="34" t="str">
        <f t="array" ref="AO8">CONCATENATE(_xlfn.XLOOKUP(B8,'Up Cells'!A:A,'Up Cells'!B:B,))</f>
        <v>6</v>
      </c>
      <c r="AP8" s="34" t="str">
        <f t="array" ref="AP8">CONCATENATE(_xlfn.XLOOKUP(B8,'Up Rarity'!A:A,'Up Rarity'!B:B,),CHAR(10),"-")</f>
        <v>Exotic
-</v>
      </c>
    </row>
    <row r="9">
      <c r="A9" s="75" t="str">
        <f t="array" ref="A9">_xlfn.XLOOKUP(B9,'Up Icon'!A:A,'Up Icon'!B:B,)</f>
        <v/>
      </c>
      <c r="B9" s="88" t="str">
        <f t="array" ref="B9">HYPERLINK(_xlfn.XLOOKUP('Up Names'!J6,'Up Wiki'!A:A,'Up Wiki'!B:B,),'Up Names'!J6)</f>
        <v>Big Deflector</v>
      </c>
      <c r="C9" s="70" t="str">
        <f t="array" ref="C9">_xlfn.XLOOKUP(B9,'Up Desc'!A:A,'Up Desc'!B:B,)</f>
        <v>Deflector size and damage resistance are increased, but you move slower while sawing.</v>
      </c>
      <c r="D9" s="52" t="str">
        <f t="array" ref="D9">_xlfn.XLOOKUP(B9,'Up Turbo'!A:A,'Up Turbo'!B:B,)</f>
        <v>n/a</v>
      </c>
      <c r="E9" s="53" t="str">
        <f t="array" ref="E9">_xlfn.XLOOKUP(B9,'Up Stats'!A:A,'Up Stats'!B:B,)</f>
        <v>Size</v>
      </c>
      <c r="F9" s="54" t="str">
        <f>IFERROR(__xludf.DUMMYFUNCTION("if(AND(G9=FALSE,H9=FALSE),,if(G9=H9,JOIN("""",""Static: "",G9),JOIN("""",""Min:  "",G9, CHAR(10),""Max: "",H9)))"),"Min:  7
Max: 10")</f>
        <v>Min:  7
Max: 10</v>
      </c>
      <c r="G9" s="64">
        <f t="array" ref="G9">_xlfn.XLOOKUP(B9,'Up Min'!A:A,'Up Min'!B:B,)</f>
        <v>7</v>
      </c>
      <c r="H9" s="65">
        <f t="array" ref="H9">_xlfn.XLOOKUP(B9,'Up Max'!A:A,'Up Max'!B:B,)</f>
        <v>10</v>
      </c>
      <c r="I9" s="53" t="str">
        <f t="array" ref="I9">_xlfn.XLOOKUP(B9,'Up Stats'!A:A,'Up Stats'!C:C,)</f>
        <v>Speed</v>
      </c>
      <c r="J9" s="54" t="str">
        <f>IFERROR(__xludf.DUMMYFUNCTION("if(AND(K9=FALSE,L9=FALSE),,if(K9=L9,JOIN("""",""Static: "",K9),JOIN("""",""Min:  "",K9, CHAR(10),""Max: "",L9)))"),"Min:  -40%
Max: -29%")</f>
        <v>Min:  -40%
Max: -29%</v>
      </c>
      <c r="K9" s="59">
        <f t="array" ref="K9">_xlfn.XLOOKUP(B9,'Up Min'!A:A,'Up Min'!C:C,)</f>
        <v>-0.4</v>
      </c>
      <c r="L9" s="59">
        <f t="array" ref="L9">_xlfn.XLOOKUP(B9,'Up Max'!A:A,'Up Max'!C:C,)</f>
        <v>-0.29</v>
      </c>
      <c r="M9" s="53" t="str">
        <f t="array" ref="M9">_xlfn.XLOOKUP(B9,'Up Stats'!A:A,'Up Stats'!D:D,)</f>
        <v>Damage Resistance</v>
      </c>
      <c r="N9" s="54" t="str">
        <f>IFERROR(__xludf.DUMMYFUNCTION("if(AND(O9=FALSE,P9=FALSE),,if(O9=P9,JOIN("""",""Static: "",O9),JOIN("""",""Min:  "",O9, CHAR(10),""Max: "",P9)))"),"Min:  3%
Max: 7%")</f>
        <v>Min:  3%
Max: 7%</v>
      </c>
      <c r="O9" s="72">
        <f t="array" ref="O9">_xlfn.XLOOKUP(B9,'Up Min'!A:A,'Up Min'!D:D,)</f>
        <v>0.03</v>
      </c>
      <c r="P9" s="72">
        <f t="array" ref="P9">_xlfn.XLOOKUP(B9,'Up Max'!A:A,'Up Max'!D:D,)</f>
        <v>0.07</v>
      </c>
      <c r="Q9" s="57" t="str">
        <f t="array" ref="Q9">_xlfn.XLOOKUP(B9,'Up Stats'!A:A,'Up Stats'!E:E,)</f>
        <v/>
      </c>
      <c r="R9" s="54" t="str">
        <f>IFERROR(__xludf.DUMMYFUNCTION("if(AND(S9=FALSE,T9=FALSE),,if(S9=T9,JOIN("""",""Static: "",S9),JOIN("""",""Min:  "",S9, CHAR(10),""Max: "",T9)))"),"")</f>
        <v/>
      </c>
      <c r="S9" s="55" t="str">
        <f t="array" ref="S9">_xlfn.XLOOKUP(B9,'Up Min'!A:A,'Up Min'!E:E,)</f>
        <v/>
      </c>
      <c r="T9" s="55" t="str">
        <f t="array" ref="T9">_xlfn.XLOOKUP(B9,'Up Max'!A:A,'Up Max'!E:E,)</f>
        <v/>
      </c>
      <c r="U9" s="57" t="str">
        <f t="array" ref="U9">_xlfn.XLOOKUP(B9,'Up Stats'!A:A,'Up Stats'!F:F,)</f>
        <v/>
      </c>
      <c r="V9" s="54" t="str">
        <f>IFERROR(__xludf.DUMMYFUNCTION("if(AND(W9=FALSE,X9=FALSE),,if(W9=X9,JOIN("""",""Static: "",W9),JOIN("""",""Min:  "",W9, CHAR(10),""Max: "",X9)))"),"")</f>
        <v/>
      </c>
      <c r="W9" s="55" t="str">
        <f t="array" ref="W9">_xlfn.XLOOKUP(B9,'Up Min'!A:A,'Up Min'!F:F,)</f>
        <v/>
      </c>
      <c r="X9" s="55" t="str">
        <f t="array" ref="X9">_xlfn.XLOOKUP(B9,'Up Max'!A:A,'Up Max'!F:F,)</f>
        <v/>
      </c>
      <c r="Y9" s="57" t="str">
        <f t="array" ref="Y9">_xlfn.XLOOKUP(B9,'Up Stats'!A:A,'Up Stats'!G:G,)</f>
        <v/>
      </c>
      <c r="Z9" s="54" t="str">
        <f>IFERROR(__xludf.DUMMYFUNCTION("if(AND(AA9=FALSE,AB9=FALSE),,if(AA9=AB9,JOIN("""",""Static: "",AA9),JOIN("""",""Min:  "",AA9, CHAR(10),""Max: "",AB9)))"),"")</f>
        <v/>
      </c>
      <c r="AA9" s="55" t="str">
        <f t="array" ref="AA9">_xlfn.XLOOKUP(B9,'Up Min'!A:A,'Up Min'!G:G,)</f>
        <v/>
      </c>
      <c r="AB9" s="55" t="str">
        <f t="array" ref="AB9">_xlfn.XLOOKUP(B9,'Up Max'!A:A,'Up Max'!G:G,)</f>
        <v/>
      </c>
      <c r="AC9" s="57" t="str">
        <f t="array" ref="AC9">_xlfn.XLOOKUP(B9,'Up Stats'!A:A,'Up Stats'!H:H,)</f>
        <v/>
      </c>
      <c r="AD9" s="54" t="str">
        <f>IFERROR(__xludf.DUMMYFUNCTION("if(AND(AE9=FALSE,AF9=FALSE),,if(AE9=AF9,JOIN("""",""Static: "",AE9),JOIN("""",""Min:  "",AE9, CHAR(10),""Max: "",AF9)))"),"")</f>
        <v/>
      </c>
      <c r="AE9" s="55" t="str">
        <f t="array" ref="AE9">_xlfn.XLOOKUP(B9,'Up Min'!A:A,'Up Min'!H:H,)</f>
        <v/>
      </c>
      <c r="AF9" s="55" t="str">
        <f t="array" ref="AF9">_xlfn.XLOOKUP(B9,'Up Max'!A:A,'Up Max'!H:H,)</f>
        <v/>
      </c>
      <c r="AG9" s="57" t="str">
        <f t="array" ref="AG9">_xlfn.XLOOKUP(B9,'Up Stats'!A:A,'Up Stats'!I:I,)</f>
        <v/>
      </c>
      <c r="AH9" s="54" t="str">
        <f>IFERROR(__xludf.DUMMYFUNCTION("if(AND(AI9=FALSE,AJ9=FALSE),,if(AI9=AJ9,JOIN("""",""Static: "",AI9),JOIN("""",""Min:  "",AI9, CHAR(10),""Max: "",AJ9)))"),"")</f>
        <v/>
      </c>
      <c r="AI9" s="55" t="str">
        <f t="array" ref="AI9">_xlfn.XLOOKUP(B9,'Up Min'!A:A,'Up Min'!I:I,)</f>
        <v/>
      </c>
      <c r="AJ9" s="55" t="str">
        <f t="array" ref="AJ9">_xlfn.XLOOKUP(B9,'Up Max'!A:A,'Up Max'!I:I,)</f>
        <v/>
      </c>
      <c r="AK9" s="57" t="str">
        <f t="array" ref="AK9">_xlfn.XLOOKUP(B9,'Up Stats'!A:A,'Up Stats'!J:J,)</f>
        <v/>
      </c>
      <c r="AL9" s="54" t="str">
        <f>IFERROR(__xludf.DUMMYFUNCTION("if(AND(AM9=FALSE,AN9=FALSE),,if(AM9=AN9,JOIN("""",""Static: "",AM9),JOIN("""",""Min:  "",AM9, CHAR(10),""Max: "",AN9)))"),"")</f>
        <v/>
      </c>
      <c r="AM9" s="55" t="str">
        <f t="array" ref="AM9">_xlfn.XLOOKUP(B9,'Up Min'!A:A,'Up Min'!J:J,)</f>
        <v/>
      </c>
      <c r="AN9" s="55" t="str">
        <f t="array" ref="AN9">_xlfn.XLOOKUP(B9,'Up Max'!A:A,'Up Max'!J:J,)</f>
        <v/>
      </c>
      <c r="AO9" s="51" t="str">
        <f t="array" ref="AO9">CONCATENATE(_xlfn.XLOOKUP(B9,'Up Cells'!A:A,'Up Cells'!B:B,))</f>
        <v>4</v>
      </c>
      <c r="AP9" s="51" t="str">
        <f t="array" ref="AP9">CONCATENATE(_xlfn.XLOOKUP(B9,'Up Rarity'!A:A,'Up Rarity'!B:B,),CHAR(10),"-")</f>
        <v>Epic
-</v>
      </c>
    </row>
    <row r="10">
      <c r="A10" s="75" t="str">
        <f t="array" ref="A10">_xlfn.XLOOKUP(B10,'Up Icon'!A:A,'Up Icon'!B:B,)</f>
        <v/>
      </c>
      <c r="B10" s="89" t="str">
        <f t="array" ref="B10">HYPERLINK(_xlfn.XLOOKUP('Up Names'!J7,'Up Wiki'!A:A,'Up Wiki'!B:B,),'Up Names'!J7)</f>
        <v>Blood Lightning</v>
      </c>
      <c r="C10" s="67" t="str">
        <f t="array" ref="C10">_xlfn.XLOOKUP(B10,'Up Desc'!A:A,'Up Desc'!B:B,)</f>
        <v>When you kill a target, you have an increased chance to fire a shocking lightning bolt for each stack of blood.</v>
      </c>
      <c r="D10" s="37" t="str">
        <f t="array" ref="D10">_xlfn.XLOOKUP(B10,'Up Turbo'!A:A,'Up Turbo'!B:B,)</f>
        <v>n/a</v>
      </c>
      <c r="E10" s="39" t="str">
        <f t="array" ref="E10">_xlfn.XLOOKUP(B10,'Up Stats'!A:A,'Up Stats'!B:B,)</f>
        <v>Chance per Stack</v>
      </c>
      <c r="F10" s="40" t="str">
        <f>IFERROR(__xludf.DUMMYFUNCTION("if(AND(G10=FALSE,H10=FALSE),,if(G10=H10,JOIN("""",""Static: "",G10),JOIN("""",""Min:  "",G10, CHAR(10),""Max: "",H10)))"),"Min:  0.50%
Max: 1.20%")</f>
        <v>Min:  0.50%
Max: 1.20%</v>
      </c>
      <c r="G10" s="78">
        <f t="array" ref="G10">_xlfn.XLOOKUP(B10,'Up Min'!A:A,'Up Min'!B:B,)</f>
        <v>0.005</v>
      </c>
      <c r="H10" s="78">
        <f t="array" ref="H10">_xlfn.XLOOKUP(B10,'Up Max'!A:A,'Up Max'!B:B,)</f>
        <v>0.012</v>
      </c>
      <c r="I10" s="39" t="str">
        <f t="array" ref="I10">_xlfn.XLOOKUP(B10,'Up Stats'!A:A,'Up Stats'!C:C,)</f>
        <v/>
      </c>
      <c r="J10" s="40" t="str">
        <f>IFERROR(__xludf.DUMMYFUNCTION("if(AND(K10=FALSE,L10=FALSE),,if(K10=L10,JOIN("""",""Static: "",K10),JOIN("""",""Min:  "",K10, CHAR(10),""Max: "",L10)))"),"")</f>
        <v/>
      </c>
      <c r="K10" s="74" t="str">
        <f t="array" ref="K10">_xlfn.XLOOKUP(B10,'Up Min'!A:A,'Up Min'!C:C,)</f>
        <v/>
      </c>
      <c r="L10" s="74" t="str">
        <f t="array" ref="L10">_xlfn.XLOOKUP(B10,'Up Max'!A:A,'Up Max'!C:C,)</f>
        <v/>
      </c>
      <c r="M10" s="48" t="str">
        <f t="array" ref="M10">_xlfn.XLOOKUP(B10,'Up Stats'!A:A,'Up Stats'!D:D,)</f>
        <v/>
      </c>
      <c r="N10" s="40" t="str">
        <f>IFERROR(__xludf.DUMMYFUNCTION("if(AND(O10=FALSE,P10=FALSE),,if(O10=P10,JOIN("""",""Static: "",O10),JOIN("""",""Min:  "",O10, CHAR(10),""Max: "",P10)))"),"")</f>
        <v/>
      </c>
      <c r="O10" s="42" t="str">
        <f t="array" ref="O10">_xlfn.XLOOKUP(B10,'Up Min'!A:A,'Up Min'!D:D,)</f>
        <v/>
      </c>
      <c r="P10" s="42" t="str">
        <f t="array" ref="P10">_xlfn.XLOOKUP(B10,'Up Max'!A:A,'Up Max'!D:D,)</f>
        <v/>
      </c>
      <c r="Q10" s="48" t="str">
        <f t="array" ref="Q10">_xlfn.XLOOKUP(B10,'Up Stats'!A:A,'Up Stats'!E:E,)</f>
        <v/>
      </c>
      <c r="R10" s="40" t="str">
        <f>IFERROR(__xludf.DUMMYFUNCTION("if(AND(S10=FALSE,T10=FALSE),,if(S10=T10,JOIN("""",""Static: "",S10),JOIN("""",""Min:  "",S10, CHAR(10),""Max: "",T10)))"),"")</f>
        <v/>
      </c>
      <c r="S10" s="42" t="str">
        <f t="array" ref="S10">_xlfn.XLOOKUP(B10,'Up Min'!A:A,'Up Min'!E:E,)</f>
        <v/>
      </c>
      <c r="T10" s="42" t="str">
        <f t="array" ref="T10">_xlfn.XLOOKUP(B10,'Up Max'!A:A,'Up Max'!E:E,)</f>
        <v/>
      </c>
      <c r="U10" s="48" t="str">
        <f t="array" ref="U10">_xlfn.XLOOKUP(B10,'Up Stats'!A:A,'Up Stats'!F:F,)</f>
        <v/>
      </c>
      <c r="V10" s="40" t="str">
        <f>IFERROR(__xludf.DUMMYFUNCTION("if(AND(W10=FALSE,X10=FALSE),,if(W10=X10,JOIN("""",""Static: "",W10),JOIN("""",""Min:  "",W10, CHAR(10),""Max: "",X10)))"),"")</f>
        <v/>
      </c>
      <c r="W10" s="42" t="str">
        <f t="array" ref="W10">_xlfn.XLOOKUP(B10,'Up Min'!A:A,'Up Min'!F:F,)</f>
        <v/>
      </c>
      <c r="X10" s="42" t="str">
        <f t="array" ref="X10">_xlfn.XLOOKUP(B10,'Up Max'!A:A,'Up Max'!F:F,)</f>
        <v/>
      </c>
      <c r="Y10" s="48" t="str">
        <f t="array" ref="Y10">_xlfn.XLOOKUP(B10,'Up Stats'!A:A,'Up Stats'!G:G,)</f>
        <v/>
      </c>
      <c r="Z10" s="40" t="str">
        <f>IFERROR(__xludf.DUMMYFUNCTION("if(AND(AA10=FALSE,AB10=FALSE),,if(AA10=AB10,JOIN("""",""Static: "",AA10),JOIN("""",""Min:  "",AA10, CHAR(10),""Max: "",AB10)))"),"")</f>
        <v/>
      </c>
      <c r="AA10" s="42" t="str">
        <f t="array" ref="AA10">_xlfn.XLOOKUP(B10,'Up Min'!A:A,'Up Min'!G:G,)</f>
        <v/>
      </c>
      <c r="AB10" s="42" t="str">
        <f t="array" ref="AB10">_xlfn.XLOOKUP(B10,'Up Max'!A:A,'Up Max'!G:G,)</f>
        <v/>
      </c>
      <c r="AC10" s="48" t="str">
        <f t="array" ref="AC10">_xlfn.XLOOKUP(B10,'Up Stats'!A:A,'Up Stats'!H:H,)</f>
        <v/>
      </c>
      <c r="AD10" s="40" t="str">
        <f>IFERROR(__xludf.DUMMYFUNCTION("if(AND(AE10=FALSE,AF10=FALSE),,if(AE10=AF10,JOIN("""",""Static: "",AE10),JOIN("""",""Min:  "",AE10, CHAR(10),""Max: "",AF10)))"),"")</f>
        <v/>
      </c>
      <c r="AE10" s="42" t="str">
        <f t="array" ref="AE10">_xlfn.XLOOKUP(B10,'Up Min'!A:A,'Up Min'!H:H,)</f>
        <v/>
      </c>
      <c r="AF10" s="42" t="str">
        <f t="array" ref="AF10">_xlfn.XLOOKUP(B10,'Up Max'!A:A,'Up Max'!H:H,)</f>
        <v/>
      </c>
      <c r="AG10" s="48" t="str">
        <f t="array" ref="AG10">_xlfn.XLOOKUP(B10,'Up Stats'!A:A,'Up Stats'!I:I,)</f>
        <v/>
      </c>
      <c r="AH10" s="40" t="str">
        <f>IFERROR(__xludf.DUMMYFUNCTION("if(AND(AI10=FALSE,AJ10=FALSE),,if(AI10=AJ10,JOIN("""",""Static: "",AI10),JOIN("""",""Min:  "",AI10, CHAR(10),""Max: "",AJ10)))"),"")</f>
        <v/>
      </c>
      <c r="AI10" s="42" t="str">
        <f t="array" ref="AI10">_xlfn.XLOOKUP(B10,'Up Min'!A:A,'Up Min'!I:I,)</f>
        <v/>
      </c>
      <c r="AJ10" s="42" t="str">
        <f t="array" ref="AJ10">_xlfn.XLOOKUP(B10,'Up Max'!A:A,'Up Max'!I:I,)</f>
        <v/>
      </c>
      <c r="AK10" s="48" t="str">
        <f t="array" ref="AK10">_xlfn.XLOOKUP(B10,'Up Stats'!A:A,'Up Stats'!J:J,)</f>
        <v/>
      </c>
      <c r="AL10" s="40" t="str">
        <f>IFERROR(__xludf.DUMMYFUNCTION("if(AND(AM10=FALSE,AN10=FALSE),,if(AM10=AN10,JOIN("""",""Static: "",AM10),JOIN("""",""Min:  "",AM10, CHAR(10),""Max: "",AN10)))"),"")</f>
        <v/>
      </c>
      <c r="AM10" s="42" t="str">
        <f t="array" ref="AM10">_xlfn.XLOOKUP(B10,'Up Min'!A:A,'Up Min'!J:J,)</f>
        <v/>
      </c>
      <c r="AN10" s="42" t="str">
        <f t="array" ref="AN10">_xlfn.XLOOKUP(B10,'Up Max'!A:A,'Up Max'!J:J,)</f>
        <v/>
      </c>
      <c r="AO10" s="34" t="str">
        <f t="array" ref="AO10">CONCATENATE(_xlfn.XLOOKUP(B10,'Up Cells'!A:A,'Up Cells'!B:B,))</f>
        <v>4</v>
      </c>
      <c r="AP10" s="34" t="str">
        <f t="array" ref="AP10">CONCATENATE(_xlfn.XLOOKUP(B10,'Up Rarity'!A:A,'Up Rarity'!B:B,),CHAR(10),"-")</f>
        <v>Epic
-</v>
      </c>
    </row>
    <row r="11">
      <c r="A11" s="75" t="str">
        <f t="array" ref="A11">_xlfn.XLOOKUP(B11,'Up Icon'!A:A,'Up Icon'!B:B,)</f>
        <v/>
      </c>
      <c r="B11" s="88" t="str">
        <f t="array" ref="B11">HYPERLINK(_xlfn.XLOOKUP('Up Names'!J8,'Up Wiki'!A:A,'Up Wiki'!B:B,),'Up Names'!J8)</f>
        <v>Bloody Jumping</v>
      </c>
      <c r="C11" s="70" t="str">
        <f t="array" ref="C11">_xlfn.XLOOKUP(B11,'Up Desc'!A:A,'Up Desc'!B:B,)</f>
        <v>Your jump height is increased for each stack of blood.</v>
      </c>
      <c r="D11" s="52" t="str">
        <f t="array" ref="D11">_xlfn.XLOOKUP(B11,'Up Turbo'!A:A,'Up Turbo'!B:B,)</f>
        <v>n/a</v>
      </c>
      <c r="E11" s="53" t="str">
        <f t="array" ref="E11">_xlfn.XLOOKUP(B11,'Up Stats'!A:A,'Up Stats'!B:B,)</f>
        <v>Force</v>
      </c>
      <c r="F11" s="54" t="str">
        <f>IFERROR(__xludf.DUMMYFUNCTION("if(AND(G11=FALSE,H11=FALSE),,if(G11=H11,JOIN("""",""Static: "",G11),JOIN("""",""Min:  "",G11, CHAR(10),""Max: "",H11)))"),"Min:  0.7
Max: 0.92")</f>
        <v>Min:  0.7
Max: 0.92</v>
      </c>
      <c r="G11" s="64">
        <f t="array" ref="G11">_xlfn.XLOOKUP(B11,'Up Min'!A:A,'Up Min'!B:B,)</f>
        <v>0.7</v>
      </c>
      <c r="H11" s="65">
        <f t="array" ref="H11">_xlfn.XLOOKUP(B11,'Up Max'!A:A,'Up Max'!B:B,)</f>
        <v>0.92</v>
      </c>
      <c r="I11" s="53" t="str">
        <f t="array" ref="I11">_xlfn.XLOOKUP(B11,'Up Stats'!A:A,'Up Stats'!C:C,)</f>
        <v/>
      </c>
      <c r="J11" s="54" t="str">
        <f>IFERROR(__xludf.DUMMYFUNCTION("if(AND(K11=FALSE,L11=FALSE),,if(K11=L11,JOIN("""",""Static: "",K11),JOIN("""",""Min:  "",K11, CHAR(10),""Max: "",L11)))"),"")</f>
        <v/>
      </c>
      <c r="K11" s="72" t="str">
        <f t="array" ref="K11">_xlfn.XLOOKUP(B11,'Up Min'!A:A,'Up Min'!C:C,)</f>
        <v/>
      </c>
      <c r="L11" s="73" t="str">
        <f t="array" ref="L11">_xlfn.XLOOKUP(B11,'Up Max'!A:A,'Up Max'!C:C,)</f>
        <v/>
      </c>
      <c r="M11" s="57" t="str">
        <f t="array" ref="M11">_xlfn.XLOOKUP(B11,'Up Stats'!A:A,'Up Stats'!D:D,)</f>
        <v/>
      </c>
      <c r="N11" s="54" t="str">
        <f>IFERROR(__xludf.DUMMYFUNCTION("if(AND(O11=FALSE,P11=FALSE),,if(O11=P11,JOIN("""",""Static: "",O11),JOIN("""",""Min:  "",O11, CHAR(10),""Max: "",P11)))"),"")</f>
        <v/>
      </c>
      <c r="O11" s="55" t="str">
        <f t="array" ref="O11">_xlfn.XLOOKUP(B11,'Up Min'!A:A,'Up Min'!D:D,)</f>
        <v/>
      </c>
      <c r="P11" s="55" t="str">
        <f t="array" ref="P11">_xlfn.XLOOKUP(B11,'Up Max'!A:A,'Up Max'!D:D,)</f>
        <v/>
      </c>
      <c r="Q11" s="57" t="str">
        <f t="array" ref="Q11">_xlfn.XLOOKUP(B11,'Up Stats'!A:A,'Up Stats'!E:E,)</f>
        <v/>
      </c>
      <c r="R11" s="54" t="str">
        <f>IFERROR(__xludf.DUMMYFUNCTION("if(AND(S11=FALSE,T11=FALSE),,if(S11=T11,JOIN("""",""Static: "",S11),JOIN("""",""Min:  "",S11, CHAR(10),""Max: "",T11)))"),"")</f>
        <v/>
      </c>
      <c r="S11" s="55" t="str">
        <f t="array" ref="S11">_xlfn.XLOOKUP(B11,'Up Min'!A:A,'Up Min'!E:E,)</f>
        <v/>
      </c>
      <c r="T11" s="55" t="str">
        <f t="array" ref="T11">_xlfn.XLOOKUP(B11,'Up Max'!A:A,'Up Max'!E:E,)</f>
        <v/>
      </c>
      <c r="U11" s="57" t="str">
        <f t="array" ref="U11">_xlfn.XLOOKUP(B11,'Up Stats'!A:A,'Up Stats'!F:F,)</f>
        <v/>
      </c>
      <c r="V11" s="54" t="str">
        <f>IFERROR(__xludf.DUMMYFUNCTION("if(AND(W11=FALSE,X11=FALSE),,if(W11=X11,JOIN("""",""Static: "",W11),JOIN("""",""Min:  "",W11, CHAR(10),""Max: "",X11)))"),"")</f>
        <v/>
      </c>
      <c r="W11" s="55" t="str">
        <f t="array" ref="W11">_xlfn.XLOOKUP(B11,'Up Min'!A:A,'Up Min'!F:F,)</f>
        <v/>
      </c>
      <c r="X11" s="55" t="str">
        <f t="array" ref="X11">_xlfn.XLOOKUP(B11,'Up Max'!A:A,'Up Max'!F:F,)</f>
        <v/>
      </c>
      <c r="Y11" s="57" t="str">
        <f t="array" ref="Y11">_xlfn.XLOOKUP(B11,'Up Stats'!A:A,'Up Stats'!G:G,)</f>
        <v/>
      </c>
      <c r="Z11" s="54" t="str">
        <f>IFERROR(__xludf.DUMMYFUNCTION("if(AND(AA11=FALSE,AB11=FALSE),,if(AA11=AB11,JOIN("""",""Static: "",AA11),JOIN("""",""Min:  "",AA11, CHAR(10),""Max: "",AB11)))"),"")</f>
        <v/>
      </c>
      <c r="AA11" s="55" t="str">
        <f t="array" ref="AA11">_xlfn.XLOOKUP(B11,'Up Min'!A:A,'Up Min'!G:G,)</f>
        <v/>
      </c>
      <c r="AB11" s="55" t="str">
        <f t="array" ref="AB11">_xlfn.XLOOKUP(B11,'Up Max'!A:A,'Up Max'!G:G,)</f>
        <v/>
      </c>
      <c r="AC11" s="57" t="str">
        <f t="array" ref="AC11">_xlfn.XLOOKUP(B11,'Up Stats'!A:A,'Up Stats'!H:H,)</f>
        <v/>
      </c>
      <c r="AD11" s="54" t="str">
        <f>IFERROR(__xludf.DUMMYFUNCTION("if(AND(AE11=FALSE,AF11=FALSE),,if(AE11=AF11,JOIN("""",""Static: "",AE11),JOIN("""",""Min:  "",AE11, CHAR(10),""Max: "",AF11)))"),"")</f>
        <v/>
      </c>
      <c r="AE11" s="55" t="str">
        <f t="array" ref="AE11">_xlfn.XLOOKUP(B11,'Up Min'!A:A,'Up Min'!H:H,)</f>
        <v/>
      </c>
      <c r="AF11" s="55" t="str">
        <f t="array" ref="AF11">_xlfn.XLOOKUP(B11,'Up Max'!A:A,'Up Max'!H:H,)</f>
        <v/>
      </c>
      <c r="AG11" s="57" t="str">
        <f t="array" ref="AG11">_xlfn.XLOOKUP(B11,'Up Stats'!A:A,'Up Stats'!I:I,)</f>
        <v/>
      </c>
      <c r="AH11" s="54" t="str">
        <f>IFERROR(__xludf.DUMMYFUNCTION("if(AND(AI11=FALSE,AJ11=FALSE),,if(AI11=AJ11,JOIN("""",""Static: "",AI11),JOIN("""",""Min:  "",AI11, CHAR(10),""Max: "",AJ11)))"),"")</f>
        <v/>
      </c>
      <c r="AI11" s="55" t="str">
        <f t="array" ref="AI11">_xlfn.XLOOKUP(B11,'Up Min'!A:A,'Up Min'!I:I,)</f>
        <v/>
      </c>
      <c r="AJ11" s="55" t="str">
        <f t="array" ref="AJ11">_xlfn.XLOOKUP(B11,'Up Max'!A:A,'Up Max'!I:I,)</f>
        <v/>
      </c>
      <c r="AK11" s="57" t="str">
        <f t="array" ref="AK11">_xlfn.XLOOKUP(B11,'Up Stats'!A:A,'Up Stats'!J:J,)</f>
        <v/>
      </c>
      <c r="AL11" s="54" t="str">
        <f>IFERROR(__xludf.DUMMYFUNCTION("if(AND(AM11=FALSE,AN11=FALSE),,if(AM11=AN11,JOIN("""",""Static: "",AM11),JOIN("""",""Min:  "",AM11, CHAR(10),""Max: "",AN11)))"),"")</f>
        <v/>
      </c>
      <c r="AM11" s="55" t="str">
        <f t="array" ref="AM11">_xlfn.XLOOKUP(B11,'Up Min'!A:A,'Up Min'!J:J,)</f>
        <v/>
      </c>
      <c r="AN11" s="55" t="str">
        <f t="array" ref="AN11">_xlfn.XLOOKUP(B11,'Up Max'!A:A,'Up Max'!J:J,)</f>
        <v/>
      </c>
      <c r="AO11" s="51" t="str">
        <f t="array" ref="AO11">CONCATENATE(_xlfn.XLOOKUP(B11,'Up Cells'!A:A,'Up Cells'!B:B,))</f>
        <v>3</v>
      </c>
      <c r="AP11" s="51" t="str">
        <f t="array" ref="AP11">CONCATENATE(_xlfn.XLOOKUP(B11,'Up Rarity'!A:A,'Up Rarity'!B:B,),CHAR(10),"-")</f>
        <v>Epic
-</v>
      </c>
    </row>
    <row r="12">
      <c r="A12" s="75" t="str">
        <f t="array" ref="A12">_xlfn.XLOOKUP(B12,'Up Icon'!A:A,'Up Icon'!B:B,)</f>
        <v/>
      </c>
      <c r="B12" s="89" t="str">
        <f t="array" ref="B12">HYPERLINK(_xlfn.XLOOKUP('Up Names'!J9,'Up Wiki'!A:A,'Up Wiki'!B:B,),'Up Names'!J9)</f>
        <v>Heavy Pockets</v>
      </c>
      <c r="C12" s="67" t="str">
        <f t="array" ref="C12">_xlfn.XLOOKUP(B12,'Up Desc'!A:A,'Up Desc'!B:B,)</f>
        <v>Killing a core generates a small amount of reserve ammo for your equipped heavy weapon. This upgrade can stack</v>
      </c>
      <c r="D12" s="37" t="str">
        <f t="array" ref="D12">_xlfn.XLOOKUP(B12,'Up Turbo'!A:A,'Up Turbo'!B:B,)</f>
        <v>n/a</v>
      </c>
      <c r="E12" s="39" t="str">
        <f t="array" ref="E12">_xlfn.XLOOKUP(B12,'Up Stats'!A:A,'Up Stats'!B:B,)</f>
        <v>Ammo Efficiency</v>
      </c>
      <c r="F12" s="40" t="str">
        <f>IFERROR(__xludf.DUMMYFUNCTION("if(AND(G12=FALSE,H12=FALSE),,if(G12=H12,JOIN("""",""Static: "",G12),JOIN("""",""Min:  "",G12, CHAR(10),""Max: "",H12)))"),"Min:  0.3
Max: 0.4")</f>
        <v>Min:  0.3
Max: 0.4</v>
      </c>
      <c r="G12" s="69">
        <f t="array" ref="G12">_xlfn.XLOOKUP(B12,'Up Min'!A:A,'Up Min'!B:B,)</f>
        <v>0.3</v>
      </c>
      <c r="H12" s="68">
        <f t="array" ref="H12">_xlfn.XLOOKUP(B12,'Up Max'!A:A,'Up Max'!B:B,)</f>
        <v>0.4</v>
      </c>
      <c r="I12" s="39" t="str">
        <f t="array" ref="I12">_xlfn.XLOOKUP(B12,'Up Stats'!A:A,'Up Stats'!C:C,)</f>
        <v/>
      </c>
      <c r="J12" s="40" t="str">
        <f>IFERROR(__xludf.DUMMYFUNCTION("if(AND(K12=FALSE,L12=FALSE),,if(K12=L12,JOIN("""",""Static: "",K12),JOIN("""",""Min:  "",K12, CHAR(10),""Max: "",L12)))"),"")</f>
        <v/>
      </c>
      <c r="K12" s="42" t="str">
        <f t="array" ref="K12">_xlfn.XLOOKUP(B12,'Up Min'!A:A,'Up Min'!C:C,)</f>
        <v/>
      </c>
      <c r="L12" s="42" t="str">
        <f t="array" ref="L12">_xlfn.XLOOKUP(B12,'Up Max'!A:A,'Up Max'!C:C,)</f>
        <v/>
      </c>
      <c r="M12" s="48" t="str">
        <f t="array" ref="M12">_xlfn.XLOOKUP(B12,'Up Stats'!A:A,'Up Stats'!D:D,)</f>
        <v/>
      </c>
      <c r="N12" s="40" t="str">
        <f>IFERROR(__xludf.DUMMYFUNCTION("if(AND(O12=FALSE,P12=FALSE),,if(O12=P12,JOIN("""",""Static: "",O12),JOIN("""",""Min:  "",O12, CHAR(10),""Max: "",P12)))"),"")</f>
        <v/>
      </c>
      <c r="O12" s="42" t="str">
        <f t="array" ref="O12">_xlfn.XLOOKUP(B12,'Up Min'!A:A,'Up Min'!D:D,)</f>
        <v/>
      </c>
      <c r="P12" s="42" t="str">
        <f t="array" ref="P12">_xlfn.XLOOKUP(B12,'Up Max'!A:A,'Up Max'!D:D,)</f>
        <v/>
      </c>
      <c r="Q12" s="48" t="str">
        <f t="array" ref="Q12">_xlfn.XLOOKUP(B12,'Up Stats'!A:A,'Up Stats'!E:E,)</f>
        <v/>
      </c>
      <c r="R12" s="40" t="str">
        <f>IFERROR(__xludf.DUMMYFUNCTION("if(AND(S12=FALSE,T12=FALSE),,if(S12=T12,JOIN("""",""Static: "",S12),JOIN("""",""Min:  "",S12, CHAR(10),""Max: "",T12)))"),"")</f>
        <v/>
      </c>
      <c r="S12" s="42" t="str">
        <f t="array" ref="S12">_xlfn.XLOOKUP(B12,'Up Min'!A:A,'Up Min'!E:E,)</f>
        <v/>
      </c>
      <c r="T12" s="42" t="str">
        <f t="array" ref="T12">_xlfn.XLOOKUP(B12,'Up Max'!A:A,'Up Max'!E:E,)</f>
        <v/>
      </c>
      <c r="U12" s="48" t="str">
        <f t="array" ref="U12">_xlfn.XLOOKUP(B12,'Up Stats'!A:A,'Up Stats'!F:F,)</f>
        <v/>
      </c>
      <c r="V12" s="40" t="str">
        <f>IFERROR(__xludf.DUMMYFUNCTION("if(AND(W12=FALSE,X12=FALSE),,if(W12=X12,JOIN("""",""Static: "",W12),JOIN("""",""Min:  "",W12, CHAR(10),""Max: "",X12)))"),"")</f>
        <v/>
      </c>
      <c r="W12" s="42" t="str">
        <f t="array" ref="W12">_xlfn.XLOOKUP(B12,'Up Min'!A:A,'Up Min'!F:F,)</f>
        <v/>
      </c>
      <c r="X12" s="42" t="str">
        <f t="array" ref="X12">_xlfn.XLOOKUP(B12,'Up Max'!A:A,'Up Max'!F:F,)</f>
        <v/>
      </c>
      <c r="Y12" s="48" t="str">
        <f t="array" ref="Y12">_xlfn.XLOOKUP(B12,'Up Stats'!A:A,'Up Stats'!G:G,)</f>
        <v/>
      </c>
      <c r="Z12" s="40" t="str">
        <f>IFERROR(__xludf.DUMMYFUNCTION("if(AND(AA12=FALSE,AB12=FALSE),,if(AA12=AB12,JOIN("""",""Static: "",AA12),JOIN("""",""Min:  "",AA12, CHAR(10),""Max: "",AB12)))"),"")</f>
        <v/>
      </c>
      <c r="AA12" s="42" t="str">
        <f t="array" ref="AA12">_xlfn.XLOOKUP(B12,'Up Min'!A:A,'Up Min'!G:G,)</f>
        <v/>
      </c>
      <c r="AB12" s="42" t="str">
        <f t="array" ref="AB12">_xlfn.XLOOKUP(B12,'Up Max'!A:A,'Up Max'!G:G,)</f>
        <v/>
      </c>
      <c r="AC12" s="48" t="str">
        <f t="array" ref="AC12">_xlfn.XLOOKUP(B12,'Up Stats'!A:A,'Up Stats'!H:H,)</f>
        <v/>
      </c>
      <c r="AD12" s="40" t="str">
        <f>IFERROR(__xludf.DUMMYFUNCTION("if(AND(AE12=FALSE,AF12=FALSE),,if(AE12=AF12,JOIN("""",""Static: "",AE12),JOIN("""",""Min:  "",AE12, CHAR(10),""Max: "",AF12)))"),"")</f>
        <v/>
      </c>
      <c r="AE12" s="42" t="str">
        <f t="array" ref="AE12">_xlfn.XLOOKUP(B12,'Up Min'!A:A,'Up Min'!H:H,)</f>
        <v/>
      </c>
      <c r="AF12" s="42" t="str">
        <f t="array" ref="AF12">_xlfn.XLOOKUP(B12,'Up Max'!A:A,'Up Max'!H:H,)</f>
        <v/>
      </c>
      <c r="AG12" s="48" t="str">
        <f t="array" ref="AG12">_xlfn.XLOOKUP(B12,'Up Stats'!A:A,'Up Stats'!I:I,)</f>
        <v/>
      </c>
      <c r="AH12" s="40" t="str">
        <f>IFERROR(__xludf.DUMMYFUNCTION("if(AND(AI12=FALSE,AJ12=FALSE),,if(AI12=AJ12,JOIN("""",""Static: "",AI12),JOIN("""",""Min:  "",AI12, CHAR(10),""Max: "",AJ12)))"),"")</f>
        <v/>
      </c>
      <c r="AI12" s="42" t="str">
        <f t="array" ref="AI12">_xlfn.XLOOKUP(B12,'Up Min'!A:A,'Up Min'!I:I,)</f>
        <v/>
      </c>
      <c r="AJ12" s="42" t="str">
        <f t="array" ref="AJ12">_xlfn.XLOOKUP(B12,'Up Max'!A:A,'Up Max'!I:I,)</f>
        <v/>
      </c>
      <c r="AK12" s="48" t="str">
        <f t="array" ref="AK12">_xlfn.XLOOKUP(B12,'Up Stats'!A:A,'Up Stats'!J:J,)</f>
        <v/>
      </c>
      <c r="AL12" s="40" t="str">
        <f>IFERROR(__xludf.DUMMYFUNCTION("if(AND(AM12=FALSE,AN12=FALSE),,if(AM12=AN12,JOIN("""",""Static: "",AM12),JOIN("""",""Min:  "",AM12, CHAR(10),""Max: "",AN12)))"),"")</f>
        <v/>
      </c>
      <c r="AM12" s="42" t="str">
        <f t="array" ref="AM12">_xlfn.XLOOKUP(B12,'Up Min'!A:A,'Up Min'!J:J,)</f>
        <v/>
      </c>
      <c r="AN12" s="42" t="str">
        <f t="array" ref="AN12">_xlfn.XLOOKUP(B12,'Up Max'!A:A,'Up Max'!J:J,)</f>
        <v/>
      </c>
      <c r="AO12" s="34" t="str">
        <f t="array" ref="AO12">CONCATENATE(_xlfn.XLOOKUP(B12,'Up Cells'!A:A,'Up Cells'!B:B,))</f>
        <v>4</v>
      </c>
      <c r="AP12" s="34" t="str">
        <f t="array" ref="AP12">CONCATENATE(_xlfn.XLOOKUP(B12,'Up Rarity'!A:A,'Up Rarity'!B:B,),CHAR(10),"-")</f>
        <v>Epic
-</v>
      </c>
    </row>
    <row r="13">
      <c r="A13" s="75" t="str">
        <f t="array" ref="A13">_xlfn.XLOOKUP(B13,'Up Icon'!A:A,'Up Icon'!B:B,)</f>
        <v/>
      </c>
      <c r="B13" s="88" t="str">
        <f t="array" ref="B13">HYPERLINK(_xlfn.XLOOKUP('Up Names'!J10,'Up Wiki'!A:A,'Up Wiki'!B:B,),'Up Names'!J10)</f>
        <v>Overheat System</v>
      </c>
      <c r="C13" s="52" t="str">
        <f t="array" ref="C13">_xlfn.XLOOKUP(B13,'Up Desc'!A:A,'Up Desc'!B:B,)</f>
        <v>Applies fire. Potency increases the longer the saw is active.</v>
      </c>
      <c r="D13" s="52" t="str">
        <f t="array" ref="D13">_xlfn.XLOOKUP(B13,'Up Turbo'!A:A,'Up Turbo'!B:B,)</f>
        <v>n/a</v>
      </c>
      <c r="E13" s="53" t="str">
        <f t="array" ref="E13">_xlfn.XLOOKUP(B13,'Up Stats'!A:A,'Up Stats'!B:B,)</f>
        <v>Element</v>
      </c>
      <c r="F13" s="54" t="str">
        <f>IFERROR(__xludf.DUMMYFUNCTION("if(AND(G13=FALSE,H13=FALSE),,if(G13=H13,JOIN("""",""Static: "",G13),JOIN("""",""Min:  "",G13, CHAR(10),""Max: "",H13)))"),"Min:  1.56
Max: 1.8")</f>
        <v>Min:  1.56
Max: 1.8</v>
      </c>
      <c r="G13" s="64">
        <f t="array" ref="G13">_xlfn.XLOOKUP(B13,'Up Min'!A:A,'Up Min'!B:B,)</f>
        <v>1.56</v>
      </c>
      <c r="H13" s="65">
        <f t="array" ref="H13">_xlfn.XLOOKUP(B13,'Up Max'!A:A,'Up Max'!B:B,)</f>
        <v>1.8</v>
      </c>
      <c r="I13" s="53" t="str">
        <f t="array" ref="I13">_xlfn.XLOOKUP(B13,'Up Stats'!A:A,'Up Stats'!C:C,)</f>
        <v>Overheat Speed</v>
      </c>
      <c r="J13" s="54" t="str">
        <f>IFERROR(__xludf.DUMMYFUNCTION("if(AND(K13=FALSE,L13=FALSE),,if(K13=L13,JOIN("""",""Static: "",K13),JOIN("""",""Min:  "",K13, CHAR(10),""Max: "",L13)))"),"Min:  0.12
Max: 0.16")</f>
        <v>Min:  0.12
Max: 0.16</v>
      </c>
      <c r="K13" s="64">
        <f t="array" ref="K13">_xlfn.XLOOKUP(B13,'Up Min'!A:A,'Up Min'!C:C,)</f>
        <v>0.12</v>
      </c>
      <c r="L13" s="64">
        <f t="array" ref="L13">_xlfn.XLOOKUP(B13,'Up Max'!A:A,'Up Max'!C:C,)</f>
        <v>0.16</v>
      </c>
      <c r="M13" s="53" t="str">
        <f t="array" ref="M13">_xlfn.XLOOKUP(B13,'Up Stats'!A:A,'Up Stats'!D:D,)</f>
        <v/>
      </c>
      <c r="N13" s="54" t="str">
        <f>IFERROR(__xludf.DUMMYFUNCTION("if(AND(O13=FALSE,P13=FALSE),,if(O13=P13,JOIN("""",""Static: "",O13),JOIN("""",""Min:  "",O13, CHAR(10),""Max: "",P13)))"),"")</f>
        <v/>
      </c>
      <c r="O13" s="55" t="str">
        <f t="array" ref="O13">_xlfn.XLOOKUP(B13,'Up Min'!A:A,'Up Min'!D:D,)</f>
        <v/>
      </c>
      <c r="P13" s="55" t="str">
        <f t="array" ref="P13">_xlfn.XLOOKUP(B13,'Up Max'!A:A,'Up Max'!D:D,)</f>
        <v/>
      </c>
      <c r="Q13" s="57" t="str">
        <f t="array" ref="Q13">_xlfn.XLOOKUP(B13,'Up Stats'!A:A,'Up Stats'!E:E,)</f>
        <v/>
      </c>
      <c r="R13" s="54" t="str">
        <f>IFERROR(__xludf.DUMMYFUNCTION("if(AND(S13=FALSE,T13=FALSE),,if(S13=T13,JOIN("""",""Static: "",S13),JOIN("""",""Min:  "",S13, CHAR(10),""Max: "",T13)))"),"")</f>
        <v/>
      </c>
      <c r="S13" s="72" t="str">
        <f t="array" ref="S13">_xlfn.XLOOKUP(B13,'Up Min'!A:A,'Up Min'!E:E,)</f>
        <v/>
      </c>
      <c r="T13" s="72" t="str">
        <f t="array" ref="T13">_xlfn.XLOOKUP(B13,'Up Max'!A:A,'Up Max'!E:E,)</f>
        <v/>
      </c>
      <c r="U13" s="57" t="str">
        <f t="array" ref="U13">_xlfn.XLOOKUP(B13,'Up Stats'!A:A,'Up Stats'!F:F,)</f>
        <v/>
      </c>
      <c r="V13" s="54" t="str">
        <f>IFERROR(__xludf.DUMMYFUNCTION("if(AND(W13=FALSE,X13=FALSE),,if(W13=X13,JOIN("""",""Static: "",W13),JOIN("""",""Min:  "",W13, CHAR(10),""Max: "",X13)))"),"")</f>
        <v/>
      </c>
      <c r="W13" s="72" t="str">
        <f t="array" ref="W13">_xlfn.XLOOKUP(B13,'Up Min'!A:A,'Up Min'!F:F,)</f>
        <v/>
      </c>
      <c r="X13" s="72" t="str">
        <f t="array" ref="X13">_xlfn.XLOOKUP(B13,'Up Max'!A:A,'Up Max'!F:F,)</f>
        <v/>
      </c>
      <c r="Y13" s="57" t="str">
        <f t="array" ref="Y13">_xlfn.XLOOKUP(B13,'Up Stats'!A:A,'Up Stats'!G:G,)</f>
        <v/>
      </c>
      <c r="Z13" s="54" t="str">
        <f>IFERROR(__xludf.DUMMYFUNCTION("if(AND(AA13=FALSE,AB13=FALSE),,if(AA13=AB13,JOIN("""",""Static: "",AA13),JOIN("""",""Min:  "",AA13, CHAR(10),""Max: "",AB13)))"),"")</f>
        <v/>
      </c>
      <c r="AA13" s="55" t="str">
        <f t="array" ref="AA13">_xlfn.XLOOKUP(B13,'Up Min'!A:A,'Up Min'!G:G,)</f>
        <v/>
      </c>
      <c r="AB13" s="55" t="str">
        <f t="array" ref="AB13">_xlfn.XLOOKUP(B13,'Up Max'!A:A,'Up Max'!G:G,)</f>
        <v/>
      </c>
      <c r="AC13" s="57" t="str">
        <f t="array" ref="AC13">_xlfn.XLOOKUP(B13,'Up Stats'!A:A,'Up Stats'!H:H,)</f>
        <v/>
      </c>
      <c r="AD13" s="54" t="str">
        <f>IFERROR(__xludf.DUMMYFUNCTION("if(AND(AE13=FALSE,AF13=FALSE),,if(AE13=AF13,JOIN("""",""Static: "",AE13),JOIN("""",""Min:  "",AE13, CHAR(10),""Max: "",AF13)))"),"")</f>
        <v/>
      </c>
      <c r="AE13" s="55" t="str">
        <f t="array" ref="AE13">_xlfn.XLOOKUP(B13,'Up Min'!A:A,'Up Min'!H:H,)</f>
        <v/>
      </c>
      <c r="AF13" s="55" t="str">
        <f t="array" ref="AF13">_xlfn.XLOOKUP(B13,'Up Max'!A:A,'Up Max'!H:H,)</f>
        <v/>
      </c>
      <c r="AG13" s="57" t="str">
        <f t="array" ref="AG13">_xlfn.XLOOKUP(B13,'Up Stats'!A:A,'Up Stats'!I:I,)</f>
        <v/>
      </c>
      <c r="AH13" s="54" t="str">
        <f>IFERROR(__xludf.DUMMYFUNCTION("if(AND(AI13=FALSE,AJ13=FALSE),,if(AI13=AJ13,JOIN("""",""Static: "",AI13),JOIN("""",""Min:  "",AI13, CHAR(10),""Max: "",AJ13)))"),"")</f>
        <v/>
      </c>
      <c r="AI13" s="55" t="str">
        <f t="array" ref="AI13">_xlfn.XLOOKUP(B13,'Up Min'!A:A,'Up Min'!I:I,)</f>
        <v/>
      </c>
      <c r="AJ13" s="55" t="str">
        <f t="array" ref="AJ13">_xlfn.XLOOKUP(B13,'Up Max'!A:A,'Up Max'!I:I,)</f>
        <v/>
      </c>
      <c r="AK13" s="57" t="str">
        <f t="array" ref="AK13">_xlfn.XLOOKUP(B13,'Up Stats'!A:A,'Up Stats'!J:J,)</f>
        <v/>
      </c>
      <c r="AL13" s="54" t="str">
        <f>IFERROR(__xludf.DUMMYFUNCTION("if(AND(AM13=FALSE,AN13=FALSE),,if(AM13=AN13,JOIN("""",""Static: "",AM13),JOIN("""",""Min:  "",AM13, CHAR(10),""Max: "",AN13)))"),"")</f>
        <v/>
      </c>
      <c r="AM13" s="55" t="str">
        <f t="array" ref="AM13">_xlfn.XLOOKUP(B13,'Up Min'!A:A,'Up Min'!J:J,)</f>
        <v/>
      </c>
      <c r="AN13" s="55" t="str">
        <f t="array" ref="AN13">_xlfn.XLOOKUP(B13,'Up Max'!A:A,'Up Max'!J:J,)</f>
        <v/>
      </c>
      <c r="AO13" s="51" t="str">
        <f t="array" ref="AO13">CONCATENATE(_xlfn.XLOOKUP(B13,'Up Cells'!A:A,'Up Cells'!B:B,))</f>
        <v>6</v>
      </c>
      <c r="AP13" s="51" t="str">
        <f t="array" ref="AP13">CONCATENATE(_xlfn.XLOOKUP(B13,'Up Rarity'!A:A,'Up Rarity'!B:B,),CHAR(10),"-")</f>
        <v>Epic
-</v>
      </c>
    </row>
    <row r="14">
      <c r="A14" s="75" t="str">
        <f t="array" ref="A14">_xlfn.XLOOKUP(B14,'Up Icon'!A:A,'Up Icon'!B:B,)</f>
        <v/>
      </c>
      <c r="B14" s="89" t="str">
        <f t="array" ref="B14">HYPERLINK(_xlfn.XLOOKUP('Up Names'!J11,'Up Wiki'!A:A,'Up Wiki'!B:B,),'Up Names'!J11)</f>
        <v>Repairing Exhaust</v>
      </c>
      <c r="C14" s="37" t="str">
        <f t="array" ref="C14">_xlfn.XLOOKUP(B14,'Up Desc'!A:A,'Up Desc'!B:B,)</f>
        <v>While firing, you periodically emit a burst that heals other nearby players.</v>
      </c>
      <c r="D14" s="37" t="str">
        <f t="array" ref="D14">_xlfn.XLOOKUP(B14,'Up Turbo'!A:A,'Up Turbo'!B:B,)</f>
        <v>n/a</v>
      </c>
      <c r="E14" s="39" t="str">
        <f t="array" ref="E14">_xlfn.XLOOKUP(B14,'Up Stats'!A:A,'Up Stats'!B:B,)</f>
        <v>Healing</v>
      </c>
      <c r="F14" s="40" t="str">
        <f>IFERROR(__xludf.DUMMYFUNCTION("if(AND(G14=FALSE,H14=FALSE),,if(G14=H14,JOIN("""",""Static: "",G14),JOIN("""",""Min:  "",G14, CHAR(10),""Max: "",H14)))"),"Min:  1.5
Max: 3")</f>
        <v>Min:  1.5
Max: 3</v>
      </c>
      <c r="G14" s="69">
        <f t="array" ref="G14">_xlfn.XLOOKUP(B14,'Up Min'!A:A,'Up Min'!B:B,)</f>
        <v>1.5</v>
      </c>
      <c r="H14" s="68">
        <f t="array" ref="H14">_xlfn.XLOOKUP(B14,'Up Max'!A:A,'Up Max'!B:B,)</f>
        <v>3</v>
      </c>
      <c r="I14" s="39" t="str">
        <f t="array" ref="I14">_xlfn.XLOOKUP(B14,'Up Stats'!A:A,'Up Stats'!C:C,)</f>
        <v>Radius</v>
      </c>
      <c r="J14" s="40" t="str">
        <f>IFERROR(__xludf.DUMMYFUNCTION("if(AND(K14=FALSE,L14=FALSE),,if(K14=L14,JOIN("""",""Static: "",K14),JOIN("""",""Min:  "",K14, CHAR(10),""Max: "",L14)))"),"Min:  4.6
Max: 9")</f>
        <v>Min:  4.6
Max: 9</v>
      </c>
      <c r="K14" s="69">
        <f t="array" ref="K14">_xlfn.XLOOKUP(B14,'Up Min'!A:A,'Up Min'!C:C,)</f>
        <v>4.6</v>
      </c>
      <c r="L14" s="69">
        <f t="array" ref="L14">_xlfn.XLOOKUP(B14,'Up Max'!A:A,'Up Max'!C:C,)</f>
        <v>9</v>
      </c>
      <c r="M14" s="39" t="str">
        <f t="array" ref="M14">_xlfn.XLOOKUP(B14,'Up Stats'!A:A,'Up Stats'!D:D,)</f>
        <v>Interval</v>
      </c>
      <c r="N14" s="40" t="str">
        <f>IFERROR(__xludf.DUMMYFUNCTION("if(AND(O14=FALSE,P14=FALSE),,if(O14=P14,JOIN("""",""Static: "",O14),JOIN("""",""Min:  "",O14, CHAR(10),""Max: "",P14)))"),"Min:  1.6
Max: 2.5")</f>
        <v>Min:  1.6
Max: 2.5</v>
      </c>
      <c r="O14" s="68">
        <f t="array" ref="O14">_xlfn.XLOOKUP(B14,'Up Min'!A:A,'Up Min'!D:D,)</f>
        <v>1.6</v>
      </c>
      <c r="P14" s="68">
        <f t="array" ref="P14">_xlfn.XLOOKUP(B14,'Up Max'!A:A,'Up Max'!D:D,)</f>
        <v>2.5</v>
      </c>
      <c r="Q14" s="48" t="str">
        <f t="array" ref="Q14">_xlfn.XLOOKUP(B14,'Up Stats'!A:A,'Up Stats'!E:E,)</f>
        <v/>
      </c>
      <c r="R14" s="40" t="str">
        <f>IFERROR(__xludf.DUMMYFUNCTION("if(AND(S14=FALSE,T14=FALSE),,if(S14=T14,JOIN("""",""Static: "",S14),JOIN("""",""Min:  "",S14, CHAR(10),""Max: "",T14)))"),"")</f>
        <v/>
      </c>
      <c r="S14" s="42" t="str">
        <f t="array" ref="S14">_xlfn.XLOOKUP(B14,'Up Min'!A:A,'Up Min'!E:E,)</f>
        <v/>
      </c>
      <c r="T14" s="42" t="str">
        <f t="array" ref="T14">_xlfn.XLOOKUP(B14,'Up Max'!A:A,'Up Max'!E:E,)</f>
        <v/>
      </c>
      <c r="U14" s="48" t="str">
        <f t="array" ref="U14">_xlfn.XLOOKUP(B14,'Up Stats'!A:A,'Up Stats'!F:F,)</f>
        <v/>
      </c>
      <c r="V14" s="40" t="str">
        <f>IFERROR(__xludf.DUMMYFUNCTION("if(AND(W14=FALSE,X14=FALSE),,if(W14=X14,JOIN("""",""Static: "",W14),JOIN("""",""Min:  "",W14, CHAR(10),""Max: "",X14)))"),"")</f>
        <v/>
      </c>
      <c r="W14" s="42" t="str">
        <f t="array" ref="W14">_xlfn.XLOOKUP(B14,'Up Min'!A:A,'Up Min'!F:F,)</f>
        <v/>
      </c>
      <c r="X14" s="42" t="str">
        <f t="array" ref="X14">_xlfn.XLOOKUP(B14,'Up Max'!A:A,'Up Max'!F:F,)</f>
        <v/>
      </c>
      <c r="Y14" s="48" t="str">
        <f t="array" ref="Y14">_xlfn.XLOOKUP(B14,'Up Stats'!A:A,'Up Stats'!G:G,)</f>
        <v/>
      </c>
      <c r="Z14" s="40" t="str">
        <f>IFERROR(__xludf.DUMMYFUNCTION("if(AND(AA14=FALSE,AB14=FALSE),,if(AA14=AB14,JOIN("""",""Static: "",AA14),JOIN("""",""Min:  "",AA14, CHAR(10),""Max: "",AB14)))"),"")</f>
        <v/>
      </c>
      <c r="AA14" s="42" t="str">
        <f t="array" ref="AA14">_xlfn.XLOOKUP(B14,'Up Min'!A:A,'Up Min'!G:G,)</f>
        <v/>
      </c>
      <c r="AB14" s="42" t="str">
        <f t="array" ref="AB14">_xlfn.XLOOKUP(B14,'Up Max'!A:A,'Up Max'!G:G,)</f>
        <v/>
      </c>
      <c r="AC14" s="48" t="str">
        <f t="array" ref="AC14">_xlfn.XLOOKUP(B14,'Up Stats'!A:A,'Up Stats'!H:H,)</f>
        <v/>
      </c>
      <c r="AD14" s="40" t="str">
        <f>IFERROR(__xludf.DUMMYFUNCTION("if(AND(AE14=FALSE,AF14=FALSE),,if(AE14=AF14,JOIN("""",""Static: "",AE14),JOIN("""",""Min:  "",AE14, CHAR(10),""Max: "",AF14)))"),"")</f>
        <v/>
      </c>
      <c r="AE14" s="42" t="str">
        <f t="array" ref="AE14">_xlfn.XLOOKUP(B14,'Up Min'!A:A,'Up Min'!H:H,)</f>
        <v/>
      </c>
      <c r="AF14" s="42" t="str">
        <f t="array" ref="AF14">_xlfn.XLOOKUP(B14,'Up Max'!A:A,'Up Max'!H:H,)</f>
        <v/>
      </c>
      <c r="AG14" s="48" t="str">
        <f t="array" ref="AG14">_xlfn.XLOOKUP(B14,'Up Stats'!A:A,'Up Stats'!I:I,)</f>
        <v/>
      </c>
      <c r="AH14" s="40" t="str">
        <f>IFERROR(__xludf.DUMMYFUNCTION("if(AND(AI14=FALSE,AJ14=FALSE),,if(AI14=AJ14,JOIN("""",""Static: "",AI14),JOIN("""",""Min:  "",AI14, CHAR(10),""Max: "",AJ14)))"),"")</f>
        <v/>
      </c>
      <c r="AI14" s="42" t="str">
        <f t="array" ref="AI14">_xlfn.XLOOKUP(B14,'Up Min'!A:A,'Up Min'!I:I,)</f>
        <v/>
      </c>
      <c r="AJ14" s="42" t="str">
        <f t="array" ref="AJ14">_xlfn.XLOOKUP(B14,'Up Max'!A:A,'Up Max'!I:I,)</f>
        <v/>
      </c>
      <c r="AK14" s="48" t="str">
        <f t="array" ref="AK14">_xlfn.XLOOKUP(B14,'Up Stats'!A:A,'Up Stats'!J:J,)</f>
        <v/>
      </c>
      <c r="AL14" s="40" t="str">
        <f>IFERROR(__xludf.DUMMYFUNCTION("if(AND(AM14=FALSE,AN14=FALSE),,if(AM14=AN14,JOIN("""",""Static: "",AM14),JOIN("""",""Min:  "",AM14, CHAR(10),""Max: "",AN14)))"),"")</f>
        <v/>
      </c>
      <c r="AM14" s="42" t="str">
        <f t="array" ref="AM14">_xlfn.XLOOKUP(B14,'Up Min'!A:A,'Up Min'!J:J,)</f>
        <v/>
      </c>
      <c r="AN14" s="42" t="str">
        <f t="array" ref="AN14">_xlfn.XLOOKUP(B14,'Up Max'!A:A,'Up Max'!J:J,)</f>
        <v/>
      </c>
      <c r="AO14" s="34" t="str">
        <f t="array" ref="AO14">CONCATENATE(_xlfn.XLOOKUP(B14,'Up Cells'!A:A,'Up Cells'!B:B,))</f>
        <v>4</v>
      </c>
      <c r="AP14" s="34" t="str">
        <f t="array" ref="AP14">CONCATENATE(_xlfn.XLOOKUP(B14,'Up Rarity'!A:A,'Up Rarity'!B:B,),CHAR(10),"-")</f>
        <v>Epic
-</v>
      </c>
    </row>
    <row r="15">
      <c r="A15" s="75" t="str">
        <f t="array" ref="A15">_xlfn.XLOOKUP(B15,'Up Icon'!A:A,'Up Icon'!B:B,)</f>
        <v/>
      </c>
      <c r="B15" s="88" t="str">
        <f t="array" ref="B15">HYPERLINK(_xlfn.XLOOKUP('Up Names'!J12,'Up Wiki'!A:A,'Up Wiki'!B:B,),'Up Names'!J12)</f>
        <v>Sharing Lunch</v>
      </c>
      <c r="C15" s="70" t="str">
        <f t="array" ref="C15">_xlfn.XLOOKUP(B15,'Up Desc'!A:A,'Up Desc'!B:B,)</f>
        <v>Nutritious cores also creates health chunk for allies.</v>
      </c>
      <c r="D15" s="52" t="str">
        <f t="array" ref="D15">_xlfn.XLOOKUP(B15,'Up Turbo'!A:A,'Up Turbo'!B:B,)</f>
        <v>n/a</v>
      </c>
      <c r="E15" s="53" t="str">
        <f t="array" ref="E15">_xlfn.XLOOKUP(B15,'Up Stats'!A:A,'Up Stats'!B:B,)</f>
        <v/>
      </c>
      <c r="F15" s="54" t="str">
        <f>IFERROR(__xludf.DUMMYFUNCTION("if(AND(G15=FALSE,H15=FALSE),,if(G15=H15,JOIN("""",""Static: "",G15),JOIN("""",""Min:  "",G15, CHAR(10),""Max: "",H15)))"),"")</f>
        <v/>
      </c>
      <c r="G15" s="72" t="str">
        <f t="array" ref="G15">_xlfn.XLOOKUP(B15,'Up Min'!A:A,'Up Min'!B:B,)</f>
        <v/>
      </c>
      <c r="H15" s="72" t="str">
        <f t="array" ref="H15">_xlfn.XLOOKUP(B15,'Up Max'!A:A,'Up Max'!B:B,)</f>
        <v/>
      </c>
      <c r="I15" s="53" t="str">
        <f t="array" ref="I15">_xlfn.XLOOKUP(B15,'Up Stats'!A:A,'Up Stats'!C:C,)</f>
        <v/>
      </c>
      <c r="J15" s="54" t="str">
        <f>IFERROR(__xludf.DUMMYFUNCTION("if(AND(K15=FALSE,L15=FALSE),,if(K15=L15,JOIN("""",""Static: "",K15),JOIN("""",""Min:  "",K15, CHAR(10),""Max: "",L15)))"),"")</f>
        <v/>
      </c>
      <c r="K15" s="55" t="str">
        <f t="array" ref="K15">_xlfn.XLOOKUP(B15,'Up Min'!A:A,'Up Min'!C:C,)</f>
        <v/>
      </c>
      <c r="L15" s="55" t="str">
        <f t="array" ref="L15">_xlfn.XLOOKUP(B15,'Up Max'!A:A,'Up Max'!C:C,)</f>
        <v/>
      </c>
      <c r="M15" s="57" t="str">
        <f t="array" ref="M15">_xlfn.XLOOKUP(B15,'Up Stats'!A:A,'Up Stats'!D:D,)</f>
        <v/>
      </c>
      <c r="N15" s="54" t="str">
        <f>IFERROR(__xludf.DUMMYFUNCTION("if(AND(O15=FALSE,P15=FALSE),,if(O15=P15,JOIN("""",""Static: "",O15),JOIN("""",""Min:  "",O15, CHAR(10),""Max: "",P15)))"),"")</f>
        <v/>
      </c>
      <c r="O15" s="55" t="str">
        <f t="array" ref="O15">_xlfn.XLOOKUP(B15,'Up Min'!A:A,'Up Min'!D:D,)</f>
        <v/>
      </c>
      <c r="P15" s="55" t="str">
        <f t="array" ref="P15">_xlfn.XLOOKUP(B15,'Up Max'!A:A,'Up Max'!D:D,)</f>
        <v/>
      </c>
      <c r="Q15" s="57" t="str">
        <f t="array" ref="Q15">_xlfn.XLOOKUP(B15,'Up Stats'!A:A,'Up Stats'!E:E,)</f>
        <v/>
      </c>
      <c r="R15" s="54" t="str">
        <f>IFERROR(__xludf.DUMMYFUNCTION("if(AND(S15=FALSE,T15=FALSE),,if(S15=T15,JOIN("""",""Static: "",S15),JOIN("""",""Min:  "",S15, CHAR(10),""Max: "",T15)))"),"")</f>
        <v/>
      </c>
      <c r="S15" s="55" t="str">
        <f t="array" ref="S15">_xlfn.XLOOKUP(B15,'Up Min'!A:A,'Up Min'!E:E,)</f>
        <v/>
      </c>
      <c r="T15" s="55" t="str">
        <f t="array" ref="T15">_xlfn.XLOOKUP(B15,'Up Max'!A:A,'Up Max'!E:E,)</f>
        <v/>
      </c>
      <c r="U15" s="57" t="str">
        <f t="array" ref="U15">_xlfn.XLOOKUP(B15,'Up Stats'!A:A,'Up Stats'!F:F,)</f>
        <v/>
      </c>
      <c r="V15" s="54" t="str">
        <f>IFERROR(__xludf.DUMMYFUNCTION("if(AND(W15=FALSE,X15=FALSE),,if(W15=X15,JOIN("""",""Static: "",W15),JOIN("""",""Min:  "",W15, CHAR(10),""Max: "",X15)))"),"")</f>
        <v/>
      </c>
      <c r="W15" s="55" t="str">
        <f t="array" ref="W15">_xlfn.XLOOKUP(B15,'Up Min'!A:A,'Up Min'!F:F,)</f>
        <v/>
      </c>
      <c r="X15" s="55" t="str">
        <f t="array" ref="X15">_xlfn.XLOOKUP(B15,'Up Max'!A:A,'Up Max'!F:F,)</f>
        <v/>
      </c>
      <c r="Y15" s="57" t="str">
        <f t="array" ref="Y15">_xlfn.XLOOKUP(B15,'Up Stats'!A:A,'Up Stats'!G:G,)</f>
        <v/>
      </c>
      <c r="Z15" s="54" t="str">
        <f>IFERROR(__xludf.DUMMYFUNCTION("if(AND(AA15=FALSE,AB15=FALSE),,if(AA15=AB15,JOIN("""",""Static: "",AA15),JOIN("""",""Min:  "",AA15, CHAR(10),""Max: "",AB15)))"),"")</f>
        <v/>
      </c>
      <c r="AA15" s="55" t="str">
        <f t="array" ref="AA15">_xlfn.XLOOKUP(B15,'Up Min'!A:A,'Up Min'!G:G,)</f>
        <v/>
      </c>
      <c r="AB15" s="55" t="str">
        <f t="array" ref="AB15">_xlfn.XLOOKUP(B15,'Up Max'!A:A,'Up Max'!G:G,)</f>
        <v/>
      </c>
      <c r="AC15" s="57" t="str">
        <f t="array" ref="AC15">_xlfn.XLOOKUP(B15,'Up Stats'!A:A,'Up Stats'!H:H,)</f>
        <v/>
      </c>
      <c r="AD15" s="54" t="str">
        <f>IFERROR(__xludf.DUMMYFUNCTION("if(AND(AE15=FALSE,AF15=FALSE),,if(AE15=AF15,JOIN("""",""Static: "",AE15),JOIN("""",""Min:  "",AE15, CHAR(10),""Max: "",AF15)))"),"")</f>
        <v/>
      </c>
      <c r="AE15" s="55" t="str">
        <f t="array" ref="AE15">_xlfn.XLOOKUP(B15,'Up Min'!A:A,'Up Min'!H:H,)</f>
        <v/>
      </c>
      <c r="AF15" s="55" t="str">
        <f t="array" ref="AF15">_xlfn.XLOOKUP(B15,'Up Max'!A:A,'Up Max'!H:H,)</f>
        <v/>
      </c>
      <c r="AG15" s="57" t="str">
        <f t="array" ref="AG15">_xlfn.XLOOKUP(B15,'Up Stats'!A:A,'Up Stats'!I:I,)</f>
        <v/>
      </c>
      <c r="AH15" s="54" t="str">
        <f>IFERROR(__xludf.DUMMYFUNCTION("if(AND(AI15=FALSE,AJ15=FALSE),,if(AI15=AJ15,JOIN("""",""Static: "",AI15),JOIN("""",""Min:  "",AI15, CHAR(10),""Max: "",AJ15)))"),"")</f>
        <v/>
      </c>
      <c r="AI15" s="55" t="str">
        <f t="array" ref="AI15">_xlfn.XLOOKUP(B15,'Up Min'!A:A,'Up Min'!I:I,)</f>
        <v/>
      </c>
      <c r="AJ15" s="55" t="str">
        <f t="array" ref="AJ15">_xlfn.XLOOKUP(B15,'Up Max'!A:A,'Up Max'!I:I,)</f>
        <v/>
      </c>
      <c r="AK15" s="57" t="str">
        <f t="array" ref="AK15">_xlfn.XLOOKUP(B15,'Up Stats'!A:A,'Up Stats'!J:J,)</f>
        <v/>
      </c>
      <c r="AL15" s="54" t="str">
        <f>IFERROR(__xludf.DUMMYFUNCTION("if(AND(AM15=FALSE,AN15=FALSE),,if(AM15=AN15,JOIN("""",""Static: "",AM15),JOIN("""",""Min:  "",AM15, CHAR(10),""Max: "",AN15)))"),"")</f>
        <v/>
      </c>
      <c r="AM15" s="55" t="str">
        <f t="array" ref="AM15">_xlfn.XLOOKUP(B15,'Up Min'!A:A,'Up Min'!J:J,)</f>
        <v/>
      </c>
      <c r="AN15" s="55" t="str">
        <f t="array" ref="AN15">_xlfn.XLOOKUP(B15,'Up Max'!A:A,'Up Max'!J:J,)</f>
        <v/>
      </c>
      <c r="AO15" s="51" t="str">
        <f t="array" ref="AO15">CONCATENATE(_xlfn.XLOOKUP(B15,'Up Cells'!A:A,'Up Cells'!B:B,))</f>
        <v>3</v>
      </c>
      <c r="AP15" s="51" t="str">
        <f t="array" ref="AP15">CONCATENATE(_xlfn.XLOOKUP(B15,'Up Rarity'!A:A,'Up Rarity'!B:B,),CHAR(10),"-")</f>
        <v>Epic
-</v>
      </c>
    </row>
    <row r="16">
      <c r="A16" s="75" t="str">
        <f t="array" ref="A16">_xlfn.XLOOKUP(B16,'Up Icon'!A:A,'Up Icon'!B:B,)</f>
        <v/>
      </c>
      <c r="B16" s="89" t="str">
        <f t="array" ref="B16">HYPERLINK(_xlfn.XLOOKUP('Up Names'!J13,'Up Wiki'!A:A,'Up Wiki'!B:B,),'Up Names'!J13)</f>
        <v>Shocking Adrenaline</v>
      </c>
      <c r="C16" s="67" t="str">
        <f t="array" ref="C16">_xlfn.XLOOKUP(B16,'Up Desc'!A:A,'Up Desc'!B:B,)</f>
        <v>Sawing speed is increased for a short time after you are electrocuted.</v>
      </c>
      <c r="D16" s="37" t="str">
        <f t="array" ref="D16">_xlfn.XLOOKUP(B16,'Up Turbo'!A:A,'Up Turbo'!B:B,)</f>
        <v>n/a</v>
      </c>
      <c r="E16" s="39" t="str">
        <f t="array" ref="E16">_xlfn.XLOOKUP(B16,'Up Stats'!A:A,'Up Stats'!B:B,)</f>
        <v>Fire Rate</v>
      </c>
      <c r="F16" s="40" t="str">
        <f>IFERROR(__xludf.DUMMYFUNCTION("if(AND(G16=FALSE,H16=FALSE),,if(G16=H16,JOIN("""",""Static: "",G16),JOIN("""",""Min:  "",G16, CHAR(10),""Max: "",H16)))"),"Min:  20%
Max: 30%")</f>
        <v>Min:  20%
Max: 30%</v>
      </c>
      <c r="G16" s="41">
        <f t="array" ref="G16">_xlfn.XLOOKUP(B16,'Up Min'!A:A,'Up Min'!B:B,)</f>
        <v>0.2</v>
      </c>
      <c r="H16" s="41">
        <f t="array" ref="H16">_xlfn.XLOOKUP(B16,'Up Max'!A:A,'Up Max'!B:B,)</f>
        <v>0.3</v>
      </c>
      <c r="I16" s="39" t="str">
        <f t="array" ref="I16">_xlfn.XLOOKUP(B16,'Up Stats'!A:A,'Up Stats'!C:C,)</f>
        <v>Duration</v>
      </c>
      <c r="J16" s="40" t="str">
        <f>IFERROR(__xludf.DUMMYFUNCTION("if(AND(K16=FALSE,L16=FALSE),,if(K16=L16,JOIN("""",""Static: "",K16),JOIN("""",""Min:  "",K16, CHAR(10),""Max: "",L16)))"),"Min:  3
Max: 4")</f>
        <v>Min:  3
Max: 4</v>
      </c>
      <c r="K16" s="68">
        <f t="array" ref="K16">_xlfn.XLOOKUP(B16,'Up Min'!A:A,'Up Min'!C:C,)</f>
        <v>3</v>
      </c>
      <c r="L16" s="69">
        <f t="array" ref="L16">_xlfn.XLOOKUP(B16,'Up Max'!A:A,'Up Max'!C:C,)</f>
        <v>4</v>
      </c>
      <c r="M16" s="39" t="str">
        <f t="array" ref="M16">_xlfn.XLOOKUP(B16,'Up Stats'!A:A,'Up Stats'!D:D,)</f>
        <v/>
      </c>
      <c r="N16" s="40" t="str">
        <f>IFERROR(__xludf.DUMMYFUNCTION("if(AND(O16=FALSE,P16=FALSE),,if(O16=P16,JOIN("""",""Static: "",O16),JOIN("""",""Min:  "",O16, CHAR(10),""Max: "",P16)))"),"")</f>
        <v/>
      </c>
      <c r="O16" s="42" t="str">
        <f t="array" ref="O16">_xlfn.XLOOKUP(B16,'Up Min'!A:A,'Up Min'!D:D,)</f>
        <v/>
      </c>
      <c r="P16" s="42" t="str">
        <f t="array" ref="P16">_xlfn.XLOOKUP(B16,'Up Max'!A:A,'Up Max'!D:D,)</f>
        <v/>
      </c>
      <c r="Q16" s="48" t="str">
        <f t="array" ref="Q16">_xlfn.XLOOKUP(B16,'Up Stats'!A:A,'Up Stats'!E:E,)</f>
        <v/>
      </c>
      <c r="R16" s="40" t="str">
        <f>IFERROR(__xludf.DUMMYFUNCTION("if(AND(S16=FALSE,T16=FALSE),,if(S16=T16,JOIN("""",""Static: "",S16),JOIN("""",""Min:  "",S16, CHAR(10),""Max: "",T16)))"),"")</f>
        <v/>
      </c>
      <c r="S16" s="42" t="str">
        <f t="array" ref="S16">_xlfn.XLOOKUP(B16,'Up Min'!A:A,'Up Min'!E:E,)</f>
        <v/>
      </c>
      <c r="T16" s="42" t="str">
        <f t="array" ref="T16">_xlfn.XLOOKUP(B16,'Up Max'!A:A,'Up Max'!E:E,)</f>
        <v/>
      </c>
      <c r="U16" s="48" t="str">
        <f t="array" ref="U16">_xlfn.XLOOKUP(B16,'Up Stats'!A:A,'Up Stats'!F:F,)</f>
        <v/>
      </c>
      <c r="V16" s="40" t="str">
        <f>IFERROR(__xludf.DUMMYFUNCTION("if(AND(W16=FALSE,X16=FALSE),,if(W16=X16,JOIN("""",""Static: "",W16),JOIN("""",""Min:  "",W16, CHAR(10),""Max: "",X16)))"),"")</f>
        <v/>
      </c>
      <c r="W16" s="42" t="str">
        <f t="array" ref="W16">_xlfn.XLOOKUP(B16,'Up Min'!A:A,'Up Min'!F:F,)</f>
        <v/>
      </c>
      <c r="X16" s="42" t="str">
        <f t="array" ref="X16">_xlfn.XLOOKUP(B16,'Up Max'!A:A,'Up Max'!F:F,)</f>
        <v/>
      </c>
      <c r="Y16" s="48" t="str">
        <f t="array" ref="Y16">_xlfn.XLOOKUP(B16,'Up Stats'!A:A,'Up Stats'!G:G,)</f>
        <v/>
      </c>
      <c r="Z16" s="40" t="str">
        <f>IFERROR(__xludf.DUMMYFUNCTION("if(AND(AA16=FALSE,AB16=FALSE),,if(AA16=AB16,JOIN("""",""Static: "",AA16),JOIN("""",""Min:  "",AA16, CHAR(10),""Max: "",AB16)))"),"")</f>
        <v/>
      </c>
      <c r="AA16" s="42" t="str">
        <f t="array" ref="AA16">_xlfn.XLOOKUP(B16,'Up Min'!A:A,'Up Min'!G:G,)</f>
        <v/>
      </c>
      <c r="AB16" s="42" t="str">
        <f t="array" ref="AB16">_xlfn.XLOOKUP(B16,'Up Max'!A:A,'Up Max'!G:G,)</f>
        <v/>
      </c>
      <c r="AC16" s="48" t="str">
        <f t="array" ref="AC16">_xlfn.XLOOKUP(B16,'Up Stats'!A:A,'Up Stats'!H:H,)</f>
        <v/>
      </c>
      <c r="AD16" s="40" t="str">
        <f>IFERROR(__xludf.DUMMYFUNCTION("if(AND(AE16=FALSE,AF16=FALSE),,if(AE16=AF16,JOIN("""",""Static: "",AE16),JOIN("""",""Min:  "",AE16, CHAR(10),""Max: "",AF16)))"),"")</f>
        <v/>
      </c>
      <c r="AE16" s="42" t="str">
        <f t="array" ref="AE16">_xlfn.XLOOKUP(B16,'Up Min'!A:A,'Up Min'!H:H,)</f>
        <v/>
      </c>
      <c r="AF16" s="42" t="str">
        <f t="array" ref="AF16">_xlfn.XLOOKUP(B16,'Up Max'!A:A,'Up Max'!H:H,)</f>
        <v/>
      </c>
      <c r="AG16" s="48" t="str">
        <f t="array" ref="AG16">_xlfn.XLOOKUP(B16,'Up Stats'!A:A,'Up Stats'!I:I,)</f>
        <v/>
      </c>
      <c r="AH16" s="40" t="str">
        <f>IFERROR(__xludf.DUMMYFUNCTION("if(AND(AI16=FALSE,AJ16=FALSE),,if(AI16=AJ16,JOIN("""",""Static: "",AI16),JOIN("""",""Min:  "",AI16, CHAR(10),""Max: "",AJ16)))"),"")</f>
        <v/>
      </c>
      <c r="AI16" s="42" t="str">
        <f t="array" ref="AI16">_xlfn.XLOOKUP(B16,'Up Min'!A:A,'Up Min'!I:I,)</f>
        <v/>
      </c>
      <c r="AJ16" s="42" t="str">
        <f t="array" ref="AJ16">_xlfn.XLOOKUP(B16,'Up Max'!A:A,'Up Max'!I:I,)</f>
        <v/>
      </c>
      <c r="AK16" s="48" t="str">
        <f t="array" ref="AK16">_xlfn.XLOOKUP(B16,'Up Stats'!A:A,'Up Stats'!J:J,)</f>
        <v/>
      </c>
      <c r="AL16" s="40" t="str">
        <f>IFERROR(__xludf.DUMMYFUNCTION("if(AND(AM16=FALSE,AN16=FALSE),,if(AM16=AN16,JOIN("""",""Static: "",AM16),JOIN("""",""Min:  "",AM16, CHAR(10),""Max: "",AN16)))"),"")</f>
        <v/>
      </c>
      <c r="AM16" s="42" t="str">
        <f t="array" ref="AM16">_xlfn.XLOOKUP(B16,'Up Min'!A:A,'Up Min'!J:J,)</f>
        <v/>
      </c>
      <c r="AN16" s="42" t="str">
        <f t="array" ref="AN16">_xlfn.XLOOKUP(B16,'Up Max'!A:A,'Up Max'!J:J,)</f>
        <v/>
      </c>
      <c r="AO16" s="34" t="str">
        <f t="array" ref="AO16">CONCATENATE(_xlfn.XLOOKUP(B16,'Up Cells'!A:A,'Up Cells'!B:B,))</f>
        <v>2</v>
      </c>
      <c r="AP16" s="34" t="str">
        <f t="array" ref="AP16">CONCATENATE(_xlfn.XLOOKUP(B16,'Up Rarity'!A:A,'Up Rarity'!B:B,),CHAR(10),"-")</f>
        <v>Epic
-</v>
      </c>
    </row>
    <row r="17">
      <c r="A17" s="75" t="str">
        <f t="array" ref="A17">_xlfn.XLOOKUP(B17,'Up Icon'!A:A,'Up Icon'!B:B,)</f>
        <v/>
      </c>
      <c r="B17" s="88" t="str">
        <f t="array" ref="B17">HYPERLINK(_xlfn.XLOOKUP('Up Names'!J14,'Up Wiki'!A:A,'Up Wiki'!B:B,),'Up Names'!J14)</f>
        <v>Slippery Blood</v>
      </c>
      <c r="C17" s="70" t="str">
        <f t="array" ref="C17">_xlfn.XLOOKUP(B17,'Up Desc'!A:A,'Up Desc'!B:B,)</f>
        <v>Upon reaching the given threshold, all stacks of blood are consumed and your movement ability is partially recharged.</v>
      </c>
      <c r="D17" s="52" t="str">
        <f t="array" ref="D17">_xlfn.XLOOKUP(B17,'Up Turbo'!A:A,'Up Turbo'!B:B,)</f>
        <v>n/a</v>
      </c>
      <c r="E17" s="53" t="str">
        <f t="array" ref="E17">_xlfn.XLOOKUP(B17,'Up Stats'!A:A,'Up Stats'!B:B,)</f>
        <v>Charge</v>
      </c>
      <c r="F17" s="54" t="str">
        <f>IFERROR(__xludf.DUMMYFUNCTION("if(AND(G17=FALSE,H17=FALSE),,if(G17=H17,JOIN("""",""Static: "",G17),JOIN("""",""Min:  "",G17, CHAR(10),""Max: "",H17)))"),"Min:  5
Max: 11")</f>
        <v>Min:  5
Max: 11</v>
      </c>
      <c r="G17" s="64">
        <f t="array" ref="G17">_xlfn.XLOOKUP(B17,'Up Min'!A:A,'Up Min'!B:B,)</f>
        <v>5</v>
      </c>
      <c r="H17" s="65">
        <f t="array" ref="H17">_xlfn.XLOOKUP(B17,'Up Max'!A:A,'Up Max'!B:B,)</f>
        <v>11</v>
      </c>
      <c r="I17" s="53" t="str">
        <f t="array" ref="I17">_xlfn.XLOOKUP(B17,'Up Stats'!A:A,'Up Stats'!C:C,)</f>
        <v>Threshold</v>
      </c>
      <c r="J17" s="54" t="str">
        <f>IFERROR(__xludf.DUMMYFUNCTION("if(AND(K17=FALSE,L17=FALSE),,if(K17=L17,JOIN("""",""Static: "",K17),JOIN("""",""Min:  "",K17, CHAR(10),""Max: "",L17)))"),"Min:  7
Max: 10")</f>
        <v>Min:  7
Max: 10</v>
      </c>
      <c r="K17" s="65">
        <f t="array" ref="K17">_xlfn.XLOOKUP(B17,'Up Min'!A:A,'Up Min'!C:C,)</f>
        <v>7</v>
      </c>
      <c r="L17" s="64">
        <f t="array" ref="L17">_xlfn.XLOOKUP(B17,'Up Max'!A:A,'Up Max'!C:C,)</f>
        <v>10</v>
      </c>
      <c r="M17" s="53" t="str">
        <f t="array" ref="M17">_xlfn.XLOOKUP(B17,'Up Stats'!A:A,'Up Stats'!D:D,)</f>
        <v/>
      </c>
      <c r="N17" s="54" t="str">
        <f>IFERROR(__xludf.DUMMYFUNCTION("if(AND(O17=FALSE,P17=FALSE),,if(O17=P17,JOIN("""",""Static: "",O17),JOIN("""",""Min:  "",O17, CHAR(10),""Max: "",P17)))"),"")</f>
        <v/>
      </c>
      <c r="O17" s="55" t="str">
        <f t="array" ref="O17">_xlfn.XLOOKUP(B17,'Up Min'!A:A,'Up Min'!D:D,)</f>
        <v/>
      </c>
      <c r="P17" s="55" t="str">
        <f t="array" ref="P17">_xlfn.XLOOKUP(B17,'Up Max'!A:A,'Up Max'!D:D,)</f>
        <v/>
      </c>
      <c r="Q17" s="57" t="str">
        <f t="array" ref="Q17">_xlfn.XLOOKUP(B17,'Up Stats'!A:A,'Up Stats'!E:E,)</f>
        <v/>
      </c>
      <c r="R17" s="54" t="str">
        <f>IFERROR(__xludf.DUMMYFUNCTION("if(AND(S17=FALSE,T17=FALSE),,if(S17=T17,JOIN("""",""Static: "",S17),JOIN("""",""Min:  "",S17, CHAR(10),""Max: "",T17)))"),"")</f>
        <v/>
      </c>
      <c r="S17" s="55" t="str">
        <f t="array" ref="S17">_xlfn.XLOOKUP(B17,'Up Min'!A:A,'Up Min'!E:E,)</f>
        <v/>
      </c>
      <c r="T17" s="55" t="str">
        <f t="array" ref="T17">_xlfn.XLOOKUP(B17,'Up Max'!A:A,'Up Max'!E:E,)</f>
        <v/>
      </c>
      <c r="U17" s="57" t="str">
        <f t="array" ref="U17">_xlfn.XLOOKUP(B17,'Up Stats'!A:A,'Up Stats'!F:F,)</f>
        <v/>
      </c>
      <c r="V17" s="54" t="str">
        <f>IFERROR(__xludf.DUMMYFUNCTION("if(AND(W17=FALSE,X17=FALSE),,if(W17=X17,JOIN("""",""Static: "",W17),JOIN("""",""Min:  "",W17, CHAR(10),""Max: "",X17)))"),"")</f>
        <v/>
      </c>
      <c r="W17" s="55" t="str">
        <f t="array" ref="W17">_xlfn.XLOOKUP(B17,'Up Min'!A:A,'Up Min'!F:F,)</f>
        <v/>
      </c>
      <c r="X17" s="55" t="str">
        <f t="array" ref="X17">_xlfn.XLOOKUP(B17,'Up Max'!A:A,'Up Max'!F:F,)</f>
        <v/>
      </c>
      <c r="Y17" s="57" t="str">
        <f t="array" ref="Y17">_xlfn.XLOOKUP(B17,'Up Stats'!A:A,'Up Stats'!G:G,)</f>
        <v/>
      </c>
      <c r="Z17" s="54" t="str">
        <f>IFERROR(__xludf.DUMMYFUNCTION("if(AND(AA17=FALSE,AB17=FALSE),,if(AA17=AB17,JOIN("""",""Static: "",AA17),JOIN("""",""Min:  "",AA17, CHAR(10),""Max: "",AB17)))"),"")</f>
        <v/>
      </c>
      <c r="AA17" s="55" t="str">
        <f t="array" ref="AA17">_xlfn.XLOOKUP(B17,'Up Min'!A:A,'Up Min'!G:G,)</f>
        <v/>
      </c>
      <c r="AB17" s="55" t="str">
        <f t="array" ref="AB17">_xlfn.XLOOKUP(B17,'Up Max'!A:A,'Up Max'!G:G,)</f>
        <v/>
      </c>
      <c r="AC17" s="57" t="str">
        <f t="array" ref="AC17">_xlfn.XLOOKUP(B17,'Up Stats'!A:A,'Up Stats'!H:H,)</f>
        <v/>
      </c>
      <c r="AD17" s="54" t="str">
        <f>IFERROR(__xludf.DUMMYFUNCTION("if(AND(AE17=FALSE,AF17=FALSE),,if(AE17=AF17,JOIN("""",""Static: "",AE17),JOIN("""",""Min:  "",AE17, CHAR(10),""Max: "",AF17)))"),"")</f>
        <v/>
      </c>
      <c r="AE17" s="55" t="str">
        <f t="array" ref="AE17">_xlfn.XLOOKUP(B17,'Up Min'!A:A,'Up Min'!H:H,)</f>
        <v/>
      </c>
      <c r="AF17" s="55" t="str">
        <f t="array" ref="AF17">_xlfn.XLOOKUP(B17,'Up Max'!A:A,'Up Max'!H:H,)</f>
        <v/>
      </c>
      <c r="AG17" s="57" t="str">
        <f t="array" ref="AG17">_xlfn.XLOOKUP(B17,'Up Stats'!A:A,'Up Stats'!I:I,)</f>
        <v/>
      </c>
      <c r="AH17" s="54" t="str">
        <f>IFERROR(__xludf.DUMMYFUNCTION("if(AND(AI17=FALSE,AJ17=FALSE),,if(AI17=AJ17,JOIN("""",""Static: "",AI17),JOIN("""",""Min:  "",AI17, CHAR(10),""Max: "",AJ17)))"),"")</f>
        <v/>
      </c>
      <c r="AI17" s="55" t="str">
        <f t="array" ref="AI17">_xlfn.XLOOKUP(B17,'Up Min'!A:A,'Up Min'!I:I,)</f>
        <v/>
      </c>
      <c r="AJ17" s="55" t="str">
        <f t="array" ref="AJ17">_xlfn.XLOOKUP(B17,'Up Max'!A:A,'Up Max'!I:I,)</f>
        <v/>
      </c>
      <c r="AK17" s="57" t="str">
        <f t="array" ref="AK17">_xlfn.XLOOKUP(B17,'Up Stats'!A:A,'Up Stats'!J:J,)</f>
        <v/>
      </c>
      <c r="AL17" s="54" t="str">
        <f>IFERROR(__xludf.DUMMYFUNCTION("if(AND(AM17=FALSE,AN17=FALSE),,if(AM17=AN17,JOIN("""",""Static: "",AM17),JOIN("""",""Min:  "",AM17, CHAR(10),""Max: "",AN17)))"),"")</f>
        <v/>
      </c>
      <c r="AM17" s="55" t="str">
        <f t="array" ref="AM17">_xlfn.XLOOKUP(B17,'Up Min'!A:A,'Up Min'!J:J,)</f>
        <v/>
      </c>
      <c r="AN17" s="55" t="str">
        <f t="array" ref="AN17">_xlfn.XLOOKUP(B17,'Up Max'!A:A,'Up Max'!J:J,)</f>
        <v/>
      </c>
      <c r="AO17" s="51" t="str">
        <f t="array" ref="AO17">CONCATENATE(_xlfn.XLOOKUP(B17,'Up Cells'!A:A,'Up Cells'!B:B,))</f>
        <v>4</v>
      </c>
      <c r="AP17" s="51" t="str">
        <f t="array" ref="AP17">CONCATENATE(_xlfn.XLOOKUP(B17,'Up Rarity'!A:A,'Up Rarity'!B:B,),CHAR(10),"-")</f>
        <v>Epic
-</v>
      </c>
    </row>
    <row r="18">
      <c r="A18" s="83" t="str">
        <f t="array" ref="A18">_xlfn.XLOOKUP(B18,'Up Icon'!A:A,'Up Icon'!B:B,)</f>
        <v/>
      </c>
      <c r="B18" s="58" t="str">
        <f t="array" ref="B18">HYPERLINK(_xlfn.XLOOKUP('Up Names'!J28,'Up Wiki'!A:A,'Up Wiki'!B:B,),'Up Names'!J28)</f>
        <v>Aim For The Liver</v>
      </c>
      <c r="C18" s="37" t="str">
        <f t="array" ref="C18">_xlfn.XLOOKUP(B18,'Up Desc'!A:A,'Up Desc'!B:B,)</f>
        <v>Saw in a much smaller area. Damage is increased.</v>
      </c>
      <c r="D18" s="37" t="str">
        <f t="array" ref="D18">_xlfn.XLOOKUP(B18,'Up Turbo'!A:A,'Up Turbo'!B:B,)</f>
        <v>n/a</v>
      </c>
      <c r="E18" s="39" t="str">
        <f t="array" ref="E18">_xlfn.XLOOKUP(B18,'Up Stats'!A:A,'Up Stats'!B:B,)</f>
        <v>Damage</v>
      </c>
      <c r="F18" s="40" t="str">
        <f>IFERROR(__xludf.DUMMYFUNCTION("if(AND(G18=FALSE,H18=FALSE),,if(G18=H18,JOIN("""",""Static: "",G18),JOIN("""",""Min:  "",G18, CHAR(10),""Max: "",H18)))"),"Min:  23
Max: 30")</f>
        <v>Min:  23
Max: 30</v>
      </c>
      <c r="G18" s="42">
        <f t="array" ref="G18">_xlfn.XLOOKUP(B18,'Up Min'!A:A,'Up Min'!B:B,)</f>
        <v>23</v>
      </c>
      <c r="H18" s="45">
        <f t="array" ref="H18">_xlfn.XLOOKUP(B18,'Up Max'!A:A,'Up Max'!B:B,)</f>
        <v>30</v>
      </c>
      <c r="I18" s="39" t="str">
        <f t="array" ref="I18">_xlfn.XLOOKUP(B18,'Up Stats'!A:A,'Up Stats'!C:C,)</f>
        <v>Size</v>
      </c>
      <c r="J18" s="40" t="str">
        <f>IFERROR(__xludf.DUMMYFUNCTION("if(AND(K18=FALSE,L18=FALSE),,if(K18=L18,JOIN("""",""Static: "",K18),JOIN("""",""Min:  "",K18, CHAR(10),""Max: "",L18)))"),"Min:  -93%
Max: -90%")</f>
        <v>Min:  -93%
Max: -90%</v>
      </c>
      <c r="K18" s="74">
        <f t="array" ref="K18">_xlfn.XLOOKUP(B18,'Up Min'!A:A,'Up Min'!C:C,)</f>
        <v>-0.93</v>
      </c>
      <c r="L18" s="74">
        <f t="array" ref="L18">_xlfn.XLOOKUP(B18,'Up Max'!A:A,'Up Max'!C:C,)</f>
        <v>-0.9</v>
      </c>
      <c r="M18" s="48" t="str">
        <f t="array" ref="M18">_xlfn.XLOOKUP(B18,'Up Stats'!A:A,'Up Stats'!D:D,)</f>
        <v/>
      </c>
      <c r="N18" s="40" t="str">
        <f>IFERROR(__xludf.DUMMYFUNCTION("if(AND(O18=FALSE,P18=FALSE),,if(O18=P18,JOIN("""",""Static: "",O18),JOIN("""",""Min:  "",O18, CHAR(10),""Max: "",P18)))"),"")</f>
        <v/>
      </c>
      <c r="O18" s="42" t="str">
        <f t="array" ref="O18">_xlfn.XLOOKUP(B18,'Up Min'!A:A,'Up Min'!D:D,)</f>
        <v/>
      </c>
      <c r="P18" s="42" t="str">
        <f t="array" ref="P18">_xlfn.XLOOKUP(B18,'Up Max'!A:A,'Up Max'!D:D,)</f>
        <v/>
      </c>
      <c r="Q18" s="48" t="str">
        <f t="array" ref="Q18">_xlfn.XLOOKUP(B18,'Up Stats'!A:A,'Up Stats'!E:E,)</f>
        <v/>
      </c>
      <c r="R18" s="40" t="str">
        <f>IFERROR(__xludf.DUMMYFUNCTION("if(AND(S18=FALSE,T18=FALSE),,if(S18=T18,JOIN("""",""Static: "",S18),JOIN("""",""Min:  "",S18, CHAR(10),""Max: "",T18)))"),"")</f>
        <v/>
      </c>
      <c r="S18" s="42" t="str">
        <f t="array" ref="S18">_xlfn.XLOOKUP(B18,'Up Min'!A:A,'Up Min'!E:E,)</f>
        <v/>
      </c>
      <c r="T18" s="42" t="str">
        <f t="array" ref="T18">_xlfn.XLOOKUP(B18,'Up Max'!A:A,'Up Max'!E:E,)</f>
        <v/>
      </c>
      <c r="U18" s="48" t="str">
        <f t="array" ref="U18">_xlfn.XLOOKUP(B18,'Up Stats'!A:A,'Up Stats'!F:F,)</f>
        <v/>
      </c>
      <c r="V18" s="40" t="str">
        <f>IFERROR(__xludf.DUMMYFUNCTION("if(AND(W18=FALSE,X18=FALSE),,if(W18=X18,JOIN("""",""Static: "",W18),JOIN("""",""Min:  "",W18, CHAR(10),""Max: "",X18)))"),"")</f>
        <v/>
      </c>
      <c r="W18" s="42" t="str">
        <f t="array" ref="W18">_xlfn.XLOOKUP(B18,'Up Min'!A:A,'Up Min'!F:F,)</f>
        <v/>
      </c>
      <c r="X18" s="42" t="str">
        <f t="array" ref="X18">_xlfn.XLOOKUP(B18,'Up Max'!A:A,'Up Max'!F:F,)</f>
        <v/>
      </c>
      <c r="Y18" s="48" t="str">
        <f t="array" ref="Y18">_xlfn.XLOOKUP(B18,'Up Stats'!A:A,'Up Stats'!G:G,)</f>
        <v/>
      </c>
      <c r="Z18" s="40" t="str">
        <f>IFERROR(__xludf.DUMMYFUNCTION("if(AND(AA18=FALSE,AB18=FALSE),,if(AA18=AB18,JOIN("""",""Static: "",AA18),JOIN("""",""Min:  "",AA18, CHAR(10),""Max: "",AB18)))"),"")</f>
        <v/>
      </c>
      <c r="AA18" s="42" t="str">
        <f t="array" ref="AA18">_xlfn.XLOOKUP(B18,'Up Min'!A:A,'Up Min'!G:G,)</f>
        <v/>
      </c>
      <c r="AB18" s="42" t="str">
        <f t="array" ref="AB18">_xlfn.XLOOKUP(B18,'Up Max'!A:A,'Up Max'!G:G,)</f>
        <v/>
      </c>
      <c r="AC18" s="48" t="str">
        <f t="array" ref="AC18">_xlfn.XLOOKUP(B18,'Up Stats'!A:A,'Up Stats'!H:H,)</f>
        <v/>
      </c>
      <c r="AD18" s="40" t="str">
        <f>IFERROR(__xludf.DUMMYFUNCTION("if(AND(AE18=FALSE,AF18=FALSE),,if(AE18=AF18,JOIN("""",""Static: "",AE18),JOIN("""",""Min:  "",AE18, CHAR(10),""Max: "",AF18)))"),"")</f>
        <v/>
      </c>
      <c r="AE18" s="42" t="str">
        <f t="array" ref="AE18">_xlfn.XLOOKUP(B18,'Up Min'!A:A,'Up Min'!H:H,)</f>
        <v/>
      </c>
      <c r="AF18" s="42" t="str">
        <f t="array" ref="AF18">_xlfn.XLOOKUP(B18,'Up Max'!A:A,'Up Max'!H:H,)</f>
        <v/>
      </c>
      <c r="AG18" s="48" t="str">
        <f t="array" ref="AG18">_xlfn.XLOOKUP(B18,'Up Stats'!A:A,'Up Stats'!I:I,)</f>
        <v/>
      </c>
      <c r="AH18" s="40" t="str">
        <f>IFERROR(__xludf.DUMMYFUNCTION("if(AND(AI18=FALSE,AJ18=FALSE),,if(AI18=AJ18,JOIN("""",""Static: "",AI18),JOIN("""",""Min:  "",AI18, CHAR(10),""Max: "",AJ18)))"),"")</f>
        <v/>
      </c>
      <c r="AI18" s="42" t="str">
        <f t="array" ref="AI18">_xlfn.XLOOKUP(B18,'Up Min'!A:A,'Up Min'!I:I,)</f>
        <v/>
      </c>
      <c r="AJ18" s="42" t="str">
        <f t="array" ref="AJ18">_xlfn.XLOOKUP(B18,'Up Max'!A:A,'Up Max'!I:I,)</f>
        <v/>
      </c>
      <c r="AK18" s="48" t="str">
        <f t="array" ref="AK18">_xlfn.XLOOKUP(B18,'Up Stats'!A:A,'Up Stats'!J:J,)</f>
        <v/>
      </c>
      <c r="AL18" s="40" t="str">
        <f>IFERROR(__xludf.DUMMYFUNCTION("if(AND(AM18=FALSE,AN18=FALSE),,if(AM18=AN18,JOIN("""",""Static: "",AM18),JOIN("""",""Min:  "",AM18, CHAR(10),""Max: "",AN18)))"),"")</f>
        <v/>
      </c>
      <c r="AM18" s="42" t="str">
        <f t="array" ref="AM18">_xlfn.XLOOKUP(B18,'Up Min'!A:A,'Up Min'!J:J,)</f>
        <v/>
      </c>
      <c r="AN18" s="42" t="str">
        <f t="array" ref="AN18">_xlfn.XLOOKUP(B18,'Up Max'!A:A,'Up Max'!J:J,)</f>
        <v/>
      </c>
      <c r="AO18" s="34" t="str">
        <f t="array" ref="AO18">CONCATENATE(_xlfn.XLOOKUP(B18,'Up Cells'!A:A,'Up Cells'!B:B,))</f>
        <v>4</v>
      </c>
      <c r="AP18" s="34" t="str">
        <f t="array" ref="AP18">CONCATENATE(_xlfn.XLOOKUP(B18,'Up Rarity'!A:A,'Up Rarity'!B:B,),CHAR(10),"-")</f>
        <v>Rare
-</v>
      </c>
    </row>
    <row r="19">
      <c r="A19" s="83" t="str">
        <f t="array" ref="A19">_xlfn.XLOOKUP(B19,'Up Icon'!A:A,'Up Icon'!B:B,)</f>
        <v/>
      </c>
      <c r="B19" s="88" t="str">
        <f t="array" ref="B19">HYPERLINK(_xlfn.XLOOKUP('Up Names'!J15,'Up Wiki'!A:A,'Up Wiki'!B:B,),'Up Names'!J15)</f>
        <v>Blood Coating</v>
      </c>
      <c r="C19" s="70" t="str">
        <f t="array" ref="C19">_xlfn.XLOOKUP(B19,'Up Desc'!A:A,'Up Desc'!B:B,)</f>
        <v>Damage resistance is increased for each stack of blood.</v>
      </c>
      <c r="D19" s="52" t="str">
        <f t="array" ref="D19">_xlfn.XLOOKUP(B19,'Up Turbo'!A:A,'Up Turbo'!B:B,)</f>
        <v>n/a</v>
      </c>
      <c r="E19" s="53" t="str">
        <f t="array" ref="E19">_xlfn.XLOOKUP(B19,'Up Stats'!A:A,'Up Stats'!B:B,)</f>
        <v>Damage Resistance</v>
      </c>
      <c r="F19" s="54" t="str">
        <f>IFERROR(__xludf.DUMMYFUNCTION("if(AND(G19=FALSE,H19=FALSE),,if(G19=H19,JOIN("""",""Static: "",G19),JOIN("""",""Min:  "",G19, CHAR(10),""Max: "",H19)))"),"Min:  1%
Max: 1.40%")</f>
        <v>Min:  1%
Max: 1.40%</v>
      </c>
      <c r="G19" s="59">
        <f t="array" ref="G19">_xlfn.XLOOKUP(B19,'Up Min'!A:A,'Up Min'!B:B,)</f>
        <v>0.01</v>
      </c>
      <c r="H19" s="71">
        <f t="array" ref="H19">_xlfn.XLOOKUP(B19,'Up Max'!A:A,'Up Max'!B:B,)</f>
        <v>0.014</v>
      </c>
      <c r="I19" s="53" t="str">
        <f t="array" ref="I19">_xlfn.XLOOKUP(B19,'Up Stats'!A:A,'Up Stats'!C:C,)</f>
        <v/>
      </c>
      <c r="J19" s="54" t="str">
        <f>IFERROR(__xludf.DUMMYFUNCTION("if(AND(K19=FALSE,L19=FALSE),,if(K19=L19,JOIN("""",""Static: "",K19),JOIN("""",""Min:  "",K19, CHAR(10),""Max: "",L19)))"),"")</f>
        <v/>
      </c>
      <c r="K19" s="55" t="str">
        <f t="array" ref="K19">_xlfn.XLOOKUP(B19,'Up Min'!A:A,'Up Min'!C:C,)</f>
        <v/>
      </c>
      <c r="L19" s="55" t="str">
        <f t="array" ref="L19">_xlfn.XLOOKUP(B19,'Up Max'!A:A,'Up Max'!C:C,)</f>
        <v/>
      </c>
      <c r="M19" s="57" t="str">
        <f t="array" ref="M19">_xlfn.XLOOKUP(B19,'Up Stats'!A:A,'Up Stats'!D:D,)</f>
        <v/>
      </c>
      <c r="N19" s="54" t="str">
        <f>IFERROR(__xludf.DUMMYFUNCTION("if(AND(O19=FALSE,P19=FALSE),,if(O19=P19,JOIN("""",""Static: "",O19),JOIN("""",""Min:  "",O19, CHAR(10),""Max: "",P19)))"),"")</f>
        <v/>
      </c>
      <c r="O19" s="55" t="str">
        <f t="array" ref="O19">_xlfn.XLOOKUP(B19,'Up Min'!A:A,'Up Min'!D:D,)</f>
        <v/>
      </c>
      <c r="P19" s="55" t="str">
        <f t="array" ref="P19">_xlfn.XLOOKUP(B19,'Up Max'!A:A,'Up Max'!D:D,)</f>
        <v/>
      </c>
      <c r="Q19" s="57" t="str">
        <f t="array" ref="Q19">_xlfn.XLOOKUP(B19,'Up Stats'!A:A,'Up Stats'!E:E,)</f>
        <v/>
      </c>
      <c r="R19" s="54" t="str">
        <f>IFERROR(__xludf.DUMMYFUNCTION("if(AND(S19=FALSE,T19=FALSE),,if(S19=T19,JOIN("""",""Static: "",S19),JOIN("""",""Min:  "",S19, CHAR(10),""Max: "",T19)))"),"")</f>
        <v/>
      </c>
      <c r="S19" s="55" t="str">
        <f t="array" ref="S19">_xlfn.XLOOKUP(B19,'Up Min'!A:A,'Up Min'!E:E,)</f>
        <v/>
      </c>
      <c r="T19" s="55" t="str">
        <f t="array" ref="T19">_xlfn.XLOOKUP(B19,'Up Max'!A:A,'Up Max'!E:E,)</f>
        <v/>
      </c>
      <c r="U19" s="57" t="str">
        <f t="array" ref="U19">_xlfn.XLOOKUP(B19,'Up Stats'!A:A,'Up Stats'!F:F,)</f>
        <v/>
      </c>
      <c r="V19" s="54" t="str">
        <f>IFERROR(__xludf.DUMMYFUNCTION("if(AND(W19=FALSE,X19=FALSE),,if(W19=X19,JOIN("""",""Static: "",W19),JOIN("""",""Min:  "",W19, CHAR(10),""Max: "",X19)))"),"")</f>
        <v/>
      </c>
      <c r="W19" s="55" t="str">
        <f t="array" ref="W19">_xlfn.XLOOKUP(B19,'Up Min'!A:A,'Up Min'!F:F,)</f>
        <v/>
      </c>
      <c r="X19" s="55" t="str">
        <f t="array" ref="X19">_xlfn.XLOOKUP(B19,'Up Max'!A:A,'Up Max'!F:F,)</f>
        <v/>
      </c>
      <c r="Y19" s="57" t="str">
        <f t="array" ref="Y19">_xlfn.XLOOKUP(B19,'Up Stats'!A:A,'Up Stats'!G:G,)</f>
        <v/>
      </c>
      <c r="Z19" s="54" t="str">
        <f>IFERROR(__xludf.DUMMYFUNCTION("if(AND(AA19=FALSE,AB19=FALSE),,if(AA19=AB19,JOIN("""",""Static: "",AA19),JOIN("""",""Min:  "",AA19, CHAR(10),""Max: "",AB19)))"),"")</f>
        <v/>
      </c>
      <c r="AA19" s="55" t="str">
        <f t="array" ref="AA19">_xlfn.XLOOKUP(B19,'Up Min'!A:A,'Up Min'!G:G,)</f>
        <v/>
      </c>
      <c r="AB19" s="55" t="str">
        <f t="array" ref="AB19">_xlfn.XLOOKUP(B19,'Up Max'!A:A,'Up Max'!G:G,)</f>
        <v/>
      </c>
      <c r="AC19" s="57" t="str">
        <f t="array" ref="AC19">_xlfn.XLOOKUP(B19,'Up Stats'!A:A,'Up Stats'!H:H,)</f>
        <v/>
      </c>
      <c r="AD19" s="54" t="str">
        <f>IFERROR(__xludf.DUMMYFUNCTION("if(AND(AE19=FALSE,AF19=FALSE),,if(AE19=AF19,JOIN("""",""Static: "",AE19),JOIN("""",""Min:  "",AE19, CHAR(10),""Max: "",AF19)))"),"")</f>
        <v/>
      </c>
      <c r="AE19" s="55" t="str">
        <f t="array" ref="AE19">_xlfn.XLOOKUP(B19,'Up Min'!A:A,'Up Min'!H:H,)</f>
        <v/>
      </c>
      <c r="AF19" s="55" t="str">
        <f t="array" ref="AF19">_xlfn.XLOOKUP(B19,'Up Max'!A:A,'Up Max'!H:H,)</f>
        <v/>
      </c>
      <c r="AG19" s="57" t="str">
        <f t="array" ref="AG19">_xlfn.XLOOKUP(B19,'Up Stats'!A:A,'Up Stats'!I:I,)</f>
        <v/>
      </c>
      <c r="AH19" s="54" t="str">
        <f>IFERROR(__xludf.DUMMYFUNCTION("if(AND(AI19=FALSE,AJ19=FALSE),,if(AI19=AJ19,JOIN("""",""Static: "",AI19),JOIN("""",""Min:  "",AI19, CHAR(10),""Max: "",AJ19)))"),"")</f>
        <v/>
      </c>
      <c r="AI19" s="55" t="str">
        <f t="array" ref="AI19">_xlfn.XLOOKUP(B19,'Up Min'!A:A,'Up Min'!I:I,)</f>
        <v/>
      </c>
      <c r="AJ19" s="55" t="str">
        <f t="array" ref="AJ19">_xlfn.XLOOKUP(B19,'Up Max'!A:A,'Up Max'!I:I,)</f>
        <v/>
      </c>
      <c r="AK19" s="57" t="str">
        <f t="array" ref="AK19">_xlfn.XLOOKUP(B19,'Up Stats'!A:A,'Up Stats'!J:J,)</f>
        <v/>
      </c>
      <c r="AL19" s="54" t="str">
        <f>IFERROR(__xludf.DUMMYFUNCTION("if(AND(AM19=FALSE,AN19=FALSE),,if(AM19=AN19,JOIN("""",""Static: "",AM19),JOIN("""",""Min:  "",AM19, CHAR(10),""Max: "",AN19)))"),"")</f>
        <v/>
      </c>
      <c r="AM19" s="55" t="str">
        <f t="array" ref="AM19">_xlfn.XLOOKUP(B19,'Up Min'!A:A,'Up Min'!J:J,)</f>
        <v/>
      </c>
      <c r="AN19" s="55" t="str">
        <f t="array" ref="AN19">_xlfn.XLOOKUP(B19,'Up Max'!A:A,'Up Max'!J:J,)</f>
        <v/>
      </c>
      <c r="AO19" s="51" t="str">
        <f t="array" ref="AO19">CONCATENATE(_xlfn.XLOOKUP(B19,'Up Cells'!A:A,'Up Cells'!B:B,))</f>
        <v>4</v>
      </c>
      <c r="AP19" s="51" t="str">
        <f t="array" ref="AP19">CONCATENATE(_xlfn.XLOOKUP(B19,'Up Rarity'!A:A,'Up Rarity'!B:B,),CHAR(10),"-")</f>
        <v>Rare
-</v>
      </c>
    </row>
    <row r="20">
      <c r="A20" s="83" t="str">
        <f t="array" ref="A20">_xlfn.XLOOKUP(B20,'Up Icon'!A:A,'Up Icon'!B:B,)</f>
        <v/>
      </c>
      <c r="B20" s="89" t="str">
        <f t="array" ref="B20">HYPERLINK(_xlfn.XLOOKUP('Up Names'!J16,'Up Wiki'!A:A,'Up Wiki'!B:B,),'Up Names'!J16)</f>
        <v>Blood Rampage</v>
      </c>
      <c r="C20" s="67" t="str">
        <f t="array" ref="C20">_xlfn.XLOOKUP(B20,'Up Desc'!A:A,'Up Desc'!B:B,)</f>
        <v>Damage is increased for each stack of blood.</v>
      </c>
      <c r="D20" s="37" t="str">
        <f t="array" ref="D20">_xlfn.XLOOKUP(B20,'Up Turbo'!A:A,'Up Turbo'!B:B,)</f>
        <v>n/a</v>
      </c>
      <c r="E20" s="39" t="str">
        <f t="array" ref="E20">_xlfn.XLOOKUP(B20,'Up Stats'!A:A,'Up Stats'!B:B,)</f>
        <v>Damage</v>
      </c>
      <c r="F20" s="40" t="str">
        <f>IFERROR(__xludf.DUMMYFUNCTION("if(AND(G20=FALSE,H20=FALSE),,if(G20=H20,JOIN("""",""Static: "",G20),JOIN("""",""Min:  "",G20, CHAR(10),""Max: "",H20)))"),"Min:  0.14
Max: 0.2")</f>
        <v>Min:  0.14
Max: 0.2</v>
      </c>
      <c r="G20" s="69">
        <f t="array" ref="G20">_xlfn.XLOOKUP(B20,'Up Min'!A:A,'Up Min'!B:B,)</f>
        <v>0.14</v>
      </c>
      <c r="H20" s="68">
        <f t="array" ref="H20">_xlfn.XLOOKUP(B20,'Up Max'!A:A,'Up Max'!B:B,)</f>
        <v>0.2</v>
      </c>
      <c r="I20" s="39" t="str">
        <f t="array" ref="I20">_xlfn.XLOOKUP(B20,'Up Stats'!A:A,'Up Stats'!C:C,)</f>
        <v/>
      </c>
      <c r="J20" s="40" t="str">
        <f>IFERROR(__xludf.DUMMYFUNCTION("if(AND(K20=FALSE,L20=FALSE),,if(K20=L20,JOIN("""",""Static: "",K20),JOIN("""",""Min:  "",K20, CHAR(10),""Max: "",L20)))"),"")</f>
        <v/>
      </c>
      <c r="K20" s="42" t="str">
        <f t="array" ref="K20">_xlfn.XLOOKUP(B20,'Up Min'!A:A,'Up Min'!C:C,)</f>
        <v/>
      </c>
      <c r="L20" s="42" t="str">
        <f t="array" ref="L20">_xlfn.XLOOKUP(B20,'Up Max'!A:A,'Up Max'!C:C,)</f>
        <v/>
      </c>
      <c r="M20" s="48" t="str">
        <f t="array" ref="M20">_xlfn.XLOOKUP(B20,'Up Stats'!A:A,'Up Stats'!D:D,)</f>
        <v/>
      </c>
      <c r="N20" s="40" t="str">
        <f>IFERROR(__xludf.DUMMYFUNCTION("if(AND(O20=FALSE,P20=FALSE),,if(O20=P20,JOIN("""",""Static: "",O20),JOIN("""",""Min:  "",O20, CHAR(10),""Max: "",P20)))"),"")</f>
        <v/>
      </c>
      <c r="O20" s="42" t="str">
        <f t="array" ref="O20">_xlfn.XLOOKUP(B20,'Up Min'!A:A,'Up Min'!D:D,)</f>
        <v/>
      </c>
      <c r="P20" s="42" t="str">
        <f t="array" ref="P20">_xlfn.XLOOKUP(B20,'Up Max'!A:A,'Up Max'!D:D,)</f>
        <v/>
      </c>
      <c r="Q20" s="48" t="str">
        <f t="array" ref="Q20">_xlfn.XLOOKUP(B20,'Up Stats'!A:A,'Up Stats'!E:E,)</f>
        <v/>
      </c>
      <c r="R20" s="40" t="str">
        <f>IFERROR(__xludf.DUMMYFUNCTION("if(AND(S20=FALSE,T20=FALSE),,if(S20=T20,JOIN("""",""Static: "",S20),JOIN("""",""Min:  "",S20, CHAR(10),""Max: "",T20)))"),"")</f>
        <v/>
      </c>
      <c r="S20" s="42" t="str">
        <f t="array" ref="S20">_xlfn.XLOOKUP(B20,'Up Min'!A:A,'Up Min'!E:E,)</f>
        <v/>
      </c>
      <c r="T20" s="42" t="str">
        <f t="array" ref="T20">_xlfn.XLOOKUP(B20,'Up Max'!A:A,'Up Max'!E:E,)</f>
        <v/>
      </c>
      <c r="U20" s="48" t="str">
        <f t="array" ref="U20">_xlfn.XLOOKUP(B20,'Up Stats'!A:A,'Up Stats'!F:F,)</f>
        <v/>
      </c>
      <c r="V20" s="40" t="str">
        <f>IFERROR(__xludf.DUMMYFUNCTION("if(AND(W20=FALSE,X20=FALSE),,if(W20=X20,JOIN("""",""Static: "",W20),JOIN("""",""Min:  "",W20, CHAR(10),""Max: "",X20)))"),"")</f>
        <v/>
      </c>
      <c r="W20" s="42" t="str">
        <f t="array" ref="W20">_xlfn.XLOOKUP(B20,'Up Min'!A:A,'Up Min'!F:F,)</f>
        <v/>
      </c>
      <c r="X20" s="42" t="str">
        <f t="array" ref="X20">_xlfn.XLOOKUP(B20,'Up Max'!A:A,'Up Max'!F:F,)</f>
        <v/>
      </c>
      <c r="Y20" s="48" t="str">
        <f t="array" ref="Y20">_xlfn.XLOOKUP(B20,'Up Stats'!A:A,'Up Stats'!G:G,)</f>
        <v/>
      </c>
      <c r="Z20" s="40" t="str">
        <f>IFERROR(__xludf.DUMMYFUNCTION("if(AND(AA20=FALSE,AB20=FALSE),,if(AA20=AB20,JOIN("""",""Static: "",AA20),JOIN("""",""Min:  "",AA20, CHAR(10),""Max: "",AB20)))"),"")</f>
        <v/>
      </c>
      <c r="AA20" s="42" t="str">
        <f t="array" ref="AA20">_xlfn.XLOOKUP(B20,'Up Min'!A:A,'Up Min'!G:G,)</f>
        <v/>
      </c>
      <c r="AB20" s="42" t="str">
        <f t="array" ref="AB20">_xlfn.XLOOKUP(B20,'Up Max'!A:A,'Up Max'!G:G,)</f>
        <v/>
      </c>
      <c r="AC20" s="48" t="str">
        <f t="array" ref="AC20">_xlfn.XLOOKUP(B20,'Up Stats'!A:A,'Up Stats'!H:H,)</f>
        <v/>
      </c>
      <c r="AD20" s="40" t="str">
        <f>IFERROR(__xludf.DUMMYFUNCTION("if(AND(AE20=FALSE,AF20=FALSE),,if(AE20=AF20,JOIN("""",""Static: "",AE20),JOIN("""",""Min:  "",AE20, CHAR(10),""Max: "",AF20)))"),"")</f>
        <v/>
      </c>
      <c r="AE20" s="42" t="str">
        <f t="array" ref="AE20">_xlfn.XLOOKUP(B20,'Up Min'!A:A,'Up Min'!H:H,)</f>
        <v/>
      </c>
      <c r="AF20" s="42" t="str">
        <f t="array" ref="AF20">_xlfn.XLOOKUP(B20,'Up Max'!A:A,'Up Max'!H:H,)</f>
        <v/>
      </c>
      <c r="AG20" s="48" t="str">
        <f t="array" ref="AG20">_xlfn.XLOOKUP(B20,'Up Stats'!A:A,'Up Stats'!I:I,)</f>
        <v/>
      </c>
      <c r="AH20" s="40" t="str">
        <f>IFERROR(__xludf.DUMMYFUNCTION("if(AND(AI20=FALSE,AJ20=FALSE),,if(AI20=AJ20,JOIN("""",""Static: "",AI20),JOIN("""",""Min:  "",AI20, CHAR(10),""Max: "",AJ20)))"),"")</f>
        <v/>
      </c>
      <c r="AI20" s="42" t="str">
        <f t="array" ref="AI20">_xlfn.XLOOKUP(B20,'Up Min'!A:A,'Up Min'!I:I,)</f>
        <v/>
      </c>
      <c r="AJ20" s="42" t="str">
        <f t="array" ref="AJ20">_xlfn.XLOOKUP(B20,'Up Max'!A:A,'Up Max'!I:I,)</f>
        <v/>
      </c>
      <c r="AK20" s="48" t="str">
        <f t="array" ref="AK20">_xlfn.XLOOKUP(B20,'Up Stats'!A:A,'Up Stats'!J:J,)</f>
        <v/>
      </c>
      <c r="AL20" s="40" t="str">
        <f>IFERROR(__xludf.DUMMYFUNCTION("if(AND(AM20=FALSE,AN20=FALSE),,if(AM20=AN20,JOIN("""",""Static: "",AM20),JOIN("""",""Min:  "",AM20, CHAR(10),""Max: "",AN20)))"),"")</f>
        <v/>
      </c>
      <c r="AM20" s="42" t="str">
        <f t="array" ref="AM20">_xlfn.XLOOKUP(B20,'Up Min'!A:A,'Up Min'!J:J,)</f>
        <v/>
      </c>
      <c r="AN20" s="42" t="str">
        <f t="array" ref="AN20">_xlfn.XLOOKUP(B20,'Up Max'!A:A,'Up Max'!J:J,)</f>
        <v/>
      </c>
      <c r="AO20" s="34" t="str">
        <f t="array" ref="AO20">CONCATENATE(_xlfn.XLOOKUP(B20,'Up Cells'!A:A,'Up Cells'!B:B,))</f>
        <v>4</v>
      </c>
      <c r="AP20" s="34" t="str">
        <f t="array" ref="AP20">CONCATENATE(_xlfn.XLOOKUP(B20,'Up Rarity'!A:A,'Up Rarity'!B:B,),CHAR(10),"-")</f>
        <v>Rare
-</v>
      </c>
    </row>
    <row r="21">
      <c r="A21" s="83" t="str">
        <f t="array" ref="A21">_xlfn.XLOOKUP(B21,'Up Icon'!A:A,'Up Icon'!B:B,)</f>
        <v/>
      </c>
      <c r="B21" s="88" t="str">
        <f t="array" ref="B21">HYPERLINK(_xlfn.XLOOKUP('Up Names'!J17,'Up Wiki'!A:A,'Up Wiki'!B:B,),'Up Names'!J17)</f>
        <v>Corrosive Coating</v>
      </c>
      <c r="C21" s="52" t="str">
        <f t="array" ref="C21">_xlfn.XLOOKUP(B21,'Up Desc'!A:A,'Up Desc'!B:B,)</f>
        <v>Range is increased for a short time after you are corroded.</v>
      </c>
      <c r="D21" s="52" t="str">
        <f t="array" ref="D21">_xlfn.XLOOKUP(B21,'Up Turbo'!A:A,'Up Turbo'!B:B,)</f>
        <v>n/a</v>
      </c>
      <c r="E21" s="53" t="str">
        <f t="array" ref="E21">_xlfn.XLOOKUP(B21,'Up Stats'!A:A,'Up Stats'!B:B,)</f>
        <v>Range</v>
      </c>
      <c r="F21" s="54" t="str">
        <f>IFERROR(__xludf.DUMMYFUNCTION("if(AND(G21=FALSE,H21=FALSE),,if(G21=H21,JOIN("""",""Static: "",G21),JOIN("""",""Min:  "",G21, CHAR(10),""Max: "",H21)))"),"Min:  4
Max: 6")</f>
        <v>Min:  4
Max: 6</v>
      </c>
      <c r="G21" s="64">
        <f t="array" ref="G21">_xlfn.XLOOKUP(B21,'Up Min'!A:A,'Up Min'!B:B,)</f>
        <v>4</v>
      </c>
      <c r="H21" s="65">
        <f t="array" ref="H21">_xlfn.XLOOKUP(B21,'Up Max'!A:A,'Up Max'!B:B,)</f>
        <v>6</v>
      </c>
      <c r="I21" s="53" t="str">
        <f t="array" ref="I21">_xlfn.XLOOKUP(B21,'Up Stats'!A:A,'Up Stats'!C:C,)</f>
        <v>Duration</v>
      </c>
      <c r="J21" s="54" t="str">
        <f>IFERROR(__xludf.DUMMYFUNCTION("if(AND(K21=FALSE,L21=FALSE),,if(K21=L21,JOIN("""",""Static: "",K21),JOIN("""",""Min:  "",K21, CHAR(10),""Max: "",L21)))"),"Min:  3
Max: 5")</f>
        <v>Min:  3
Max: 5</v>
      </c>
      <c r="K21" s="64">
        <f t="array" ref="K21">_xlfn.XLOOKUP(B21,'Up Min'!A:A,'Up Min'!C:C,)</f>
        <v>3</v>
      </c>
      <c r="L21" s="64">
        <f t="array" ref="L21">_xlfn.XLOOKUP(B21,'Up Max'!A:A,'Up Max'!C:C,)</f>
        <v>5</v>
      </c>
      <c r="M21" s="53" t="str">
        <f t="array" ref="M21">_xlfn.XLOOKUP(B21,'Up Stats'!A:A,'Up Stats'!D:D,)</f>
        <v/>
      </c>
      <c r="N21" s="54" t="str">
        <f>IFERROR(__xludf.DUMMYFUNCTION("if(AND(O21=FALSE,P21=FALSE),,if(O21=P21,JOIN("""",""Static: "",O21),JOIN("""",""Min:  "",O21, CHAR(10),""Max: "",P21)))"),"")</f>
        <v/>
      </c>
      <c r="O21" s="55" t="str">
        <f t="array" ref="O21">_xlfn.XLOOKUP(B21,'Up Min'!A:A,'Up Min'!D:D,)</f>
        <v/>
      </c>
      <c r="P21" s="55" t="str">
        <f t="array" ref="P21">_xlfn.XLOOKUP(B21,'Up Max'!A:A,'Up Max'!D:D,)</f>
        <v/>
      </c>
      <c r="Q21" s="57" t="str">
        <f t="array" ref="Q21">_xlfn.XLOOKUP(B21,'Up Stats'!A:A,'Up Stats'!E:E,)</f>
        <v/>
      </c>
      <c r="R21" s="54" t="str">
        <f>IFERROR(__xludf.DUMMYFUNCTION("if(AND(S21=FALSE,T21=FALSE),,if(S21=T21,JOIN("""",""Static: "",S21),JOIN("""",""Min:  "",S21, CHAR(10),""Max: "",T21)))"),"")</f>
        <v/>
      </c>
      <c r="S21" s="55" t="str">
        <f t="array" ref="S21">_xlfn.XLOOKUP(B21,'Up Min'!A:A,'Up Min'!E:E,)</f>
        <v/>
      </c>
      <c r="T21" s="55" t="str">
        <f t="array" ref="T21">_xlfn.XLOOKUP(B21,'Up Max'!A:A,'Up Max'!E:E,)</f>
        <v/>
      </c>
      <c r="U21" s="57" t="str">
        <f t="array" ref="U21">_xlfn.XLOOKUP(B21,'Up Stats'!A:A,'Up Stats'!F:F,)</f>
        <v/>
      </c>
      <c r="V21" s="54" t="str">
        <f>IFERROR(__xludf.DUMMYFUNCTION("if(AND(W21=FALSE,X21=FALSE),,if(W21=X21,JOIN("""",""Static: "",W21),JOIN("""",""Min:  "",W21, CHAR(10),""Max: "",X21)))"),"")</f>
        <v/>
      </c>
      <c r="W21" s="55" t="str">
        <f t="array" ref="W21">_xlfn.XLOOKUP(B21,'Up Min'!A:A,'Up Min'!F:F,)</f>
        <v/>
      </c>
      <c r="X21" s="55" t="str">
        <f t="array" ref="X21">_xlfn.XLOOKUP(B21,'Up Max'!A:A,'Up Max'!F:F,)</f>
        <v/>
      </c>
      <c r="Y21" s="57" t="str">
        <f t="array" ref="Y21">_xlfn.XLOOKUP(B21,'Up Stats'!A:A,'Up Stats'!G:G,)</f>
        <v/>
      </c>
      <c r="Z21" s="54" t="str">
        <f>IFERROR(__xludf.DUMMYFUNCTION("if(AND(AA21=FALSE,AB21=FALSE),,if(AA21=AB21,JOIN("""",""Static: "",AA21),JOIN("""",""Min:  "",AA21, CHAR(10),""Max: "",AB21)))"),"")</f>
        <v/>
      </c>
      <c r="AA21" s="55" t="str">
        <f t="array" ref="AA21">_xlfn.XLOOKUP(B21,'Up Min'!A:A,'Up Min'!G:G,)</f>
        <v/>
      </c>
      <c r="AB21" s="55" t="str">
        <f t="array" ref="AB21">_xlfn.XLOOKUP(B21,'Up Max'!A:A,'Up Max'!G:G,)</f>
        <v/>
      </c>
      <c r="AC21" s="57" t="str">
        <f t="array" ref="AC21">_xlfn.XLOOKUP(B21,'Up Stats'!A:A,'Up Stats'!H:H,)</f>
        <v/>
      </c>
      <c r="AD21" s="54" t="str">
        <f>IFERROR(__xludf.DUMMYFUNCTION("if(AND(AE21=FALSE,AF21=FALSE),,if(AE21=AF21,JOIN("""",""Static: "",AE21),JOIN("""",""Min:  "",AE21, CHAR(10),""Max: "",AF21)))"),"")</f>
        <v/>
      </c>
      <c r="AE21" s="55" t="str">
        <f t="array" ref="AE21">_xlfn.XLOOKUP(B21,'Up Min'!A:A,'Up Min'!H:H,)</f>
        <v/>
      </c>
      <c r="AF21" s="55" t="str">
        <f t="array" ref="AF21">_xlfn.XLOOKUP(B21,'Up Max'!A:A,'Up Max'!H:H,)</f>
        <v/>
      </c>
      <c r="AG21" s="57" t="str">
        <f t="array" ref="AG21">_xlfn.XLOOKUP(B21,'Up Stats'!A:A,'Up Stats'!I:I,)</f>
        <v/>
      </c>
      <c r="AH21" s="54" t="str">
        <f>IFERROR(__xludf.DUMMYFUNCTION("if(AND(AI21=FALSE,AJ21=FALSE),,if(AI21=AJ21,JOIN("""",""Static: "",AI21),JOIN("""",""Min:  "",AI21, CHAR(10),""Max: "",AJ21)))"),"")</f>
        <v/>
      </c>
      <c r="AI21" s="55" t="str">
        <f t="array" ref="AI21">_xlfn.XLOOKUP(B21,'Up Min'!A:A,'Up Min'!I:I,)</f>
        <v/>
      </c>
      <c r="AJ21" s="55" t="str">
        <f t="array" ref="AJ21">_xlfn.XLOOKUP(B21,'Up Max'!A:A,'Up Max'!I:I,)</f>
        <v/>
      </c>
      <c r="AK21" s="57" t="str">
        <f t="array" ref="AK21">_xlfn.XLOOKUP(B21,'Up Stats'!A:A,'Up Stats'!J:J,)</f>
        <v/>
      </c>
      <c r="AL21" s="54" t="str">
        <f>IFERROR(__xludf.DUMMYFUNCTION("if(AND(AM21=FALSE,AN21=FALSE),,if(AM21=AN21,JOIN("""",""Static: "",AM21),JOIN("""",""Min:  "",AM21, CHAR(10),""Max: "",AN21)))"),"")</f>
        <v/>
      </c>
      <c r="AM21" s="55" t="str">
        <f t="array" ref="AM21">_xlfn.XLOOKUP(B21,'Up Min'!A:A,'Up Min'!J:J,)</f>
        <v/>
      </c>
      <c r="AN21" s="55" t="str">
        <f t="array" ref="AN21">_xlfn.XLOOKUP(B21,'Up Max'!A:A,'Up Max'!J:J,)</f>
        <v/>
      </c>
      <c r="AO21" s="51" t="str">
        <f t="array" ref="AO21">CONCATENATE(_xlfn.XLOOKUP(B21,'Up Cells'!A:A,'Up Cells'!B:B,))</f>
        <v>4</v>
      </c>
      <c r="AP21" s="51" t="str">
        <f t="array" ref="AP21">CONCATENATE(_xlfn.XLOOKUP(B21,'Up Rarity'!A:A,'Up Rarity'!B:B,),CHAR(10),"-")</f>
        <v>Rare
-</v>
      </c>
    </row>
    <row r="22">
      <c r="A22" s="83" t="str">
        <f t="array" ref="A22">_xlfn.XLOOKUP(B22,'Up Icon'!A:A,'Up Icon'!B:B,)</f>
        <v/>
      </c>
      <c r="B22" s="89" t="str">
        <f t="array" ref="B22">HYPERLINK(_xlfn.XLOOKUP('Up Names'!J18,'Up Wiki'!A:A,'Up Wiki'!B:B,),'Up Names'!J18)</f>
        <v>Greedy Fuck</v>
      </c>
      <c r="C22" s="67" t="str">
        <f t="array" ref="C22">_xlfn.XLOOKUP(B22,'Up Desc'!A:A,'Up Desc'!B:B,)</f>
        <v>Magazine size and ammo capacity are increased but you regenerate less ammo from dealing damage with your other weapon.</v>
      </c>
      <c r="D22" s="37" t="str">
        <f t="array" ref="D22">_xlfn.XLOOKUP(B22,'Up Turbo'!A:A,'Up Turbo'!B:B,)</f>
        <v>n/a</v>
      </c>
      <c r="E22" s="39" t="str">
        <f t="array" ref="E22">_xlfn.XLOOKUP(B22,'Up Stats'!A:A,'Up Stats'!B:B,)</f>
        <v>Magazine Size</v>
      </c>
      <c r="F22" s="40" t="str">
        <f>IFERROR(__xludf.DUMMYFUNCTION("if(AND(G22=FALSE,H22=FALSE),,if(G22=H22,JOIN("""",""Static: "",G22),JOIN("""",""Min:  "",G22, CHAR(10),""Max: "",H22)))"),"Min:  30%
Max: 40%")</f>
        <v>Min:  30%
Max: 40%</v>
      </c>
      <c r="G22" s="41">
        <f t="array" ref="G22">_xlfn.XLOOKUP(B22,'Up Min'!A:A,'Up Min'!B:B,)</f>
        <v>0.3</v>
      </c>
      <c r="H22" s="41">
        <f t="array" ref="H22">_xlfn.XLOOKUP(B22,'Up Max'!A:A,'Up Max'!B:B,)</f>
        <v>0.4</v>
      </c>
      <c r="I22" s="39" t="str">
        <f t="array" ref="I22">_xlfn.XLOOKUP(B22,'Up Stats'!A:A,'Up Stats'!C:C,)</f>
        <v>Ammo Capacity</v>
      </c>
      <c r="J22" s="40" t="str">
        <f>IFERROR(__xludf.DUMMYFUNCTION("if(AND(K22=FALSE,L22=FALSE),,if(K22=L22,JOIN("""",""Static: "",K22),JOIN("""",""Min:  "",K22, CHAR(10),""Max: "",L22)))"),"Min:  80%
Max: 120%")</f>
        <v>Min:  80%
Max: 120%</v>
      </c>
      <c r="K22" s="41">
        <f t="array" ref="K22">_xlfn.XLOOKUP(B22,'Up Min'!A:A,'Up Min'!C:C,)</f>
        <v>0.8</v>
      </c>
      <c r="L22" s="41">
        <f t="array" ref="L22">_xlfn.XLOOKUP(B22,'Up Max'!A:A,'Up Max'!C:C,)</f>
        <v>1.2</v>
      </c>
      <c r="M22" s="39" t="str">
        <f t="array" ref="M22">_xlfn.XLOOKUP(B22,'Up Stats'!A:A,'Up Stats'!D:D,)</f>
        <v>Efficiency</v>
      </c>
      <c r="N22" s="40" t="str">
        <f>IFERROR(__xludf.DUMMYFUNCTION("if(AND(O22=FALSE,P22=FALSE),,if(O22=P22,JOIN("""",""Static: "",O22),JOIN("""",""Min:  "",O22, CHAR(10),""Max: "",P22)))"),"Min:  -70%
Max: -50%")</f>
        <v>Min:  -70%
Max: -50%</v>
      </c>
      <c r="O22" s="41">
        <f t="array" ref="O22">_xlfn.XLOOKUP(B22,'Up Min'!A:A,'Up Min'!D:D,)</f>
        <v>-0.7</v>
      </c>
      <c r="P22" s="41">
        <f t="array" ref="P22">_xlfn.XLOOKUP(B22,'Up Max'!A:A,'Up Max'!D:D,)</f>
        <v>-0.5</v>
      </c>
      <c r="Q22" s="48" t="str">
        <f t="array" ref="Q22">_xlfn.XLOOKUP(B22,'Up Stats'!A:A,'Up Stats'!E:E,)</f>
        <v/>
      </c>
      <c r="R22" s="40" t="str">
        <f>IFERROR(__xludf.DUMMYFUNCTION("if(AND(S22=FALSE,T22=FALSE),,if(S22=T22,JOIN("""",""Static: "",S22),JOIN("""",""Min:  "",S22, CHAR(10),""Max: "",T22)))"),"")</f>
        <v/>
      </c>
      <c r="S22" s="42" t="str">
        <f t="array" ref="S22">_xlfn.XLOOKUP(B22,'Up Min'!A:A,'Up Min'!E:E,)</f>
        <v/>
      </c>
      <c r="T22" s="42" t="str">
        <f t="array" ref="T22">_xlfn.XLOOKUP(B22,'Up Max'!A:A,'Up Max'!E:E,)</f>
        <v/>
      </c>
      <c r="U22" s="48" t="str">
        <f t="array" ref="U22">_xlfn.XLOOKUP(B22,'Up Stats'!A:A,'Up Stats'!F:F,)</f>
        <v/>
      </c>
      <c r="V22" s="40" t="str">
        <f>IFERROR(__xludf.DUMMYFUNCTION("if(AND(W22=FALSE,X22=FALSE),,if(W22=X22,JOIN("""",""Static: "",W22),JOIN("""",""Min:  "",W22, CHAR(10),""Max: "",X22)))"),"")</f>
        <v/>
      </c>
      <c r="W22" s="42" t="str">
        <f t="array" ref="W22">_xlfn.XLOOKUP(B22,'Up Min'!A:A,'Up Min'!F:F,)</f>
        <v/>
      </c>
      <c r="X22" s="42" t="str">
        <f t="array" ref="X22">_xlfn.XLOOKUP(B22,'Up Max'!A:A,'Up Max'!F:F,)</f>
        <v/>
      </c>
      <c r="Y22" s="48" t="str">
        <f t="array" ref="Y22">_xlfn.XLOOKUP(B22,'Up Stats'!A:A,'Up Stats'!G:G,)</f>
        <v/>
      </c>
      <c r="Z22" s="40" t="str">
        <f>IFERROR(__xludf.DUMMYFUNCTION("if(AND(AA22=FALSE,AB22=FALSE),,if(AA22=AB22,JOIN("""",""Static: "",AA22),JOIN("""",""Min:  "",AA22, CHAR(10),""Max: "",AB22)))"),"")</f>
        <v/>
      </c>
      <c r="AA22" s="42" t="str">
        <f t="array" ref="AA22">_xlfn.XLOOKUP(B22,'Up Min'!A:A,'Up Min'!G:G,)</f>
        <v/>
      </c>
      <c r="AB22" s="42" t="str">
        <f t="array" ref="AB22">_xlfn.XLOOKUP(B22,'Up Max'!A:A,'Up Max'!G:G,)</f>
        <v/>
      </c>
      <c r="AC22" s="48" t="str">
        <f t="array" ref="AC22">_xlfn.XLOOKUP(B22,'Up Stats'!A:A,'Up Stats'!H:H,)</f>
        <v/>
      </c>
      <c r="AD22" s="40" t="str">
        <f>IFERROR(__xludf.DUMMYFUNCTION("if(AND(AE22=FALSE,AF22=FALSE),,if(AE22=AF22,JOIN("""",""Static: "",AE22),JOIN("""",""Min:  "",AE22, CHAR(10),""Max: "",AF22)))"),"")</f>
        <v/>
      </c>
      <c r="AE22" s="42" t="str">
        <f t="array" ref="AE22">_xlfn.XLOOKUP(B22,'Up Min'!A:A,'Up Min'!H:H,)</f>
        <v/>
      </c>
      <c r="AF22" s="42" t="str">
        <f t="array" ref="AF22">_xlfn.XLOOKUP(B22,'Up Max'!A:A,'Up Max'!H:H,)</f>
        <v/>
      </c>
      <c r="AG22" s="48" t="str">
        <f t="array" ref="AG22">_xlfn.XLOOKUP(B22,'Up Stats'!A:A,'Up Stats'!I:I,)</f>
        <v/>
      </c>
      <c r="AH22" s="40" t="str">
        <f>IFERROR(__xludf.DUMMYFUNCTION("if(AND(AI22=FALSE,AJ22=FALSE),,if(AI22=AJ22,JOIN("""",""Static: "",AI22),JOIN("""",""Min:  "",AI22, CHAR(10),""Max: "",AJ22)))"),"")</f>
        <v/>
      </c>
      <c r="AI22" s="42" t="str">
        <f t="array" ref="AI22">_xlfn.XLOOKUP(B22,'Up Min'!A:A,'Up Min'!I:I,)</f>
        <v/>
      </c>
      <c r="AJ22" s="42" t="str">
        <f t="array" ref="AJ22">_xlfn.XLOOKUP(B22,'Up Max'!A:A,'Up Max'!I:I,)</f>
        <v/>
      </c>
      <c r="AK22" s="48" t="str">
        <f t="array" ref="AK22">_xlfn.XLOOKUP(B22,'Up Stats'!A:A,'Up Stats'!J:J,)</f>
        <v/>
      </c>
      <c r="AL22" s="40" t="str">
        <f>IFERROR(__xludf.DUMMYFUNCTION("if(AND(AM22=FALSE,AN22=FALSE),,if(AM22=AN22,JOIN("""",""Static: "",AM22),JOIN("""",""Min:  "",AM22, CHAR(10),""Max: "",AN22)))"),"")</f>
        <v/>
      </c>
      <c r="AM22" s="42" t="str">
        <f t="array" ref="AM22">_xlfn.XLOOKUP(B22,'Up Min'!A:A,'Up Min'!J:J,)</f>
        <v/>
      </c>
      <c r="AN22" s="42" t="str">
        <f t="array" ref="AN22">_xlfn.XLOOKUP(B22,'Up Max'!A:A,'Up Max'!J:J,)</f>
        <v/>
      </c>
      <c r="AO22" s="34" t="str">
        <f t="array" ref="AO22">CONCATENATE(_xlfn.XLOOKUP(B22,'Up Cells'!A:A,'Up Cells'!B:B,))</f>
        <v>4</v>
      </c>
      <c r="AP22" s="34" t="str">
        <f t="array" ref="AP22">CONCATENATE(_xlfn.XLOOKUP(B22,'Up Rarity'!A:A,'Up Rarity'!B:B,),CHAR(10),"-")</f>
        <v>Rare
-</v>
      </c>
    </row>
    <row r="23">
      <c r="A23" s="83" t="str">
        <f t="array" ref="A23">_xlfn.XLOOKUP(B23,'Up Icon'!A:A,'Up Icon'!B:B,)</f>
        <v/>
      </c>
      <c r="B23" s="88" t="str">
        <f t="array" ref="B23">HYPERLINK(_xlfn.XLOOKUP('Up Names'!J19,'Up Wiki'!A:A,'Up Wiki'!B:B,),'Up Names'!J19)</f>
        <v>Ignition Recharge</v>
      </c>
      <c r="C23" s="52" t="str">
        <f t="array" ref="C23">_xlfn.XLOOKUP(B23,'Up Desc'!A:A,'Up Desc'!B:B,)</f>
        <v>Ammo is refunded to your magazine when you are ignited.</v>
      </c>
      <c r="D23" s="52" t="str">
        <f t="array" ref="D23">_xlfn.XLOOKUP(B23,'Up Turbo'!A:A,'Up Turbo'!B:B,)</f>
        <v>n/a</v>
      </c>
      <c r="E23" s="53" t="str">
        <f t="array" ref="E23">_xlfn.XLOOKUP(B23,'Up Stats'!A:A,'Up Stats'!B:B,)</f>
        <v>Ammo Refunded</v>
      </c>
      <c r="F23" s="54" t="str">
        <f>IFERROR(__xludf.DUMMYFUNCTION("if(AND(G23=FALSE,H23=FALSE),,if(G23=H23,JOIN("""",""Static: "",G23),JOIN("""",""Min:  "",G23, CHAR(10),""Max: "",H23)))"),"Min:  30
Max: 40")</f>
        <v>Min:  30
Max: 40</v>
      </c>
      <c r="G23" s="64">
        <f t="array" ref="G23">_xlfn.XLOOKUP(B23,'Up Min'!A:A,'Up Min'!B:B,)</f>
        <v>30</v>
      </c>
      <c r="H23" s="65">
        <f t="array" ref="H23">_xlfn.XLOOKUP(B23,'Up Max'!A:A,'Up Max'!B:B,)</f>
        <v>40</v>
      </c>
      <c r="I23" s="53" t="str">
        <f t="array" ref="I23">_xlfn.XLOOKUP(B23,'Up Stats'!A:A,'Up Stats'!C:C,)</f>
        <v/>
      </c>
      <c r="J23" s="54" t="str">
        <f>IFERROR(__xludf.DUMMYFUNCTION("if(AND(K23=FALSE,L23=FALSE),,if(K23=L23,JOIN("""",""Static: "",K23),JOIN("""",""Min:  "",K23, CHAR(10),""Max: "",L23)))"),"")</f>
        <v/>
      </c>
      <c r="K23" s="55" t="str">
        <f t="array" ref="K23">_xlfn.XLOOKUP(B23,'Up Min'!A:A,'Up Min'!C:C,)</f>
        <v/>
      </c>
      <c r="L23" s="55" t="str">
        <f t="array" ref="L23">_xlfn.XLOOKUP(B23,'Up Max'!A:A,'Up Max'!C:C,)</f>
        <v/>
      </c>
      <c r="M23" s="57" t="str">
        <f t="array" ref="M23">_xlfn.XLOOKUP(B23,'Up Stats'!A:A,'Up Stats'!D:D,)</f>
        <v/>
      </c>
      <c r="N23" s="54" t="str">
        <f>IFERROR(__xludf.DUMMYFUNCTION("if(AND(O23=FALSE,P23=FALSE),,if(O23=P23,JOIN("""",""Static: "",O23),JOIN("""",""Min:  "",O23, CHAR(10),""Max: "",P23)))"),"")</f>
        <v/>
      </c>
      <c r="O23" s="55" t="str">
        <f t="array" ref="O23">_xlfn.XLOOKUP(B23,'Up Min'!A:A,'Up Min'!D:D,)</f>
        <v/>
      </c>
      <c r="P23" s="55" t="str">
        <f t="array" ref="P23">_xlfn.XLOOKUP(B23,'Up Max'!A:A,'Up Max'!D:D,)</f>
        <v/>
      </c>
      <c r="Q23" s="57" t="str">
        <f t="array" ref="Q23">_xlfn.XLOOKUP(B23,'Up Stats'!A:A,'Up Stats'!E:E,)</f>
        <v/>
      </c>
      <c r="R23" s="54" t="str">
        <f>IFERROR(__xludf.DUMMYFUNCTION("if(AND(S23=FALSE,T23=FALSE),,if(S23=T23,JOIN("""",""Static: "",S23),JOIN("""",""Min:  "",S23, CHAR(10),""Max: "",T23)))"),"")</f>
        <v/>
      </c>
      <c r="S23" s="55" t="str">
        <f t="array" ref="S23">_xlfn.XLOOKUP(B23,'Up Min'!A:A,'Up Min'!E:E,)</f>
        <v/>
      </c>
      <c r="T23" s="55" t="str">
        <f t="array" ref="T23">_xlfn.XLOOKUP(B23,'Up Max'!A:A,'Up Max'!E:E,)</f>
        <v/>
      </c>
      <c r="U23" s="57" t="str">
        <f t="array" ref="U23">_xlfn.XLOOKUP(B23,'Up Stats'!A:A,'Up Stats'!F:F,)</f>
        <v/>
      </c>
      <c r="V23" s="54" t="str">
        <f>IFERROR(__xludf.DUMMYFUNCTION("if(AND(W23=FALSE,X23=FALSE),,if(W23=X23,JOIN("""",""Static: "",W23),JOIN("""",""Min:  "",W23, CHAR(10),""Max: "",X23)))"),"")</f>
        <v/>
      </c>
      <c r="W23" s="55" t="str">
        <f t="array" ref="W23">_xlfn.XLOOKUP(B23,'Up Min'!A:A,'Up Min'!F:F,)</f>
        <v/>
      </c>
      <c r="X23" s="55" t="str">
        <f t="array" ref="X23">_xlfn.XLOOKUP(B23,'Up Max'!A:A,'Up Max'!F:F,)</f>
        <v/>
      </c>
      <c r="Y23" s="57" t="str">
        <f t="array" ref="Y23">_xlfn.XLOOKUP(B23,'Up Stats'!A:A,'Up Stats'!G:G,)</f>
        <v/>
      </c>
      <c r="Z23" s="54" t="str">
        <f>IFERROR(__xludf.DUMMYFUNCTION("if(AND(AA23=FALSE,AB23=FALSE),,if(AA23=AB23,JOIN("""",""Static: "",AA23),JOIN("""",""Min:  "",AA23, CHAR(10),""Max: "",AB23)))"),"")</f>
        <v/>
      </c>
      <c r="AA23" s="55" t="str">
        <f t="array" ref="AA23">_xlfn.XLOOKUP(B23,'Up Min'!A:A,'Up Min'!G:G,)</f>
        <v/>
      </c>
      <c r="AB23" s="55" t="str">
        <f t="array" ref="AB23">_xlfn.XLOOKUP(B23,'Up Max'!A:A,'Up Max'!G:G,)</f>
        <v/>
      </c>
      <c r="AC23" s="57" t="str">
        <f t="array" ref="AC23">_xlfn.XLOOKUP(B23,'Up Stats'!A:A,'Up Stats'!H:H,)</f>
        <v/>
      </c>
      <c r="AD23" s="54" t="str">
        <f>IFERROR(__xludf.DUMMYFUNCTION("if(AND(AE23=FALSE,AF23=FALSE),,if(AE23=AF23,JOIN("""",""Static: "",AE23),JOIN("""",""Min:  "",AE23, CHAR(10),""Max: "",AF23)))"),"")</f>
        <v/>
      </c>
      <c r="AE23" s="55" t="str">
        <f t="array" ref="AE23">_xlfn.XLOOKUP(B23,'Up Min'!A:A,'Up Min'!H:H,)</f>
        <v/>
      </c>
      <c r="AF23" s="55" t="str">
        <f t="array" ref="AF23">_xlfn.XLOOKUP(B23,'Up Max'!A:A,'Up Max'!H:H,)</f>
        <v/>
      </c>
      <c r="AG23" s="57" t="str">
        <f t="array" ref="AG23">_xlfn.XLOOKUP(B23,'Up Stats'!A:A,'Up Stats'!I:I,)</f>
        <v/>
      </c>
      <c r="AH23" s="54" t="str">
        <f>IFERROR(__xludf.DUMMYFUNCTION("if(AND(AI23=FALSE,AJ23=FALSE),,if(AI23=AJ23,JOIN("""",""Static: "",AI23),JOIN("""",""Min:  "",AI23, CHAR(10),""Max: "",AJ23)))"),"")</f>
        <v/>
      </c>
      <c r="AI23" s="55" t="str">
        <f t="array" ref="AI23">_xlfn.XLOOKUP(B23,'Up Min'!A:A,'Up Min'!I:I,)</f>
        <v/>
      </c>
      <c r="AJ23" s="55" t="str">
        <f t="array" ref="AJ23">_xlfn.XLOOKUP(B23,'Up Max'!A:A,'Up Max'!I:I,)</f>
        <v/>
      </c>
      <c r="AK23" s="57" t="str">
        <f t="array" ref="AK23">_xlfn.XLOOKUP(B23,'Up Stats'!A:A,'Up Stats'!J:J,)</f>
        <v/>
      </c>
      <c r="AL23" s="54" t="str">
        <f>IFERROR(__xludf.DUMMYFUNCTION("if(AND(AM23=FALSE,AN23=FALSE),,if(AM23=AN23,JOIN("""",""Static: "",AM23),JOIN("""",""Min:  "",AM23, CHAR(10),""Max: "",AN23)))"),"")</f>
        <v/>
      </c>
      <c r="AM23" s="55" t="str">
        <f t="array" ref="AM23">_xlfn.XLOOKUP(B23,'Up Min'!A:A,'Up Min'!J:J,)</f>
        <v/>
      </c>
      <c r="AN23" s="55" t="str">
        <f t="array" ref="AN23">_xlfn.XLOOKUP(B23,'Up Max'!A:A,'Up Max'!J:J,)</f>
        <v/>
      </c>
      <c r="AO23" s="51" t="str">
        <f t="array" ref="AO23">CONCATENATE(_xlfn.XLOOKUP(B23,'Up Cells'!A:A,'Up Cells'!B:B,))</f>
        <v>4</v>
      </c>
      <c r="AP23" s="51" t="str">
        <f t="array" ref="AP23">CONCATENATE(_xlfn.XLOOKUP(B23,'Up Rarity'!A:A,'Up Rarity'!B:B,),CHAR(10),"-")</f>
        <v>Rare
-</v>
      </c>
    </row>
    <row r="24">
      <c r="A24" s="83" t="str">
        <f t="array" ref="A24">_xlfn.XLOOKUP(B24,'Up Icon'!A:A,'Up Icon'!B:B,)</f>
        <v/>
      </c>
      <c r="B24" s="89" t="str">
        <f t="array" ref="B24">HYPERLINK(_xlfn.XLOOKUP('Up Names'!J20,'Up Wiki'!A:A,'Up Wiki'!B:B,),'Up Names'!J20)</f>
        <v>Rush</v>
      </c>
      <c r="C24" s="67" t="str">
        <f t="array" ref="C24">_xlfn.XLOOKUP(B24,'Up Desc'!A:A,'Up Desc'!B:B,)</f>
        <v>While firing, you move faster but take more damage.</v>
      </c>
      <c r="D24" s="37" t="str">
        <f t="array" ref="D24">_xlfn.XLOOKUP(B24,'Up Turbo'!A:A,'Up Turbo'!B:B,)</f>
        <v>n/a</v>
      </c>
      <c r="E24" s="39" t="str">
        <f t="array" ref="E24">_xlfn.XLOOKUP(B24,'Up Stats'!A:A,'Up Stats'!B:B,)</f>
        <v>Damage Taken</v>
      </c>
      <c r="F24" s="40" t="str">
        <f>IFERROR(__xludf.DUMMYFUNCTION("if(AND(G24=FALSE,H24=FALSE),,if(G24=H24,JOIN("""",""Static: "",G24),JOIN("""",""Min:  "",G24, CHAR(10),""Max: "",H24)))"),"Min:  13%
Max: 20%")</f>
        <v>Min:  13%
Max: 20%</v>
      </c>
      <c r="G24" s="41">
        <f t="array" ref="G24">_xlfn.XLOOKUP(B24,'Up Min'!A:A,'Up Min'!B:B,)</f>
        <v>0.13</v>
      </c>
      <c r="H24" s="41">
        <f t="array" ref="H24">_xlfn.XLOOKUP(B24,'Up Max'!A:A,'Up Max'!B:B,)</f>
        <v>0.2</v>
      </c>
      <c r="I24" s="39" t="str">
        <f t="array" ref="I24">_xlfn.XLOOKUP(B24,'Up Stats'!A:A,'Up Stats'!C:C,)</f>
        <v>Speed</v>
      </c>
      <c r="J24" s="40" t="str">
        <f>IFERROR(__xludf.DUMMYFUNCTION("if(AND(K24=FALSE,L24=FALSE),,if(K24=L24,JOIN("""",""Static: "",K24),JOIN("""",""Min:  "",K24, CHAR(10),""Max: "",L24)))"),"Min:  125%
Max: 140%")</f>
        <v>Min:  125%
Max: 140%</v>
      </c>
      <c r="K24" s="41">
        <f t="array" ref="K24">_xlfn.XLOOKUP(B24,'Up Min'!A:A,'Up Min'!C:C,)</f>
        <v>1.25</v>
      </c>
      <c r="L24" s="41">
        <f t="array" ref="L24">_xlfn.XLOOKUP(B24,'Up Max'!A:A,'Up Max'!C:C,)</f>
        <v>1.4</v>
      </c>
      <c r="M24" s="39" t="str">
        <f t="array" ref="M24">_xlfn.XLOOKUP(B24,'Up Stats'!A:A,'Up Stats'!D:D,)</f>
        <v/>
      </c>
      <c r="N24" s="40" t="str">
        <f>IFERROR(__xludf.DUMMYFUNCTION("if(AND(O24=FALSE,P24=FALSE),,if(O24=P24,JOIN("""",""Static: "",O24),JOIN("""",""Min:  "",O24, CHAR(10),""Max: "",P24)))"),"")</f>
        <v/>
      </c>
      <c r="O24" s="42" t="str">
        <f t="array" ref="O24">_xlfn.XLOOKUP(B24,'Up Min'!A:A,'Up Min'!D:D,)</f>
        <v/>
      </c>
      <c r="P24" s="42" t="str">
        <f t="array" ref="P24">_xlfn.XLOOKUP(B24,'Up Max'!A:A,'Up Max'!D:D,)</f>
        <v/>
      </c>
      <c r="Q24" s="48" t="str">
        <f t="array" ref="Q24">_xlfn.XLOOKUP(B24,'Up Stats'!A:A,'Up Stats'!E:E,)</f>
        <v/>
      </c>
      <c r="R24" s="40" t="str">
        <f>IFERROR(__xludf.DUMMYFUNCTION("if(AND(S24=FALSE,T24=FALSE),,if(S24=T24,JOIN("""",""Static: "",S24),JOIN("""",""Min:  "",S24, CHAR(10),""Max: "",T24)))"),"")</f>
        <v/>
      </c>
      <c r="S24" s="42" t="str">
        <f t="array" ref="S24">_xlfn.XLOOKUP(B24,'Up Min'!A:A,'Up Min'!E:E,)</f>
        <v/>
      </c>
      <c r="T24" s="42" t="str">
        <f t="array" ref="T24">_xlfn.XLOOKUP(B24,'Up Max'!A:A,'Up Max'!E:E,)</f>
        <v/>
      </c>
      <c r="U24" s="48" t="str">
        <f t="array" ref="U24">_xlfn.XLOOKUP(B24,'Up Stats'!A:A,'Up Stats'!F:F,)</f>
        <v/>
      </c>
      <c r="V24" s="40" t="str">
        <f>IFERROR(__xludf.DUMMYFUNCTION("if(AND(W24=FALSE,X24=FALSE),,if(W24=X24,JOIN("""",""Static: "",W24),JOIN("""",""Min:  "",W24, CHAR(10),""Max: "",X24)))"),"")</f>
        <v/>
      </c>
      <c r="W24" s="42" t="str">
        <f t="array" ref="W24">_xlfn.XLOOKUP(B24,'Up Min'!A:A,'Up Min'!F:F,)</f>
        <v/>
      </c>
      <c r="X24" s="42" t="str">
        <f t="array" ref="X24">_xlfn.XLOOKUP(B24,'Up Max'!A:A,'Up Max'!F:F,)</f>
        <v/>
      </c>
      <c r="Y24" s="48" t="str">
        <f t="array" ref="Y24">_xlfn.XLOOKUP(B24,'Up Stats'!A:A,'Up Stats'!G:G,)</f>
        <v/>
      </c>
      <c r="Z24" s="40" t="str">
        <f>IFERROR(__xludf.DUMMYFUNCTION("if(AND(AA24=FALSE,AB24=FALSE),,if(AA24=AB24,JOIN("""",""Static: "",AA24),JOIN("""",""Min:  "",AA24, CHAR(10),""Max: "",AB24)))"),"")</f>
        <v/>
      </c>
      <c r="AA24" s="42" t="str">
        <f t="array" ref="AA24">_xlfn.XLOOKUP(B24,'Up Min'!A:A,'Up Min'!G:G,)</f>
        <v/>
      </c>
      <c r="AB24" s="42" t="str">
        <f t="array" ref="AB24">_xlfn.XLOOKUP(B24,'Up Max'!A:A,'Up Max'!G:G,)</f>
        <v/>
      </c>
      <c r="AC24" s="48" t="str">
        <f t="array" ref="AC24">_xlfn.XLOOKUP(B24,'Up Stats'!A:A,'Up Stats'!H:H,)</f>
        <v/>
      </c>
      <c r="AD24" s="40" t="str">
        <f>IFERROR(__xludf.DUMMYFUNCTION("if(AND(AE24=FALSE,AF24=FALSE),,if(AE24=AF24,JOIN("""",""Static: "",AE24),JOIN("""",""Min:  "",AE24, CHAR(10),""Max: "",AF24)))"),"")</f>
        <v/>
      </c>
      <c r="AE24" s="42" t="str">
        <f t="array" ref="AE24">_xlfn.XLOOKUP(B24,'Up Min'!A:A,'Up Min'!H:H,)</f>
        <v/>
      </c>
      <c r="AF24" s="42" t="str">
        <f t="array" ref="AF24">_xlfn.XLOOKUP(B24,'Up Max'!A:A,'Up Max'!H:H,)</f>
        <v/>
      </c>
      <c r="AG24" s="48" t="str">
        <f t="array" ref="AG24">_xlfn.XLOOKUP(B24,'Up Stats'!A:A,'Up Stats'!I:I,)</f>
        <v/>
      </c>
      <c r="AH24" s="40" t="str">
        <f>IFERROR(__xludf.DUMMYFUNCTION("if(AND(AI24=FALSE,AJ24=FALSE),,if(AI24=AJ24,JOIN("""",""Static: "",AI24),JOIN("""",""Min:  "",AI24, CHAR(10),""Max: "",AJ24)))"),"")</f>
        <v/>
      </c>
      <c r="AI24" s="42" t="str">
        <f t="array" ref="AI24">_xlfn.XLOOKUP(B24,'Up Min'!A:A,'Up Min'!I:I,)</f>
        <v/>
      </c>
      <c r="AJ24" s="42" t="str">
        <f t="array" ref="AJ24">_xlfn.XLOOKUP(B24,'Up Max'!A:A,'Up Max'!I:I,)</f>
        <v/>
      </c>
      <c r="AK24" s="48" t="str">
        <f t="array" ref="AK24">_xlfn.XLOOKUP(B24,'Up Stats'!A:A,'Up Stats'!J:J,)</f>
        <v/>
      </c>
      <c r="AL24" s="40" t="str">
        <f>IFERROR(__xludf.DUMMYFUNCTION("if(AND(AM24=FALSE,AN24=FALSE),,if(AM24=AN24,JOIN("""",""Static: "",AM24),JOIN("""",""Min:  "",AM24, CHAR(10),""Max: "",AN24)))"),"")</f>
        <v/>
      </c>
      <c r="AM24" s="42" t="str">
        <f t="array" ref="AM24">_xlfn.XLOOKUP(B24,'Up Min'!A:A,'Up Min'!J:J,)</f>
        <v/>
      </c>
      <c r="AN24" s="42" t="str">
        <f t="array" ref="AN24">_xlfn.XLOOKUP(B24,'Up Max'!A:A,'Up Max'!J:J,)</f>
        <v/>
      </c>
      <c r="AO24" s="34" t="str">
        <f t="array" ref="AO24">CONCATENATE(_xlfn.XLOOKUP(B24,'Up Cells'!A:A,'Up Cells'!B:B,))</f>
        <v>5</v>
      </c>
      <c r="AP24" s="34" t="str">
        <f t="array" ref="AP24">CONCATENATE(_xlfn.XLOOKUP(B24,'Up Rarity'!A:A,'Up Rarity'!B:B,),CHAR(10),"-")</f>
        <v>Rare
-</v>
      </c>
    </row>
    <row r="25">
      <c r="A25" s="83" t="str">
        <f t="array" ref="A25">_xlfn.XLOOKUP(B25,'Up Icon'!A:A,'Up Icon'!B:B,)</f>
        <v/>
      </c>
      <c r="B25" s="61" t="str">
        <f t="array" ref="B25">HYPERLINK(_xlfn.XLOOKUP('Up Names'!J27,'Up Wiki'!A:A,'Up Wiki'!B:B,),'Up Names'!J27)</f>
        <v>Safety Warning</v>
      </c>
      <c r="C25" s="52" t="str">
        <f t="array" ref="C25">_xlfn.XLOOKUP(B25,'Up Desc'!A:A,'Up Desc'!B:B,)</f>
        <v>Damage is increased, but you take more damage while sawing.</v>
      </c>
      <c r="D25" s="52" t="str">
        <f t="array" ref="D25">_xlfn.XLOOKUP(B25,'Up Turbo'!A:A,'Up Turbo'!B:B,)</f>
        <v>n/a</v>
      </c>
      <c r="E25" s="53" t="str">
        <f t="array" ref="E25">_xlfn.XLOOKUP(B25,'Up Stats'!A:A,'Up Stats'!B:B,)</f>
        <v>Damage Taken</v>
      </c>
      <c r="F25" s="54" t="str">
        <f>IFERROR(__xludf.DUMMYFUNCTION("if(AND(G25=FALSE,H25=FALSE),,if(G25=H25,JOIN("""",""Static: "",G25),JOIN("""",""Min:  "",G25, CHAR(10),""Max: "",H25)))"),"Min:  9%
Max: 16%")</f>
        <v>Min:  9%
Max: 16%</v>
      </c>
      <c r="G25" s="72">
        <f t="array" ref="G25">_xlfn.XLOOKUP(B25,'Up Min'!A:A,'Up Min'!B:B,)</f>
        <v>0.09</v>
      </c>
      <c r="H25" s="72">
        <f t="array" ref="H25">_xlfn.XLOOKUP(B25,'Up Max'!A:A,'Up Max'!B:B,)</f>
        <v>0.16</v>
      </c>
      <c r="I25" s="53" t="str">
        <f t="array" ref="I25">_xlfn.XLOOKUP(B25,'Up Stats'!A:A,'Up Stats'!C:C,)</f>
        <v>Damage</v>
      </c>
      <c r="J25" s="54" t="str">
        <f>IFERROR(__xludf.DUMMYFUNCTION("if(AND(K25=FALSE,L25=FALSE),,if(K25=L25,JOIN("""",""Static: "",K25),JOIN("""",""Min:  "",K25, CHAR(10),""Max: "",L25)))"),"Min:  16
Max: 22")</f>
        <v>Min:  16
Max: 22</v>
      </c>
      <c r="K25" s="55">
        <f t="array" ref="K25">_xlfn.XLOOKUP(B25,'Up Min'!A:A,'Up Min'!C:C,)</f>
        <v>16</v>
      </c>
      <c r="L25" s="55">
        <f t="array" ref="L25">_xlfn.XLOOKUP(B25,'Up Max'!A:A,'Up Max'!C:C,)</f>
        <v>22</v>
      </c>
      <c r="M25" s="57" t="str">
        <f t="array" ref="M25">_xlfn.XLOOKUP(B25,'Up Stats'!A:A,'Up Stats'!D:D,)</f>
        <v/>
      </c>
      <c r="N25" s="54" t="str">
        <f>IFERROR(__xludf.DUMMYFUNCTION("if(AND(O25=FALSE,P25=FALSE),,if(O25=P25,JOIN("""",""Static: "",O25),JOIN("""",""Min:  "",O25, CHAR(10),""Max: "",P25)))"),"")</f>
        <v/>
      </c>
      <c r="O25" s="55" t="str">
        <f t="array" ref="O25">_xlfn.XLOOKUP(B25,'Up Min'!A:A,'Up Min'!D:D,)</f>
        <v/>
      </c>
      <c r="P25" s="55" t="str">
        <f t="array" ref="P25">_xlfn.XLOOKUP(B25,'Up Max'!A:A,'Up Max'!D:D,)</f>
        <v/>
      </c>
      <c r="Q25" s="57" t="str">
        <f t="array" ref="Q25">_xlfn.XLOOKUP(B25,'Up Stats'!A:A,'Up Stats'!E:E,)</f>
        <v/>
      </c>
      <c r="R25" s="54" t="str">
        <f>IFERROR(__xludf.DUMMYFUNCTION("if(AND(S25=FALSE,T25=FALSE),,if(S25=T25,JOIN("""",""Static: "",S25),JOIN("""",""Min:  "",S25, CHAR(10),""Max: "",T25)))"),"")</f>
        <v/>
      </c>
      <c r="S25" s="55" t="str">
        <f t="array" ref="S25">_xlfn.XLOOKUP(B25,'Up Min'!A:A,'Up Min'!E:E,)</f>
        <v/>
      </c>
      <c r="T25" s="55" t="str">
        <f t="array" ref="T25">_xlfn.XLOOKUP(B25,'Up Max'!A:A,'Up Max'!E:E,)</f>
        <v/>
      </c>
      <c r="U25" s="57" t="str">
        <f t="array" ref="U25">_xlfn.XLOOKUP(B25,'Up Stats'!A:A,'Up Stats'!F:F,)</f>
        <v/>
      </c>
      <c r="V25" s="54" t="str">
        <f>IFERROR(__xludf.DUMMYFUNCTION("if(AND(W25=FALSE,X25=FALSE),,if(W25=X25,JOIN("""",""Static: "",W25),JOIN("""",""Min:  "",W25, CHAR(10),""Max: "",X25)))"),"")</f>
        <v/>
      </c>
      <c r="W25" s="55" t="str">
        <f t="array" ref="W25">_xlfn.XLOOKUP(B25,'Up Min'!A:A,'Up Min'!F:F,)</f>
        <v/>
      </c>
      <c r="X25" s="55" t="str">
        <f t="array" ref="X25">_xlfn.XLOOKUP(B25,'Up Max'!A:A,'Up Max'!F:F,)</f>
        <v/>
      </c>
      <c r="Y25" s="57" t="str">
        <f t="array" ref="Y25">_xlfn.XLOOKUP(B25,'Up Stats'!A:A,'Up Stats'!G:G,)</f>
        <v/>
      </c>
      <c r="Z25" s="54" t="str">
        <f>IFERROR(__xludf.DUMMYFUNCTION("if(AND(AA25=FALSE,AB25=FALSE),,if(AA25=AB25,JOIN("""",""Static: "",AA25),JOIN("""",""Min:  "",AA25, CHAR(10),""Max: "",AB25)))"),"")</f>
        <v/>
      </c>
      <c r="AA25" s="55" t="str">
        <f t="array" ref="AA25">_xlfn.XLOOKUP(B25,'Up Min'!A:A,'Up Min'!G:G,)</f>
        <v/>
      </c>
      <c r="AB25" s="55" t="str">
        <f t="array" ref="AB25">_xlfn.XLOOKUP(B25,'Up Max'!A:A,'Up Max'!G:G,)</f>
        <v/>
      </c>
      <c r="AC25" s="57" t="str">
        <f t="array" ref="AC25">_xlfn.XLOOKUP(B25,'Up Stats'!A:A,'Up Stats'!H:H,)</f>
        <v/>
      </c>
      <c r="AD25" s="54" t="str">
        <f>IFERROR(__xludf.DUMMYFUNCTION("if(AND(AE25=FALSE,AF25=FALSE),,if(AE25=AF25,JOIN("""",""Static: "",AE25),JOIN("""",""Min:  "",AE25, CHAR(10),""Max: "",AF25)))"),"")</f>
        <v/>
      </c>
      <c r="AE25" s="55" t="str">
        <f t="array" ref="AE25">_xlfn.XLOOKUP(B25,'Up Min'!A:A,'Up Min'!H:H,)</f>
        <v/>
      </c>
      <c r="AF25" s="55" t="str">
        <f t="array" ref="AF25">_xlfn.XLOOKUP(B25,'Up Max'!A:A,'Up Max'!H:H,)</f>
        <v/>
      </c>
      <c r="AG25" s="57" t="str">
        <f t="array" ref="AG25">_xlfn.XLOOKUP(B25,'Up Stats'!A:A,'Up Stats'!I:I,)</f>
        <v/>
      </c>
      <c r="AH25" s="54" t="str">
        <f>IFERROR(__xludf.DUMMYFUNCTION("if(AND(AI25=FALSE,AJ25=FALSE),,if(AI25=AJ25,JOIN("""",""Static: "",AI25),JOIN("""",""Min:  "",AI25, CHAR(10),""Max: "",AJ25)))"),"")</f>
        <v/>
      </c>
      <c r="AI25" s="55" t="str">
        <f t="array" ref="AI25">_xlfn.XLOOKUP(B25,'Up Min'!A:A,'Up Min'!I:I,)</f>
        <v/>
      </c>
      <c r="AJ25" s="55" t="str">
        <f t="array" ref="AJ25">_xlfn.XLOOKUP(B25,'Up Max'!A:A,'Up Max'!I:I,)</f>
        <v/>
      </c>
      <c r="AK25" s="57" t="str">
        <f t="array" ref="AK25">_xlfn.XLOOKUP(B25,'Up Stats'!A:A,'Up Stats'!J:J,)</f>
        <v/>
      </c>
      <c r="AL25" s="54" t="str">
        <f>IFERROR(__xludf.DUMMYFUNCTION("if(AND(AM25=FALSE,AN25=FALSE),,if(AM25=AN25,JOIN("""",""Static: "",AM25),JOIN("""",""Min:  "",AM25, CHAR(10),""Max: "",AN25)))"),"")</f>
        <v/>
      </c>
      <c r="AM25" s="55" t="str">
        <f t="array" ref="AM25">_xlfn.XLOOKUP(B25,'Up Min'!A:A,'Up Min'!J:J,)</f>
        <v/>
      </c>
      <c r="AN25" s="55" t="str">
        <f t="array" ref="AN25">_xlfn.XLOOKUP(B25,'Up Max'!A:A,'Up Max'!J:J,)</f>
        <v/>
      </c>
      <c r="AO25" s="51" t="str">
        <f t="array" ref="AO25">CONCATENATE(_xlfn.XLOOKUP(B25,'Up Cells'!A:A,'Up Cells'!B:B,))</f>
        <v>4</v>
      </c>
      <c r="AP25" s="51" t="str">
        <f t="array" ref="AP25">CONCATENATE(_xlfn.XLOOKUP(B25,'Up Rarity'!A:A,'Up Rarity'!B:B,),CHAR(10),"-")</f>
        <v>Rare
-</v>
      </c>
    </row>
    <row r="26">
      <c r="A26" s="83" t="str">
        <f t="array" ref="A26">_xlfn.XLOOKUP(B26,'Up Icon'!A:A,'Up Icon'!B:B,)</f>
        <v/>
      </c>
      <c r="B26" s="89" t="str">
        <f t="array" ref="B26">HYPERLINK(_xlfn.XLOOKUP('Up Names'!J21,'Up Wiki'!A:A,'Up Wiki'!B:B,),'Up Names'!J21)</f>
        <v>Swinging Technique</v>
      </c>
      <c r="C26" s="67" t="str">
        <f t="array" ref="C26">_xlfn.XLOOKUP(B26,'Up Desc'!A:A,'Up Desc'!B:B,)</f>
        <v>Damage area is increased.</v>
      </c>
      <c r="D26" s="37" t="str">
        <f t="array" ref="D26">_xlfn.XLOOKUP(B26,'Up Turbo'!A:A,'Up Turbo'!B:B,)</f>
        <v>n/a</v>
      </c>
      <c r="E26" s="39" t="str">
        <f t="array" ref="E26">_xlfn.XLOOKUP(B26,'Up Stats'!A:A,'Up Stats'!B:B,)</f>
        <v>Size</v>
      </c>
      <c r="F26" s="40" t="str">
        <f>IFERROR(__xludf.DUMMYFUNCTION("if(AND(G26=FALSE,H26=FALSE),,if(G26=H26,JOIN("""",""Static: "",G26),JOIN("""",""Min:  "",G26, CHAR(10),""Max: "",H26)))"),"Min:  25%
Max: 42%")</f>
        <v>Min:  25%
Max: 42%</v>
      </c>
      <c r="G26" s="41">
        <f t="array" ref="G26">_xlfn.XLOOKUP(B26,'Up Min'!A:A,'Up Min'!B:B,)</f>
        <v>0.25</v>
      </c>
      <c r="H26" s="41">
        <f t="array" ref="H26">_xlfn.XLOOKUP(B26,'Up Max'!A:A,'Up Max'!B:B,)</f>
        <v>0.42</v>
      </c>
      <c r="I26" s="39" t="str">
        <f t="array" ref="I26">_xlfn.XLOOKUP(B26,'Up Stats'!A:A,'Up Stats'!C:C,)</f>
        <v/>
      </c>
      <c r="J26" s="40" t="str">
        <f>IFERROR(__xludf.DUMMYFUNCTION("if(AND(K26=FALSE,L26=FALSE),,if(K26=L26,JOIN("""",""Static: "",K26),JOIN("""",""Min:  "",K26, CHAR(10),""Max: "",L26)))"),"")</f>
        <v/>
      </c>
      <c r="K26" s="42" t="str">
        <f t="array" ref="K26">_xlfn.XLOOKUP(B26,'Up Min'!A:A,'Up Min'!C:C,)</f>
        <v/>
      </c>
      <c r="L26" s="42" t="str">
        <f t="array" ref="L26">_xlfn.XLOOKUP(B26,'Up Max'!A:A,'Up Max'!C:C,)</f>
        <v/>
      </c>
      <c r="M26" s="48" t="str">
        <f t="array" ref="M26">_xlfn.XLOOKUP(B26,'Up Stats'!A:A,'Up Stats'!D:D,)</f>
        <v/>
      </c>
      <c r="N26" s="40" t="str">
        <f>IFERROR(__xludf.DUMMYFUNCTION("if(AND(O26=FALSE,P26=FALSE),,if(O26=P26,JOIN("""",""Static: "",O26),JOIN("""",""Min:  "",O26, CHAR(10),""Max: "",P26)))"),"")</f>
        <v/>
      </c>
      <c r="O26" s="42" t="str">
        <f t="array" ref="O26">_xlfn.XLOOKUP(B26,'Up Min'!A:A,'Up Min'!D:D,)</f>
        <v/>
      </c>
      <c r="P26" s="42" t="str">
        <f t="array" ref="P26">_xlfn.XLOOKUP(B26,'Up Max'!A:A,'Up Max'!D:D,)</f>
        <v/>
      </c>
      <c r="Q26" s="48" t="str">
        <f t="array" ref="Q26">_xlfn.XLOOKUP(B26,'Up Stats'!A:A,'Up Stats'!E:E,)</f>
        <v/>
      </c>
      <c r="R26" s="40" t="str">
        <f>IFERROR(__xludf.DUMMYFUNCTION("if(AND(S26=FALSE,T26=FALSE),,if(S26=T26,JOIN("""",""Static: "",S26),JOIN("""",""Min:  "",S26, CHAR(10),""Max: "",T26)))"),"")</f>
        <v/>
      </c>
      <c r="S26" s="42" t="str">
        <f t="array" ref="S26">_xlfn.XLOOKUP(B26,'Up Min'!A:A,'Up Min'!E:E,)</f>
        <v/>
      </c>
      <c r="T26" s="42" t="str">
        <f t="array" ref="T26">_xlfn.XLOOKUP(B26,'Up Max'!A:A,'Up Max'!E:E,)</f>
        <v/>
      </c>
      <c r="U26" s="48" t="str">
        <f t="array" ref="U26">_xlfn.XLOOKUP(B26,'Up Stats'!A:A,'Up Stats'!F:F,)</f>
        <v/>
      </c>
      <c r="V26" s="40" t="str">
        <f>IFERROR(__xludf.DUMMYFUNCTION("if(AND(W26=FALSE,X26=FALSE),,if(W26=X26,JOIN("""",""Static: "",W26),JOIN("""",""Min:  "",W26, CHAR(10),""Max: "",X26)))"),"")</f>
        <v/>
      </c>
      <c r="W26" s="42" t="str">
        <f t="array" ref="W26">_xlfn.XLOOKUP(B26,'Up Min'!A:A,'Up Min'!F:F,)</f>
        <v/>
      </c>
      <c r="X26" s="42" t="str">
        <f t="array" ref="X26">_xlfn.XLOOKUP(B26,'Up Max'!A:A,'Up Max'!F:F,)</f>
        <v/>
      </c>
      <c r="Y26" s="48" t="str">
        <f t="array" ref="Y26">_xlfn.XLOOKUP(B26,'Up Stats'!A:A,'Up Stats'!G:G,)</f>
        <v/>
      </c>
      <c r="Z26" s="40" t="str">
        <f>IFERROR(__xludf.DUMMYFUNCTION("if(AND(AA26=FALSE,AB26=FALSE),,if(AA26=AB26,JOIN("""",""Static: "",AA26),JOIN("""",""Min:  "",AA26, CHAR(10),""Max: "",AB26)))"),"")</f>
        <v/>
      </c>
      <c r="AA26" s="42" t="str">
        <f t="array" ref="AA26">_xlfn.XLOOKUP(B26,'Up Min'!A:A,'Up Min'!G:G,)</f>
        <v/>
      </c>
      <c r="AB26" s="42" t="str">
        <f t="array" ref="AB26">_xlfn.XLOOKUP(B26,'Up Max'!A:A,'Up Max'!G:G,)</f>
        <v/>
      </c>
      <c r="AC26" s="48" t="str">
        <f t="array" ref="AC26">_xlfn.XLOOKUP(B26,'Up Stats'!A:A,'Up Stats'!H:H,)</f>
        <v/>
      </c>
      <c r="AD26" s="40" t="str">
        <f>IFERROR(__xludf.DUMMYFUNCTION("if(AND(AE26=FALSE,AF26=FALSE),,if(AE26=AF26,JOIN("""",""Static: "",AE26),JOIN("""",""Min:  "",AE26, CHAR(10),""Max: "",AF26)))"),"")</f>
        <v/>
      </c>
      <c r="AE26" s="42" t="str">
        <f t="array" ref="AE26">_xlfn.XLOOKUP(B26,'Up Min'!A:A,'Up Min'!H:H,)</f>
        <v/>
      </c>
      <c r="AF26" s="42" t="str">
        <f t="array" ref="AF26">_xlfn.XLOOKUP(B26,'Up Max'!A:A,'Up Max'!H:H,)</f>
        <v/>
      </c>
      <c r="AG26" s="48" t="str">
        <f t="array" ref="AG26">_xlfn.XLOOKUP(B26,'Up Stats'!A:A,'Up Stats'!I:I,)</f>
        <v/>
      </c>
      <c r="AH26" s="40" t="str">
        <f>IFERROR(__xludf.DUMMYFUNCTION("if(AND(AI26=FALSE,AJ26=FALSE),,if(AI26=AJ26,JOIN("""",""Static: "",AI26),JOIN("""",""Min:  "",AI26, CHAR(10),""Max: "",AJ26)))"),"")</f>
        <v/>
      </c>
      <c r="AI26" s="42" t="str">
        <f t="array" ref="AI26">_xlfn.XLOOKUP(B26,'Up Min'!A:A,'Up Min'!I:I,)</f>
        <v/>
      </c>
      <c r="AJ26" s="42" t="str">
        <f t="array" ref="AJ26">_xlfn.XLOOKUP(B26,'Up Max'!A:A,'Up Max'!I:I,)</f>
        <v/>
      </c>
      <c r="AK26" s="48" t="str">
        <f t="array" ref="AK26">_xlfn.XLOOKUP(B26,'Up Stats'!A:A,'Up Stats'!J:J,)</f>
        <v/>
      </c>
      <c r="AL26" s="40" t="str">
        <f>IFERROR(__xludf.DUMMYFUNCTION("if(AND(AM26=FALSE,AN26=FALSE),,if(AM26=AN26,JOIN("""",""Static: "",AM26),JOIN("""",""Min:  "",AM26, CHAR(10),""Max: "",AN26)))"),"")</f>
        <v/>
      </c>
      <c r="AM26" s="42" t="str">
        <f t="array" ref="AM26">_xlfn.XLOOKUP(B26,'Up Min'!A:A,'Up Min'!J:J,)</f>
        <v/>
      </c>
      <c r="AN26" s="42" t="str">
        <f t="array" ref="AN26">_xlfn.XLOOKUP(B26,'Up Max'!A:A,'Up Max'!J:J,)</f>
        <v/>
      </c>
      <c r="AO26" s="34" t="str">
        <f t="array" ref="AO26">CONCATENATE(_xlfn.XLOOKUP(B26,'Up Cells'!A:A,'Up Cells'!B:B,))</f>
        <v>4</v>
      </c>
      <c r="AP26" s="34" t="str">
        <f t="array" ref="AP26">CONCATENATE(_xlfn.XLOOKUP(B26,'Up Rarity'!A:A,'Up Rarity'!B:B,),CHAR(10),"-")</f>
        <v>Rare
-</v>
      </c>
    </row>
    <row r="27">
      <c r="A27" s="84" t="str">
        <f t="array" ref="A27">_xlfn.XLOOKUP(B27,'Up Icon'!A:A,'Up Icon'!B:B,)</f>
        <v/>
      </c>
      <c r="B27" s="88" t="str">
        <f t="array" ref="B27">HYPERLINK(_xlfn.XLOOKUP('Up Names'!J22,'Up Wiki'!A:A,'Up Wiki'!B:B,),'Up Names'!J22)</f>
        <v>Additional Ram Stick</v>
      </c>
      <c r="C27" s="52" t="str">
        <f t="array" ref="C27">_xlfn.XLOOKUP(B27,'Up Desc'!A:A,'Up Desc'!B:B,)</f>
        <v>Magazine size is increased.</v>
      </c>
      <c r="D27" s="52" t="str">
        <f t="array" ref="D27">_xlfn.XLOOKUP(B27,'Up Turbo'!A:A,'Up Turbo'!B:B,)</f>
        <v>n/a</v>
      </c>
      <c r="E27" s="53" t="str">
        <f t="array" ref="E27">_xlfn.XLOOKUP(B27,'Up Stats'!A:A,'Up Stats'!B:B,)</f>
        <v>Magazine Size</v>
      </c>
      <c r="F27" s="54" t="str">
        <f>IFERROR(__xludf.DUMMYFUNCTION("if(AND(G27=FALSE,H27=FALSE),,if(G27=H27,JOIN("""",""Static: "",G27),JOIN("""",""Min:  "",G27, CHAR(10),""Max: "",H27)))"),"Min:  8%
Max: 17%")</f>
        <v>Min:  8%
Max: 17%</v>
      </c>
      <c r="G27" s="59">
        <f t="array" ref="G27">_xlfn.XLOOKUP(B27,'Up Min'!A:A,'Up Min'!B:B,)</f>
        <v>0.08</v>
      </c>
      <c r="H27" s="59">
        <f t="array" ref="H27">_xlfn.XLOOKUP(B27,'Up Max'!A:A,'Up Max'!B:B,)</f>
        <v>0.17</v>
      </c>
      <c r="I27" s="53" t="str">
        <f t="array" ref="I27">_xlfn.XLOOKUP(B27,'Up Stats'!A:A,'Up Stats'!C:C,)</f>
        <v/>
      </c>
      <c r="J27" s="54" t="str">
        <f>IFERROR(__xludf.DUMMYFUNCTION("if(AND(K27=FALSE,L27=FALSE),,if(K27=L27,JOIN("""",""Static: "",K27),JOIN("""",""Min:  "",K27, CHAR(10),""Max: "",L27)))"),"")</f>
        <v/>
      </c>
      <c r="K27" s="72" t="str">
        <f t="array" ref="K27">_xlfn.XLOOKUP(B27,'Up Min'!A:A,'Up Min'!C:C,)</f>
        <v/>
      </c>
      <c r="L27" s="72" t="str">
        <f t="array" ref="L27">_xlfn.XLOOKUP(B27,'Up Max'!A:A,'Up Max'!C:C,)</f>
        <v/>
      </c>
      <c r="M27" s="57" t="str">
        <f t="array" ref="M27">_xlfn.XLOOKUP(B27,'Up Stats'!A:A,'Up Stats'!D:D,)</f>
        <v/>
      </c>
      <c r="N27" s="54" t="str">
        <f>IFERROR(__xludf.DUMMYFUNCTION("if(AND(O27=FALSE,P27=FALSE),,if(O27=P27,JOIN("""",""Static: "",O27),JOIN("""",""Min:  "",O27, CHAR(10),""Max: "",P27)))"),"")</f>
        <v/>
      </c>
      <c r="O27" s="55" t="str">
        <f t="array" ref="O27">_xlfn.XLOOKUP(B27,'Up Min'!A:A,'Up Min'!D:D,)</f>
        <v/>
      </c>
      <c r="P27" s="55" t="str">
        <f t="array" ref="P27">_xlfn.XLOOKUP(B27,'Up Max'!A:A,'Up Max'!D:D,)</f>
        <v/>
      </c>
      <c r="Q27" s="57" t="str">
        <f t="array" ref="Q27">_xlfn.XLOOKUP(B27,'Up Stats'!A:A,'Up Stats'!E:E,)</f>
        <v/>
      </c>
      <c r="R27" s="54" t="str">
        <f>IFERROR(__xludf.DUMMYFUNCTION("if(AND(S27=FALSE,T27=FALSE),,if(S27=T27,JOIN("""",""Static: "",S27),JOIN("""",""Min:  "",S27, CHAR(10),""Max: "",T27)))"),"")</f>
        <v/>
      </c>
      <c r="S27" s="55" t="str">
        <f t="array" ref="S27">_xlfn.XLOOKUP(B27,'Up Min'!A:A,'Up Min'!E:E,)</f>
        <v/>
      </c>
      <c r="T27" s="55" t="str">
        <f t="array" ref="T27">_xlfn.XLOOKUP(B27,'Up Max'!A:A,'Up Max'!E:E,)</f>
        <v/>
      </c>
      <c r="U27" s="57" t="str">
        <f t="array" ref="U27">_xlfn.XLOOKUP(B27,'Up Stats'!A:A,'Up Stats'!F:F,)</f>
        <v/>
      </c>
      <c r="V27" s="54" t="str">
        <f>IFERROR(__xludf.DUMMYFUNCTION("if(AND(W27=FALSE,X27=FALSE),,if(W27=X27,JOIN("""",""Static: "",W27),JOIN("""",""Min:  "",W27, CHAR(10),""Max: "",X27)))"),"")</f>
        <v/>
      </c>
      <c r="W27" s="55" t="str">
        <f t="array" ref="W27">_xlfn.XLOOKUP(B27,'Up Min'!A:A,'Up Min'!F:F,)</f>
        <v/>
      </c>
      <c r="X27" s="55" t="str">
        <f t="array" ref="X27">_xlfn.XLOOKUP(B27,'Up Max'!A:A,'Up Max'!F:F,)</f>
        <v/>
      </c>
      <c r="Y27" s="57" t="str">
        <f t="array" ref="Y27">_xlfn.XLOOKUP(B27,'Up Stats'!A:A,'Up Stats'!G:G,)</f>
        <v/>
      </c>
      <c r="Z27" s="54" t="str">
        <f>IFERROR(__xludf.DUMMYFUNCTION("if(AND(AA27=FALSE,AB27=FALSE),,if(AA27=AB27,JOIN("""",""Static: "",AA27),JOIN("""",""Min:  "",AA27, CHAR(10),""Max: "",AB27)))"),"")</f>
        <v/>
      </c>
      <c r="AA27" s="55" t="str">
        <f t="array" ref="AA27">_xlfn.XLOOKUP(B27,'Up Min'!A:A,'Up Min'!G:G,)</f>
        <v/>
      </c>
      <c r="AB27" s="55" t="str">
        <f t="array" ref="AB27">_xlfn.XLOOKUP(B27,'Up Max'!A:A,'Up Max'!G:G,)</f>
        <v/>
      </c>
      <c r="AC27" s="57" t="str">
        <f t="array" ref="AC27">_xlfn.XLOOKUP(B27,'Up Stats'!A:A,'Up Stats'!H:H,)</f>
        <v/>
      </c>
      <c r="AD27" s="54" t="str">
        <f>IFERROR(__xludf.DUMMYFUNCTION("if(AND(AE27=FALSE,AF27=FALSE),,if(AE27=AF27,JOIN("""",""Static: "",AE27),JOIN("""",""Min:  "",AE27, CHAR(10),""Max: "",AF27)))"),"")</f>
        <v/>
      </c>
      <c r="AE27" s="55" t="str">
        <f t="array" ref="AE27">_xlfn.XLOOKUP(B27,'Up Min'!A:A,'Up Min'!H:H,)</f>
        <v/>
      </c>
      <c r="AF27" s="55" t="str">
        <f t="array" ref="AF27">_xlfn.XLOOKUP(B27,'Up Max'!A:A,'Up Max'!H:H,)</f>
        <v/>
      </c>
      <c r="AG27" s="57" t="str">
        <f t="array" ref="AG27">_xlfn.XLOOKUP(B27,'Up Stats'!A:A,'Up Stats'!I:I,)</f>
        <v/>
      </c>
      <c r="AH27" s="54" t="str">
        <f>IFERROR(__xludf.DUMMYFUNCTION("if(AND(AI27=FALSE,AJ27=FALSE),,if(AI27=AJ27,JOIN("""",""Static: "",AI27),JOIN("""",""Min:  "",AI27, CHAR(10),""Max: "",AJ27)))"),"")</f>
        <v/>
      </c>
      <c r="AI27" s="55" t="str">
        <f t="array" ref="AI27">_xlfn.XLOOKUP(B27,'Up Min'!A:A,'Up Min'!I:I,)</f>
        <v/>
      </c>
      <c r="AJ27" s="55" t="str">
        <f t="array" ref="AJ27">_xlfn.XLOOKUP(B27,'Up Max'!A:A,'Up Max'!I:I,)</f>
        <v/>
      </c>
      <c r="AK27" s="57" t="str">
        <f t="array" ref="AK27">_xlfn.XLOOKUP(B27,'Up Stats'!A:A,'Up Stats'!J:J,)</f>
        <v/>
      </c>
      <c r="AL27" s="54" t="str">
        <f>IFERROR(__xludf.DUMMYFUNCTION("if(AND(AM27=FALSE,AN27=FALSE),,if(AM27=AN27,JOIN("""",""Static: "",AM27),JOIN("""",""Min:  "",AM27, CHAR(10),""Max: "",AN27)))"),"")</f>
        <v/>
      </c>
      <c r="AM27" s="55" t="str">
        <f t="array" ref="AM27">_xlfn.XLOOKUP(B27,'Up Min'!A:A,'Up Min'!J:J,)</f>
        <v/>
      </c>
      <c r="AN27" s="55" t="str">
        <f t="array" ref="AN27">_xlfn.XLOOKUP(B27,'Up Max'!A:A,'Up Max'!J:J,)</f>
        <v/>
      </c>
      <c r="AO27" s="51" t="str">
        <f t="array" ref="AO27">CONCATENATE(_xlfn.XLOOKUP(B27,'Up Cells'!A:A,'Up Cells'!B:B,))</f>
        <v>3</v>
      </c>
      <c r="AP27" s="51" t="str">
        <f t="array" ref="AP27">CONCATENATE(_xlfn.XLOOKUP(B27,'Up Rarity'!A:A,'Up Rarity'!B:B,),CHAR(10),"-")</f>
        <v>Standard
-</v>
      </c>
    </row>
    <row r="28">
      <c r="A28" s="84" t="str">
        <f t="array" ref="A28">_xlfn.XLOOKUP(B28,'Up Icon'!A:A,'Up Icon'!B:B,)</f>
        <v/>
      </c>
      <c r="B28" s="89" t="str">
        <f t="array" ref="B28">HYPERLINK(_xlfn.XLOOKUP('Up Names'!J23,'Up Wiki'!A:A,'Up Wiki'!B:B,),'Up Names'!J23)</f>
        <v>Blade Extenders</v>
      </c>
      <c r="C28" s="67" t="str">
        <f t="array" ref="C28">_xlfn.XLOOKUP(B28,'Up Desc'!A:A,'Up Desc'!B:B,)</f>
        <v>Range is increased.</v>
      </c>
      <c r="D28" s="37" t="str">
        <f t="array" ref="D28">_xlfn.XLOOKUP(B28,'Up Turbo'!A:A,'Up Turbo'!B:B,)</f>
        <v>n/a</v>
      </c>
      <c r="E28" s="39" t="str">
        <f t="array" ref="E28">_xlfn.XLOOKUP(B28,'Up Stats'!A:A,'Up Stats'!B:B,)</f>
        <v>Range</v>
      </c>
      <c r="F28" s="40" t="str">
        <f>IFERROR(__xludf.DUMMYFUNCTION("if(AND(G28=FALSE,H28=FALSE),,if(G28=H28,JOIN("""",""Static: "",G28),JOIN("""",""Min:  "",G28, CHAR(10),""Max: "",H28)))"),"Min:  0.5
Max: 1.6")</f>
        <v>Min:  0.5
Max: 1.6</v>
      </c>
      <c r="G28" s="69">
        <f t="array" ref="G28">_xlfn.XLOOKUP(B28,'Up Min'!A:A,'Up Min'!B:B,)</f>
        <v>0.5</v>
      </c>
      <c r="H28" s="68">
        <f t="array" ref="H28">_xlfn.XLOOKUP(B28,'Up Max'!A:A,'Up Max'!B:B,)</f>
        <v>1.6</v>
      </c>
      <c r="I28" s="39" t="str">
        <f t="array" ref="I28">_xlfn.XLOOKUP(B28,'Up Stats'!A:A,'Up Stats'!C:C,)</f>
        <v/>
      </c>
      <c r="J28" s="40" t="str">
        <f>IFERROR(__xludf.DUMMYFUNCTION("if(AND(K28=FALSE,L28=FALSE),,if(K28=L28,JOIN("""",""Static: "",K28),JOIN("""",""Min:  "",K28, CHAR(10),""Max: "",L28)))"),"")</f>
        <v/>
      </c>
      <c r="K28" s="42" t="str">
        <f t="array" ref="K28">_xlfn.XLOOKUP(B28,'Up Min'!A:A,'Up Min'!C:C,)</f>
        <v/>
      </c>
      <c r="L28" s="42" t="str">
        <f t="array" ref="L28">_xlfn.XLOOKUP(B28,'Up Max'!A:A,'Up Max'!C:C,)</f>
        <v/>
      </c>
      <c r="M28" s="48" t="str">
        <f t="array" ref="M28">_xlfn.XLOOKUP(B28,'Up Stats'!A:A,'Up Stats'!D:D,)</f>
        <v/>
      </c>
      <c r="N28" s="40" t="str">
        <f>IFERROR(__xludf.DUMMYFUNCTION("if(AND(O28=FALSE,P28=FALSE),,if(O28=P28,JOIN("""",""Static: "",O28),JOIN("""",""Min:  "",O28, CHAR(10),""Max: "",P28)))"),"")</f>
        <v/>
      </c>
      <c r="O28" s="42" t="str">
        <f t="array" ref="O28">_xlfn.XLOOKUP(B28,'Up Min'!A:A,'Up Min'!D:D,)</f>
        <v/>
      </c>
      <c r="P28" s="42" t="str">
        <f t="array" ref="P28">_xlfn.XLOOKUP(B28,'Up Max'!A:A,'Up Max'!D:D,)</f>
        <v/>
      </c>
      <c r="Q28" s="48" t="str">
        <f t="array" ref="Q28">_xlfn.XLOOKUP(B28,'Up Stats'!A:A,'Up Stats'!E:E,)</f>
        <v/>
      </c>
      <c r="R28" s="40" t="str">
        <f>IFERROR(__xludf.DUMMYFUNCTION("if(AND(S28=FALSE,T28=FALSE),,if(S28=T28,JOIN("""",""Static: "",S28),JOIN("""",""Min:  "",S28, CHAR(10),""Max: "",T28)))"),"")</f>
        <v/>
      </c>
      <c r="S28" s="42" t="str">
        <f t="array" ref="S28">_xlfn.XLOOKUP(B28,'Up Min'!A:A,'Up Min'!E:E,)</f>
        <v/>
      </c>
      <c r="T28" s="42" t="str">
        <f t="array" ref="T28">_xlfn.XLOOKUP(B28,'Up Max'!A:A,'Up Max'!E:E,)</f>
        <v/>
      </c>
      <c r="U28" s="48" t="str">
        <f t="array" ref="U28">_xlfn.XLOOKUP(B28,'Up Stats'!A:A,'Up Stats'!F:F,)</f>
        <v/>
      </c>
      <c r="V28" s="40" t="str">
        <f>IFERROR(__xludf.DUMMYFUNCTION("if(AND(W28=FALSE,X28=FALSE),,if(W28=X28,JOIN("""",""Static: "",W28),JOIN("""",""Min:  "",W28, CHAR(10),""Max: "",X28)))"),"")</f>
        <v/>
      </c>
      <c r="W28" s="42" t="str">
        <f t="array" ref="W28">_xlfn.XLOOKUP(B28,'Up Min'!A:A,'Up Min'!F:F,)</f>
        <v/>
      </c>
      <c r="X28" s="42" t="str">
        <f t="array" ref="X28">_xlfn.XLOOKUP(B28,'Up Max'!A:A,'Up Max'!F:F,)</f>
        <v/>
      </c>
      <c r="Y28" s="48" t="str">
        <f t="array" ref="Y28">_xlfn.XLOOKUP(B28,'Up Stats'!A:A,'Up Stats'!G:G,)</f>
        <v/>
      </c>
      <c r="Z28" s="40" t="str">
        <f>IFERROR(__xludf.DUMMYFUNCTION("if(AND(AA28=FALSE,AB28=FALSE),,if(AA28=AB28,JOIN("""",""Static: "",AA28),JOIN("""",""Min:  "",AA28, CHAR(10),""Max: "",AB28)))"),"")</f>
        <v/>
      </c>
      <c r="AA28" s="42" t="str">
        <f t="array" ref="AA28">_xlfn.XLOOKUP(B28,'Up Min'!A:A,'Up Min'!G:G,)</f>
        <v/>
      </c>
      <c r="AB28" s="42" t="str">
        <f t="array" ref="AB28">_xlfn.XLOOKUP(B28,'Up Max'!A:A,'Up Max'!G:G,)</f>
        <v/>
      </c>
      <c r="AC28" s="48" t="str">
        <f t="array" ref="AC28">_xlfn.XLOOKUP(B28,'Up Stats'!A:A,'Up Stats'!H:H,)</f>
        <v/>
      </c>
      <c r="AD28" s="40" t="str">
        <f>IFERROR(__xludf.DUMMYFUNCTION("if(AND(AE28=FALSE,AF28=FALSE),,if(AE28=AF28,JOIN("""",""Static: "",AE28),JOIN("""",""Min:  "",AE28, CHAR(10),""Max: "",AF28)))"),"")</f>
        <v/>
      </c>
      <c r="AE28" s="42" t="str">
        <f t="array" ref="AE28">_xlfn.XLOOKUP(B28,'Up Min'!A:A,'Up Min'!H:H,)</f>
        <v/>
      </c>
      <c r="AF28" s="42" t="str">
        <f t="array" ref="AF28">_xlfn.XLOOKUP(B28,'Up Max'!A:A,'Up Max'!H:H,)</f>
        <v/>
      </c>
      <c r="AG28" s="48" t="str">
        <f t="array" ref="AG28">_xlfn.XLOOKUP(B28,'Up Stats'!A:A,'Up Stats'!I:I,)</f>
        <v/>
      </c>
      <c r="AH28" s="40" t="str">
        <f>IFERROR(__xludf.DUMMYFUNCTION("if(AND(AI28=FALSE,AJ28=FALSE),,if(AI28=AJ28,JOIN("""",""Static: "",AI28),JOIN("""",""Min:  "",AI28, CHAR(10),""Max: "",AJ28)))"),"")</f>
        <v/>
      </c>
      <c r="AI28" s="42" t="str">
        <f t="array" ref="AI28">_xlfn.XLOOKUP(B28,'Up Min'!A:A,'Up Min'!I:I,)</f>
        <v/>
      </c>
      <c r="AJ28" s="42" t="str">
        <f t="array" ref="AJ28">_xlfn.XLOOKUP(B28,'Up Max'!A:A,'Up Max'!I:I,)</f>
        <v/>
      </c>
      <c r="AK28" s="48" t="str">
        <f t="array" ref="AK28">_xlfn.XLOOKUP(B28,'Up Stats'!A:A,'Up Stats'!J:J,)</f>
        <v/>
      </c>
      <c r="AL28" s="40" t="str">
        <f>IFERROR(__xludf.DUMMYFUNCTION("if(AND(AM28=FALSE,AN28=FALSE),,if(AM28=AN28,JOIN("""",""Static: "",AM28),JOIN("""",""Min:  "",AM28, CHAR(10),""Max: "",AN28)))"),"")</f>
        <v/>
      </c>
      <c r="AM28" s="42" t="str">
        <f t="array" ref="AM28">_xlfn.XLOOKUP(B28,'Up Min'!A:A,'Up Min'!J:J,)</f>
        <v/>
      </c>
      <c r="AN28" s="42" t="str">
        <f t="array" ref="AN28">_xlfn.XLOOKUP(B28,'Up Max'!A:A,'Up Max'!J:J,)</f>
        <v/>
      </c>
      <c r="AO28" s="34" t="str">
        <f t="array" ref="AO28">CONCATENATE(_xlfn.XLOOKUP(B28,'Up Cells'!A:A,'Up Cells'!B:B,))</f>
        <v>3</v>
      </c>
      <c r="AP28" s="34" t="str">
        <f t="array" ref="AP28">CONCATENATE(_xlfn.XLOOKUP(B28,'Up Rarity'!A:A,'Up Rarity'!B:B,),CHAR(10),"-")</f>
        <v>Standard
-</v>
      </c>
    </row>
    <row r="29">
      <c r="A29" s="84" t="str">
        <f t="array" ref="A29">_xlfn.XLOOKUP(B29,'Up Icon'!A:A,'Up Icon'!B:B,)</f>
        <v/>
      </c>
      <c r="B29" s="88" t="str">
        <f t="array" ref="B29">HYPERLINK(_xlfn.XLOOKUP('Up Names'!J24,'Up Wiki'!A:A,'Up Wiki'!B:B,),'Up Names'!J24)</f>
        <v>Blood Bucket</v>
      </c>
      <c r="C29" s="70" t="str">
        <f t="array" ref="C29">_xlfn.XLOOKUP(B29,'Up Desc'!A:A,'Up Desc'!B:B,)</f>
        <v>You can hold more stacks of blood.</v>
      </c>
      <c r="D29" s="52" t="str">
        <f t="array" ref="D29">_xlfn.XLOOKUP(B29,'Up Turbo'!A:A,'Up Turbo'!B:B,)</f>
        <v>n/a</v>
      </c>
      <c r="E29" s="53" t="str">
        <f t="array" ref="E29">_xlfn.XLOOKUP(B29,'Up Stats'!A:A,'Up Stats'!B:B,)</f>
        <v>Max Blood</v>
      </c>
      <c r="F29" s="54" t="str">
        <f>IFERROR(__xludf.DUMMYFUNCTION("if(AND(G29=FALSE,H29=FALSE),,if(G29=H29,JOIN("""",""Static: "",G29),JOIN("""",""Min:  "",G29, CHAR(10),""Max: "",H29)))"),"Min:  9%
Max: 17%")</f>
        <v>Min:  9%
Max: 17%</v>
      </c>
      <c r="G29" s="59">
        <f t="array" ref="G29">_xlfn.XLOOKUP(B29,'Up Min'!A:A,'Up Min'!B:B,)</f>
        <v>0.09</v>
      </c>
      <c r="H29" s="59">
        <f t="array" ref="H29">_xlfn.XLOOKUP(B29,'Up Max'!A:A,'Up Max'!B:B,)</f>
        <v>0.17</v>
      </c>
      <c r="I29" s="53" t="str">
        <f t="array" ref="I29">_xlfn.XLOOKUP(B29,'Up Stats'!A:A,'Up Stats'!C:C,)</f>
        <v/>
      </c>
      <c r="J29" s="54" t="str">
        <f>IFERROR(__xludf.DUMMYFUNCTION("if(AND(K29=FALSE,L29=FALSE),,if(K29=L29,JOIN("""",""Static: "",K29),JOIN("""",""Min:  "",K29, CHAR(10),""Max: "",L29)))"),"")</f>
        <v/>
      </c>
      <c r="K29" s="55" t="str">
        <f t="array" ref="K29">_xlfn.XLOOKUP(B29,'Up Min'!A:A,'Up Min'!C:C,)</f>
        <v/>
      </c>
      <c r="L29" s="55" t="str">
        <f t="array" ref="L29">_xlfn.XLOOKUP(B29,'Up Max'!A:A,'Up Max'!C:C,)</f>
        <v/>
      </c>
      <c r="M29" s="53" t="str">
        <f t="array" ref="M29">_xlfn.XLOOKUP(B29,'Up Stats'!A:A,'Up Stats'!D:D,)</f>
        <v/>
      </c>
      <c r="N29" s="54" t="str">
        <f>IFERROR(__xludf.DUMMYFUNCTION("if(AND(O29=FALSE,P29=FALSE),,if(O29=P29,JOIN("""",""Static: "",O29),JOIN("""",""Min:  "",O29, CHAR(10),""Max: "",P29)))"),"")</f>
        <v/>
      </c>
      <c r="O29" s="55" t="str">
        <f t="array" ref="O29">_xlfn.XLOOKUP(B29,'Up Min'!A:A,'Up Min'!D:D,)</f>
        <v/>
      </c>
      <c r="P29" s="55" t="str">
        <f t="array" ref="P29">_xlfn.XLOOKUP(B29,'Up Max'!A:A,'Up Max'!D:D,)</f>
        <v/>
      </c>
      <c r="Q29" s="57" t="str">
        <f t="array" ref="Q29">_xlfn.XLOOKUP(B29,'Up Stats'!A:A,'Up Stats'!E:E,)</f>
        <v/>
      </c>
      <c r="R29" s="54" t="str">
        <f>IFERROR(__xludf.DUMMYFUNCTION("if(AND(S29=FALSE,T29=FALSE),,if(S29=T29,JOIN("""",""Static: "",S29),JOIN("""",""Min:  "",S29, CHAR(10),""Max: "",T29)))"),"")</f>
        <v/>
      </c>
      <c r="S29" s="55" t="str">
        <f t="array" ref="S29">_xlfn.XLOOKUP(B29,'Up Min'!A:A,'Up Min'!E:E,)</f>
        <v/>
      </c>
      <c r="T29" s="55" t="str">
        <f t="array" ref="T29">_xlfn.XLOOKUP(B29,'Up Max'!A:A,'Up Max'!E:E,)</f>
        <v/>
      </c>
      <c r="U29" s="57" t="str">
        <f t="array" ref="U29">_xlfn.XLOOKUP(B29,'Up Stats'!A:A,'Up Stats'!F:F,)</f>
        <v/>
      </c>
      <c r="V29" s="54" t="str">
        <f>IFERROR(__xludf.DUMMYFUNCTION("if(AND(W29=FALSE,X29=FALSE),,if(W29=X29,JOIN("""",""Static: "",W29),JOIN("""",""Min:  "",W29, CHAR(10),""Max: "",X29)))"),"")</f>
        <v/>
      </c>
      <c r="W29" s="55" t="str">
        <f t="array" ref="W29">_xlfn.XLOOKUP(B29,'Up Min'!A:A,'Up Min'!F:F,)</f>
        <v/>
      </c>
      <c r="X29" s="55" t="str">
        <f t="array" ref="X29">_xlfn.XLOOKUP(B29,'Up Max'!A:A,'Up Max'!F:F,)</f>
        <v/>
      </c>
      <c r="Y29" s="57" t="str">
        <f t="array" ref="Y29">_xlfn.XLOOKUP(B29,'Up Stats'!A:A,'Up Stats'!G:G,)</f>
        <v/>
      </c>
      <c r="Z29" s="54" t="str">
        <f>IFERROR(__xludf.DUMMYFUNCTION("if(AND(AA29=FALSE,AB29=FALSE),,if(AA29=AB29,JOIN("""",""Static: "",AA29),JOIN("""",""Min:  "",AA29, CHAR(10),""Max: "",AB29)))"),"")</f>
        <v/>
      </c>
      <c r="AA29" s="55" t="str">
        <f t="array" ref="AA29">_xlfn.XLOOKUP(B29,'Up Min'!A:A,'Up Min'!G:G,)</f>
        <v/>
      </c>
      <c r="AB29" s="55" t="str">
        <f t="array" ref="AB29">_xlfn.XLOOKUP(B29,'Up Max'!A:A,'Up Max'!G:G,)</f>
        <v/>
      </c>
      <c r="AC29" s="57" t="str">
        <f t="array" ref="AC29">_xlfn.XLOOKUP(B29,'Up Stats'!A:A,'Up Stats'!H:H,)</f>
        <v/>
      </c>
      <c r="AD29" s="54" t="str">
        <f>IFERROR(__xludf.DUMMYFUNCTION("if(AND(AE29=FALSE,AF29=FALSE),,if(AE29=AF29,JOIN("""",""Static: "",AE29),JOIN("""",""Min:  "",AE29, CHAR(10),""Max: "",AF29)))"),"")</f>
        <v/>
      </c>
      <c r="AE29" s="55" t="str">
        <f t="array" ref="AE29">_xlfn.XLOOKUP(B29,'Up Min'!A:A,'Up Min'!H:H,)</f>
        <v/>
      </c>
      <c r="AF29" s="55" t="str">
        <f t="array" ref="AF29">_xlfn.XLOOKUP(B29,'Up Max'!A:A,'Up Max'!H:H,)</f>
        <v/>
      </c>
      <c r="AG29" s="57" t="str">
        <f t="array" ref="AG29">_xlfn.XLOOKUP(B29,'Up Stats'!A:A,'Up Stats'!I:I,)</f>
        <v/>
      </c>
      <c r="AH29" s="54" t="str">
        <f>IFERROR(__xludf.DUMMYFUNCTION("if(AND(AI29=FALSE,AJ29=FALSE),,if(AI29=AJ29,JOIN("""",""Static: "",AI29),JOIN("""",""Min:  "",AI29, CHAR(10),""Max: "",AJ29)))"),"")</f>
        <v/>
      </c>
      <c r="AI29" s="55" t="str">
        <f t="array" ref="AI29">_xlfn.XLOOKUP(B29,'Up Min'!A:A,'Up Min'!I:I,)</f>
        <v/>
      </c>
      <c r="AJ29" s="55" t="str">
        <f t="array" ref="AJ29">_xlfn.XLOOKUP(B29,'Up Max'!A:A,'Up Max'!I:I,)</f>
        <v/>
      </c>
      <c r="AK29" s="57" t="str">
        <f t="array" ref="AK29">_xlfn.XLOOKUP(B29,'Up Stats'!A:A,'Up Stats'!J:J,)</f>
        <v/>
      </c>
      <c r="AL29" s="54" t="str">
        <f>IFERROR(__xludf.DUMMYFUNCTION("if(AND(AM29=FALSE,AN29=FALSE),,if(AM29=AN29,JOIN("""",""Static: "",AM29),JOIN("""",""Min:  "",AM29, CHAR(10),""Max: "",AN29)))"),"")</f>
        <v/>
      </c>
      <c r="AM29" s="55" t="str">
        <f t="array" ref="AM29">_xlfn.XLOOKUP(B29,'Up Min'!A:A,'Up Min'!J:J,)</f>
        <v/>
      </c>
      <c r="AN29" s="55" t="str">
        <f t="array" ref="AN29">_xlfn.XLOOKUP(B29,'Up Max'!A:A,'Up Max'!J:J,)</f>
        <v/>
      </c>
      <c r="AO29" s="51" t="str">
        <f t="array" ref="AO29">CONCATENATE(_xlfn.XLOOKUP(B29,'Up Cells'!A:A,'Up Cells'!B:B,))</f>
        <v>3</v>
      </c>
      <c r="AP29" s="51" t="str">
        <f t="array" ref="AP29">CONCATENATE(_xlfn.XLOOKUP(B29,'Up Rarity'!A:A,'Up Rarity'!B:B,),CHAR(10),"-")</f>
        <v>Standard
-</v>
      </c>
    </row>
    <row r="30">
      <c r="A30" s="84" t="str">
        <f t="array" ref="A30">_xlfn.XLOOKUP(B30,'Up Icon'!A:A,'Up Icon'!B:B,)</f>
        <v/>
      </c>
      <c r="B30" s="89" t="str">
        <f t="array" ref="B30">HYPERLINK(_xlfn.XLOOKUP('Up Names'!J25,'Up Wiki'!A:A,'Up Wiki'!B:B,),'Up Names'!J25)</f>
        <v>Blood Efficiency</v>
      </c>
      <c r="C30" s="67" t="str">
        <f t="array" ref="C30">_xlfn.XLOOKUP(B30,'Up Desc'!A:A,'Up Desc'!B:B,)</f>
        <v>Killing targets provides more blood.</v>
      </c>
      <c r="D30" s="37" t="str">
        <f t="array" ref="D30">_xlfn.XLOOKUP(B30,'Up Turbo'!A:A,'Up Turbo'!B:B,)</f>
        <v>n/a</v>
      </c>
      <c r="E30" s="39" t="str">
        <f t="array" ref="E30">_xlfn.XLOOKUP(B30,'Up Stats'!A:A,'Up Stats'!B:B,)</f>
        <v>Blood on Kill</v>
      </c>
      <c r="F30" s="40" t="str">
        <f>IFERROR(__xludf.DUMMYFUNCTION("if(AND(G30=FALSE,H30=FALSE),,if(G30=H30,JOIN("""",""Static: "",G30),JOIN("""",""Min:  "",G30, CHAR(10),""Max: "",H30)))"),"Min:  50%
Max: 60%")</f>
        <v>Min:  50%
Max: 60%</v>
      </c>
      <c r="G30" s="41">
        <f t="array" ref="G30">_xlfn.XLOOKUP(B30,'Up Min'!A:A,'Up Min'!B:B,)</f>
        <v>0.5</v>
      </c>
      <c r="H30" s="41">
        <f t="array" ref="H30">_xlfn.XLOOKUP(B30,'Up Max'!A:A,'Up Max'!B:B,)</f>
        <v>0.6</v>
      </c>
      <c r="I30" s="39" t="str">
        <f t="array" ref="I30">_xlfn.XLOOKUP(B30,'Up Stats'!A:A,'Up Stats'!C:C,)</f>
        <v/>
      </c>
      <c r="J30" s="40" t="str">
        <f>IFERROR(__xludf.DUMMYFUNCTION("if(AND(K30=FALSE,L30=FALSE),,if(K30=L30,JOIN("""",""Static: "",K30),JOIN("""",""Min:  "",K30, CHAR(10),""Max: "",L30)))"),"")</f>
        <v/>
      </c>
      <c r="K30" s="42" t="str">
        <f t="array" ref="K30">_xlfn.XLOOKUP(B30,'Up Min'!A:A,'Up Min'!C:C,)</f>
        <v/>
      </c>
      <c r="L30" s="42" t="str">
        <f t="array" ref="L30">_xlfn.XLOOKUP(B30,'Up Max'!A:A,'Up Max'!C:C,)</f>
        <v/>
      </c>
      <c r="M30" s="48" t="str">
        <f t="array" ref="M30">_xlfn.XLOOKUP(B30,'Up Stats'!A:A,'Up Stats'!D:D,)</f>
        <v/>
      </c>
      <c r="N30" s="40" t="str">
        <f>IFERROR(__xludf.DUMMYFUNCTION("if(AND(O30=FALSE,P30=FALSE),,if(O30=P30,JOIN("""",""Static: "",O30),JOIN("""",""Min:  "",O30, CHAR(10),""Max: "",P30)))"),"")</f>
        <v/>
      </c>
      <c r="O30" s="42" t="str">
        <f t="array" ref="O30">_xlfn.XLOOKUP(B30,'Up Min'!A:A,'Up Min'!D:D,)</f>
        <v/>
      </c>
      <c r="P30" s="42" t="str">
        <f t="array" ref="P30">_xlfn.XLOOKUP(B30,'Up Max'!A:A,'Up Max'!D:D,)</f>
        <v/>
      </c>
      <c r="Q30" s="48" t="str">
        <f t="array" ref="Q30">_xlfn.XLOOKUP(B30,'Up Stats'!A:A,'Up Stats'!E:E,)</f>
        <v/>
      </c>
      <c r="R30" s="40" t="str">
        <f>IFERROR(__xludf.DUMMYFUNCTION("if(AND(S30=FALSE,T30=FALSE),,if(S30=T30,JOIN("""",""Static: "",S30),JOIN("""",""Min:  "",S30, CHAR(10),""Max: "",T30)))"),"")</f>
        <v/>
      </c>
      <c r="S30" s="42" t="str">
        <f t="array" ref="S30">_xlfn.XLOOKUP(B30,'Up Min'!A:A,'Up Min'!E:E,)</f>
        <v/>
      </c>
      <c r="T30" s="42" t="str">
        <f t="array" ref="T30">_xlfn.XLOOKUP(B30,'Up Max'!A:A,'Up Max'!E:E,)</f>
        <v/>
      </c>
      <c r="U30" s="48" t="str">
        <f t="array" ref="U30">_xlfn.XLOOKUP(B30,'Up Stats'!A:A,'Up Stats'!F:F,)</f>
        <v/>
      </c>
      <c r="V30" s="40" t="str">
        <f>IFERROR(__xludf.DUMMYFUNCTION("if(AND(W30=FALSE,X30=FALSE),,if(W30=X30,JOIN("""",""Static: "",W30),JOIN("""",""Min:  "",W30, CHAR(10),""Max: "",X30)))"),"")</f>
        <v/>
      </c>
      <c r="W30" s="42" t="str">
        <f t="array" ref="W30">_xlfn.XLOOKUP(B30,'Up Min'!A:A,'Up Min'!F:F,)</f>
        <v/>
      </c>
      <c r="X30" s="42" t="str">
        <f t="array" ref="X30">_xlfn.XLOOKUP(B30,'Up Max'!A:A,'Up Max'!F:F,)</f>
        <v/>
      </c>
      <c r="Y30" s="48" t="str">
        <f t="array" ref="Y30">_xlfn.XLOOKUP(B30,'Up Stats'!A:A,'Up Stats'!G:G,)</f>
        <v/>
      </c>
      <c r="Z30" s="40" t="str">
        <f>IFERROR(__xludf.DUMMYFUNCTION("if(AND(AA30=FALSE,AB30=FALSE),,if(AA30=AB30,JOIN("""",""Static: "",AA30),JOIN("""",""Min:  "",AA30, CHAR(10),""Max: "",AB30)))"),"")</f>
        <v/>
      </c>
      <c r="AA30" s="42" t="str">
        <f t="array" ref="AA30">_xlfn.XLOOKUP(B30,'Up Min'!A:A,'Up Min'!G:G,)</f>
        <v/>
      </c>
      <c r="AB30" s="42" t="str">
        <f t="array" ref="AB30">_xlfn.XLOOKUP(B30,'Up Max'!A:A,'Up Max'!G:G,)</f>
        <v/>
      </c>
      <c r="AC30" s="48" t="str">
        <f t="array" ref="AC30">_xlfn.XLOOKUP(B30,'Up Stats'!A:A,'Up Stats'!H:H,)</f>
        <v/>
      </c>
      <c r="AD30" s="40" t="str">
        <f>IFERROR(__xludf.DUMMYFUNCTION("if(AND(AE30=FALSE,AF30=FALSE),,if(AE30=AF30,JOIN("""",""Static: "",AE30),JOIN("""",""Min:  "",AE30, CHAR(10),""Max: "",AF30)))"),"")</f>
        <v/>
      </c>
      <c r="AE30" s="42" t="str">
        <f t="array" ref="AE30">_xlfn.XLOOKUP(B30,'Up Min'!A:A,'Up Min'!H:H,)</f>
        <v/>
      </c>
      <c r="AF30" s="42" t="str">
        <f t="array" ref="AF30">_xlfn.XLOOKUP(B30,'Up Max'!A:A,'Up Max'!H:H,)</f>
        <v/>
      </c>
      <c r="AG30" s="48" t="str">
        <f t="array" ref="AG30">_xlfn.XLOOKUP(B30,'Up Stats'!A:A,'Up Stats'!I:I,)</f>
        <v/>
      </c>
      <c r="AH30" s="40" t="str">
        <f>IFERROR(__xludf.DUMMYFUNCTION("if(AND(AI30=FALSE,AJ30=FALSE),,if(AI30=AJ30,JOIN("""",""Static: "",AI30),JOIN("""",""Min:  "",AI30, CHAR(10),""Max: "",AJ30)))"),"")</f>
        <v/>
      </c>
      <c r="AI30" s="42" t="str">
        <f t="array" ref="AI30">_xlfn.XLOOKUP(B30,'Up Min'!A:A,'Up Min'!I:I,)</f>
        <v/>
      </c>
      <c r="AJ30" s="42" t="str">
        <f t="array" ref="AJ30">_xlfn.XLOOKUP(B30,'Up Max'!A:A,'Up Max'!I:I,)</f>
        <v/>
      </c>
      <c r="AK30" s="48" t="str">
        <f t="array" ref="AK30">_xlfn.XLOOKUP(B30,'Up Stats'!A:A,'Up Stats'!J:J,)</f>
        <v/>
      </c>
      <c r="AL30" s="40" t="str">
        <f>IFERROR(__xludf.DUMMYFUNCTION("if(AND(AM30=FALSE,AN30=FALSE),,if(AM30=AN30,JOIN("""",""Static: "",AM30),JOIN("""",""Min:  "",AM30, CHAR(10),""Max: "",AN30)))"),"")</f>
        <v/>
      </c>
      <c r="AM30" s="42" t="str">
        <f t="array" ref="AM30">_xlfn.XLOOKUP(B30,'Up Min'!A:A,'Up Min'!J:J,)</f>
        <v/>
      </c>
      <c r="AN30" s="42" t="str">
        <f t="array" ref="AN30">_xlfn.XLOOKUP(B30,'Up Max'!A:A,'Up Max'!J:J,)</f>
        <v/>
      </c>
      <c r="AO30" s="34" t="str">
        <f t="array" ref="AO30">CONCATENATE(_xlfn.XLOOKUP(B30,'Up Cells'!A:A,'Up Cells'!B:B,))</f>
        <v>5</v>
      </c>
      <c r="AP30" s="34" t="str">
        <f t="array" ref="AP30">CONCATENATE(_xlfn.XLOOKUP(B30,'Up Rarity'!A:A,'Up Rarity'!B:B,),CHAR(10),"-")</f>
        <v>Standard
-</v>
      </c>
    </row>
    <row r="31">
      <c r="A31" s="84" t="str">
        <f t="array" ref="A31">_xlfn.XLOOKUP(B31,'Up Icon'!A:A,'Up Icon'!B:B,)</f>
        <v/>
      </c>
      <c r="B31" s="88" t="str">
        <f t="array" ref="B31">HYPERLINK(_xlfn.XLOOKUP('Up Names'!J26,'Up Wiki'!A:A,'Up Wiki'!B:B,),'Up Names'!J26)</f>
        <v>Ram Storage</v>
      </c>
      <c r="C31" s="52" t="str">
        <f t="array" ref="C31">_xlfn.XLOOKUP(B31,'Up Desc'!A:A,'Up Desc'!B:B,)</f>
        <v>Ammo reserves are increased.</v>
      </c>
      <c r="D31" s="52" t="str">
        <f t="array" ref="D31">_xlfn.XLOOKUP(B31,'Up Turbo'!A:A,'Up Turbo'!B:B,)</f>
        <v>n/a</v>
      </c>
      <c r="E31" s="53" t="str">
        <f t="array" ref="E31">_xlfn.XLOOKUP(B31,'Up Stats'!A:A,'Up Stats'!B:B,)</f>
        <v>Ammo Capacity</v>
      </c>
      <c r="F31" s="54" t="str">
        <f>IFERROR(__xludf.DUMMYFUNCTION("if(AND(G31=FALSE,H31=FALSE),,if(G31=H31,JOIN("""",""Static: "",G31),JOIN("""",""Min:  "",G31, CHAR(10),""Max: "",H31)))"),"Min:  15%
Max: 30%")</f>
        <v>Min:  15%
Max: 30%</v>
      </c>
      <c r="G31" s="59">
        <f t="array" ref="G31">_xlfn.XLOOKUP(B31,'Up Min'!A:A,'Up Min'!B:B,)</f>
        <v>0.15</v>
      </c>
      <c r="H31" s="59">
        <f t="array" ref="H31">_xlfn.XLOOKUP(B31,'Up Max'!A:A,'Up Max'!B:B,)</f>
        <v>0.3</v>
      </c>
      <c r="I31" s="53" t="str">
        <f t="array" ref="I31">_xlfn.XLOOKUP(B31,'Up Stats'!A:A,'Up Stats'!C:C,)</f>
        <v/>
      </c>
      <c r="J31" s="54" t="str">
        <f>IFERROR(__xludf.DUMMYFUNCTION("if(AND(K31=FALSE,L31=FALSE),,if(K31=L31,JOIN("""",""Static: "",K31),JOIN("""",""Min:  "",K31, CHAR(10),""Max: "",L31)))"),"")</f>
        <v/>
      </c>
      <c r="K31" s="55" t="str">
        <f t="array" ref="K31">_xlfn.XLOOKUP(B31,'Up Min'!A:A,'Up Min'!C:C,)</f>
        <v/>
      </c>
      <c r="L31" s="55" t="str">
        <f t="array" ref="L31">_xlfn.XLOOKUP(B31,'Up Max'!A:A,'Up Max'!C:C,)</f>
        <v/>
      </c>
      <c r="M31" s="57" t="str">
        <f t="array" ref="M31">_xlfn.XLOOKUP(B31,'Up Stats'!A:A,'Up Stats'!D:D,)</f>
        <v/>
      </c>
      <c r="N31" s="54" t="str">
        <f>IFERROR(__xludf.DUMMYFUNCTION("if(AND(O31=FALSE,P31=FALSE),,if(O31=P31,JOIN("""",""Static: "",O31),JOIN("""",""Min:  "",O31, CHAR(10),""Max: "",P31)))"),"")</f>
        <v/>
      </c>
      <c r="O31" s="55" t="str">
        <f t="array" ref="O31">_xlfn.XLOOKUP(B31,'Up Min'!A:A,'Up Min'!D:D,)</f>
        <v/>
      </c>
      <c r="P31" s="55" t="str">
        <f t="array" ref="P31">_xlfn.XLOOKUP(B31,'Up Max'!A:A,'Up Max'!D:D,)</f>
        <v/>
      </c>
      <c r="Q31" s="57" t="str">
        <f t="array" ref="Q31">_xlfn.XLOOKUP(B31,'Up Stats'!A:A,'Up Stats'!E:E,)</f>
        <v/>
      </c>
      <c r="R31" s="54" t="str">
        <f>IFERROR(__xludf.DUMMYFUNCTION("if(AND(S31=FALSE,T31=FALSE),,if(S31=T31,JOIN("""",""Static: "",S31),JOIN("""",""Min:  "",S31, CHAR(10),""Max: "",T31)))"),"")</f>
        <v/>
      </c>
      <c r="S31" s="55" t="str">
        <f t="array" ref="S31">_xlfn.XLOOKUP(B31,'Up Min'!A:A,'Up Min'!E:E,)</f>
        <v/>
      </c>
      <c r="T31" s="55" t="str">
        <f t="array" ref="T31">_xlfn.XLOOKUP(B31,'Up Max'!A:A,'Up Max'!E:E,)</f>
        <v/>
      </c>
      <c r="U31" s="57" t="str">
        <f t="array" ref="U31">_xlfn.XLOOKUP(B31,'Up Stats'!A:A,'Up Stats'!F:F,)</f>
        <v/>
      </c>
      <c r="V31" s="54" t="str">
        <f>IFERROR(__xludf.DUMMYFUNCTION("if(AND(W31=FALSE,X31=FALSE),,if(W31=X31,JOIN("""",""Static: "",W31),JOIN("""",""Min:  "",W31, CHAR(10),""Max: "",X31)))"),"")</f>
        <v/>
      </c>
      <c r="W31" s="55" t="str">
        <f t="array" ref="W31">_xlfn.XLOOKUP(B31,'Up Min'!A:A,'Up Min'!F:F,)</f>
        <v/>
      </c>
      <c r="X31" s="55" t="str">
        <f t="array" ref="X31">_xlfn.XLOOKUP(B31,'Up Max'!A:A,'Up Max'!F:F,)</f>
        <v/>
      </c>
      <c r="Y31" s="57" t="str">
        <f t="array" ref="Y31">_xlfn.XLOOKUP(B31,'Up Stats'!A:A,'Up Stats'!G:G,)</f>
        <v/>
      </c>
      <c r="Z31" s="54" t="str">
        <f>IFERROR(__xludf.DUMMYFUNCTION("if(AND(AA31=FALSE,AB31=FALSE),,if(AA31=AB31,JOIN("""",""Static: "",AA31),JOIN("""",""Min:  "",AA31, CHAR(10),""Max: "",AB31)))"),"")</f>
        <v/>
      </c>
      <c r="AA31" s="55" t="str">
        <f t="array" ref="AA31">_xlfn.XLOOKUP(B31,'Up Min'!A:A,'Up Min'!G:G,)</f>
        <v/>
      </c>
      <c r="AB31" s="55" t="str">
        <f t="array" ref="AB31">_xlfn.XLOOKUP(B31,'Up Max'!A:A,'Up Max'!G:G,)</f>
        <v/>
      </c>
      <c r="AC31" s="57" t="str">
        <f t="array" ref="AC31">_xlfn.XLOOKUP(B31,'Up Stats'!A:A,'Up Stats'!H:H,)</f>
        <v/>
      </c>
      <c r="AD31" s="54" t="str">
        <f>IFERROR(__xludf.DUMMYFUNCTION("if(AND(AE31=FALSE,AF31=FALSE),,if(AE31=AF31,JOIN("""",""Static: "",AE31),JOIN("""",""Min:  "",AE31, CHAR(10),""Max: "",AF31)))"),"")</f>
        <v/>
      </c>
      <c r="AE31" s="55" t="str">
        <f t="array" ref="AE31">_xlfn.XLOOKUP(B31,'Up Min'!A:A,'Up Min'!H:H,)</f>
        <v/>
      </c>
      <c r="AF31" s="55" t="str">
        <f t="array" ref="AF31">_xlfn.XLOOKUP(B31,'Up Max'!A:A,'Up Max'!H:H,)</f>
        <v/>
      </c>
      <c r="AG31" s="57" t="str">
        <f t="array" ref="AG31">_xlfn.XLOOKUP(B31,'Up Stats'!A:A,'Up Stats'!I:I,)</f>
        <v/>
      </c>
      <c r="AH31" s="54" t="str">
        <f>IFERROR(__xludf.DUMMYFUNCTION("if(AND(AI31=FALSE,AJ31=FALSE),,if(AI31=AJ31,JOIN("""",""Static: "",AI31),JOIN("""",""Min:  "",AI31, CHAR(10),""Max: "",AJ31)))"),"")</f>
        <v/>
      </c>
      <c r="AI31" s="55" t="str">
        <f t="array" ref="AI31">_xlfn.XLOOKUP(B31,'Up Min'!A:A,'Up Min'!I:I,)</f>
        <v/>
      </c>
      <c r="AJ31" s="55" t="str">
        <f t="array" ref="AJ31">_xlfn.XLOOKUP(B31,'Up Max'!A:A,'Up Max'!I:I,)</f>
        <v/>
      </c>
      <c r="AK31" s="57" t="str">
        <f t="array" ref="AK31">_xlfn.XLOOKUP(B31,'Up Stats'!A:A,'Up Stats'!J:J,)</f>
        <v/>
      </c>
      <c r="AL31" s="54" t="str">
        <f>IFERROR(__xludf.DUMMYFUNCTION("if(AND(AM31=FALSE,AN31=FALSE),,if(AM31=AN31,JOIN("""",""Static: "",AM31),JOIN("""",""Min:  "",AM31, CHAR(10),""Max: "",AN31)))"),"")</f>
        <v/>
      </c>
      <c r="AM31" s="55" t="str">
        <f t="array" ref="AM31">_xlfn.XLOOKUP(B31,'Up Min'!A:A,'Up Min'!J:J,)</f>
        <v/>
      </c>
      <c r="AN31" s="55" t="str">
        <f t="array" ref="AN31">_xlfn.XLOOKUP(B31,'Up Max'!A:A,'Up Max'!J:J,)</f>
        <v/>
      </c>
      <c r="AO31" s="51" t="str">
        <f t="array" ref="AO31">CONCATENATE(_xlfn.XLOOKUP(B31,'Up Cells'!A:A,'Up Cells'!B:B,))</f>
        <v>3</v>
      </c>
      <c r="AP31" s="51" t="str">
        <f t="array" ref="AP31">CONCATENATE(_xlfn.XLOOKUP(B31,'Up Rarity'!A:A,'Up Rarity'!B:B,),CHAR(10),"-")</f>
        <v>Standard
-</v>
      </c>
    </row>
    <row r="32">
      <c r="A32" s="87" t="str">
        <f t="array" ref="A32">_xlfn.XLOOKUP(B32,'Up Icon'!A:A,'Up Icon'!B:B,)</f>
        <v/>
      </c>
      <c r="B32" s="58" t="str">
        <f t="array" ref="B32">HYPERLINK(_xlfn.XLOOKUP('Up Names'!J32,'Up Wiki'!A:A,'Up Wiki'!B:B,),'Up Names'!J32)</f>
        <v/>
      </c>
      <c r="C32" s="37" t="str">
        <f t="array" ref="C32">_xlfn.XLOOKUP(B32,'Up Desc'!A:A,'Up Desc'!B:B,)</f>
        <v/>
      </c>
      <c r="D32" s="37" t="str">
        <f t="array" ref="D32">_xlfn.XLOOKUP(B32,'Up Turbo'!A:A,'Up Turbo'!B:B,)</f>
        <v/>
      </c>
      <c r="E32" s="39" t="str">
        <f t="array" ref="E32">_xlfn.XLOOKUP(B32,'Up Stats'!A:A,'Up Stats'!B:B,)</f>
        <v/>
      </c>
      <c r="F32" s="40" t="str">
        <f>IFERROR(__xludf.DUMMYFUNCTION("if(AND(G32=FALSE,H32=FALSE),,if(G32=H32,JOIN("""",""Static: "",G32),JOIN("""",""Min:  "",G32, CHAR(10),""Max: "",H32)))"),"")</f>
        <v/>
      </c>
      <c r="G32" s="42" t="str">
        <f t="array" ref="G32">_xlfn.XLOOKUP(B32,'Up Min'!A:A,'Up Min'!B:B,)</f>
        <v/>
      </c>
      <c r="H32" s="45" t="str">
        <f t="array" ref="H32">_xlfn.XLOOKUP(B32,'Up Max'!A:A,'Up Max'!B:B,)</f>
        <v/>
      </c>
      <c r="I32" s="39" t="str">
        <f t="array" ref="I32">_xlfn.XLOOKUP(B32,'Up Stats'!A:A,'Up Stats'!C:C,)</f>
        <v/>
      </c>
      <c r="J32" s="40" t="str">
        <f>IFERROR(__xludf.DUMMYFUNCTION("if(AND(K32=FALSE,L32=FALSE),,if(K32=L32,JOIN("""",""Static: "",K32),JOIN("""",""Min:  "",K32, CHAR(10),""Max: "",L32)))"),"")</f>
        <v/>
      </c>
      <c r="K32" s="42" t="str">
        <f t="array" ref="K32">_xlfn.XLOOKUP(B32,'Up Min'!A:A,'Up Min'!C:C,)</f>
        <v/>
      </c>
      <c r="L32" s="42" t="str">
        <f t="array" ref="L32">_xlfn.XLOOKUP(B32,'Up Max'!A:A,'Up Max'!C:C,)</f>
        <v/>
      </c>
      <c r="M32" s="48" t="str">
        <f t="array" ref="M32">_xlfn.XLOOKUP(B32,'Up Stats'!A:A,'Up Stats'!D:D,)</f>
        <v/>
      </c>
      <c r="N32" s="40" t="str">
        <f>IFERROR(__xludf.DUMMYFUNCTION("if(AND(O32=FALSE,P32=FALSE),,if(O32=P32,JOIN("""",""Static: "",O32),JOIN("""",""Min:  "",O32, CHAR(10),""Max: "",P32)))"),"")</f>
        <v/>
      </c>
      <c r="O32" s="42" t="str">
        <f t="array" ref="O32">_xlfn.XLOOKUP(B32,'Up Min'!A:A,'Up Min'!D:D,)</f>
        <v/>
      </c>
      <c r="P32" s="42" t="str">
        <f t="array" ref="P32">_xlfn.XLOOKUP(B32,'Up Max'!A:A,'Up Max'!D:D,)</f>
        <v/>
      </c>
      <c r="Q32" s="48" t="str">
        <f t="array" ref="Q32">_xlfn.XLOOKUP(B32,'Up Stats'!A:A,'Up Stats'!E:E,)</f>
        <v/>
      </c>
      <c r="R32" s="40" t="str">
        <f>IFERROR(__xludf.DUMMYFUNCTION("if(AND(S32=FALSE,T32=FALSE),,if(S32=T32,JOIN("""",""Static: "",S32),JOIN("""",""Min:  "",S32, CHAR(10),""Max: "",T32)))"),"")</f>
        <v/>
      </c>
      <c r="S32" s="42" t="str">
        <f t="array" ref="S32">_xlfn.XLOOKUP(B32,'Up Min'!A:A,'Up Min'!E:E,)</f>
        <v/>
      </c>
      <c r="T32" s="42" t="str">
        <f t="array" ref="T32">_xlfn.XLOOKUP(B32,'Up Max'!A:A,'Up Max'!E:E,)</f>
        <v/>
      </c>
      <c r="U32" s="48" t="str">
        <f t="array" ref="U32">_xlfn.XLOOKUP(B32,'Up Stats'!A:A,'Up Stats'!F:F,)</f>
        <v/>
      </c>
      <c r="V32" s="40" t="str">
        <f>IFERROR(__xludf.DUMMYFUNCTION("if(AND(W32=FALSE,X32=FALSE),,if(W32=X32,JOIN("""",""Static: "",W32),JOIN("""",""Min:  "",W32, CHAR(10),""Max: "",X32)))"),"")</f>
        <v/>
      </c>
      <c r="W32" s="42" t="str">
        <f t="array" ref="W32">_xlfn.XLOOKUP(B32,'Up Min'!A:A,'Up Min'!F:F,)</f>
        <v/>
      </c>
      <c r="X32" s="42" t="str">
        <f t="array" ref="X32">_xlfn.XLOOKUP(B32,'Up Max'!A:A,'Up Max'!F:F,)</f>
        <v/>
      </c>
      <c r="Y32" s="48" t="str">
        <f t="array" ref="Y32">_xlfn.XLOOKUP(B32,'Up Stats'!A:A,'Up Stats'!G:G,)</f>
        <v/>
      </c>
      <c r="Z32" s="40" t="str">
        <f>IFERROR(__xludf.DUMMYFUNCTION("if(AND(AA32=FALSE,AB32=FALSE),,if(AA32=AB32,JOIN("""",""Static: "",AA32),JOIN("""",""Min:  "",AA32, CHAR(10),""Max: "",AB32)))"),"")</f>
        <v/>
      </c>
      <c r="AA32" s="42" t="str">
        <f t="array" ref="AA32">_xlfn.XLOOKUP(B32,'Up Min'!A:A,'Up Min'!G:G,)</f>
        <v/>
      </c>
      <c r="AB32" s="42" t="str">
        <f t="array" ref="AB32">_xlfn.XLOOKUP(B32,'Up Max'!A:A,'Up Max'!G:G,)</f>
        <v/>
      </c>
      <c r="AC32" s="48" t="str">
        <f t="array" ref="AC32">_xlfn.XLOOKUP(B32,'Up Stats'!A:A,'Up Stats'!H:H,)</f>
        <v/>
      </c>
      <c r="AD32" s="40" t="str">
        <f>IFERROR(__xludf.DUMMYFUNCTION("if(AND(AE32=FALSE,AF32=FALSE),,if(AE32=AF32,JOIN("""",""Static: "",AE32),JOIN("""",""Min:  "",AE32, CHAR(10),""Max: "",AF32)))"),"")</f>
        <v/>
      </c>
      <c r="AE32" s="42" t="str">
        <f t="array" ref="AE32">_xlfn.XLOOKUP(B32,'Up Min'!A:A,'Up Min'!H:H,)</f>
        <v/>
      </c>
      <c r="AF32" s="42" t="str">
        <f t="array" ref="AF32">_xlfn.XLOOKUP(B32,'Up Max'!A:A,'Up Max'!H:H,)</f>
        <v/>
      </c>
      <c r="AG32" s="48" t="str">
        <f t="array" ref="AG32">_xlfn.XLOOKUP(B32,'Up Stats'!A:A,'Up Stats'!I:I,)</f>
        <v/>
      </c>
      <c r="AH32" s="40" t="str">
        <f>IFERROR(__xludf.DUMMYFUNCTION("if(AND(AI32=FALSE,AJ32=FALSE),,if(AI32=AJ32,JOIN("""",""Static: "",AI32),JOIN("""",""Min:  "",AI32, CHAR(10),""Max: "",AJ32)))"),"")</f>
        <v/>
      </c>
      <c r="AI32" s="42" t="str">
        <f t="array" ref="AI32">_xlfn.XLOOKUP(B32,'Up Min'!A:A,'Up Min'!I:I,)</f>
        <v/>
      </c>
      <c r="AJ32" s="42" t="str">
        <f t="array" ref="AJ32">_xlfn.XLOOKUP(B32,'Up Max'!A:A,'Up Max'!I:I,)</f>
        <v/>
      </c>
      <c r="AK32" s="48" t="str">
        <f t="array" ref="AK32">_xlfn.XLOOKUP(B32,'Up Stats'!A:A,'Up Stats'!J:J,)</f>
        <v/>
      </c>
      <c r="AL32" s="40" t="str">
        <f>IFERROR(__xludf.DUMMYFUNCTION("if(AND(AM32=FALSE,AN32=FALSE),,if(AM32=AN32,JOIN("""",""Static: "",AM32),JOIN("""",""Min:  "",AM32, CHAR(10),""Max: "",AN32)))"),"")</f>
        <v/>
      </c>
      <c r="AM32" s="42" t="str">
        <f t="array" ref="AM32">_xlfn.XLOOKUP(B32,'Up Min'!A:A,'Up Min'!J:J,)</f>
        <v/>
      </c>
      <c r="AN32" s="42" t="str">
        <f t="array" ref="AN32">_xlfn.XLOOKUP(B32,'Up Max'!A:A,'Up Max'!J:J,)</f>
        <v/>
      </c>
      <c r="AO32" s="34" t="str">
        <f t="array" ref="AO32">CONCATENATE(_xlfn.XLOOKUP(B32,'Up Cells'!A:A,'Up Cells'!B:B,))</f>
        <v/>
      </c>
      <c r="AP32" s="34" t="str">
        <f t="array" ref="AP32">CONCATENATE(_xlfn.XLOOKUP(B32,'Up Rarity'!A:A,'Up Rarity'!B:B,),CHAR(10),"-")</f>
        <v>
-</v>
      </c>
    </row>
    <row r="33">
      <c r="A33" s="86" t="str">
        <f t="array" ref="A33">_xlfn.XLOOKUP(B33,'Up Icon'!A:A,'Up Icon'!B:B,)</f>
        <v/>
      </c>
      <c r="B33" s="61" t="str">
        <f t="array" ref="B33">HYPERLINK(_xlfn.XLOOKUP('Up Names'!J33,'Up Wiki'!A:A,'Up Wiki'!B:B,),'Up Names'!J33)</f>
        <v/>
      </c>
      <c r="C33" s="52" t="str">
        <f t="array" ref="C33">_xlfn.XLOOKUP(B33,'Up Desc'!A:A,'Up Desc'!B:B,)</f>
        <v/>
      </c>
      <c r="D33" s="52" t="str">
        <f t="array" ref="D33">_xlfn.XLOOKUP(B33,'Up Turbo'!A:A,'Up Turbo'!B:B,)</f>
        <v/>
      </c>
      <c r="E33" s="53" t="str">
        <f t="array" ref="E33">_xlfn.XLOOKUP(B33,'Up Stats'!A:A,'Up Stats'!B:B,)</f>
        <v/>
      </c>
      <c r="F33" s="54" t="str">
        <f>IFERROR(__xludf.DUMMYFUNCTION("if(AND(G33=FALSE,H33=FALSE),,if(G33=H33,JOIN("""",""Static: "",G33),JOIN("""",""Min:  "",G33, CHAR(10),""Max: "",H33)))"),"")</f>
        <v/>
      </c>
      <c r="G33" s="55" t="str">
        <f t="array" ref="G33">_xlfn.XLOOKUP(B33,'Up Min'!A:A,'Up Min'!B:B,)</f>
        <v/>
      </c>
      <c r="H33" s="56" t="str">
        <f t="array" ref="H33">_xlfn.XLOOKUP(B33,'Up Max'!A:A,'Up Max'!B:B,)</f>
        <v/>
      </c>
      <c r="I33" s="53" t="str">
        <f t="array" ref="I33">_xlfn.XLOOKUP(B33,'Up Stats'!A:A,'Up Stats'!C:C,)</f>
        <v/>
      </c>
      <c r="J33" s="54" t="str">
        <f>IFERROR(__xludf.DUMMYFUNCTION("if(AND(K33=FALSE,L33=FALSE),,if(K33=L33,JOIN("""",""Static: "",K33),JOIN("""",""Min:  "",K33, CHAR(10),""Max: "",L33)))"),"")</f>
        <v/>
      </c>
      <c r="K33" s="55" t="str">
        <f t="array" ref="K33">_xlfn.XLOOKUP(B33,'Up Min'!A:A,'Up Min'!C:C,)</f>
        <v/>
      </c>
      <c r="L33" s="55" t="str">
        <f t="array" ref="L33">_xlfn.XLOOKUP(B33,'Up Max'!A:A,'Up Max'!C:C,)</f>
        <v/>
      </c>
      <c r="M33" s="57" t="str">
        <f t="array" ref="M33">_xlfn.XLOOKUP(B33,'Up Stats'!A:A,'Up Stats'!D:D,)</f>
        <v/>
      </c>
      <c r="N33" s="54" t="str">
        <f>IFERROR(__xludf.DUMMYFUNCTION("if(AND(O33=FALSE,P33=FALSE),,if(O33=P33,JOIN("""",""Static: "",O33),JOIN("""",""Min:  "",O33, CHAR(10),""Max: "",P33)))"),"")</f>
        <v/>
      </c>
      <c r="O33" s="55" t="str">
        <f t="array" ref="O33">_xlfn.XLOOKUP(B33,'Up Min'!A:A,'Up Min'!D:D,)</f>
        <v/>
      </c>
      <c r="P33" s="55" t="str">
        <f t="array" ref="P33">_xlfn.XLOOKUP(B33,'Up Max'!A:A,'Up Max'!D:D,)</f>
        <v/>
      </c>
      <c r="Q33" s="57" t="str">
        <f t="array" ref="Q33">_xlfn.XLOOKUP(B33,'Up Stats'!A:A,'Up Stats'!E:E,)</f>
        <v/>
      </c>
      <c r="R33" s="54" t="str">
        <f>IFERROR(__xludf.DUMMYFUNCTION("if(AND(S33=FALSE,T33=FALSE),,if(S33=T33,JOIN("""",""Static: "",S33),JOIN("""",""Min:  "",S33, CHAR(10),""Max: "",T33)))"),"")</f>
        <v/>
      </c>
      <c r="S33" s="55" t="str">
        <f t="array" ref="S33">_xlfn.XLOOKUP(B33,'Up Min'!A:A,'Up Min'!E:E,)</f>
        <v/>
      </c>
      <c r="T33" s="55" t="str">
        <f t="array" ref="T33">_xlfn.XLOOKUP(B33,'Up Max'!A:A,'Up Max'!E:E,)</f>
        <v/>
      </c>
      <c r="U33" s="57" t="str">
        <f t="array" ref="U33">_xlfn.XLOOKUP(B33,'Up Stats'!A:A,'Up Stats'!F:F,)</f>
        <v/>
      </c>
      <c r="V33" s="54" t="str">
        <f>IFERROR(__xludf.DUMMYFUNCTION("if(AND(W33=FALSE,X33=FALSE),,if(W33=X33,JOIN("""",""Static: "",W33),JOIN("""",""Min:  "",W33, CHAR(10),""Max: "",X33)))"),"")</f>
        <v/>
      </c>
      <c r="W33" s="55" t="str">
        <f t="array" ref="W33">_xlfn.XLOOKUP(B33,'Up Min'!A:A,'Up Min'!F:F,)</f>
        <v/>
      </c>
      <c r="X33" s="55" t="str">
        <f t="array" ref="X33">_xlfn.XLOOKUP(B33,'Up Max'!A:A,'Up Max'!F:F,)</f>
        <v/>
      </c>
      <c r="Y33" s="57" t="str">
        <f t="array" ref="Y33">_xlfn.XLOOKUP(B33,'Up Stats'!A:A,'Up Stats'!G:G,)</f>
        <v/>
      </c>
      <c r="Z33" s="54" t="str">
        <f>IFERROR(__xludf.DUMMYFUNCTION("if(AND(AA33=FALSE,AB33=FALSE),,if(AA33=AB33,JOIN("""",""Static: "",AA33),JOIN("""",""Min:  "",AA33, CHAR(10),""Max: "",AB33)))"),"")</f>
        <v/>
      </c>
      <c r="AA33" s="55" t="str">
        <f t="array" ref="AA33">_xlfn.XLOOKUP(B33,'Up Min'!A:A,'Up Min'!G:G,)</f>
        <v/>
      </c>
      <c r="AB33" s="55" t="str">
        <f t="array" ref="AB33">_xlfn.XLOOKUP(B33,'Up Max'!A:A,'Up Max'!G:G,)</f>
        <v/>
      </c>
      <c r="AC33" s="57" t="str">
        <f t="array" ref="AC33">_xlfn.XLOOKUP(B33,'Up Stats'!A:A,'Up Stats'!H:H,)</f>
        <v/>
      </c>
      <c r="AD33" s="54" t="str">
        <f>IFERROR(__xludf.DUMMYFUNCTION("if(AND(AE33=FALSE,AF33=FALSE),,if(AE33=AF33,JOIN("""",""Static: "",AE33),JOIN("""",""Min:  "",AE33, CHAR(10),""Max: "",AF33)))"),"")</f>
        <v/>
      </c>
      <c r="AE33" s="55" t="str">
        <f t="array" ref="AE33">_xlfn.XLOOKUP(B33,'Up Min'!A:A,'Up Min'!H:H,)</f>
        <v/>
      </c>
      <c r="AF33" s="55" t="str">
        <f t="array" ref="AF33">_xlfn.XLOOKUP(B33,'Up Max'!A:A,'Up Max'!H:H,)</f>
        <v/>
      </c>
      <c r="AG33" s="57" t="str">
        <f t="array" ref="AG33">_xlfn.XLOOKUP(B33,'Up Stats'!A:A,'Up Stats'!I:I,)</f>
        <v/>
      </c>
      <c r="AH33" s="54" t="str">
        <f>IFERROR(__xludf.DUMMYFUNCTION("if(AND(AI33=FALSE,AJ33=FALSE),,if(AI33=AJ33,JOIN("""",""Static: "",AI33),JOIN("""",""Min:  "",AI33, CHAR(10),""Max: "",AJ33)))"),"")</f>
        <v/>
      </c>
      <c r="AI33" s="55" t="str">
        <f t="array" ref="AI33">_xlfn.XLOOKUP(B33,'Up Min'!A:A,'Up Min'!I:I,)</f>
        <v/>
      </c>
      <c r="AJ33" s="55" t="str">
        <f t="array" ref="AJ33">_xlfn.XLOOKUP(B33,'Up Max'!A:A,'Up Max'!I:I,)</f>
        <v/>
      </c>
      <c r="AK33" s="57" t="str">
        <f t="array" ref="AK33">_xlfn.XLOOKUP(B33,'Up Stats'!A:A,'Up Stats'!J:J,)</f>
        <v/>
      </c>
      <c r="AL33" s="54" t="str">
        <f>IFERROR(__xludf.DUMMYFUNCTION("if(AND(AM33=FALSE,AN33=FALSE),,if(AM33=AN33,JOIN("""",""Static: "",AM33),JOIN("""",""Min:  "",AM33, CHAR(10),""Max: "",AN33)))"),"")</f>
        <v/>
      </c>
      <c r="AM33" s="55" t="str">
        <f t="array" ref="AM33">_xlfn.XLOOKUP(B33,'Up Min'!A:A,'Up Min'!J:J,)</f>
        <v/>
      </c>
      <c r="AN33" s="55" t="str">
        <f t="array" ref="AN33">_xlfn.XLOOKUP(B33,'Up Max'!A:A,'Up Max'!J:J,)</f>
        <v/>
      </c>
      <c r="AO33" s="51" t="str">
        <f t="array" ref="AO33">CONCATENATE(_xlfn.XLOOKUP(B33,'Up Cells'!A:A,'Up Cells'!B:B,))</f>
        <v/>
      </c>
      <c r="AP33" s="51" t="str">
        <f t="array" ref="AP33">CONCATENATE(_xlfn.XLOOKUP(B33,'Up Rarity'!A:A,'Up Rarity'!B:B,),CHAR(10),"-")</f>
        <v>
-</v>
      </c>
    </row>
    <row r="34">
      <c r="A34" s="87" t="str">
        <f t="array" ref="A34">_xlfn.XLOOKUP(B34,'Up Icon'!A:A,'Up Icon'!B:B,)</f>
        <v/>
      </c>
      <c r="B34" s="58" t="str">
        <f t="array" ref="B34">HYPERLINK(_xlfn.XLOOKUP('Up Names'!J34,'Up Wiki'!A:A,'Up Wiki'!B:B,),'Up Names'!J34)</f>
        <v/>
      </c>
      <c r="C34" s="37" t="str">
        <f t="array" ref="C34">_xlfn.XLOOKUP(B34,'Up Desc'!A:A,'Up Desc'!B:B,)</f>
        <v/>
      </c>
      <c r="D34" s="37" t="str">
        <f t="array" ref="D34">_xlfn.XLOOKUP(B34,'Up Turbo'!A:A,'Up Turbo'!B:B,)</f>
        <v/>
      </c>
      <c r="E34" s="39" t="str">
        <f t="array" ref="E34">_xlfn.XLOOKUP(B34,'Up Stats'!A:A,'Up Stats'!B:B,)</f>
        <v/>
      </c>
      <c r="F34" s="40" t="str">
        <f>IFERROR(__xludf.DUMMYFUNCTION("if(AND(G34=FALSE,H34=FALSE),,if(G34=H34,JOIN("""",""Static: "",G34),JOIN("""",""Min:  "",G34, CHAR(10),""Max: "",H34)))"),"")</f>
        <v/>
      </c>
      <c r="G34" s="42" t="str">
        <f t="array" ref="G34">_xlfn.XLOOKUP(B34,'Up Min'!A:A,'Up Min'!B:B,)</f>
        <v/>
      </c>
      <c r="H34" s="45" t="str">
        <f t="array" ref="H34">_xlfn.XLOOKUP(B34,'Up Max'!A:A,'Up Max'!B:B,)</f>
        <v/>
      </c>
      <c r="I34" s="39" t="str">
        <f t="array" ref="I34">_xlfn.XLOOKUP(B34,'Up Stats'!A:A,'Up Stats'!C:C,)</f>
        <v/>
      </c>
      <c r="J34" s="40" t="str">
        <f>IFERROR(__xludf.DUMMYFUNCTION("if(AND(K34=FALSE,L34=FALSE),,if(K34=L34,JOIN("""",""Static: "",K34),JOIN("""",""Min:  "",K34, CHAR(10),""Max: "",L34)))"),"")</f>
        <v/>
      </c>
      <c r="K34" s="42" t="str">
        <f t="array" ref="K34">_xlfn.XLOOKUP(B34,'Up Min'!A:A,'Up Min'!C:C,)</f>
        <v/>
      </c>
      <c r="L34" s="42" t="str">
        <f t="array" ref="L34">_xlfn.XLOOKUP(B34,'Up Max'!A:A,'Up Max'!C:C,)</f>
        <v/>
      </c>
      <c r="M34" s="48" t="str">
        <f t="array" ref="M34">_xlfn.XLOOKUP(B34,'Up Stats'!A:A,'Up Stats'!D:D,)</f>
        <v/>
      </c>
      <c r="N34" s="40" t="str">
        <f>IFERROR(__xludf.DUMMYFUNCTION("if(AND(O34=FALSE,P34=FALSE),,if(O34=P34,JOIN("""",""Static: "",O34),JOIN("""",""Min:  "",O34, CHAR(10),""Max: "",P34)))"),"")</f>
        <v/>
      </c>
      <c r="O34" s="42" t="str">
        <f t="array" ref="O34">_xlfn.XLOOKUP(B34,'Up Min'!A:A,'Up Min'!D:D,)</f>
        <v/>
      </c>
      <c r="P34" s="42" t="str">
        <f t="array" ref="P34">_xlfn.XLOOKUP(B34,'Up Max'!A:A,'Up Max'!D:D,)</f>
        <v/>
      </c>
      <c r="Q34" s="48" t="str">
        <f t="array" ref="Q34">_xlfn.XLOOKUP(B34,'Up Stats'!A:A,'Up Stats'!E:E,)</f>
        <v/>
      </c>
      <c r="R34" s="40" t="str">
        <f>IFERROR(__xludf.DUMMYFUNCTION("if(AND(S34=FALSE,T34=FALSE),,if(S34=T34,JOIN("""",""Static: "",S34),JOIN("""",""Min:  "",S34, CHAR(10),""Max: "",T34)))"),"")</f>
        <v/>
      </c>
      <c r="S34" s="42" t="str">
        <f t="array" ref="S34">_xlfn.XLOOKUP(B34,'Up Min'!A:A,'Up Min'!E:E,)</f>
        <v/>
      </c>
      <c r="T34" s="42" t="str">
        <f t="array" ref="T34">_xlfn.XLOOKUP(B34,'Up Max'!A:A,'Up Max'!E:E,)</f>
        <v/>
      </c>
      <c r="U34" s="48" t="str">
        <f t="array" ref="U34">_xlfn.XLOOKUP(B34,'Up Stats'!A:A,'Up Stats'!F:F,)</f>
        <v/>
      </c>
      <c r="V34" s="40" t="str">
        <f>IFERROR(__xludf.DUMMYFUNCTION("if(AND(W34=FALSE,X34=FALSE),,if(W34=X34,JOIN("""",""Static: "",W34),JOIN("""",""Min:  "",W34, CHAR(10),""Max: "",X34)))"),"")</f>
        <v/>
      </c>
      <c r="W34" s="42" t="str">
        <f t="array" ref="W34">_xlfn.XLOOKUP(B34,'Up Min'!A:A,'Up Min'!F:F,)</f>
        <v/>
      </c>
      <c r="X34" s="42" t="str">
        <f t="array" ref="X34">_xlfn.XLOOKUP(B34,'Up Max'!A:A,'Up Max'!F:F,)</f>
        <v/>
      </c>
      <c r="Y34" s="48" t="str">
        <f t="array" ref="Y34">_xlfn.XLOOKUP(B34,'Up Stats'!A:A,'Up Stats'!G:G,)</f>
        <v/>
      </c>
      <c r="Z34" s="40" t="str">
        <f>IFERROR(__xludf.DUMMYFUNCTION("if(AND(AA34=FALSE,AB34=FALSE),,if(AA34=AB34,JOIN("""",""Static: "",AA34),JOIN("""",""Min:  "",AA34, CHAR(10),""Max: "",AB34)))"),"")</f>
        <v/>
      </c>
      <c r="AA34" s="42" t="str">
        <f t="array" ref="AA34">_xlfn.XLOOKUP(B34,'Up Min'!A:A,'Up Min'!G:G,)</f>
        <v/>
      </c>
      <c r="AB34" s="42" t="str">
        <f t="array" ref="AB34">_xlfn.XLOOKUP(B34,'Up Max'!A:A,'Up Max'!G:G,)</f>
        <v/>
      </c>
      <c r="AC34" s="48" t="str">
        <f t="array" ref="AC34">_xlfn.XLOOKUP(B34,'Up Stats'!A:A,'Up Stats'!H:H,)</f>
        <v/>
      </c>
      <c r="AD34" s="40" t="str">
        <f>IFERROR(__xludf.DUMMYFUNCTION("if(AND(AE34=FALSE,AF34=FALSE),,if(AE34=AF34,JOIN("""",""Static: "",AE34),JOIN("""",""Min:  "",AE34, CHAR(10),""Max: "",AF34)))"),"")</f>
        <v/>
      </c>
      <c r="AE34" s="42" t="str">
        <f t="array" ref="AE34">_xlfn.XLOOKUP(B34,'Up Min'!A:A,'Up Min'!H:H,)</f>
        <v/>
      </c>
      <c r="AF34" s="42" t="str">
        <f t="array" ref="AF34">_xlfn.XLOOKUP(B34,'Up Max'!A:A,'Up Max'!H:H,)</f>
        <v/>
      </c>
      <c r="AG34" s="48" t="str">
        <f t="array" ref="AG34">_xlfn.XLOOKUP(B34,'Up Stats'!A:A,'Up Stats'!I:I,)</f>
        <v/>
      </c>
      <c r="AH34" s="40" t="str">
        <f>IFERROR(__xludf.DUMMYFUNCTION("if(AND(AI34=FALSE,AJ34=FALSE),,if(AI34=AJ34,JOIN("""",""Static: "",AI34),JOIN("""",""Min:  "",AI34, CHAR(10),""Max: "",AJ34)))"),"")</f>
        <v/>
      </c>
      <c r="AI34" s="42" t="str">
        <f t="array" ref="AI34">_xlfn.XLOOKUP(B34,'Up Min'!A:A,'Up Min'!I:I,)</f>
        <v/>
      </c>
      <c r="AJ34" s="42" t="str">
        <f t="array" ref="AJ34">_xlfn.XLOOKUP(B34,'Up Max'!A:A,'Up Max'!I:I,)</f>
        <v/>
      </c>
      <c r="AK34" s="48" t="str">
        <f t="array" ref="AK34">_xlfn.XLOOKUP(B34,'Up Stats'!A:A,'Up Stats'!J:J,)</f>
        <v/>
      </c>
      <c r="AL34" s="40" t="str">
        <f>IFERROR(__xludf.DUMMYFUNCTION("if(AND(AM34=FALSE,AN34=FALSE),,if(AM34=AN34,JOIN("""",""Static: "",AM34),JOIN("""",""Min:  "",AM34, CHAR(10),""Max: "",AN34)))"),"")</f>
        <v/>
      </c>
      <c r="AM34" s="42" t="str">
        <f t="array" ref="AM34">_xlfn.XLOOKUP(B34,'Up Min'!A:A,'Up Min'!J:J,)</f>
        <v/>
      </c>
      <c r="AN34" s="42" t="str">
        <f t="array" ref="AN34">_xlfn.XLOOKUP(B34,'Up Max'!A:A,'Up Max'!J:J,)</f>
        <v/>
      </c>
      <c r="AO34" s="34" t="str">
        <f t="array" ref="AO34">CONCATENATE(_xlfn.XLOOKUP(B34,'Up Cells'!A:A,'Up Cells'!B:B,))</f>
        <v/>
      </c>
      <c r="AP34" s="34" t="str">
        <f t="array" ref="AP34">CONCATENATE(_xlfn.XLOOKUP(B34,'Up Rarity'!A:A,'Up Rarity'!B:B,),CHAR(10),"-")</f>
        <v>
-</v>
      </c>
    </row>
    <row r="35">
      <c r="A35" s="86" t="str">
        <f t="array" ref="A35">_xlfn.XLOOKUP(B35,'Up Icon'!A:A,'Up Icon'!B:B,)</f>
        <v/>
      </c>
      <c r="B35" s="61" t="str">
        <f t="array" ref="B35">HYPERLINK(_xlfn.XLOOKUP('Up Names'!J35,'Up Wiki'!A:A,'Up Wiki'!B:B,),'Up Names'!J35)</f>
        <v/>
      </c>
      <c r="C35" s="52" t="str">
        <f t="array" ref="C35">_xlfn.XLOOKUP(B35,'Up Desc'!A:A,'Up Desc'!B:B,)</f>
        <v/>
      </c>
      <c r="D35" s="52" t="str">
        <f t="array" ref="D35">_xlfn.XLOOKUP(B35,'Up Turbo'!A:A,'Up Turbo'!B:B,)</f>
        <v/>
      </c>
      <c r="E35" s="53" t="str">
        <f t="array" ref="E35">_xlfn.XLOOKUP(B35,'Up Stats'!A:A,'Up Stats'!B:B,)</f>
        <v/>
      </c>
      <c r="F35" s="54" t="str">
        <f>IFERROR(__xludf.DUMMYFUNCTION("if(AND(G35=FALSE,H35=FALSE),,if(G35=H35,JOIN("""",""Static: "",G35),JOIN("""",""Min:  "",G35, CHAR(10),""Max: "",H35)))"),"")</f>
        <v/>
      </c>
      <c r="G35" s="55" t="str">
        <f t="array" ref="G35">_xlfn.XLOOKUP(B35,'Up Min'!A:A,'Up Min'!B:B,)</f>
        <v/>
      </c>
      <c r="H35" s="56" t="str">
        <f t="array" ref="H35">_xlfn.XLOOKUP(B35,'Up Max'!A:A,'Up Max'!B:B,)</f>
        <v/>
      </c>
      <c r="I35" s="53" t="str">
        <f t="array" ref="I35">_xlfn.XLOOKUP(B35,'Up Stats'!A:A,'Up Stats'!C:C,)</f>
        <v/>
      </c>
      <c r="J35" s="54" t="str">
        <f>IFERROR(__xludf.DUMMYFUNCTION("if(AND(K35=FALSE,L35=FALSE),,if(K35=L35,JOIN("""",""Static: "",K35),JOIN("""",""Min:  "",K35, CHAR(10),""Max: "",L35)))"),"")</f>
        <v/>
      </c>
      <c r="K35" s="55" t="str">
        <f t="array" ref="K35">_xlfn.XLOOKUP(B35,'Up Min'!A:A,'Up Min'!C:C,)</f>
        <v/>
      </c>
      <c r="L35" s="55" t="str">
        <f t="array" ref="L35">_xlfn.XLOOKUP(B35,'Up Max'!A:A,'Up Max'!C:C,)</f>
        <v/>
      </c>
      <c r="M35" s="57" t="str">
        <f t="array" ref="M35">_xlfn.XLOOKUP(B35,'Up Stats'!A:A,'Up Stats'!D:D,)</f>
        <v/>
      </c>
      <c r="N35" s="54" t="str">
        <f>IFERROR(__xludf.DUMMYFUNCTION("if(AND(O35=FALSE,P35=FALSE),,if(O35=P35,JOIN("""",""Static: "",O35),JOIN("""",""Min:  "",O35, CHAR(10),""Max: "",P35)))"),"")</f>
        <v/>
      </c>
      <c r="O35" s="55" t="str">
        <f t="array" ref="O35">_xlfn.XLOOKUP(B35,'Up Min'!A:A,'Up Min'!D:D,)</f>
        <v/>
      </c>
      <c r="P35" s="55" t="str">
        <f t="array" ref="P35">_xlfn.XLOOKUP(B35,'Up Max'!A:A,'Up Max'!D:D,)</f>
        <v/>
      </c>
      <c r="Q35" s="57" t="str">
        <f t="array" ref="Q35">_xlfn.XLOOKUP(B35,'Up Stats'!A:A,'Up Stats'!E:E,)</f>
        <v/>
      </c>
      <c r="R35" s="54" t="str">
        <f>IFERROR(__xludf.DUMMYFUNCTION("if(AND(S35=FALSE,T35=FALSE),,if(S35=T35,JOIN("""",""Static: "",S35),JOIN("""",""Min:  "",S35, CHAR(10),""Max: "",T35)))"),"")</f>
        <v/>
      </c>
      <c r="S35" s="55" t="str">
        <f t="array" ref="S35">_xlfn.XLOOKUP(B35,'Up Min'!A:A,'Up Min'!E:E,)</f>
        <v/>
      </c>
      <c r="T35" s="55" t="str">
        <f t="array" ref="T35">_xlfn.XLOOKUP(B35,'Up Max'!A:A,'Up Max'!E:E,)</f>
        <v/>
      </c>
      <c r="U35" s="57" t="str">
        <f t="array" ref="U35">_xlfn.XLOOKUP(B35,'Up Stats'!A:A,'Up Stats'!F:F,)</f>
        <v/>
      </c>
      <c r="V35" s="54" t="str">
        <f>IFERROR(__xludf.DUMMYFUNCTION("if(AND(W35=FALSE,X35=FALSE),,if(W35=X35,JOIN("""",""Static: "",W35),JOIN("""",""Min:  "",W35, CHAR(10),""Max: "",X35)))"),"")</f>
        <v/>
      </c>
      <c r="W35" s="55" t="str">
        <f t="array" ref="W35">_xlfn.XLOOKUP(B35,'Up Min'!A:A,'Up Min'!F:F,)</f>
        <v/>
      </c>
      <c r="X35" s="55" t="str">
        <f t="array" ref="X35">_xlfn.XLOOKUP(B35,'Up Max'!A:A,'Up Max'!F:F,)</f>
        <v/>
      </c>
      <c r="Y35" s="57" t="str">
        <f t="array" ref="Y35">_xlfn.XLOOKUP(B35,'Up Stats'!A:A,'Up Stats'!G:G,)</f>
        <v/>
      </c>
      <c r="Z35" s="54" t="str">
        <f>IFERROR(__xludf.DUMMYFUNCTION("if(AND(AA35=FALSE,AB35=FALSE),,if(AA35=AB35,JOIN("""",""Static: "",AA35),JOIN("""",""Min:  "",AA35, CHAR(10),""Max: "",AB35)))"),"")</f>
        <v/>
      </c>
      <c r="AA35" s="55" t="str">
        <f t="array" ref="AA35">_xlfn.XLOOKUP(B35,'Up Min'!A:A,'Up Min'!G:G,)</f>
        <v/>
      </c>
      <c r="AB35" s="55" t="str">
        <f t="array" ref="AB35">_xlfn.XLOOKUP(B35,'Up Max'!A:A,'Up Max'!G:G,)</f>
        <v/>
      </c>
      <c r="AC35" s="57" t="str">
        <f t="array" ref="AC35">_xlfn.XLOOKUP(B35,'Up Stats'!A:A,'Up Stats'!H:H,)</f>
        <v/>
      </c>
      <c r="AD35" s="54" t="str">
        <f>IFERROR(__xludf.DUMMYFUNCTION("if(AND(AE35=FALSE,AF35=FALSE),,if(AE35=AF35,JOIN("""",""Static: "",AE35),JOIN("""",""Min:  "",AE35, CHAR(10),""Max: "",AF35)))"),"")</f>
        <v/>
      </c>
      <c r="AE35" s="55" t="str">
        <f t="array" ref="AE35">_xlfn.XLOOKUP(B35,'Up Min'!A:A,'Up Min'!H:H,)</f>
        <v/>
      </c>
      <c r="AF35" s="55" t="str">
        <f t="array" ref="AF35">_xlfn.XLOOKUP(B35,'Up Max'!A:A,'Up Max'!H:H,)</f>
        <v/>
      </c>
      <c r="AG35" s="57" t="str">
        <f t="array" ref="AG35">_xlfn.XLOOKUP(B35,'Up Stats'!A:A,'Up Stats'!I:I,)</f>
        <v/>
      </c>
      <c r="AH35" s="54" t="str">
        <f>IFERROR(__xludf.DUMMYFUNCTION("if(AND(AI35=FALSE,AJ35=FALSE),,if(AI35=AJ35,JOIN("""",""Static: "",AI35),JOIN("""",""Min:  "",AI35, CHAR(10),""Max: "",AJ35)))"),"")</f>
        <v/>
      </c>
      <c r="AI35" s="55" t="str">
        <f t="array" ref="AI35">_xlfn.XLOOKUP(B35,'Up Min'!A:A,'Up Min'!I:I,)</f>
        <v/>
      </c>
      <c r="AJ35" s="55" t="str">
        <f t="array" ref="AJ35">_xlfn.XLOOKUP(B35,'Up Max'!A:A,'Up Max'!I:I,)</f>
        <v/>
      </c>
      <c r="AK35" s="57" t="str">
        <f t="array" ref="AK35">_xlfn.XLOOKUP(B35,'Up Stats'!A:A,'Up Stats'!J:J,)</f>
        <v/>
      </c>
      <c r="AL35" s="54" t="str">
        <f>IFERROR(__xludf.DUMMYFUNCTION("if(AND(AM35=FALSE,AN35=FALSE),,if(AM35=AN35,JOIN("""",""Static: "",AM35),JOIN("""",""Min:  "",AM35, CHAR(10),""Max: "",AN35)))"),"")</f>
        <v/>
      </c>
      <c r="AM35" s="55" t="str">
        <f t="array" ref="AM35">_xlfn.XLOOKUP(B35,'Up Min'!A:A,'Up Min'!J:J,)</f>
        <v/>
      </c>
      <c r="AN35" s="55" t="str">
        <f t="array" ref="AN35">_xlfn.XLOOKUP(B35,'Up Max'!A:A,'Up Max'!J:J,)</f>
        <v/>
      </c>
      <c r="AO35" s="51" t="str">
        <f t="array" ref="AO35">CONCATENATE(_xlfn.XLOOKUP(B35,'Up Cells'!A:A,'Up Cells'!B:B,))</f>
        <v/>
      </c>
      <c r="AP35" s="51" t="str">
        <f t="array" ref="AP35">CONCATENATE(_xlfn.XLOOKUP(B35,'Up Rarity'!A:A,'Up Rarity'!B:B,),CHAR(10),"-")</f>
        <v>
-</v>
      </c>
    </row>
    <row r="36">
      <c r="A36" s="87" t="str">
        <f t="array" ref="A36">_xlfn.XLOOKUP(B36,'Up Icon'!A:A,'Up Icon'!B:B,)</f>
        <v/>
      </c>
      <c r="B36" s="58" t="str">
        <f t="array" ref="B36">HYPERLINK(_xlfn.XLOOKUP('Up Names'!J36,'Up Wiki'!A:A,'Up Wiki'!B:B,),'Up Names'!J36)</f>
        <v/>
      </c>
      <c r="C36" s="37" t="str">
        <f t="array" ref="C36">_xlfn.XLOOKUP(B36,'Up Desc'!A:A,'Up Desc'!B:B,)</f>
        <v/>
      </c>
      <c r="D36" s="37" t="str">
        <f t="array" ref="D36">_xlfn.XLOOKUP(B36,'Up Turbo'!A:A,'Up Turbo'!B:B,)</f>
        <v/>
      </c>
      <c r="E36" s="39" t="str">
        <f t="array" ref="E36">_xlfn.XLOOKUP(B36,'Up Stats'!A:A,'Up Stats'!B:B,)</f>
        <v/>
      </c>
      <c r="F36" s="40" t="str">
        <f>IFERROR(__xludf.DUMMYFUNCTION("if(AND(G36=FALSE,H36=FALSE),,if(G36=H36,JOIN("""",""Static: "",G36),JOIN("""",""Min:  "",G36, CHAR(10),""Max: "",H36)))"),"")</f>
        <v/>
      </c>
      <c r="G36" s="42" t="str">
        <f t="array" ref="G36">_xlfn.XLOOKUP(B36,'Up Min'!A:A,'Up Min'!B:B,)</f>
        <v/>
      </c>
      <c r="H36" s="45" t="str">
        <f t="array" ref="H36">_xlfn.XLOOKUP(B36,'Up Max'!A:A,'Up Max'!B:B,)</f>
        <v/>
      </c>
      <c r="I36" s="39" t="str">
        <f t="array" ref="I36">_xlfn.XLOOKUP(B36,'Up Stats'!A:A,'Up Stats'!C:C,)</f>
        <v/>
      </c>
      <c r="J36" s="40" t="str">
        <f>IFERROR(__xludf.DUMMYFUNCTION("if(AND(K36=FALSE,L36=FALSE),,if(K36=L36,JOIN("""",""Static: "",K36),JOIN("""",""Min:  "",K36, CHAR(10),""Max: "",L36)))"),"")</f>
        <v/>
      </c>
      <c r="K36" s="42" t="str">
        <f t="array" ref="K36">_xlfn.XLOOKUP(B36,'Up Min'!A:A,'Up Min'!C:C,)</f>
        <v/>
      </c>
      <c r="L36" s="42" t="str">
        <f t="array" ref="L36">_xlfn.XLOOKUP(B36,'Up Max'!A:A,'Up Max'!C:C,)</f>
        <v/>
      </c>
      <c r="M36" s="48" t="str">
        <f t="array" ref="M36">_xlfn.XLOOKUP(B36,'Up Stats'!A:A,'Up Stats'!D:D,)</f>
        <v/>
      </c>
      <c r="N36" s="40" t="str">
        <f>IFERROR(__xludf.DUMMYFUNCTION("if(AND(O36=FALSE,P36=FALSE),,if(O36=P36,JOIN("""",""Static: "",O36),JOIN("""",""Min:  "",O36, CHAR(10),""Max: "",P36)))"),"")</f>
        <v/>
      </c>
      <c r="O36" s="42" t="str">
        <f t="array" ref="O36">_xlfn.XLOOKUP(B36,'Up Min'!A:A,'Up Min'!D:D,)</f>
        <v/>
      </c>
      <c r="P36" s="42" t="str">
        <f t="array" ref="P36">_xlfn.XLOOKUP(B36,'Up Max'!A:A,'Up Max'!D:D,)</f>
        <v/>
      </c>
      <c r="Q36" s="48" t="str">
        <f t="array" ref="Q36">_xlfn.XLOOKUP(B36,'Up Stats'!A:A,'Up Stats'!E:E,)</f>
        <v/>
      </c>
      <c r="R36" s="40" t="str">
        <f>IFERROR(__xludf.DUMMYFUNCTION("if(AND(S36=FALSE,T36=FALSE),,if(S36=T36,JOIN("""",""Static: "",S36),JOIN("""",""Min:  "",S36, CHAR(10),""Max: "",T36)))"),"")</f>
        <v/>
      </c>
      <c r="S36" s="42" t="str">
        <f t="array" ref="S36">_xlfn.XLOOKUP(B36,'Up Min'!A:A,'Up Min'!E:E,)</f>
        <v/>
      </c>
      <c r="T36" s="42" t="str">
        <f t="array" ref="T36">_xlfn.XLOOKUP(B36,'Up Max'!A:A,'Up Max'!E:E,)</f>
        <v/>
      </c>
      <c r="U36" s="48" t="str">
        <f t="array" ref="U36">_xlfn.XLOOKUP(B36,'Up Stats'!A:A,'Up Stats'!F:F,)</f>
        <v/>
      </c>
      <c r="V36" s="40" t="str">
        <f>IFERROR(__xludf.DUMMYFUNCTION("if(AND(W36=FALSE,X36=FALSE),,if(W36=X36,JOIN("""",""Static: "",W36),JOIN("""",""Min:  "",W36, CHAR(10),""Max: "",X36)))"),"")</f>
        <v/>
      </c>
      <c r="W36" s="42" t="str">
        <f t="array" ref="W36">_xlfn.XLOOKUP(B36,'Up Min'!A:A,'Up Min'!F:F,)</f>
        <v/>
      </c>
      <c r="X36" s="42" t="str">
        <f t="array" ref="X36">_xlfn.XLOOKUP(B36,'Up Max'!A:A,'Up Max'!F:F,)</f>
        <v/>
      </c>
      <c r="Y36" s="48" t="str">
        <f t="array" ref="Y36">_xlfn.XLOOKUP(B36,'Up Stats'!A:A,'Up Stats'!G:G,)</f>
        <v/>
      </c>
      <c r="Z36" s="40" t="str">
        <f>IFERROR(__xludf.DUMMYFUNCTION("if(AND(AA36=FALSE,AB36=FALSE),,if(AA36=AB36,JOIN("""",""Static: "",AA36),JOIN("""",""Min:  "",AA36, CHAR(10),""Max: "",AB36)))"),"")</f>
        <v/>
      </c>
      <c r="AA36" s="42" t="str">
        <f t="array" ref="AA36">_xlfn.XLOOKUP(B36,'Up Min'!A:A,'Up Min'!G:G,)</f>
        <v/>
      </c>
      <c r="AB36" s="42" t="str">
        <f t="array" ref="AB36">_xlfn.XLOOKUP(B36,'Up Max'!A:A,'Up Max'!G:G,)</f>
        <v/>
      </c>
      <c r="AC36" s="48" t="str">
        <f t="array" ref="AC36">_xlfn.XLOOKUP(B36,'Up Stats'!A:A,'Up Stats'!H:H,)</f>
        <v/>
      </c>
      <c r="AD36" s="40" t="str">
        <f>IFERROR(__xludf.DUMMYFUNCTION("if(AND(AE36=FALSE,AF36=FALSE),,if(AE36=AF36,JOIN("""",""Static: "",AE36),JOIN("""",""Min:  "",AE36, CHAR(10),""Max: "",AF36)))"),"")</f>
        <v/>
      </c>
      <c r="AE36" s="42" t="str">
        <f t="array" ref="AE36">_xlfn.XLOOKUP(B36,'Up Min'!A:A,'Up Min'!H:H,)</f>
        <v/>
      </c>
      <c r="AF36" s="42" t="str">
        <f t="array" ref="AF36">_xlfn.XLOOKUP(B36,'Up Max'!A:A,'Up Max'!H:H,)</f>
        <v/>
      </c>
      <c r="AG36" s="48" t="str">
        <f t="array" ref="AG36">_xlfn.XLOOKUP(B36,'Up Stats'!A:A,'Up Stats'!I:I,)</f>
        <v/>
      </c>
      <c r="AH36" s="40" t="str">
        <f>IFERROR(__xludf.DUMMYFUNCTION("if(AND(AI36=FALSE,AJ36=FALSE),,if(AI36=AJ36,JOIN("""",""Static: "",AI36),JOIN("""",""Min:  "",AI36, CHAR(10),""Max: "",AJ36)))"),"")</f>
        <v/>
      </c>
      <c r="AI36" s="42" t="str">
        <f t="array" ref="AI36">_xlfn.XLOOKUP(B36,'Up Min'!A:A,'Up Min'!I:I,)</f>
        <v/>
      </c>
      <c r="AJ36" s="42" t="str">
        <f t="array" ref="AJ36">_xlfn.XLOOKUP(B36,'Up Max'!A:A,'Up Max'!I:I,)</f>
        <v/>
      </c>
      <c r="AK36" s="48" t="str">
        <f t="array" ref="AK36">_xlfn.XLOOKUP(B36,'Up Stats'!A:A,'Up Stats'!J:J,)</f>
        <v/>
      </c>
      <c r="AL36" s="40" t="str">
        <f>IFERROR(__xludf.DUMMYFUNCTION("if(AND(AM36=FALSE,AN36=FALSE),,if(AM36=AN36,JOIN("""",""Static: "",AM36),JOIN("""",""Min:  "",AM36, CHAR(10),""Max: "",AN36)))"),"")</f>
        <v/>
      </c>
      <c r="AM36" s="42" t="str">
        <f t="array" ref="AM36">_xlfn.XLOOKUP(B36,'Up Min'!A:A,'Up Min'!J:J,)</f>
        <v/>
      </c>
      <c r="AN36" s="42" t="str">
        <f t="array" ref="AN36">_xlfn.XLOOKUP(B36,'Up Max'!A:A,'Up Max'!J:J,)</f>
        <v/>
      </c>
      <c r="AO36" s="34" t="str">
        <f t="array" ref="AO36">CONCATENATE(_xlfn.XLOOKUP(B36,'Up Cells'!A:A,'Up Cells'!B:B,))</f>
        <v/>
      </c>
      <c r="AP36" s="34" t="str">
        <f t="array" ref="AP36">CONCATENATE(_xlfn.XLOOKUP(B36,'Up Rarity'!A:A,'Up Rarity'!B:B,),CHAR(10),"-")</f>
        <v>
-</v>
      </c>
    </row>
    <row r="37">
      <c r="A37" s="86" t="str">
        <f t="array" ref="A37">_xlfn.XLOOKUP(B37,'Up Icon'!A:A,'Up Icon'!B:B,)</f>
        <v/>
      </c>
      <c r="B37" s="61" t="str">
        <f t="array" ref="B37">HYPERLINK(_xlfn.XLOOKUP('Up Names'!J37,'Up Wiki'!A:A,'Up Wiki'!B:B,),'Up Names'!J37)</f>
        <v/>
      </c>
      <c r="C37" s="52" t="str">
        <f t="array" ref="C37">_xlfn.XLOOKUP(B37,'Up Desc'!A:A,'Up Desc'!B:B,)</f>
        <v/>
      </c>
      <c r="D37" s="52" t="str">
        <f t="array" ref="D37">_xlfn.XLOOKUP(B37,'Up Turbo'!A:A,'Up Turbo'!B:B,)</f>
        <v/>
      </c>
      <c r="E37" s="53" t="str">
        <f t="array" ref="E37">_xlfn.XLOOKUP(B37,'Up Stats'!A:A,'Up Stats'!B:B,)</f>
        <v/>
      </c>
      <c r="F37" s="54" t="str">
        <f>IFERROR(__xludf.DUMMYFUNCTION("if(AND(G37=FALSE,H37=FALSE),,if(G37=H37,JOIN("""",""Static: "",G37),JOIN("""",""Min:  "",G37, CHAR(10),""Max: "",H37)))"),"")</f>
        <v/>
      </c>
      <c r="G37" s="55" t="str">
        <f t="array" ref="G37">_xlfn.XLOOKUP(B37,'Up Min'!A:A,'Up Min'!B:B,)</f>
        <v/>
      </c>
      <c r="H37" s="56" t="str">
        <f t="array" ref="H37">_xlfn.XLOOKUP(B37,'Up Max'!A:A,'Up Max'!B:B,)</f>
        <v/>
      </c>
      <c r="I37" s="53" t="str">
        <f t="array" ref="I37">_xlfn.XLOOKUP(B37,'Up Stats'!A:A,'Up Stats'!C:C,)</f>
        <v/>
      </c>
      <c r="J37" s="54" t="str">
        <f>IFERROR(__xludf.DUMMYFUNCTION("if(AND(K37=FALSE,L37=FALSE),,if(K37=L37,JOIN("""",""Static: "",K37),JOIN("""",""Min:  "",K37, CHAR(10),""Max: "",L37)))"),"")</f>
        <v/>
      </c>
      <c r="K37" s="55" t="str">
        <f t="array" ref="K37">_xlfn.XLOOKUP(B37,'Up Min'!A:A,'Up Min'!C:C,)</f>
        <v/>
      </c>
      <c r="L37" s="55" t="str">
        <f t="array" ref="L37">_xlfn.XLOOKUP(B37,'Up Max'!A:A,'Up Max'!C:C,)</f>
        <v/>
      </c>
      <c r="M37" s="57" t="str">
        <f t="array" ref="M37">_xlfn.XLOOKUP(B37,'Up Stats'!A:A,'Up Stats'!D:D,)</f>
        <v/>
      </c>
      <c r="N37" s="54" t="str">
        <f>IFERROR(__xludf.DUMMYFUNCTION("if(AND(O37=FALSE,P37=FALSE),,if(O37=P37,JOIN("""",""Static: "",O37),JOIN("""",""Min:  "",O37, CHAR(10),""Max: "",P37)))"),"")</f>
        <v/>
      </c>
      <c r="O37" s="55" t="str">
        <f t="array" ref="O37">_xlfn.XLOOKUP(B37,'Up Min'!A:A,'Up Min'!D:D,)</f>
        <v/>
      </c>
      <c r="P37" s="55" t="str">
        <f t="array" ref="P37">_xlfn.XLOOKUP(B37,'Up Max'!A:A,'Up Max'!D:D,)</f>
        <v/>
      </c>
      <c r="Q37" s="57" t="str">
        <f t="array" ref="Q37">_xlfn.XLOOKUP(B37,'Up Stats'!A:A,'Up Stats'!E:E,)</f>
        <v/>
      </c>
      <c r="R37" s="54" t="str">
        <f>IFERROR(__xludf.DUMMYFUNCTION("if(AND(S37=FALSE,T37=FALSE),,if(S37=T37,JOIN("""",""Static: "",S37),JOIN("""",""Min:  "",S37, CHAR(10),""Max: "",T37)))"),"")</f>
        <v/>
      </c>
      <c r="S37" s="55" t="str">
        <f t="array" ref="S37">_xlfn.XLOOKUP(B37,'Up Min'!A:A,'Up Min'!E:E,)</f>
        <v/>
      </c>
      <c r="T37" s="55" t="str">
        <f t="array" ref="T37">_xlfn.XLOOKUP(B37,'Up Max'!A:A,'Up Max'!E:E,)</f>
        <v/>
      </c>
      <c r="U37" s="57" t="str">
        <f t="array" ref="U37">_xlfn.XLOOKUP(B37,'Up Stats'!A:A,'Up Stats'!F:F,)</f>
        <v/>
      </c>
      <c r="V37" s="54" t="str">
        <f>IFERROR(__xludf.DUMMYFUNCTION("if(AND(W37=FALSE,X37=FALSE),,if(W37=X37,JOIN("""",""Static: "",W37),JOIN("""",""Min:  "",W37, CHAR(10),""Max: "",X37)))"),"")</f>
        <v/>
      </c>
      <c r="W37" s="55" t="str">
        <f t="array" ref="W37">_xlfn.XLOOKUP(B37,'Up Min'!A:A,'Up Min'!F:F,)</f>
        <v/>
      </c>
      <c r="X37" s="55" t="str">
        <f t="array" ref="X37">_xlfn.XLOOKUP(B37,'Up Max'!A:A,'Up Max'!F:F,)</f>
        <v/>
      </c>
      <c r="Y37" s="57" t="str">
        <f t="array" ref="Y37">_xlfn.XLOOKUP(B37,'Up Stats'!A:A,'Up Stats'!G:G,)</f>
        <v/>
      </c>
      <c r="Z37" s="54" t="str">
        <f>IFERROR(__xludf.DUMMYFUNCTION("if(AND(AA37=FALSE,AB37=FALSE),,if(AA37=AB37,JOIN("""",""Static: "",AA37),JOIN("""",""Min:  "",AA37, CHAR(10),""Max: "",AB37)))"),"")</f>
        <v/>
      </c>
      <c r="AA37" s="55" t="str">
        <f t="array" ref="AA37">_xlfn.XLOOKUP(B37,'Up Min'!A:A,'Up Min'!G:G,)</f>
        <v/>
      </c>
      <c r="AB37" s="55" t="str">
        <f t="array" ref="AB37">_xlfn.XLOOKUP(B37,'Up Max'!A:A,'Up Max'!G:G,)</f>
        <v/>
      </c>
      <c r="AC37" s="57" t="str">
        <f t="array" ref="AC37">_xlfn.XLOOKUP(B37,'Up Stats'!A:A,'Up Stats'!H:H,)</f>
        <v/>
      </c>
      <c r="AD37" s="54" t="str">
        <f>IFERROR(__xludf.DUMMYFUNCTION("if(AND(AE37=FALSE,AF37=FALSE),,if(AE37=AF37,JOIN("""",""Static: "",AE37),JOIN("""",""Min:  "",AE37, CHAR(10),""Max: "",AF37)))"),"")</f>
        <v/>
      </c>
      <c r="AE37" s="55" t="str">
        <f t="array" ref="AE37">_xlfn.XLOOKUP(B37,'Up Min'!A:A,'Up Min'!H:H,)</f>
        <v/>
      </c>
      <c r="AF37" s="55" t="str">
        <f t="array" ref="AF37">_xlfn.XLOOKUP(B37,'Up Max'!A:A,'Up Max'!H:H,)</f>
        <v/>
      </c>
      <c r="AG37" s="57" t="str">
        <f t="array" ref="AG37">_xlfn.XLOOKUP(B37,'Up Stats'!A:A,'Up Stats'!I:I,)</f>
        <v/>
      </c>
      <c r="AH37" s="54" t="str">
        <f>IFERROR(__xludf.DUMMYFUNCTION("if(AND(AI37=FALSE,AJ37=FALSE),,if(AI37=AJ37,JOIN("""",""Static: "",AI37),JOIN("""",""Min:  "",AI37, CHAR(10),""Max: "",AJ37)))"),"")</f>
        <v/>
      </c>
      <c r="AI37" s="55" t="str">
        <f t="array" ref="AI37">_xlfn.XLOOKUP(B37,'Up Min'!A:A,'Up Min'!I:I,)</f>
        <v/>
      </c>
      <c r="AJ37" s="55" t="str">
        <f t="array" ref="AJ37">_xlfn.XLOOKUP(B37,'Up Max'!A:A,'Up Max'!I:I,)</f>
        <v/>
      </c>
      <c r="AK37" s="57" t="str">
        <f t="array" ref="AK37">_xlfn.XLOOKUP(B37,'Up Stats'!A:A,'Up Stats'!J:J,)</f>
        <v/>
      </c>
      <c r="AL37" s="54" t="str">
        <f>IFERROR(__xludf.DUMMYFUNCTION("if(AND(AM37=FALSE,AN37=FALSE),,if(AM37=AN37,JOIN("""",""Static: "",AM37),JOIN("""",""Min:  "",AM37, CHAR(10),""Max: "",AN37)))"),"")</f>
        <v/>
      </c>
      <c r="AM37" s="55" t="str">
        <f t="array" ref="AM37">_xlfn.XLOOKUP(B37,'Up Min'!A:A,'Up Min'!J:J,)</f>
        <v/>
      </c>
      <c r="AN37" s="55" t="str">
        <f t="array" ref="AN37">_xlfn.XLOOKUP(B37,'Up Max'!A:A,'Up Max'!J:J,)</f>
        <v/>
      </c>
      <c r="AO37" s="51" t="str">
        <f t="array" ref="AO37">CONCATENATE(_xlfn.XLOOKUP(B37,'Up Cells'!A:A,'Up Cells'!B:B,))</f>
        <v/>
      </c>
      <c r="AP37" s="51" t="str">
        <f t="array" ref="AP37">CONCATENATE(_xlfn.XLOOKUP(B37,'Up Rarity'!A:A,'Up Rarity'!B:B,),CHAR(10),"-")</f>
        <v>
-</v>
      </c>
    </row>
    <row r="38">
      <c r="A38" s="87" t="str">
        <f t="array" ref="A38">_xlfn.XLOOKUP(B38,'Up Icon'!A:A,'Up Icon'!B:B,)</f>
        <v/>
      </c>
      <c r="B38" s="58" t="str">
        <f t="array" ref="B38">HYPERLINK(_xlfn.XLOOKUP('Up Names'!J38,'Up Wiki'!A:A,'Up Wiki'!B:B,),'Up Names'!J38)</f>
        <v/>
      </c>
      <c r="C38" s="37" t="str">
        <f t="array" ref="C38">_xlfn.XLOOKUP(B38,'Up Desc'!A:A,'Up Desc'!B:B,)</f>
        <v/>
      </c>
      <c r="D38" s="37" t="str">
        <f t="array" ref="D38">_xlfn.XLOOKUP(B38,'Up Turbo'!A:A,'Up Turbo'!B:B,)</f>
        <v/>
      </c>
      <c r="E38" s="39" t="str">
        <f t="array" ref="E38">_xlfn.XLOOKUP(B38,'Up Stats'!A:A,'Up Stats'!B:B,)</f>
        <v/>
      </c>
      <c r="F38" s="40" t="str">
        <f>IFERROR(__xludf.DUMMYFUNCTION("if(AND(G38=FALSE,H38=FALSE),,if(G38=H38,JOIN("""",""Static: "",G38),JOIN("""",""Min:  "",G38, CHAR(10),""Max: "",H38)))"),"")</f>
        <v/>
      </c>
      <c r="G38" s="42" t="str">
        <f t="array" ref="G38">_xlfn.XLOOKUP(B38,'Up Min'!A:A,'Up Min'!B:B,)</f>
        <v/>
      </c>
      <c r="H38" s="45" t="str">
        <f t="array" ref="H38">_xlfn.XLOOKUP(B38,'Up Max'!A:A,'Up Max'!B:B,)</f>
        <v/>
      </c>
      <c r="I38" s="39" t="str">
        <f t="array" ref="I38">_xlfn.XLOOKUP(B38,'Up Stats'!A:A,'Up Stats'!C:C,)</f>
        <v/>
      </c>
      <c r="J38" s="40" t="str">
        <f>IFERROR(__xludf.DUMMYFUNCTION("if(AND(K38=FALSE,L38=FALSE),,if(K38=L38,JOIN("""",""Static: "",K38),JOIN("""",""Min:  "",K38, CHAR(10),""Max: "",L38)))"),"")</f>
        <v/>
      </c>
      <c r="K38" s="42" t="str">
        <f t="array" ref="K38">_xlfn.XLOOKUP(B38,'Up Min'!A:A,'Up Min'!C:C,)</f>
        <v/>
      </c>
      <c r="L38" s="42" t="str">
        <f t="array" ref="L38">_xlfn.XLOOKUP(B38,'Up Max'!A:A,'Up Max'!C:C,)</f>
        <v/>
      </c>
      <c r="M38" s="48" t="str">
        <f t="array" ref="M38">_xlfn.XLOOKUP(B38,'Up Stats'!A:A,'Up Stats'!D:D,)</f>
        <v/>
      </c>
      <c r="N38" s="40" t="str">
        <f>IFERROR(__xludf.DUMMYFUNCTION("if(AND(O38=FALSE,P38=FALSE),,if(O38=P38,JOIN("""",""Static: "",O38),JOIN("""",""Min:  "",O38, CHAR(10),""Max: "",P38)))"),"")</f>
        <v/>
      </c>
      <c r="O38" s="42" t="str">
        <f t="array" ref="O38">_xlfn.XLOOKUP(B38,'Up Min'!A:A,'Up Min'!D:D,)</f>
        <v/>
      </c>
      <c r="P38" s="42" t="str">
        <f t="array" ref="P38">_xlfn.XLOOKUP(B38,'Up Max'!A:A,'Up Max'!D:D,)</f>
        <v/>
      </c>
      <c r="Q38" s="48" t="str">
        <f t="array" ref="Q38">_xlfn.XLOOKUP(B38,'Up Stats'!A:A,'Up Stats'!E:E,)</f>
        <v/>
      </c>
      <c r="R38" s="40" t="str">
        <f>IFERROR(__xludf.DUMMYFUNCTION("if(AND(S38=FALSE,T38=FALSE),,if(S38=T38,JOIN("""",""Static: "",S38),JOIN("""",""Min:  "",S38, CHAR(10),""Max: "",T38)))"),"")</f>
        <v/>
      </c>
      <c r="S38" s="42" t="str">
        <f t="array" ref="S38">_xlfn.XLOOKUP(B38,'Up Min'!A:A,'Up Min'!E:E,)</f>
        <v/>
      </c>
      <c r="T38" s="42" t="str">
        <f t="array" ref="T38">_xlfn.XLOOKUP(B38,'Up Max'!A:A,'Up Max'!E:E,)</f>
        <v/>
      </c>
      <c r="U38" s="48" t="str">
        <f t="array" ref="U38">_xlfn.XLOOKUP(B38,'Up Stats'!A:A,'Up Stats'!F:F,)</f>
        <v/>
      </c>
      <c r="V38" s="40" t="str">
        <f>IFERROR(__xludf.DUMMYFUNCTION("if(AND(W38=FALSE,X38=FALSE),,if(W38=X38,JOIN("""",""Static: "",W38),JOIN("""",""Min:  "",W38, CHAR(10),""Max: "",X38)))"),"")</f>
        <v/>
      </c>
      <c r="W38" s="42" t="str">
        <f t="array" ref="W38">_xlfn.XLOOKUP(B38,'Up Min'!A:A,'Up Min'!F:F,)</f>
        <v/>
      </c>
      <c r="X38" s="42" t="str">
        <f t="array" ref="X38">_xlfn.XLOOKUP(B38,'Up Max'!A:A,'Up Max'!F:F,)</f>
        <v/>
      </c>
      <c r="Y38" s="48" t="str">
        <f t="array" ref="Y38">_xlfn.XLOOKUP(B38,'Up Stats'!A:A,'Up Stats'!G:G,)</f>
        <v/>
      </c>
      <c r="Z38" s="40" t="str">
        <f>IFERROR(__xludf.DUMMYFUNCTION("if(AND(AA38=FALSE,AB38=FALSE),,if(AA38=AB38,JOIN("""",""Static: "",AA38),JOIN("""",""Min:  "",AA38, CHAR(10),""Max: "",AB38)))"),"")</f>
        <v/>
      </c>
      <c r="AA38" s="42" t="str">
        <f t="array" ref="AA38">_xlfn.XLOOKUP(B38,'Up Min'!A:A,'Up Min'!G:G,)</f>
        <v/>
      </c>
      <c r="AB38" s="42" t="str">
        <f t="array" ref="AB38">_xlfn.XLOOKUP(B38,'Up Max'!A:A,'Up Max'!G:G,)</f>
        <v/>
      </c>
      <c r="AC38" s="48" t="str">
        <f t="array" ref="AC38">_xlfn.XLOOKUP(B38,'Up Stats'!A:A,'Up Stats'!H:H,)</f>
        <v/>
      </c>
      <c r="AD38" s="40" t="str">
        <f>IFERROR(__xludf.DUMMYFUNCTION("if(AND(AE38=FALSE,AF38=FALSE),,if(AE38=AF38,JOIN("""",""Static: "",AE38),JOIN("""",""Min:  "",AE38, CHAR(10),""Max: "",AF38)))"),"")</f>
        <v/>
      </c>
      <c r="AE38" s="42" t="str">
        <f t="array" ref="AE38">_xlfn.XLOOKUP(B38,'Up Min'!A:A,'Up Min'!H:H,)</f>
        <v/>
      </c>
      <c r="AF38" s="42" t="str">
        <f t="array" ref="AF38">_xlfn.XLOOKUP(B38,'Up Max'!A:A,'Up Max'!H:H,)</f>
        <v/>
      </c>
      <c r="AG38" s="48" t="str">
        <f t="array" ref="AG38">_xlfn.XLOOKUP(B38,'Up Stats'!A:A,'Up Stats'!I:I,)</f>
        <v/>
      </c>
      <c r="AH38" s="40" t="str">
        <f>IFERROR(__xludf.DUMMYFUNCTION("if(AND(AI38=FALSE,AJ38=FALSE),,if(AI38=AJ38,JOIN("""",""Static: "",AI38),JOIN("""",""Min:  "",AI38, CHAR(10),""Max: "",AJ38)))"),"")</f>
        <v/>
      </c>
      <c r="AI38" s="42" t="str">
        <f t="array" ref="AI38">_xlfn.XLOOKUP(B38,'Up Min'!A:A,'Up Min'!I:I,)</f>
        <v/>
      </c>
      <c r="AJ38" s="42" t="str">
        <f t="array" ref="AJ38">_xlfn.XLOOKUP(B38,'Up Max'!A:A,'Up Max'!I:I,)</f>
        <v/>
      </c>
      <c r="AK38" s="48" t="str">
        <f t="array" ref="AK38">_xlfn.XLOOKUP(B38,'Up Stats'!A:A,'Up Stats'!J:J,)</f>
        <v/>
      </c>
      <c r="AL38" s="40" t="str">
        <f>IFERROR(__xludf.DUMMYFUNCTION("if(AND(AM38=FALSE,AN38=FALSE),,if(AM38=AN38,JOIN("""",""Static: "",AM38),JOIN("""",""Min:  "",AM38, CHAR(10),""Max: "",AN38)))"),"")</f>
        <v/>
      </c>
      <c r="AM38" s="42" t="str">
        <f t="array" ref="AM38">_xlfn.XLOOKUP(B38,'Up Min'!A:A,'Up Min'!J:J,)</f>
        <v/>
      </c>
      <c r="AN38" s="42" t="str">
        <f t="array" ref="AN38">_xlfn.XLOOKUP(B38,'Up Max'!A:A,'Up Max'!J:J,)</f>
        <v/>
      </c>
      <c r="AO38" s="34" t="str">
        <f t="array" ref="AO38">CONCATENATE(_xlfn.XLOOKUP(B38,'Up Cells'!A:A,'Up Cells'!B:B,))</f>
        <v/>
      </c>
      <c r="AP38" s="34" t="str">
        <f t="array" ref="AP38">CONCATENATE(_xlfn.XLOOKUP(B38,'Up Rarity'!A:A,'Up Rarity'!B:B,),CHAR(10),"-")</f>
        <v>
-</v>
      </c>
    </row>
    <row r="39">
      <c r="A39" s="86" t="str">
        <f t="array" ref="A39">_xlfn.XLOOKUP(B39,'Up Icon'!A:A,'Up Icon'!B:B,)</f>
        <v/>
      </c>
      <c r="B39" s="61" t="str">
        <f t="array" ref="B39">HYPERLINK(_xlfn.XLOOKUP('Up Names'!J39,'Up Wiki'!A:A,'Up Wiki'!B:B,),'Up Names'!J39)</f>
        <v/>
      </c>
      <c r="C39" s="52" t="str">
        <f t="array" ref="C39">_xlfn.XLOOKUP(B39,'Up Desc'!A:A,'Up Desc'!B:B,)</f>
        <v/>
      </c>
      <c r="D39" s="52" t="str">
        <f t="array" ref="D39">_xlfn.XLOOKUP(B39,'Up Turbo'!A:A,'Up Turbo'!B:B,)</f>
        <v/>
      </c>
      <c r="E39" s="53" t="str">
        <f t="array" ref="E39">_xlfn.XLOOKUP(B39,'Up Stats'!A:A,'Up Stats'!B:B,)</f>
        <v/>
      </c>
      <c r="F39" s="54" t="str">
        <f>IFERROR(__xludf.DUMMYFUNCTION("if(AND(G39=FALSE,H39=FALSE),,if(G39=H39,JOIN("""",""Static: "",G39),JOIN("""",""Min:  "",G39, CHAR(10),""Max: "",H39)))"),"")</f>
        <v/>
      </c>
      <c r="G39" s="55" t="str">
        <f t="array" ref="G39">_xlfn.XLOOKUP(B39,'Up Min'!A:A,'Up Min'!B:B,)</f>
        <v/>
      </c>
      <c r="H39" s="56" t="str">
        <f t="array" ref="H39">_xlfn.XLOOKUP(B39,'Up Max'!A:A,'Up Max'!B:B,)</f>
        <v/>
      </c>
      <c r="I39" s="53" t="str">
        <f t="array" ref="I39">_xlfn.XLOOKUP(B39,'Up Stats'!A:A,'Up Stats'!C:C,)</f>
        <v/>
      </c>
      <c r="J39" s="54" t="str">
        <f>IFERROR(__xludf.DUMMYFUNCTION("if(AND(K39=FALSE,L39=FALSE),,if(K39=L39,JOIN("""",""Static: "",K39),JOIN("""",""Min:  "",K39, CHAR(10),""Max: "",L39)))"),"")</f>
        <v/>
      </c>
      <c r="K39" s="55" t="str">
        <f t="array" ref="K39">_xlfn.XLOOKUP(B39,'Up Min'!A:A,'Up Min'!C:C,)</f>
        <v/>
      </c>
      <c r="L39" s="55" t="str">
        <f t="array" ref="L39">_xlfn.XLOOKUP(B39,'Up Max'!A:A,'Up Max'!C:C,)</f>
        <v/>
      </c>
      <c r="M39" s="57" t="str">
        <f t="array" ref="M39">_xlfn.XLOOKUP(B39,'Up Stats'!A:A,'Up Stats'!D:D,)</f>
        <v/>
      </c>
      <c r="N39" s="54" t="str">
        <f>IFERROR(__xludf.DUMMYFUNCTION("if(AND(O39=FALSE,P39=FALSE),,if(O39=P39,JOIN("""",""Static: "",O39),JOIN("""",""Min:  "",O39, CHAR(10),""Max: "",P39)))"),"")</f>
        <v/>
      </c>
      <c r="O39" s="55" t="str">
        <f t="array" ref="O39">_xlfn.XLOOKUP(B39,'Up Min'!A:A,'Up Min'!D:D,)</f>
        <v/>
      </c>
      <c r="P39" s="55" t="str">
        <f t="array" ref="P39">_xlfn.XLOOKUP(B39,'Up Max'!A:A,'Up Max'!D:D,)</f>
        <v/>
      </c>
      <c r="Q39" s="57" t="str">
        <f t="array" ref="Q39">_xlfn.XLOOKUP(B39,'Up Stats'!A:A,'Up Stats'!E:E,)</f>
        <v/>
      </c>
      <c r="R39" s="54" t="str">
        <f>IFERROR(__xludf.DUMMYFUNCTION("if(AND(S39=FALSE,T39=FALSE),,if(S39=T39,JOIN("""",""Static: "",S39),JOIN("""",""Min:  "",S39, CHAR(10),""Max: "",T39)))"),"")</f>
        <v/>
      </c>
      <c r="S39" s="55" t="str">
        <f t="array" ref="S39">_xlfn.XLOOKUP(B39,'Up Min'!A:A,'Up Min'!E:E,)</f>
        <v/>
      </c>
      <c r="T39" s="55" t="str">
        <f t="array" ref="T39">_xlfn.XLOOKUP(B39,'Up Max'!A:A,'Up Max'!E:E,)</f>
        <v/>
      </c>
      <c r="U39" s="57" t="str">
        <f t="array" ref="U39">_xlfn.XLOOKUP(B39,'Up Stats'!A:A,'Up Stats'!F:F,)</f>
        <v/>
      </c>
      <c r="V39" s="54" t="str">
        <f>IFERROR(__xludf.DUMMYFUNCTION("if(AND(W39=FALSE,X39=FALSE),,if(W39=X39,JOIN("""",""Static: "",W39),JOIN("""",""Min:  "",W39, CHAR(10),""Max: "",X39)))"),"")</f>
        <v/>
      </c>
      <c r="W39" s="55" t="str">
        <f t="array" ref="W39">_xlfn.XLOOKUP(B39,'Up Min'!A:A,'Up Min'!F:F,)</f>
        <v/>
      </c>
      <c r="X39" s="55" t="str">
        <f t="array" ref="X39">_xlfn.XLOOKUP(B39,'Up Max'!A:A,'Up Max'!F:F,)</f>
        <v/>
      </c>
      <c r="Y39" s="57" t="str">
        <f t="array" ref="Y39">_xlfn.XLOOKUP(B39,'Up Stats'!A:A,'Up Stats'!G:G,)</f>
        <v/>
      </c>
      <c r="Z39" s="54" t="str">
        <f>IFERROR(__xludf.DUMMYFUNCTION("if(AND(AA39=FALSE,AB39=FALSE),,if(AA39=AB39,JOIN("""",""Static: "",AA39),JOIN("""",""Min:  "",AA39, CHAR(10),""Max: "",AB39)))"),"")</f>
        <v/>
      </c>
      <c r="AA39" s="55" t="str">
        <f t="array" ref="AA39">_xlfn.XLOOKUP(B39,'Up Min'!A:A,'Up Min'!G:G,)</f>
        <v/>
      </c>
      <c r="AB39" s="55" t="str">
        <f t="array" ref="AB39">_xlfn.XLOOKUP(B39,'Up Max'!A:A,'Up Max'!G:G,)</f>
        <v/>
      </c>
      <c r="AC39" s="57" t="str">
        <f t="array" ref="AC39">_xlfn.XLOOKUP(B39,'Up Stats'!A:A,'Up Stats'!H:H,)</f>
        <v/>
      </c>
      <c r="AD39" s="54" t="str">
        <f>IFERROR(__xludf.DUMMYFUNCTION("if(AND(AE39=FALSE,AF39=FALSE),,if(AE39=AF39,JOIN("""",""Static: "",AE39),JOIN("""",""Min:  "",AE39, CHAR(10),""Max: "",AF39)))"),"")</f>
        <v/>
      </c>
      <c r="AE39" s="55" t="str">
        <f t="array" ref="AE39">_xlfn.XLOOKUP(B39,'Up Min'!A:A,'Up Min'!H:H,)</f>
        <v/>
      </c>
      <c r="AF39" s="55" t="str">
        <f t="array" ref="AF39">_xlfn.XLOOKUP(B39,'Up Max'!A:A,'Up Max'!H:H,)</f>
        <v/>
      </c>
      <c r="AG39" s="57" t="str">
        <f t="array" ref="AG39">_xlfn.XLOOKUP(B39,'Up Stats'!A:A,'Up Stats'!I:I,)</f>
        <v/>
      </c>
      <c r="AH39" s="54" t="str">
        <f>IFERROR(__xludf.DUMMYFUNCTION("if(AND(AI39=FALSE,AJ39=FALSE),,if(AI39=AJ39,JOIN("""",""Static: "",AI39),JOIN("""",""Min:  "",AI39, CHAR(10),""Max: "",AJ39)))"),"")</f>
        <v/>
      </c>
      <c r="AI39" s="55" t="str">
        <f t="array" ref="AI39">_xlfn.XLOOKUP(B39,'Up Min'!A:A,'Up Min'!I:I,)</f>
        <v/>
      </c>
      <c r="AJ39" s="55" t="str">
        <f t="array" ref="AJ39">_xlfn.XLOOKUP(B39,'Up Max'!A:A,'Up Max'!I:I,)</f>
        <v/>
      </c>
      <c r="AK39" s="57" t="str">
        <f t="array" ref="AK39">_xlfn.XLOOKUP(B39,'Up Stats'!A:A,'Up Stats'!J:J,)</f>
        <v/>
      </c>
      <c r="AL39" s="54" t="str">
        <f>IFERROR(__xludf.DUMMYFUNCTION("if(AND(AM39=FALSE,AN39=FALSE),,if(AM39=AN39,JOIN("""",""Static: "",AM39),JOIN("""",""Min:  "",AM39, CHAR(10),""Max: "",AN39)))"),"")</f>
        <v/>
      </c>
      <c r="AM39" s="55" t="str">
        <f t="array" ref="AM39">_xlfn.XLOOKUP(B39,'Up Min'!A:A,'Up Min'!J:J,)</f>
        <v/>
      </c>
      <c r="AN39" s="55" t="str">
        <f t="array" ref="AN39">_xlfn.XLOOKUP(B39,'Up Max'!A:A,'Up Max'!J:J,)</f>
        <v/>
      </c>
      <c r="AO39" s="51" t="str">
        <f t="array" ref="AO39">CONCATENATE(_xlfn.XLOOKUP(B39,'Up Cells'!A:A,'Up Cells'!B:B,))</f>
        <v/>
      </c>
      <c r="AP39" s="51" t="str">
        <f t="array" ref="AP39">CONCATENATE(_xlfn.XLOOKUP(B39,'Up Rarity'!A:A,'Up Rarity'!B:B,),CHAR(10),"-")</f>
        <v>
-</v>
      </c>
    </row>
    <row r="40">
      <c r="A40" s="87" t="str">
        <f t="array" ref="A40">_xlfn.XLOOKUP(B40,'Up Icon'!A:A,'Up Icon'!B:B,)</f>
        <v/>
      </c>
      <c r="B40" s="58" t="str">
        <f t="array" ref="B40">HYPERLINK(_xlfn.XLOOKUP('Up Names'!J40,'Up Wiki'!A:A,'Up Wiki'!B:B,),'Up Names'!J40)</f>
        <v/>
      </c>
      <c r="C40" s="37" t="str">
        <f t="array" ref="C40">_xlfn.XLOOKUP(B40,'Up Desc'!A:A,'Up Desc'!B:B,)</f>
        <v/>
      </c>
      <c r="D40" s="37" t="str">
        <f t="array" ref="D40">_xlfn.XLOOKUP(B40,'Up Turbo'!A:A,'Up Turbo'!B:B,)</f>
        <v/>
      </c>
      <c r="E40" s="39" t="str">
        <f t="array" ref="E40">_xlfn.XLOOKUP(B40,'Up Stats'!A:A,'Up Stats'!B:B,)</f>
        <v/>
      </c>
      <c r="F40" s="40" t="str">
        <f>IFERROR(__xludf.DUMMYFUNCTION("if(AND(G40=FALSE,H40=FALSE),,if(G40=H40,JOIN("""",""Static: "",G40),JOIN("""",""Min:  "",G40, CHAR(10),""Max: "",H40)))"),"")</f>
        <v/>
      </c>
      <c r="G40" s="42" t="str">
        <f t="array" ref="G40">_xlfn.XLOOKUP(B40,'Up Min'!A:A,'Up Min'!B:B,)</f>
        <v/>
      </c>
      <c r="H40" s="45" t="str">
        <f t="array" ref="H40">_xlfn.XLOOKUP(B40,'Up Max'!A:A,'Up Max'!B:B,)</f>
        <v/>
      </c>
      <c r="I40" s="39" t="str">
        <f t="array" ref="I40">_xlfn.XLOOKUP(B40,'Up Stats'!A:A,'Up Stats'!C:C,)</f>
        <v/>
      </c>
      <c r="J40" s="40" t="str">
        <f>IFERROR(__xludf.DUMMYFUNCTION("if(AND(K40=FALSE,L40=FALSE),,if(K40=L40,JOIN("""",""Static: "",K40),JOIN("""",""Min:  "",K40, CHAR(10),""Max: "",L40)))"),"")</f>
        <v/>
      </c>
      <c r="K40" s="42" t="str">
        <f t="array" ref="K40">_xlfn.XLOOKUP(B40,'Up Min'!A:A,'Up Min'!C:C,)</f>
        <v/>
      </c>
      <c r="L40" s="42" t="str">
        <f t="array" ref="L40">_xlfn.XLOOKUP(B40,'Up Max'!A:A,'Up Max'!C:C,)</f>
        <v/>
      </c>
      <c r="M40" s="48" t="str">
        <f t="array" ref="M40">_xlfn.XLOOKUP(B40,'Up Stats'!A:A,'Up Stats'!D:D,)</f>
        <v/>
      </c>
      <c r="N40" s="40" t="str">
        <f>IFERROR(__xludf.DUMMYFUNCTION("if(AND(O40=FALSE,P40=FALSE),,if(O40=P40,JOIN("""",""Static: "",O40),JOIN("""",""Min:  "",O40, CHAR(10),""Max: "",P40)))"),"")</f>
        <v/>
      </c>
      <c r="O40" s="42" t="str">
        <f t="array" ref="O40">_xlfn.XLOOKUP(B40,'Up Min'!A:A,'Up Min'!D:D,)</f>
        <v/>
      </c>
      <c r="P40" s="42" t="str">
        <f t="array" ref="P40">_xlfn.XLOOKUP(B40,'Up Max'!A:A,'Up Max'!D:D,)</f>
        <v/>
      </c>
      <c r="Q40" s="48" t="str">
        <f t="array" ref="Q40">_xlfn.XLOOKUP(B40,'Up Stats'!A:A,'Up Stats'!E:E,)</f>
        <v/>
      </c>
      <c r="R40" s="40" t="str">
        <f>IFERROR(__xludf.DUMMYFUNCTION("if(AND(S40=FALSE,T40=FALSE),,if(S40=T40,JOIN("""",""Static: "",S40),JOIN("""",""Min:  "",S40, CHAR(10),""Max: "",T40)))"),"")</f>
        <v/>
      </c>
      <c r="S40" s="42" t="str">
        <f t="array" ref="S40">_xlfn.XLOOKUP(B40,'Up Min'!A:A,'Up Min'!E:E,)</f>
        <v/>
      </c>
      <c r="T40" s="42" t="str">
        <f t="array" ref="T40">_xlfn.XLOOKUP(B40,'Up Max'!A:A,'Up Max'!E:E,)</f>
        <v/>
      </c>
      <c r="U40" s="48" t="str">
        <f t="array" ref="U40">_xlfn.XLOOKUP(B40,'Up Stats'!A:A,'Up Stats'!F:F,)</f>
        <v/>
      </c>
      <c r="V40" s="40" t="str">
        <f>IFERROR(__xludf.DUMMYFUNCTION("if(AND(W40=FALSE,X40=FALSE),,if(W40=X40,JOIN("""",""Static: "",W40),JOIN("""",""Min:  "",W40, CHAR(10),""Max: "",X40)))"),"")</f>
        <v/>
      </c>
      <c r="W40" s="42" t="str">
        <f t="array" ref="W40">_xlfn.XLOOKUP(B40,'Up Min'!A:A,'Up Min'!F:F,)</f>
        <v/>
      </c>
      <c r="X40" s="42" t="str">
        <f t="array" ref="X40">_xlfn.XLOOKUP(B40,'Up Max'!A:A,'Up Max'!F:F,)</f>
        <v/>
      </c>
      <c r="Y40" s="48" t="str">
        <f t="array" ref="Y40">_xlfn.XLOOKUP(B40,'Up Stats'!A:A,'Up Stats'!G:G,)</f>
        <v/>
      </c>
      <c r="Z40" s="40" t="str">
        <f>IFERROR(__xludf.DUMMYFUNCTION("if(AND(AA40=FALSE,AB40=FALSE),,if(AA40=AB40,JOIN("""",""Static: "",AA40),JOIN("""",""Min:  "",AA40, CHAR(10),""Max: "",AB40)))"),"")</f>
        <v/>
      </c>
      <c r="AA40" s="42" t="str">
        <f t="array" ref="AA40">_xlfn.XLOOKUP(B40,'Up Min'!A:A,'Up Min'!G:G,)</f>
        <v/>
      </c>
      <c r="AB40" s="42" t="str">
        <f t="array" ref="AB40">_xlfn.XLOOKUP(B40,'Up Max'!A:A,'Up Max'!G:G,)</f>
        <v/>
      </c>
      <c r="AC40" s="48" t="str">
        <f t="array" ref="AC40">_xlfn.XLOOKUP(B40,'Up Stats'!A:A,'Up Stats'!H:H,)</f>
        <v/>
      </c>
      <c r="AD40" s="40" t="str">
        <f>IFERROR(__xludf.DUMMYFUNCTION("if(AND(AE40=FALSE,AF40=FALSE),,if(AE40=AF40,JOIN("""",""Static: "",AE40),JOIN("""",""Min:  "",AE40, CHAR(10),""Max: "",AF40)))"),"")</f>
        <v/>
      </c>
      <c r="AE40" s="42" t="str">
        <f t="array" ref="AE40">_xlfn.XLOOKUP(B40,'Up Min'!A:A,'Up Min'!H:H,)</f>
        <v/>
      </c>
      <c r="AF40" s="42" t="str">
        <f t="array" ref="AF40">_xlfn.XLOOKUP(B40,'Up Max'!A:A,'Up Max'!H:H,)</f>
        <v/>
      </c>
      <c r="AG40" s="48" t="str">
        <f t="array" ref="AG40">_xlfn.XLOOKUP(B40,'Up Stats'!A:A,'Up Stats'!I:I,)</f>
        <v/>
      </c>
      <c r="AH40" s="40" t="str">
        <f>IFERROR(__xludf.DUMMYFUNCTION("if(AND(AI40=FALSE,AJ40=FALSE),,if(AI40=AJ40,JOIN("""",""Static: "",AI40),JOIN("""",""Min:  "",AI40, CHAR(10),""Max: "",AJ40)))"),"")</f>
        <v/>
      </c>
      <c r="AI40" s="42" t="str">
        <f t="array" ref="AI40">_xlfn.XLOOKUP(B40,'Up Min'!A:A,'Up Min'!I:I,)</f>
        <v/>
      </c>
      <c r="AJ40" s="42" t="str">
        <f t="array" ref="AJ40">_xlfn.XLOOKUP(B40,'Up Max'!A:A,'Up Max'!I:I,)</f>
        <v/>
      </c>
      <c r="AK40" s="48" t="str">
        <f t="array" ref="AK40">_xlfn.XLOOKUP(B40,'Up Stats'!A:A,'Up Stats'!J:J,)</f>
        <v/>
      </c>
      <c r="AL40" s="40" t="str">
        <f>IFERROR(__xludf.DUMMYFUNCTION("if(AND(AM40=FALSE,AN40=FALSE),,if(AM40=AN40,JOIN("""",""Static: "",AM40),JOIN("""",""Min:  "",AM40, CHAR(10),""Max: "",AN40)))"),"")</f>
        <v/>
      </c>
      <c r="AM40" s="42" t="str">
        <f t="array" ref="AM40">_xlfn.XLOOKUP(B40,'Up Min'!A:A,'Up Min'!J:J,)</f>
        <v/>
      </c>
      <c r="AN40" s="42" t="str">
        <f t="array" ref="AN40">_xlfn.XLOOKUP(B40,'Up Max'!A:A,'Up Max'!J:J,)</f>
        <v/>
      </c>
      <c r="AO40" s="34" t="str">
        <f t="array" ref="AO40">CONCATENATE(_xlfn.XLOOKUP(B40,'Up Cells'!A:A,'Up Cells'!B:B,))</f>
        <v/>
      </c>
      <c r="AP40" s="34" t="str">
        <f t="array" ref="AP40">CONCATENATE(_xlfn.XLOOKUP(B40,'Up Rarity'!A:A,'Up Rarity'!B:B,),CHAR(10),"-")</f>
        <v>
-</v>
      </c>
    </row>
    <row r="41">
      <c r="A41" s="86" t="str">
        <f t="array" ref="A41">_xlfn.XLOOKUP(B41,'Up Icon'!A:A,'Up Icon'!B:B,)</f>
        <v/>
      </c>
      <c r="B41" s="61" t="str">
        <f t="array" ref="B41">HYPERLINK(_xlfn.XLOOKUP('Up Names'!J41,'Up Wiki'!A:A,'Up Wiki'!B:B,),'Up Names'!J41)</f>
        <v/>
      </c>
      <c r="C41" s="52" t="str">
        <f t="array" ref="C41">_xlfn.XLOOKUP(B41,'Up Desc'!A:A,'Up Desc'!B:B,)</f>
        <v/>
      </c>
      <c r="D41" s="52" t="str">
        <f t="array" ref="D41">_xlfn.XLOOKUP(B41,'Up Turbo'!A:A,'Up Turbo'!B:B,)</f>
        <v/>
      </c>
      <c r="E41" s="53" t="str">
        <f t="array" ref="E41">_xlfn.XLOOKUP(B41,'Up Stats'!A:A,'Up Stats'!B:B,)</f>
        <v/>
      </c>
      <c r="F41" s="54" t="str">
        <f>IFERROR(__xludf.DUMMYFUNCTION("if(AND(G41=FALSE,H41=FALSE),,if(G41=H41,JOIN("""",""Static: "",G41),JOIN("""",""Min:  "",G41, CHAR(10),""Max: "",H41)))"),"")</f>
        <v/>
      </c>
      <c r="G41" s="55" t="str">
        <f t="array" ref="G41">_xlfn.XLOOKUP(B41,'Up Min'!A:A,'Up Min'!B:B,)</f>
        <v/>
      </c>
      <c r="H41" s="56" t="str">
        <f t="array" ref="H41">_xlfn.XLOOKUP(B41,'Up Max'!A:A,'Up Max'!B:B,)</f>
        <v/>
      </c>
      <c r="I41" s="53" t="str">
        <f t="array" ref="I41">_xlfn.XLOOKUP(B41,'Up Stats'!A:A,'Up Stats'!C:C,)</f>
        <v/>
      </c>
      <c r="J41" s="54" t="str">
        <f>IFERROR(__xludf.DUMMYFUNCTION("if(AND(K41=FALSE,L41=FALSE),,if(K41=L41,JOIN("""",""Static: "",K41),JOIN("""",""Min:  "",K41, CHAR(10),""Max: "",L41)))"),"")</f>
        <v/>
      </c>
      <c r="K41" s="55" t="str">
        <f t="array" ref="K41">_xlfn.XLOOKUP(B41,'Up Min'!A:A,'Up Min'!C:C,)</f>
        <v/>
      </c>
      <c r="L41" s="55" t="str">
        <f t="array" ref="L41">_xlfn.XLOOKUP(B41,'Up Max'!A:A,'Up Max'!C:C,)</f>
        <v/>
      </c>
      <c r="M41" s="57" t="str">
        <f t="array" ref="M41">_xlfn.XLOOKUP(B41,'Up Stats'!A:A,'Up Stats'!D:D,)</f>
        <v/>
      </c>
      <c r="N41" s="54" t="str">
        <f>IFERROR(__xludf.DUMMYFUNCTION("if(AND(O41=FALSE,P41=FALSE),,if(O41=P41,JOIN("""",""Static: "",O41),JOIN("""",""Min:  "",O41, CHAR(10),""Max: "",P41)))"),"")</f>
        <v/>
      </c>
      <c r="O41" s="55" t="str">
        <f t="array" ref="O41">_xlfn.XLOOKUP(B41,'Up Min'!A:A,'Up Min'!D:D,)</f>
        <v/>
      </c>
      <c r="P41" s="55" t="str">
        <f t="array" ref="P41">_xlfn.XLOOKUP(B41,'Up Max'!A:A,'Up Max'!D:D,)</f>
        <v/>
      </c>
      <c r="Q41" s="57" t="str">
        <f t="array" ref="Q41">_xlfn.XLOOKUP(B41,'Up Stats'!A:A,'Up Stats'!E:E,)</f>
        <v/>
      </c>
      <c r="R41" s="54" t="str">
        <f>IFERROR(__xludf.DUMMYFUNCTION("if(AND(S41=FALSE,T41=FALSE),,if(S41=T41,JOIN("""",""Static: "",S41),JOIN("""",""Min:  "",S41, CHAR(10),""Max: "",T41)))"),"")</f>
        <v/>
      </c>
      <c r="S41" s="55" t="str">
        <f t="array" ref="S41">_xlfn.XLOOKUP(B41,'Up Min'!A:A,'Up Min'!E:E,)</f>
        <v/>
      </c>
      <c r="T41" s="55" t="str">
        <f t="array" ref="T41">_xlfn.XLOOKUP(B41,'Up Max'!A:A,'Up Max'!E:E,)</f>
        <v/>
      </c>
      <c r="U41" s="57" t="str">
        <f t="array" ref="U41">_xlfn.XLOOKUP(B41,'Up Stats'!A:A,'Up Stats'!F:F,)</f>
        <v/>
      </c>
      <c r="V41" s="54" t="str">
        <f>IFERROR(__xludf.DUMMYFUNCTION("if(AND(W41=FALSE,X41=FALSE),,if(W41=X41,JOIN("""",""Static: "",W41),JOIN("""",""Min:  "",W41, CHAR(10),""Max: "",X41)))"),"")</f>
        <v/>
      </c>
      <c r="W41" s="55" t="str">
        <f t="array" ref="W41">_xlfn.XLOOKUP(B41,'Up Min'!A:A,'Up Min'!F:F,)</f>
        <v/>
      </c>
      <c r="X41" s="55" t="str">
        <f t="array" ref="X41">_xlfn.XLOOKUP(B41,'Up Max'!A:A,'Up Max'!F:F,)</f>
        <v/>
      </c>
      <c r="Y41" s="57" t="str">
        <f t="array" ref="Y41">_xlfn.XLOOKUP(B41,'Up Stats'!A:A,'Up Stats'!G:G,)</f>
        <v/>
      </c>
      <c r="Z41" s="54" t="str">
        <f>IFERROR(__xludf.DUMMYFUNCTION("if(AND(AA41=FALSE,AB41=FALSE),,if(AA41=AB41,JOIN("""",""Static: "",AA41),JOIN("""",""Min:  "",AA41, CHAR(10),""Max: "",AB41)))"),"")</f>
        <v/>
      </c>
      <c r="AA41" s="55" t="str">
        <f t="array" ref="AA41">_xlfn.XLOOKUP(B41,'Up Min'!A:A,'Up Min'!G:G,)</f>
        <v/>
      </c>
      <c r="AB41" s="55" t="str">
        <f t="array" ref="AB41">_xlfn.XLOOKUP(B41,'Up Max'!A:A,'Up Max'!G:G,)</f>
        <v/>
      </c>
      <c r="AC41" s="57" t="str">
        <f t="array" ref="AC41">_xlfn.XLOOKUP(B41,'Up Stats'!A:A,'Up Stats'!H:H,)</f>
        <v/>
      </c>
      <c r="AD41" s="54" t="str">
        <f>IFERROR(__xludf.DUMMYFUNCTION("if(AND(AE41=FALSE,AF41=FALSE),,if(AE41=AF41,JOIN("""",""Static: "",AE41),JOIN("""",""Min:  "",AE41, CHAR(10),""Max: "",AF41)))"),"")</f>
        <v/>
      </c>
      <c r="AE41" s="55" t="str">
        <f t="array" ref="AE41">_xlfn.XLOOKUP(B41,'Up Min'!A:A,'Up Min'!H:H,)</f>
        <v/>
      </c>
      <c r="AF41" s="55" t="str">
        <f t="array" ref="AF41">_xlfn.XLOOKUP(B41,'Up Max'!A:A,'Up Max'!H:H,)</f>
        <v/>
      </c>
      <c r="AG41" s="57" t="str">
        <f t="array" ref="AG41">_xlfn.XLOOKUP(B41,'Up Stats'!A:A,'Up Stats'!I:I,)</f>
        <v/>
      </c>
      <c r="AH41" s="54" t="str">
        <f>IFERROR(__xludf.DUMMYFUNCTION("if(AND(AI41=FALSE,AJ41=FALSE),,if(AI41=AJ41,JOIN("""",""Static: "",AI41),JOIN("""",""Min:  "",AI41, CHAR(10),""Max: "",AJ41)))"),"")</f>
        <v/>
      </c>
      <c r="AI41" s="55" t="str">
        <f t="array" ref="AI41">_xlfn.XLOOKUP(B41,'Up Min'!A:A,'Up Min'!I:I,)</f>
        <v/>
      </c>
      <c r="AJ41" s="55" t="str">
        <f t="array" ref="AJ41">_xlfn.XLOOKUP(B41,'Up Max'!A:A,'Up Max'!I:I,)</f>
        <v/>
      </c>
      <c r="AK41" s="57" t="str">
        <f t="array" ref="AK41">_xlfn.XLOOKUP(B41,'Up Stats'!A:A,'Up Stats'!J:J,)</f>
        <v/>
      </c>
      <c r="AL41" s="54" t="str">
        <f>IFERROR(__xludf.DUMMYFUNCTION("if(AND(AM41=FALSE,AN41=FALSE),,if(AM41=AN41,JOIN("""",""Static: "",AM41),JOIN("""",""Min:  "",AM41, CHAR(10),""Max: "",AN41)))"),"")</f>
        <v/>
      </c>
      <c r="AM41" s="55" t="str">
        <f t="array" ref="AM41">_xlfn.XLOOKUP(B41,'Up Min'!A:A,'Up Min'!J:J,)</f>
        <v/>
      </c>
      <c r="AN41" s="55" t="str">
        <f t="array" ref="AN41">_xlfn.XLOOKUP(B41,'Up Max'!A:A,'Up Max'!J:J,)</f>
        <v/>
      </c>
      <c r="AO41" s="51" t="str">
        <f t="array" ref="AO41">CONCATENATE(_xlfn.XLOOKUP(B41,'Up Cells'!A:A,'Up Cells'!B:B,))</f>
        <v/>
      </c>
      <c r="AP41" s="51" t="str">
        <f t="array" ref="AP41">CONCATENATE(_xlfn.XLOOKUP(B41,'Up Rarity'!A:A,'Up Rarity'!B:B,),CHAR(10),"-")</f>
        <v>
-</v>
      </c>
    </row>
    <row r="42">
      <c r="A42" s="87" t="str">
        <f t="array" ref="A42">_xlfn.XLOOKUP(B42,'Up Icon'!A:A,'Up Icon'!B:B,)</f>
        <v/>
      </c>
      <c r="B42" s="58" t="str">
        <f t="array" ref="B42">HYPERLINK(_xlfn.XLOOKUP('Up Names'!J42,'Up Wiki'!A:A,'Up Wiki'!B:B,),'Up Names'!J42)</f>
        <v/>
      </c>
      <c r="C42" s="37" t="str">
        <f t="array" ref="C42">_xlfn.XLOOKUP(B42,'Up Desc'!A:A,'Up Desc'!B:B,)</f>
        <v/>
      </c>
      <c r="D42" s="37" t="str">
        <f t="array" ref="D42">_xlfn.XLOOKUP(B42,'Up Turbo'!A:A,'Up Turbo'!B:B,)</f>
        <v/>
      </c>
      <c r="E42" s="39" t="str">
        <f t="array" ref="E42">_xlfn.XLOOKUP(B42,'Up Stats'!A:A,'Up Stats'!B:B,)</f>
        <v/>
      </c>
      <c r="F42" s="40" t="str">
        <f>IFERROR(__xludf.DUMMYFUNCTION("if(AND(G42=FALSE,H42=FALSE),,if(G42=H42,JOIN("""",""Static: "",G42),JOIN("""",""Min:  "",G42, CHAR(10),""Max: "",H42)))"),"")</f>
        <v/>
      </c>
      <c r="G42" s="42" t="str">
        <f t="array" ref="G42">_xlfn.XLOOKUP(B42,'Up Min'!A:A,'Up Min'!B:B,)</f>
        <v/>
      </c>
      <c r="H42" s="45" t="str">
        <f t="array" ref="H42">_xlfn.XLOOKUP(B42,'Up Max'!A:A,'Up Max'!B:B,)</f>
        <v/>
      </c>
      <c r="I42" s="39" t="str">
        <f t="array" ref="I42">_xlfn.XLOOKUP(B42,'Up Stats'!A:A,'Up Stats'!C:C,)</f>
        <v/>
      </c>
      <c r="J42" s="40" t="str">
        <f>IFERROR(__xludf.DUMMYFUNCTION("if(AND(K42=FALSE,L42=FALSE),,if(K42=L42,JOIN("""",""Static: "",K42),JOIN("""",""Min:  "",K42, CHAR(10),""Max: "",L42)))"),"")</f>
        <v/>
      </c>
      <c r="K42" s="42" t="str">
        <f t="array" ref="K42">_xlfn.XLOOKUP(B42,'Up Min'!A:A,'Up Min'!C:C,)</f>
        <v/>
      </c>
      <c r="L42" s="42" t="str">
        <f t="array" ref="L42">_xlfn.XLOOKUP(B42,'Up Max'!A:A,'Up Max'!C:C,)</f>
        <v/>
      </c>
      <c r="M42" s="48" t="str">
        <f t="array" ref="M42">_xlfn.XLOOKUP(B42,'Up Stats'!A:A,'Up Stats'!D:D,)</f>
        <v/>
      </c>
      <c r="N42" s="40" t="str">
        <f>IFERROR(__xludf.DUMMYFUNCTION("if(AND(O42=FALSE,P42=FALSE),,if(O42=P42,JOIN("""",""Static: "",O42),JOIN("""",""Min:  "",O42, CHAR(10),""Max: "",P42)))"),"")</f>
        <v/>
      </c>
      <c r="O42" s="42" t="str">
        <f t="array" ref="O42">_xlfn.XLOOKUP(B42,'Up Min'!A:A,'Up Min'!D:D,)</f>
        <v/>
      </c>
      <c r="P42" s="42" t="str">
        <f t="array" ref="P42">_xlfn.XLOOKUP(B42,'Up Max'!A:A,'Up Max'!D:D,)</f>
        <v/>
      </c>
      <c r="Q42" s="48" t="str">
        <f t="array" ref="Q42">_xlfn.XLOOKUP(B42,'Up Stats'!A:A,'Up Stats'!E:E,)</f>
        <v/>
      </c>
      <c r="R42" s="40" t="str">
        <f>IFERROR(__xludf.DUMMYFUNCTION("if(AND(S42=FALSE,T42=FALSE),,if(S42=T42,JOIN("""",""Static: "",S42),JOIN("""",""Min:  "",S42, CHAR(10),""Max: "",T42)))"),"")</f>
        <v/>
      </c>
      <c r="S42" s="42" t="str">
        <f t="array" ref="S42">_xlfn.XLOOKUP(B42,'Up Min'!A:A,'Up Min'!E:E,)</f>
        <v/>
      </c>
      <c r="T42" s="42" t="str">
        <f t="array" ref="T42">_xlfn.XLOOKUP(B42,'Up Max'!A:A,'Up Max'!E:E,)</f>
        <v/>
      </c>
      <c r="U42" s="48" t="str">
        <f t="array" ref="U42">_xlfn.XLOOKUP(B42,'Up Stats'!A:A,'Up Stats'!F:F,)</f>
        <v/>
      </c>
      <c r="V42" s="40" t="str">
        <f>IFERROR(__xludf.DUMMYFUNCTION("if(AND(W42=FALSE,X42=FALSE),,if(W42=X42,JOIN("""",""Static: "",W42),JOIN("""",""Min:  "",W42, CHAR(10),""Max: "",X42)))"),"")</f>
        <v/>
      </c>
      <c r="W42" s="42" t="str">
        <f t="array" ref="W42">_xlfn.XLOOKUP(B42,'Up Min'!A:A,'Up Min'!F:F,)</f>
        <v/>
      </c>
      <c r="X42" s="42" t="str">
        <f t="array" ref="X42">_xlfn.XLOOKUP(B42,'Up Max'!A:A,'Up Max'!F:F,)</f>
        <v/>
      </c>
      <c r="Y42" s="48" t="str">
        <f t="array" ref="Y42">_xlfn.XLOOKUP(B42,'Up Stats'!A:A,'Up Stats'!G:G,)</f>
        <v/>
      </c>
      <c r="Z42" s="40" t="str">
        <f>IFERROR(__xludf.DUMMYFUNCTION("if(AND(AA42=FALSE,AB42=FALSE),,if(AA42=AB42,JOIN("""",""Static: "",AA42),JOIN("""",""Min:  "",AA42, CHAR(10),""Max: "",AB42)))"),"")</f>
        <v/>
      </c>
      <c r="AA42" s="42" t="str">
        <f t="array" ref="AA42">_xlfn.XLOOKUP(B42,'Up Min'!A:A,'Up Min'!G:G,)</f>
        <v/>
      </c>
      <c r="AB42" s="42" t="str">
        <f t="array" ref="AB42">_xlfn.XLOOKUP(B42,'Up Max'!A:A,'Up Max'!G:G,)</f>
        <v/>
      </c>
      <c r="AC42" s="48" t="str">
        <f t="array" ref="AC42">_xlfn.XLOOKUP(B42,'Up Stats'!A:A,'Up Stats'!H:H,)</f>
        <v/>
      </c>
      <c r="AD42" s="40" t="str">
        <f>IFERROR(__xludf.DUMMYFUNCTION("if(AND(AE42=FALSE,AF42=FALSE),,if(AE42=AF42,JOIN("""",""Static: "",AE42),JOIN("""",""Min:  "",AE42, CHAR(10),""Max: "",AF42)))"),"")</f>
        <v/>
      </c>
      <c r="AE42" s="42" t="str">
        <f t="array" ref="AE42">_xlfn.XLOOKUP(B42,'Up Min'!A:A,'Up Min'!H:H,)</f>
        <v/>
      </c>
      <c r="AF42" s="42" t="str">
        <f t="array" ref="AF42">_xlfn.XLOOKUP(B42,'Up Max'!A:A,'Up Max'!H:H,)</f>
        <v/>
      </c>
      <c r="AG42" s="48" t="str">
        <f t="array" ref="AG42">_xlfn.XLOOKUP(B42,'Up Stats'!A:A,'Up Stats'!I:I,)</f>
        <v/>
      </c>
      <c r="AH42" s="40" t="str">
        <f>IFERROR(__xludf.DUMMYFUNCTION("if(AND(AI42=FALSE,AJ42=FALSE),,if(AI42=AJ42,JOIN("""",""Static: "",AI42),JOIN("""",""Min:  "",AI42, CHAR(10),""Max: "",AJ42)))"),"")</f>
        <v/>
      </c>
      <c r="AI42" s="42" t="str">
        <f t="array" ref="AI42">_xlfn.XLOOKUP(B42,'Up Min'!A:A,'Up Min'!I:I,)</f>
        <v/>
      </c>
      <c r="AJ42" s="42" t="str">
        <f t="array" ref="AJ42">_xlfn.XLOOKUP(B42,'Up Max'!A:A,'Up Max'!I:I,)</f>
        <v/>
      </c>
      <c r="AK42" s="48" t="str">
        <f t="array" ref="AK42">_xlfn.XLOOKUP(B42,'Up Stats'!A:A,'Up Stats'!J:J,)</f>
        <v/>
      </c>
      <c r="AL42" s="40" t="str">
        <f>IFERROR(__xludf.DUMMYFUNCTION("if(AND(AM42=FALSE,AN42=FALSE),,if(AM42=AN42,JOIN("""",""Static: "",AM42),JOIN("""",""Min:  "",AM42, CHAR(10),""Max: "",AN42)))"),"")</f>
        <v/>
      </c>
      <c r="AM42" s="42" t="str">
        <f t="array" ref="AM42">_xlfn.XLOOKUP(B42,'Up Min'!A:A,'Up Min'!J:J,)</f>
        <v/>
      </c>
      <c r="AN42" s="42" t="str">
        <f t="array" ref="AN42">_xlfn.XLOOKUP(B42,'Up Max'!A:A,'Up Max'!J:J,)</f>
        <v/>
      </c>
      <c r="AO42" s="34" t="str">
        <f t="array" ref="AO42">CONCATENATE(_xlfn.XLOOKUP(B42,'Up Cells'!A:A,'Up Cells'!B:B,))</f>
        <v/>
      </c>
      <c r="AP42" s="34" t="str">
        <f t="array" ref="AP42">CONCATENATE(_xlfn.XLOOKUP(B42,'Up Rarity'!A:A,'Up Rarity'!B:B,),CHAR(10),"-")</f>
        <v>
-</v>
      </c>
    </row>
    <row r="43">
      <c r="A43" s="86" t="str">
        <f t="array" ref="A43">_xlfn.XLOOKUP(B43,'Up Icon'!A:A,'Up Icon'!B:B,)</f>
        <v/>
      </c>
      <c r="B43" s="61" t="str">
        <f t="array" ref="B43">HYPERLINK(_xlfn.XLOOKUP('Up Names'!J43,'Up Wiki'!A:A,'Up Wiki'!B:B,),'Up Names'!J43)</f>
        <v/>
      </c>
      <c r="C43" s="52" t="str">
        <f t="array" ref="C43">_xlfn.XLOOKUP(B43,'Up Desc'!A:A,'Up Desc'!B:B,)</f>
        <v/>
      </c>
      <c r="D43" s="52" t="str">
        <f t="array" ref="D43">_xlfn.XLOOKUP(B43,'Up Turbo'!A:A,'Up Turbo'!B:B,)</f>
        <v/>
      </c>
      <c r="E43" s="53" t="str">
        <f t="array" ref="E43">_xlfn.XLOOKUP(B43,'Up Stats'!A:A,'Up Stats'!B:B,)</f>
        <v/>
      </c>
      <c r="F43" s="54" t="str">
        <f>IFERROR(__xludf.DUMMYFUNCTION("if(AND(G43=FALSE,H43=FALSE),,if(G43=H43,JOIN("""",""Static: "",G43),JOIN("""",""Min:  "",G43, CHAR(10),""Max: "",H43)))"),"")</f>
        <v/>
      </c>
      <c r="G43" s="55" t="str">
        <f t="array" ref="G43">_xlfn.XLOOKUP(B43,'Up Min'!A:A,'Up Min'!B:B,)</f>
        <v/>
      </c>
      <c r="H43" s="56" t="str">
        <f t="array" ref="H43">_xlfn.XLOOKUP(B43,'Up Max'!A:A,'Up Max'!B:B,)</f>
        <v/>
      </c>
      <c r="I43" s="53" t="str">
        <f t="array" ref="I43">_xlfn.XLOOKUP(B43,'Up Stats'!A:A,'Up Stats'!C:C,)</f>
        <v/>
      </c>
      <c r="J43" s="54" t="str">
        <f>IFERROR(__xludf.DUMMYFUNCTION("if(AND(K43=FALSE,L43=FALSE),,if(K43=L43,JOIN("""",""Static: "",K43),JOIN("""",""Min:  "",K43, CHAR(10),""Max: "",L43)))"),"")</f>
        <v/>
      </c>
      <c r="K43" s="55" t="str">
        <f t="array" ref="K43">_xlfn.XLOOKUP(B43,'Up Min'!A:A,'Up Min'!C:C,)</f>
        <v/>
      </c>
      <c r="L43" s="55" t="str">
        <f t="array" ref="L43">_xlfn.XLOOKUP(B43,'Up Max'!A:A,'Up Max'!C:C,)</f>
        <v/>
      </c>
      <c r="M43" s="57" t="str">
        <f t="array" ref="M43">_xlfn.XLOOKUP(B43,'Up Stats'!A:A,'Up Stats'!D:D,)</f>
        <v/>
      </c>
      <c r="N43" s="54" t="str">
        <f>IFERROR(__xludf.DUMMYFUNCTION("if(AND(O43=FALSE,P43=FALSE),,if(O43=P43,JOIN("""",""Static: "",O43),JOIN("""",""Min:  "",O43, CHAR(10),""Max: "",P43)))"),"")</f>
        <v/>
      </c>
      <c r="O43" s="55" t="str">
        <f t="array" ref="O43">_xlfn.XLOOKUP(B43,'Up Min'!A:A,'Up Min'!D:D,)</f>
        <v/>
      </c>
      <c r="P43" s="55" t="str">
        <f t="array" ref="P43">_xlfn.XLOOKUP(B43,'Up Max'!A:A,'Up Max'!D:D,)</f>
        <v/>
      </c>
      <c r="Q43" s="57" t="str">
        <f t="array" ref="Q43">_xlfn.XLOOKUP(B43,'Up Stats'!A:A,'Up Stats'!E:E,)</f>
        <v/>
      </c>
      <c r="R43" s="54" t="str">
        <f>IFERROR(__xludf.DUMMYFUNCTION("if(AND(S43=FALSE,T43=FALSE),,if(S43=T43,JOIN("""",""Static: "",S43),JOIN("""",""Min:  "",S43, CHAR(10),""Max: "",T43)))"),"")</f>
        <v/>
      </c>
      <c r="S43" s="55" t="str">
        <f t="array" ref="S43">_xlfn.XLOOKUP(B43,'Up Min'!A:A,'Up Min'!E:E,)</f>
        <v/>
      </c>
      <c r="T43" s="55" t="str">
        <f t="array" ref="T43">_xlfn.XLOOKUP(B43,'Up Max'!A:A,'Up Max'!E:E,)</f>
        <v/>
      </c>
      <c r="U43" s="57" t="str">
        <f t="array" ref="U43">_xlfn.XLOOKUP(B43,'Up Stats'!A:A,'Up Stats'!F:F,)</f>
        <v/>
      </c>
      <c r="V43" s="54" t="str">
        <f>IFERROR(__xludf.DUMMYFUNCTION("if(AND(W43=FALSE,X43=FALSE),,if(W43=X43,JOIN("""",""Static: "",W43),JOIN("""",""Min:  "",W43, CHAR(10),""Max: "",X43)))"),"")</f>
        <v/>
      </c>
      <c r="W43" s="55" t="str">
        <f t="array" ref="W43">_xlfn.XLOOKUP(B43,'Up Min'!A:A,'Up Min'!F:F,)</f>
        <v/>
      </c>
      <c r="X43" s="55" t="str">
        <f t="array" ref="X43">_xlfn.XLOOKUP(B43,'Up Max'!A:A,'Up Max'!F:F,)</f>
        <v/>
      </c>
      <c r="Y43" s="57" t="str">
        <f t="array" ref="Y43">_xlfn.XLOOKUP(B43,'Up Stats'!A:A,'Up Stats'!G:G,)</f>
        <v/>
      </c>
      <c r="Z43" s="54" t="str">
        <f>IFERROR(__xludf.DUMMYFUNCTION("if(AND(AA43=FALSE,AB43=FALSE),,if(AA43=AB43,JOIN("""",""Static: "",AA43),JOIN("""",""Min:  "",AA43, CHAR(10),""Max: "",AB43)))"),"")</f>
        <v/>
      </c>
      <c r="AA43" s="55" t="str">
        <f t="array" ref="AA43">_xlfn.XLOOKUP(B43,'Up Min'!A:A,'Up Min'!G:G,)</f>
        <v/>
      </c>
      <c r="AB43" s="55" t="str">
        <f t="array" ref="AB43">_xlfn.XLOOKUP(B43,'Up Max'!A:A,'Up Max'!G:G,)</f>
        <v/>
      </c>
      <c r="AC43" s="57" t="str">
        <f t="array" ref="AC43">_xlfn.XLOOKUP(B43,'Up Stats'!A:A,'Up Stats'!H:H,)</f>
        <v/>
      </c>
      <c r="AD43" s="54" t="str">
        <f>IFERROR(__xludf.DUMMYFUNCTION("if(AND(AE43=FALSE,AF43=FALSE),,if(AE43=AF43,JOIN("""",""Static: "",AE43),JOIN("""",""Min:  "",AE43, CHAR(10),""Max: "",AF43)))"),"")</f>
        <v/>
      </c>
      <c r="AE43" s="55" t="str">
        <f t="array" ref="AE43">_xlfn.XLOOKUP(B43,'Up Min'!A:A,'Up Min'!H:H,)</f>
        <v/>
      </c>
      <c r="AF43" s="55" t="str">
        <f t="array" ref="AF43">_xlfn.XLOOKUP(B43,'Up Max'!A:A,'Up Max'!H:H,)</f>
        <v/>
      </c>
      <c r="AG43" s="57" t="str">
        <f t="array" ref="AG43">_xlfn.XLOOKUP(B43,'Up Stats'!A:A,'Up Stats'!I:I,)</f>
        <v/>
      </c>
      <c r="AH43" s="54" t="str">
        <f>IFERROR(__xludf.DUMMYFUNCTION("if(AND(AI43=FALSE,AJ43=FALSE),,if(AI43=AJ43,JOIN("""",""Static: "",AI43),JOIN("""",""Min:  "",AI43, CHAR(10),""Max: "",AJ43)))"),"")</f>
        <v/>
      </c>
      <c r="AI43" s="55" t="str">
        <f t="array" ref="AI43">_xlfn.XLOOKUP(B43,'Up Min'!A:A,'Up Min'!I:I,)</f>
        <v/>
      </c>
      <c r="AJ43" s="55" t="str">
        <f t="array" ref="AJ43">_xlfn.XLOOKUP(B43,'Up Max'!A:A,'Up Max'!I:I,)</f>
        <v/>
      </c>
      <c r="AK43" s="57" t="str">
        <f t="array" ref="AK43">_xlfn.XLOOKUP(B43,'Up Stats'!A:A,'Up Stats'!J:J,)</f>
        <v/>
      </c>
      <c r="AL43" s="54" t="str">
        <f>IFERROR(__xludf.DUMMYFUNCTION("if(AND(AM43=FALSE,AN43=FALSE),,if(AM43=AN43,JOIN("""",""Static: "",AM43),JOIN("""",""Min:  "",AM43, CHAR(10),""Max: "",AN43)))"),"")</f>
        <v/>
      </c>
      <c r="AM43" s="55" t="str">
        <f t="array" ref="AM43">_xlfn.XLOOKUP(B43,'Up Min'!A:A,'Up Min'!J:J,)</f>
        <v/>
      </c>
      <c r="AN43" s="55" t="str">
        <f t="array" ref="AN43">_xlfn.XLOOKUP(B43,'Up Max'!A:A,'Up Max'!J:J,)</f>
        <v/>
      </c>
      <c r="AO43" s="51" t="str">
        <f t="array" ref="AO43">CONCATENATE(_xlfn.XLOOKUP(B43,'Up Cells'!A:A,'Up Cells'!B:B,))</f>
        <v/>
      </c>
      <c r="AP43" s="51" t="str">
        <f t="array" ref="AP43">CONCATENATE(_xlfn.XLOOKUP(B43,'Up Rarity'!A:A,'Up Rarity'!B:B,),CHAR(10),"-")</f>
        <v>
-</v>
      </c>
    </row>
    <row r="44">
      <c r="A44" s="87" t="str">
        <f t="array" ref="A44">_xlfn.XLOOKUP(B44,'Up Icon'!A:A,'Up Icon'!B:B,)</f>
        <v/>
      </c>
      <c r="B44" s="58" t="str">
        <f t="array" ref="B44">HYPERLINK(_xlfn.XLOOKUP('Up Names'!J44,'Up Wiki'!A:A,'Up Wiki'!B:B,),'Up Names'!J44)</f>
        <v/>
      </c>
      <c r="C44" s="37" t="str">
        <f t="array" ref="C44">_xlfn.XLOOKUP(B44,'Up Desc'!A:A,'Up Desc'!B:B,)</f>
        <v/>
      </c>
      <c r="D44" s="37" t="str">
        <f t="array" ref="D44">_xlfn.XLOOKUP(B44,'Up Turbo'!A:A,'Up Turbo'!B:B,)</f>
        <v/>
      </c>
      <c r="E44" s="39" t="str">
        <f t="array" ref="E44">_xlfn.XLOOKUP(B44,'Up Stats'!A:A,'Up Stats'!B:B,)</f>
        <v/>
      </c>
      <c r="F44" s="40" t="str">
        <f>IFERROR(__xludf.DUMMYFUNCTION("if(AND(G44=FALSE,H44=FALSE),,if(G44=H44,JOIN("""",""Static: "",G44),JOIN("""",""Min:  "",G44, CHAR(10),""Max: "",H44)))"),"")</f>
        <v/>
      </c>
      <c r="G44" s="42" t="str">
        <f t="array" ref="G44">_xlfn.XLOOKUP(B44,'Up Min'!A:A,'Up Min'!B:B,)</f>
        <v/>
      </c>
      <c r="H44" s="45" t="str">
        <f t="array" ref="H44">_xlfn.XLOOKUP(B44,'Up Max'!A:A,'Up Max'!B:B,)</f>
        <v/>
      </c>
      <c r="I44" s="39" t="str">
        <f t="array" ref="I44">_xlfn.XLOOKUP(B44,'Up Stats'!A:A,'Up Stats'!C:C,)</f>
        <v/>
      </c>
      <c r="J44" s="40" t="str">
        <f>IFERROR(__xludf.DUMMYFUNCTION("if(AND(K44=FALSE,L44=FALSE),,if(K44=L44,JOIN("""",""Static: "",K44),JOIN("""",""Min:  "",K44, CHAR(10),""Max: "",L44)))"),"")</f>
        <v/>
      </c>
      <c r="K44" s="42" t="str">
        <f t="array" ref="K44">_xlfn.XLOOKUP(B44,'Up Min'!A:A,'Up Min'!C:C,)</f>
        <v/>
      </c>
      <c r="L44" s="42" t="str">
        <f t="array" ref="L44">_xlfn.XLOOKUP(B44,'Up Max'!A:A,'Up Max'!C:C,)</f>
        <v/>
      </c>
      <c r="M44" s="48" t="str">
        <f t="array" ref="M44">_xlfn.XLOOKUP(B44,'Up Stats'!A:A,'Up Stats'!D:D,)</f>
        <v/>
      </c>
      <c r="N44" s="40" t="str">
        <f>IFERROR(__xludf.DUMMYFUNCTION("if(AND(O44=FALSE,P44=FALSE),,if(O44=P44,JOIN("""",""Static: "",O44),JOIN("""",""Min:  "",O44, CHAR(10),""Max: "",P44)))"),"")</f>
        <v/>
      </c>
      <c r="O44" s="42" t="str">
        <f t="array" ref="O44">_xlfn.XLOOKUP(B44,'Up Min'!A:A,'Up Min'!D:D,)</f>
        <v/>
      </c>
      <c r="P44" s="42" t="str">
        <f t="array" ref="P44">_xlfn.XLOOKUP(B44,'Up Max'!A:A,'Up Max'!D:D,)</f>
        <v/>
      </c>
      <c r="Q44" s="48" t="str">
        <f t="array" ref="Q44">_xlfn.XLOOKUP(B44,'Up Stats'!A:A,'Up Stats'!E:E,)</f>
        <v/>
      </c>
      <c r="R44" s="40" t="str">
        <f>IFERROR(__xludf.DUMMYFUNCTION("if(AND(S44=FALSE,T44=FALSE),,if(S44=T44,JOIN("""",""Static: "",S44),JOIN("""",""Min:  "",S44, CHAR(10),""Max: "",T44)))"),"")</f>
        <v/>
      </c>
      <c r="S44" s="42" t="str">
        <f t="array" ref="S44">_xlfn.XLOOKUP(B44,'Up Min'!A:A,'Up Min'!E:E,)</f>
        <v/>
      </c>
      <c r="T44" s="42" t="str">
        <f t="array" ref="T44">_xlfn.XLOOKUP(B44,'Up Max'!A:A,'Up Max'!E:E,)</f>
        <v/>
      </c>
      <c r="U44" s="48" t="str">
        <f t="array" ref="U44">_xlfn.XLOOKUP(B44,'Up Stats'!A:A,'Up Stats'!F:F,)</f>
        <v/>
      </c>
      <c r="V44" s="40" t="str">
        <f>IFERROR(__xludf.DUMMYFUNCTION("if(AND(W44=FALSE,X44=FALSE),,if(W44=X44,JOIN("""",""Static: "",W44),JOIN("""",""Min:  "",W44, CHAR(10),""Max: "",X44)))"),"")</f>
        <v/>
      </c>
      <c r="W44" s="42" t="str">
        <f t="array" ref="W44">_xlfn.XLOOKUP(B44,'Up Min'!A:A,'Up Min'!F:F,)</f>
        <v/>
      </c>
      <c r="X44" s="42" t="str">
        <f t="array" ref="X44">_xlfn.XLOOKUP(B44,'Up Max'!A:A,'Up Max'!F:F,)</f>
        <v/>
      </c>
      <c r="Y44" s="48" t="str">
        <f t="array" ref="Y44">_xlfn.XLOOKUP(B44,'Up Stats'!A:A,'Up Stats'!G:G,)</f>
        <v/>
      </c>
      <c r="Z44" s="40" t="str">
        <f>IFERROR(__xludf.DUMMYFUNCTION("if(AND(AA44=FALSE,AB44=FALSE),,if(AA44=AB44,JOIN("""",""Static: "",AA44),JOIN("""",""Min:  "",AA44, CHAR(10),""Max: "",AB44)))"),"")</f>
        <v/>
      </c>
      <c r="AA44" s="42" t="str">
        <f t="array" ref="AA44">_xlfn.XLOOKUP(B44,'Up Min'!A:A,'Up Min'!G:G,)</f>
        <v/>
      </c>
      <c r="AB44" s="42" t="str">
        <f t="array" ref="AB44">_xlfn.XLOOKUP(B44,'Up Max'!A:A,'Up Max'!G:G,)</f>
        <v/>
      </c>
      <c r="AC44" s="48" t="str">
        <f t="array" ref="AC44">_xlfn.XLOOKUP(B44,'Up Stats'!A:A,'Up Stats'!H:H,)</f>
        <v/>
      </c>
      <c r="AD44" s="40" t="str">
        <f>IFERROR(__xludf.DUMMYFUNCTION("if(AND(AE44=FALSE,AF44=FALSE),,if(AE44=AF44,JOIN("""",""Static: "",AE44),JOIN("""",""Min:  "",AE44, CHAR(10),""Max: "",AF44)))"),"")</f>
        <v/>
      </c>
      <c r="AE44" s="42" t="str">
        <f t="array" ref="AE44">_xlfn.XLOOKUP(B44,'Up Min'!A:A,'Up Min'!H:H,)</f>
        <v/>
      </c>
      <c r="AF44" s="42" t="str">
        <f t="array" ref="AF44">_xlfn.XLOOKUP(B44,'Up Max'!A:A,'Up Max'!H:H,)</f>
        <v/>
      </c>
      <c r="AG44" s="48" t="str">
        <f t="array" ref="AG44">_xlfn.XLOOKUP(B44,'Up Stats'!A:A,'Up Stats'!I:I,)</f>
        <v/>
      </c>
      <c r="AH44" s="40" t="str">
        <f>IFERROR(__xludf.DUMMYFUNCTION("if(AND(AI44=FALSE,AJ44=FALSE),,if(AI44=AJ44,JOIN("""",""Static: "",AI44),JOIN("""",""Min:  "",AI44, CHAR(10),""Max: "",AJ44)))"),"")</f>
        <v/>
      </c>
      <c r="AI44" s="42" t="str">
        <f t="array" ref="AI44">_xlfn.XLOOKUP(B44,'Up Min'!A:A,'Up Min'!I:I,)</f>
        <v/>
      </c>
      <c r="AJ44" s="42" t="str">
        <f t="array" ref="AJ44">_xlfn.XLOOKUP(B44,'Up Max'!A:A,'Up Max'!I:I,)</f>
        <v/>
      </c>
      <c r="AK44" s="48" t="str">
        <f t="array" ref="AK44">_xlfn.XLOOKUP(B44,'Up Stats'!A:A,'Up Stats'!J:J,)</f>
        <v/>
      </c>
      <c r="AL44" s="40" t="str">
        <f>IFERROR(__xludf.DUMMYFUNCTION("if(AND(AM44=FALSE,AN44=FALSE),,if(AM44=AN44,JOIN("""",""Static: "",AM44),JOIN("""",""Min:  "",AM44, CHAR(10),""Max: "",AN44)))"),"")</f>
        <v/>
      </c>
      <c r="AM44" s="42" t="str">
        <f t="array" ref="AM44">_xlfn.XLOOKUP(B44,'Up Min'!A:A,'Up Min'!J:J,)</f>
        <v/>
      </c>
      <c r="AN44" s="42" t="str">
        <f t="array" ref="AN44">_xlfn.XLOOKUP(B44,'Up Max'!A:A,'Up Max'!J:J,)</f>
        <v/>
      </c>
      <c r="AO44" s="34" t="str">
        <f t="array" ref="AO44">CONCATENATE(_xlfn.XLOOKUP(B44,'Up Cells'!A:A,'Up Cells'!B:B,))</f>
        <v/>
      </c>
      <c r="AP44" s="34" t="str">
        <f t="array" ref="AP44">CONCATENATE(_xlfn.XLOOKUP(B44,'Up Rarity'!A:A,'Up Rarity'!B:B,),CHAR(10),"-")</f>
        <v>
-</v>
      </c>
    </row>
    <row r="45">
      <c r="A45" s="86" t="str">
        <f t="array" ref="A45">_xlfn.XLOOKUP(B45,'Up Icon'!A:A,'Up Icon'!B:B,)</f>
        <v/>
      </c>
      <c r="B45" s="61" t="str">
        <f t="array" ref="B45">HYPERLINK(_xlfn.XLOOKUP('Up Names'!J45,'Up Wiki'!A:A,'Up Wiki'!B:B,),'Up Names'!J45)</f>
        <v/>
      </c>
      <c r="C45" s="52" t="str">
        <f t="array" ref="C45">_xlfn.XLOOKUP(B45,'Up Desc'!A:A,'Up Desc'!B:B,)</f>
        <v/>
      </c>
      <c r="D45" s="52" t="str">
        <f t="array" ref="D45">_xlfn.XLOOKUP(B45,'Up Turbo'!A:A,'Up Turbo'!B:B,)</f>
        <v/>
      </c>
      <c r="E45" s="53" t="str">
        <f t="array" ref="E45">_xlfn.XLOOKUP(B45,'Up Stats'!A:A,'Up Stats'!B:B,)</f>
        <v/>
      </c>
      <c r="F45" s="54" t="str">
        <f>IFERROR(__xludf.DUMMYFUNCTION("if(AND(G45=FALSE,H45=FALSE),,if(G45=H45,JOIN("""",""Static: "",G45),JOIN("""",""Min:  "",G45, CHAR(10),""Max: "",H45)))"),"")</f>
        <v/>
      </c>
      <c r="G45" s="55" t="str">
        <f t="array" ref="G45">_xlfn.XLOOKUP(B45,'Up Min'!A:A,'Up Min'!B:B,)</f>
        <v/>
      </c>
      <c r="H45" s="56" t="str">
        <f t="array" ref="H45">_xlfn.XLOOKUP(B45,'Up Max'!A:A,'Up Max'!B:B,)</f>
        <v/>
      </c>
      <c r="I45" s="53" t="str">
        <f t="array" ref="I45">_xlfn.XLOOKUP(B45,'Up Stats'!A:A,'Up Stats'!C:C,)</f>
        <v/>
      </c>
      <c r="J45" s="54" t="str">
        <f>IFERROR(__xludf.DUMMYFUNCTION("if(AND(K45=FALSE,L45=FALSE),,if(K45=L45,JOIN("""",""Static: "",K45),JOIN("""",""Min:  "",K45, CHAR(10),""Max: "",L45)))"),"")</f>
        <v/>
      </c>
      <c r="K45" s="55" t="str">
        <f t="array" ref="K45">_xlfn.XLOOKUP(B45,'Up Min'!A:A,'Up Min'!C:C,)</f>
        <v/>
      </c>
      <c r="L45" s="55" t="str">
        <f t="array" ref="L45">_xlfn.XLOOKUP(B45,'Up Max'!A:A,'Up Max'!C:C,)</f>
        <v/>
      </c>
      <c r="M45" s="57" t="str">
        <f t="array" ref="M45">_xlfn.XLOOKUP(B45,'Up Stats'!A:A,'Up Stats'!D:D,)</f>
        <v/>
      </c>
      <c r="N45" s="54" t="str">
        <f>IFERROR(__xludf.DUMMYFUNCTION("if(AND(O45=FALSE,P45=FALSE),,if(O45=P45,JOIN("""",""Static: "",O45),JOIN("""",""Min:  "",O45, CHAR(10),""Max: "",P45)))"),"")</f>
        <v/>
      </c>
      <c r="O45" s="55" t="str">
        <f t="array" ref="O45">_xlfn.XLOOKUP(B45,'Up Min'!A:A,'Up Min'!D:D,)</f>
        <v/>
      </c>
      <c r="P45" s="55" t="str">
        <f t="array" ref="P45">_xlfn.XLOOKUP(B45,'Up Max'!A:A,'Up Max'!D:D,)</f>
        <v/>
      </c>
      <c r="Q45" s="57" t="str">
        <f t="array" ref="Q45">_xlfn.XLOOKUP(B45,'Up Stats'!A:A,'Up Stats'!E:E,)</f>
        <v/>
      </c>
      <c r="R45" s="54" t="str">
        <f>IFERROR(__xludf.DUMMYFUNCTION("if(AND(S45=FALSE,T45=FALSE),,if(S45=T45,JOIN("""",""Static: "",S45),JOIN("""",""Min:  "",S45, CHAR(10),""Max: "",T45)))"),"")</f>
        <v/>
      </c>
      <c r="S45" s="55" t="str">
        <f t="array" ref="S45">_xlfn.XLOOKUP(B45,'Up Min'!A:A,'Up Min'!E:E,)</f>
        <v/>
      </c>
      <c r="T45" s="55" t="str">
        <f t="array" ref="T45">_xlfn.XLOOKUP(B45,'Up Max'!A:A,'Up Max'!E:E,)</f>
        <v/>
      </c>
      <c r="U45" s="57" t="str">
        <f t="array" ref="U45">_xlfn.XLOOKUP(B45,'Up Stats'!A:A,'Up Stats'!F:F,)</f>
        <v/>
      </c>
      <c r="V45" s="54" t="str">
        <f>IFERROR(__xludf.DUMMYFUNCTION("if(AND(W45=FALSE,X45=FALSE),,if(W45=X45,JOIN("""",""Static: "",W45),JOIN("""",""Min:  "",W45, CHAR(10),""Max: "",X45)))"),"")</f>
        <v/>
      </c>
      <c r="W45" s="55" t="str">
        <f t="array" ref="W45">_xlfn.XLOOKUP(B45,'Up Min'!A:A,'Up Min'!F:F,)</f>
        <v/>
      </c>
      <c r="X45" s="55" t="str">
        <f t="array" ref="X45">_xlfn.XLOOKUP(B45,'Up Max'!A:A,'Up Max'!F:F,)</f>
        <v/>
      </c>
      <c r="Y45" s="57" t="str">
        <f t="array" ref="Y45">_xlfn.XLOOKUP(B45,'Up Stats'!A:A,'Up Stats'!G:G,)</f>
        <v/>
      </c>
      <c r="Z45" s="54" t="str">
        <f>IFERROR(__xludf.DUMMYFUNCTION("if(AND(AA45=FALSE,AB45=FALSE),,if(AA45=AB45,JOIN("""",""Static: "",AA45),JOIN("""",""Min:  "",AA45, CHAR(10),""Max: "",AB45)))"),"")</f>
        <v/>
      </c>
      <c r="AA45" s="55" t="str">
        <f t="array" ref="AA45">_xlfn.XLOOKUP(B45,'Up Min'!A:A,'Up Min'!G:G,)</f>
        <v/>
      </c>
      <c r="AB45" s="55" t="str">
        <f t="array" ref="AB45">_xlfn.XLOOKUP(B45,'Up Max'!A:A,'Up Max'!G:G,)</f>
        <v/>
      </c>
      <c r="AC45" s="57" t="str">
        <f t="array" ref="AC45">_xlfn.XLOOKUP(B45,'Up Stats'!A:A,'Up Stats'!H:H,)</f>
        <v/>
      </c>
      <c r="AD45" s="54" t="str">
        <f>IFERROR(__xludf.DUMMYFUNCTION("if(AND(AE45=FALSE,AF45=FALSE),,if(AE45=AF45,JOIN("""",""Static: "",AE45),JOIN("""",""Min:  "",AE45, CHAR(10),""Max: "",AF45)))"),"")</f>
        <v/>
      </c>
      <c r="AE45" s="55" t="str">
        <f t="array" ref="AE45">_xlfn.XLOOKUP(B45,'Up Min'!A:A,'Up Min'!H:H,)</f>
        <v/>
      </c>
      <c r="AF45" s="55" t="str">
        <f t="array" ref="AF45">_xlfn.XLOOKUP(B45,'Up Max'!A:A,'Up Max'!H:H,)</f>
        <v/>
      </c>
      <c r="AG45" s="57" t="str">
        <f t="array" ref="AG45">_xlfn.XLOOKUP(B45,'Up Stats'!A:A,'Up Stats'!I:I,)</f>
        <v/>
      </c>
      <c r="AH45" s="54" t="str">
        <f>IFERROR(__xludf.DUMMYFUNCTION("if(AND(AI45=FALSE,AJ45=FALSE),,if(AI45=AJ45,JOIN("""",""Static: "",AI45),JOIN("""",""Min:  "",AI45, CHAR(10),""Max: "",AJ45)))"),"")</f>
        <v/>
      </c>
      <c r="AI45" s="55" t="str">
        <f t="array" ref="AI45">_xlfn.XLOOKUP(B45,'Up Min'!A:A,'Up Min'!I:I,)</f>
        <v/>
      </c>
      <c r="AJ45" s="55" t="str">
        <f t="array" ref="AJ45">_xlfn.XLOOKUP(B45,'Up Max'!A:A,'Up Max'!I:I,)</f>
        <v/>
      </c>
      <c r="AK45" s="57" t="str">
        <f t="array" ref="AK45">_xlfn.XLOOKUP(B45,'Up Stats'!A:A,'Up Stats'!J:J,)</f>
        <v/>
      </c>
      <c r="AL45" s="54" t="str">
        <f>IFERROR(__xludf.DUMMYFUNCTION("if(AND(AM45=FALSE,AN45=FALSE),,if(AM45=AN45,JOIN("""",""Static: "",AM45),JOIN("""",""Min:  "",AM45, CHAR(10),""Max: "",AN45)))"),"")</f>
        <v/>
      </c>
      <c r="AM45" s="55" t="str">
        <f t="array" ref="AM45">_xlfn.XLOOKUP(B45,'Up Min'!A:A,'Up Min'!J:J,)</f>
        <v/>
      </c>
      <c r="AN45" s="55" t="str">
        <f t="array" ref="AN45">_xlfn.XLOOKUP(B45,'Up Max'!A:A,'Up Max'!J:J,)</f>
        <v/>
      </c>
      <c r="AO45" s="51" t="str">
        <f t="array" ref="AO45">CONCATENATE(_xlfn.XLOOKUP(B45,'Up Cells'!A:A,'Up Cells'!B:B,))</f>
        <v/>
      </c>
      <c r="AP45" s="51" t="str">
        <f t="array" ref="AP45">CONCATENATE(_xlfn.XLOOKUP(B45,'Up Rarity'!A:A,'Up Rarity'!B:B,),CHAR(10),"-")</f>
        <v>
-</v>
      </c>
    </row>
    <row r="46">
      <c r="A46" s="87" t="str">
        <f t="array" ref="A46">_xlfn.XLOOKUP(B46,'Up Icon'!A:A,'Up Icon'!B:B,)</f>
        <v/>
      </c>
      <c r="B46" s="58" t="str">
        <f t="array" ref="B46">HYPERLINK(_xlfn.XLOOKUP('Up Names'!J46,'Up Wiki'!A:A,'Up Wiki'!B:B,),'Up Names'!J46)</f>
        <v/>
      </c>
      <c r="C46" s="37" t="str">
        <f t="array" ref="C46">_xlfn.XLOOKUP(B46,'Up Desc'!A:A,'Up Desc'!B:B,)</f>
        <v/>
      </c>
      <c r="D46" s="37" t="str">
        <f t="array" ref="D46">_xlfn.XLOOKUP(B46,'Up Turbo'!A:A,'Up Turbo'!B:B,)</f>
        <v/>
      </c>
      <c r="E46" s="39" t="str">
        <f t="array" ref="E46">_xlfn.XLOOKUP(B46,'Up Stats'!A:A,'Up Stats'!B:B,)</f>
        <v/>
      </c>
      <c r="F46" s="40" t="str">
        <f>IFERROR(__xludf.DUMMYFUNCTION("if(AND(G46=FALSE,H46=FALSE),,if(G46=H46,JOIN("""",""Static: "",G46),JOIN("""",""Min:  "",G46, CHAR(10),""Max: "",H46)))"),"")</f>
        <v/>
      </c>
      <c r="G46" s="42" t="str">
        <f t="array" ref="G46">_xlfn.XLOOKUP(B46,'Up Min'!A:A,'Up Min'!B:B,)</f>
        <v/>
      </c>
      <c r="H46" s="45" t="str">
        <f t="array" ref="H46">_xlfn.XLOOKUP(B46,'Up Max'!A:A,'Up Max'!B:B,)</f>
        <v/>
      </c>
      <c r="I46" s="39" t="str">
        <f t="array" ref="I46">_xlfn.XLOOKUP(B46,'Up Stats'!A:A,'Up Stats'!C:C,)</f>
        <v/>
      </c>
      <c r="J46" s="40" t="str">
        <f>IFERROR(__xludf.DUMMYFUNCTION("if(AND(K46=FALSE,L46=FALSE),,if(K46=L46,JOIN("""",""Static: "",K46),JOIN("""",""Min:  "",K46, CHAR(10),""Max: "",L46)))"),"")</f>
        <v/>
      </c>
      <c r="K46" s="42" t="str">
        <f t="array" ref="K46">_xlfn.XLOOKUP(B46,'Up Min'!A:A,'Up Min'!C:C,)</f>
        <v/>
      </c>
      <c r="L46" s="42" t="str">
        <f t="array" ref="L46">_xlfn.XLOOKUP(B46,'Up Max'!A:A,'Up Max'!C:C,)</f>
        <v/>
      </c>
      <c r="M46" s="48" t="str">
        <f t="array" ref="M46">_xlfn.XLOOKUP(B46,'Up Stats'!A:A,'Up Stats'!D:D,)</f>
        <v/>
      </c>
      <c r="N46" s="40" t="str">
        <f>IFERROR(__xludf.DUMMYFUNCTION("if(AND(O46=FALSE,P46=FALSE),,if(O46=P46,JOIN("""",""Static: "",O46),JOIN("""",""Min:  "",O46, CHAR(10),""Max: "",P46)))"),"")</f>
        <v/>
      </c>
      <c r="O46" s="42" t="str">
        <f t="array" ref="O46">_xlfn.XLOOKUP(B46,'Up Min'!A:A,'Up Min'!D:D,)</f>
        <v/>
      </c>
      <c r="P46" s="42" t="str">
        <f t="array" ref="P46">_xlfn.XLOOKUP(B46,'Up Max'!A:A,'Up Max'!D:D,)</f>
        <v/>
      </c>
      <c r="Q46" s="48" t="str">
        <f t="array" ref="Q46">_xlfn.XLOOKUP(B46,'Up Stats'!A:A,'Up Stats'!E:E,)</f>
        <v/>
      </c>
      <c r="R46" s="40" t="str">
        <f>IFERROR(__xludf.DUMMYFUNCTION("if(AND(S46=FALSE,T46=FALSE),,if(S46=T46,JOIN("""",""Static: "",S46),JOIN("""",""Min:  "",S46, CHAR(10),""Max: "",T46)))"),"")</f>
        <v/>
      </c>
      <c r="S46" s="42" t="str">
        <f t="array" ref="S46">_xlfn.XLOOKUP(B46,'Up Min'!A:A,'Up Min'!E:E,)</f>
        <v/>
      </c>
      <c r="T46" s="42" t="str">
        <f t="array" ref="T46">_xlfn.XLOOKUP(B46,'Up Max'!A:A,'Up Max'!E:E,)</f>
        <v/>
      </c>
      <c r="U46" s="48" t="str">
        <f t="array" ref="U46">_xlfn.XLOOKUP(B46,'Up Stats'!A:A,'Up Stats'!F:F,)</f>
        <v/>
      </c>
      <c r="V46" s="40" t="str">
        <f>IFERROR(__xludf.DUMMYFUNCTION("if(AND(W46=FALSE,X46=FALSE),,if(W46=X46,JOIN("""",""Static: "",W46),JOIN("""",""Min:  "",W46, CHAR(10),""Max: "",X46)))"),"")</f>
        <v/>
      </c>
      <c r="W46" s="42" t="str">
        <f t="array" ref="W46">_xlfn.XLOOKUP(B46,'Up Min'!A:A,'Up Min'!F:F,)</f>
        <v/>
      </c>
      <c r="X46" s="42" t="str">
        <f t="array" ref="X46">_xlfn.XLOOKUP(B46,'Up Max'!A:A,'Up Max'!F:F,)</f>
        <v/>
      </c>
      <c r="Y46" s="48" t="str">
        <f t="array" ref="Y46">_xlfn.XLOOKUP(B46,'Up Stats'!A:A,'Up Stats'!G:G,)</f>
        <v/>
      </c>
      <c r="Z46" s="40" t="str">
        <f>IFERROR(__xludf.DUMMYFUNCTION("if(AND(AA46=FALSE,AB46=FALSE),,if(AA46=AB46,JOIN("""",""Static: "",AA46),JOIN("""",""Min:  "",AA46, CHAR(10),""Max: "",AB46)))"),"")</f>
        <v/>
      </c>
      <c r="AA46" s="42" t="str">
        <f t="array" ref="AA46">_xlfn.XLOOKUP(B46,'Up Min'!A:A,'Up Min'!G:G,)</f>
        <v/>
      </c>
      <c r="AB46" s="42" t="str">
        <f t="array" ref="AB46">_xlfn.XLOOKUP(B46,'Up Max'!A:A,'Up Max'!G:G,)</f>
        <v/>
      </c>
      <c r="AC46" s="48" t="str">
        <f t="array" ref="AC46">_xlfn.XLOOKUP(B46,'Up Stats'!A:A,'Up Stats'!H:H,)</f>
        <v/>
      </c>
      <c r="AD46" s="40" t="str">
        <f>IFERROR(__xludf.DUMMYFUNCTION("if(AND(AE46=FALSE,AF46=FALSE),,if(AE46=AF46,JOIN("""",""Static: "",AE46),JOIN("""",""Min:  "",AE46, CHAR(10),""Max: "",AF46)))"),"")</f>
        <v/>
      </c>
      <c r="AE46" s="42" t="str">
        <f t="array" ref="AE46">_xlfn.XLOOKUP(B46,'Up Min'!A:A,'Up Min'!H:H,)</f>
        <v/>
      </c>
      <c r="AF46" s="42" t="str">
        <f t="array" ref="AF46">_xlfn.XLOOKUP(B46,'Up Max'!A:A,'Up Max'!H:H,)</f>
        <v/>
      </c>
      <c r="AG46" s="48" t="str">
        <f t="array" ref="AG46">_xlfn.XLOOKUP(B46,'Up Stats'!A:A,'Up Stats'!I:I,)</f>
        <v/>
      </c>
      <c r="AH46" s="40" t="str">
        <f>IFERROR(__xludf.DUMMYFUNCTION("if(AND(AI46=FALSE,AJ46=FALSE),,if(AI46=AJ46,JOIN("""",""Static: "",AI46),JOIN("""",""Min:  "",AI46, CHAR(10),""Max: "",AJ46)))"),"")</f>
        <v/>
      </c>
      <c r="AI46" s="42" t="str">
        <f t="array" ref="AI46">_xlfn.XLOOKUP(B46,'Up Min'!A:A,'Up Min'!I:I,)</f>
        <v/>
      </c>
      <c r="AJ46" s="42" t="str">
        <f t="array" ref="AJ46">_xlfn.XLOOKUP(B46,'Up Max'!A:A,'Up Max'!I:I,)</f>
        <v/>
      </c>
      <c r="AK46" s="48" t="str">
        <f t="array" ref="AK46">_xlfn.XLOOKUP(B46,'Up Stats'!A:A,'Up Stats'!J:J,)</f>
        <v/>
      </c>
      <c r="AL46" s="40" t="str">
        <f>IFERROR(__xludf.DUMMYFUNCTION("if(AND(AM46=FALSE,AN46=FALSE),,if(AM46=AN46,JOIN("""",""Static: "",AM46),JOIN("""",""Min:  "",AM46, CHAR(10),""Max: "",AN46)))"),"")</f>
        <v/>
      </c>
      <c r="AM46" s="42" t="str">
        <f t="array" ref="AM46">_xlfn.XLOOKUP(B46,'Up Min'!A:A,'Up Min'!J:J,)</f>
        <v/>
      </c>
      <c r="AN46" s="42" t="str">
        <f t="array" ref="AN46">_xlfn.XLOOKUP(B46,'Up Max'!A:A,'Up Max'!J:J,)</f>
        <v/>
      </c>
      <c r="AO46" s="34" t="str">
        <f t="array" ref="AO46">CONCATENATE(_xlfn.XLOOKUP(B46,'Up Cells'!A:A,'Up Cells'!B:B,))</f>
        <v/>
      </c>
      <c r="AP46" s="34" t="str">
        <f t="array" ref="AP46">CONCATENATE(_xlfn.XLOOKUP(B46,'Up Rarity'!A:A,'Up Rarity'!B:B,),CHAR(10),"-")</f>
        <v>
-</v>
      </c>
    </row>
    <row r="47">
      <c r="A47" s="86" t="str">
        <f t="array" ref="A47">_xlfn.XLOOKUP(B47,'Up Icon'!A:A,'Up Icon'!B:B,)</f>
        <v/>
      </c>
      <c r="B47" s="61" t="str">
        <f t="array" ref="B47">HYPERLINK(_xlfn.XLOOKUP('Up Names'!J47,'Up Wiki'!A:A,'Up Wiki'!B:B,),'Up Names'!J47)</f>
        <v/>
      </c>
      <c r="C47" s="52" t="str">
        <f t="array" ref="C47">_xlfn.XLOOKUP(B47,'Up Desc'!A:A,'Up Desc'!B:B,)</f>
        <v/>
      </c>
      <c r="D47" s="52" t="str">
        <f t="array" ref="D47">_xlfn.XLOOKUP(B47,'Up Turbo'!A:A,'Up Turbo'!B:B,)</f>
        <v/>
      </c>
      <c r="E47" s="53" t="str">
        <f t="array" ref="E47">_xlfn.XLOOKUP(B47,'Up Stats'!A:A,'Up Stats'!B:B,)</f>
        <v/>
      </c>
      <c r="F47" s="54" t="str">
        <f>IFERROR(__xludf.DUMMYFUNCTION("if(AND(G47=FALSE,H47=FALSE),,if(G47=H47,JOIN("""",""Static: "",G47),JOIN("""",""Min:  "",G47, CHAR(10),""Max: "",H47)))"),"")</f>
        <v/>
      </c>
      <c r="G47" s="55" t="str">
        <f t="array" ref="G47">_xlfn.XLOOKUP(B47,'Up Min'!A:A,'Up Min'!B:B,)</f>
        <v/>
      </c>
      <c r="H47" s="56" t="str">
        <f t="array" ref="H47">_xlfn.XLOOKUP(B47,'Up Max'!A:A,'Up Max'!B:B,)</f>
        <v/>
      </c>
      <c r="I47" s="53" t="str">
        <f t="array" ref="I47">_xlfn.XLOOKUP(B47,'Up Stats'!A:A,'Up Stats'!C:C,)</f>
        <v/>
      </c>
      <c r="J47" s="54" t="str">
        <f>IFERROR(__xludf.DUMMYFUNCTION("if(AND(K47=FALSE,L47=FALSE),,if(K47=L47,JOIN("""",""Static: "",K47),JOIN("""",""Min:  "",K47, CHAR(10),""Max: "",L47)))"),"")</f>
        <v/>
      </c>
      <c r="K47" s="55" t="str">
        <f t="array" ref="K47">_xlfn.XLOOKUP(B47,'Up Min'!A:A,'Up Min'!C:C,)</f>
        <v/>
      </c>
      <c r="L47" s="55" t="str">
        <f t="array" ref="L47">_xlfn.XLOOKUP(B47,'Up Max'!A:A,'Up Max'!C:C,)</f>
        <v/>
      </c>
      <c r="M47" s="57" t="str">
        <f t="array" ref="M47">_xlfn.XLOOKUP(B47,'Up Stats'!A:A,'Up Stats'!D:D,)</f>
        <v/>
      </c>
      <c r="N47" s="54" t="str">
        <f>IFERROR(__xludf.DUMMYFUNCTION("if(AND(O47=FALSE,P47=FALSE),,if(O47=P47,JOIN("""",""Static: "",O47),JOIN("""",""Min:  "",O47, CHAR(10),""Max: "",P47)))"),"")</f>
        <v/>
      </c>
      <c r="O47" s="55" t="str">
        <f t="array" ref="O47">_xlfn.XLOOKUP(B47,'Up Min'!A:A,'Up Min'!D:D,)</f>
        <v/>
      </c>
      <c r="P47" s="55" t="str">
        <f t="array" ref="P47">_xlfn.XLOOKUP(B47,'Up Max'!A:A,'Up Max'!D:D,)</f>
        <v/>
      </c>
      <c r="Q47" s="57" t="str">
        <f t="array" ref="Q47">_xlfn.XLOOKUP(B47,'Up Stats'!A:A,'Up Stats'!E:E,)</f>
        <v/>
      </c>
      <c r="R47" s="54" t="str">
        <f>IFERROR(__xludf.DUMMYFUNCTION("if(AND(S47=FALSE,T47=FALSE),,if(S47=T47,JOIN("""",""Static: "",S47),JOIN("""",""Min:  "",S47, CHAR(10),""Max: "",T47)))"),"")</f>
        <v/>
      </c>
      <c r="S47" s="55" t="str">
        <f t="array" ref="S47">_xlfn.XLOOKUP(B47,'Up Min'!A:A,'Up Min'!E:E,)</f>
        <v/>
      </c>
      <c r="T47" s="55" t="str">
        <f t="array" ref="T47">_xlfn.XLOOKUP(B47,'Up Max'!A:A,'Up Max'!E:E,)</f>
        <v/>
      </c>
      <c r="U47" s="57" t="str">
        <f t="array" ref="U47">_xlfn.XLOOKUP(B47,'Up Stats'!A:A,'Up Stats'!F:F,)</f>
        <v/>
      </c>
      <c r="V47" s="54" t="str">
        <f>IFERROR(__xludf.DUMMYFUNCTION("if(AND(W47=FALSE,X47=FALSE),,if(W47=X47,JOIN("""",""Static: "",W47),JOIN("""",""Min:  "",W47, CHAR(10),""Max: "",X47)))"),"")</f>
        <v/>
      </c>
      <c r="W47" s="55" t="str">
        <f t="array" ref="W47">_xlfn.XLOOKUP(B47,'Up Min'!A:A,'Up Min'!F:F,)</f>
        <v/>
      </c>
      <c r="X47" s="55" t="str">
        <f t="array" ref="X47">_xlfn.XLOOKUP(B47,'Up Max'!A:A,'Up Max'!F:F,)</f>
        <v/>
      </c>
      <c r="Y47" s="57" t="str">
        <f t="array" ref="Y47">_xlfn.XLOOKUP(B47,'Up Stats'!A:A,'Up Stats'!G:G,)</f>
        <v/>
      </c>
      <c r="Z47" s="54" t="str">
        <f>IFERROR(__xludf.DUMMYFUNCTION("if(AND(AA47=FALSE,AB47=FALSE),,if(AA47=AB47,JOIN("""",""Static: "",AA47),JOIN("""",""Min:  "",AA47, CHAR(10),""Max: "",AB47)))"),"")</f>
        <v/>
      </c>
      <c r="AA47" s="55" t="str">
        <f t="array" ref="AA47">_xlfn.XLOOKUP(B47,'Up Min'!A:A,'Up Min'!G:G,)</f>
        <v/>
      </c>
      <c r="AB47" s="55" t="str">
        <f t="array" ref="AB47">_xlfn.XLOOKUP(B47,'Up Max'!A:A,'Up Max'!G:G,)</f>
        <v/>
      </c>
      <c r="AC47" s="57" t="str">
        <f t="array" ref="AC47">_xlfn.XLOOKUP(B47,'Up Stats'!A:A,'Up Stats'!H:H,)</f>
        <v/>
      </c>
      <c r="AD47" s="54" t="str">
        <f>IFERROR(__xludf.DUMMYFUNCTION("if(AND(AE47=FALSE,AF47=FALSE),,if(AE47=AF47,JOIN("""",""Static: "",AE47),JOIN("""",""Min:  "",AE47, CHAR(10),""Max: "",AF47)))"),"")</f>
        <v/>
      </c>
      <c r="AE47" s="55" t="str">
        <f t="array" ref="AE47">_xlfn.XLOOKUP(B47,'Up Min'!A:A,'Up Min'!H:H,)</f>
        <v/>
      </c>
      <c r="AF47" s="55" t="str">
        <f t="array" ref="AF47">_xlfn.XLOOKUP(B47,'Up Max'!A:A,'Up Max'!H:H,)</f>
        <v/>
      </c>
      <c r="AG47" s="57" t="str">
        <f t="array" ref="AG47">_xlfn.XLOOKUP(B47,'Up Stats'!A:A,'Up Stats'!I:I,)</f>
        <v/>
      </c>
      <c r="AH47" s="54" t="str">
        <f>IFERROR(__xludf.DUMMYFUNCTION("if(AND(AI47=FALSE,AJ47=FALSE),,if(AI47=AJ47,JOIN("""",""Static: "",AI47),JOIN("""",""Min:  "",AI47, CHAR(10),""Max: "",AJ47)))"),"")</f>
        <v/>
      </c>
      <c r="AI47" s="55" t="str">
        <f t="array" ref="AI47">_xlfn.XLOOKUP(B47,'Up Min'!A:A,'Up Min'!I:I,)</f>
        <v/>
      </c>
      <c r="AJ47" s="55" t="str">
        <f t="array" ref="AJ47">_xlfn.XLOOKUP(B47,'Up Max'!A:A,'Up Max'!I:I,)</f>
        <v/>
      </c>
      <c r="AK47" s="57" t="str">
        <f t="array" ref="AK47">_xlfn.XLOOKUP(B47,'Up Stats'!A:A,'Up Stats'!J:J,)</f>
        <v/>
      </c>
      <c r="AL47" s="54" t="str">
        <f>IFERROR(__xludf.DUMMYFUNCTION("if(AND(AM47=FALSE,AN47=FALSE),,if(AM47=AN47,JOIN("""",""Static: "",AM47),JOIN("""",""Min:  "",AM47, CHAR(10),""Max: "",AN47)))"),"")</f>
        <v/>
      </c>
      <c r="AM47" s="55" t="str">
        <f t="array" ref="AM47">_xlfn.XLOOKUP(B47,'Up Min'!A:A,'Up Min'!J:J,)</f>
        <v/>
      </c>
      <c r="AN47" s="55" t="str">
        <f t="array" ref="AN47">_xlfn.XLOOKUP(B47,'Up Max'!A:A,'Up Max'!J:J,)</f>
        <v/>
      </c>
      <c r="AO47" s="51" t="str">
        <f t="array" ref="AO47">CONCATENATE(_xlfn.XLOOKUP(B47,'Up Cells'!A:A,'Up Cells'!B:B,))</f>
        <v/>
      </c>
      <c r="AP47" s="51" t="str">
        <f t="array" ref="AP47">CONCATENATE(_xlfn.XLOOKUP(B47,'Up Rarity'!A:A,'Up Rarity'!B:B,),CHAR(10),"-")</f>
        <v>
-</v>
      </c>
    </row>
  </sheetData>
  <autoFilter ref="$A$1:$AP$47">
    <sortState ref="A1:AP47">
      <sortCondition descending="1" sortBy="cellColor" ref="AP1:AP47" dxfId="2"/>
    </sortState>
  </autoFilter>
  <conditionalFormatting sqref="AO1:AP47">
    <cfRule type="containsText" dxfId="3" priority="1" operator="containsText" text="Oddity">
      <formula>NOT(ISERROR(SEARCH(("Oddity"),(AO1))))</formula>
    </cfRule>
  </conditionalFormatting>
  <conditionalFormatting sqref="AO1:AP47">
    <cfRule type="containsText" dxfId="4" priority="2" operator="containsText" text="Exotic">
      <formula>NOT(ISERROR(SEARCH(("Exotic"),(AO1))))</formula>
    </cfRule>
  </conditionalFormatting>
  <conditionalFormatting sqref="AO1:AP47">
    <cfRule type="containsText" dxfId="5" priority="3" operator="containsText" text="Epic">
      <formula>NOT(ISERROR(SEARCH(("Epic"),(AO1))))</formula>
    </cfRule>
  </conditionalFormatting>
  <conditionalFormatting sqref="AO1:AP47">
    <cfRule type="containsText" dxfId="6" priority="4" operator="containsText" text="Rare">
      <formula>NOT(ISERROR(SEARCH(("Rare"),(AO1))))</formula>
    </cfRule>
  </conditionalFormatting>
  <conditionalFormatting sqref="AO1:AP47">
    <cfRule type="containsText" dxfId="7" priority="5" operator="containsText" text="Standard">
      <formula>NOT(ISERROR(SEARCH(("Standard"),(AO1))))</formula>
    </cfRule>
  </conditionalFormatting>
  <conditionalFormatting sqref="AO1:AP47">
    <cfRule type="containsText" dxfId="8" priority="6" operator="containsText" text="Contraband">
      <formula>NOT(ISERROR(SEARCH(("Contraband"),(AO1))))</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12.63"/>
    <col customWidth="1" min="3" max="4" width="31.38"/>
    <col customWidth="1" min="5" max="6" width="12.63"/>
    <col customWidth="1" hidden="1" min="7" max="8" width="12.63"/>
    <col customWidth="1" min="9" max="10" width="12.63"/>
    <col customWidth="1" hidden="1" min="11" max="12" width="12.63"/>
    <col customWidth="1" min="13" max="14" width="12.63"/>
    <col customWidth="1" hidden="1" min="15" max="16" width="12.63"/>
    <col customWidth="1" min="17" max="18" width="12.63"/>
    <col customWidth="1" hidden="1" min="19" max="20" width="12.63"/>
    <col customWidth="1" min="21" max="22" width="12.63"/>
    <col customWidth="1" hidden="1" min="23" max="24" width="12.63"/>
    <col customWidth="1" min="25" max="26" width="12.63"/>
    <col customWidth="1" hidden="1" min="27" max="28" width="12.63"/>
    <col customWidth="1" min="29" max="30" width="12.63"/>
    <col customWidth="1" hidden="1" min="31" max="32" width="12.63"/>
    <col customWidth="1" min="33" max="34" width="12.63"/>
    <col customWidth="1" hidden="1" min="35" max="36" width="12.63"/>
    <col customWidth="1" min="37" max="38" width="12.63"/>
    <col customWidth="1" hidden="1" min="39" max="40" width="12.63"/>
    <col customWidth="1" min="41" max="42" width="8.25"/>
  </cols>
  <sheetData>
    <row r="1">
      <c r="A1" s="28" t="s">
        <v>1</v>
      </c>
      <c r="B1" s="9" t="s">
        <v>2</v>
      </c>
      <c r="C1" s="9" t="s">
        <v>3</v>
      </c>
      <c r="D1" s="11" t="s">
        <v>4</v>
      </c>
      <c r="E1" s="16" t="s">
        <v>6</v>
      </c>
      <c r="F1" s="19" t="s">
        <v>7</v>
      </c>
      <c r="G1" s="21" t="s">
        <v>8</v>
      </c>
      <c r="H1" s="25" t="s">
        <v>9</v>
      </c>
      <c r="I1" s="29" t="s">
        <v>6</v>
      </c>
      <c r="J1" s="19" t="s">
        <v>7</v>
      </c>
      <c r="K1" s="21" t="s">
        <v>8</v>
      </c>
      <c r="L1" s="21" t="s">
        <v>9</v>
      </c>
      <c r="M1" s="29" t="s">
        <v>6</v>
      </c>
      <c r="N1" s="19" t="s">
        <v>7</v>
      </c>
      <c r="O1" s="21" t="s">
        <v>8</v>
      </c>
      <c r="P1" s="21" t="s">
        <v>9</v>
      </c>
      <c r="Q1" s="16" t="s">
        <v>6</v>
      </c>
      <c r="R1" s="19" t="s">
        <v>7</v>
      </c>
      <c r="S1" s="21" t="s">
        <v>8</v>
      </c>
      <c r="T1" s="21" t="s">
        <v>9</v>
      </c>
      <c r="U1" s="16" t="s">
        <v>6</v>
      </c>
      <c r="V1" s="19" t="s">
        <v>7</v>
      </c>
      <c r="W1" s="21" t="s">
        <v>8</v>
      </c>
      <c r="X1" s="21" t="s">
        <v>9</v>
      </c>
      <c r="Y1" s="16" t="s">
        <v>6</v>
      </c>
      <c r="Z1" s="19" t="s">
        <v>7</v>
      </c>
      <c r="AA1" s="21" t="s">
        <v>8</v>
      </c>
      <c r="AB1" s="21" t="s">
        <v>9</v>
      </c>
      <c r="AC1" s="16" t="s">
        <v>6</v>
      </c>
      <c r="AD1" s="19" t="s">
        <v>7</v>
      </c>
      <c r="AE1" s="21" t="s">
        <v>8</v>
      </c>
      <c r="AF1" s="21" t="s">
        <v>9</v>
      </c>
      <c r="AG1" s="16" t="s">
        <v>6</v>
      </c>
      <c r="AH1" s="19" t="s">
        <v>7</v>
      </c>
      <c r="AI1" s="21" t="s">
        <v>8</v>
      </c>
      <c r="AJ1" s="21" t="s">
        <v>9</v>
      </c>
      <c r="AK1" s="16" t="s">
        <v>6</v>
      </c>
      <c r="AL1" s="19" t="s">
        <v>7</v>
      </c>
      <c r="AM1" s="21" t="s">
        <v>8</v>
      </c>
      <c r="AN1" s="21" t="s">
        <v>9</v>
      </c>
      <c r="AO1" s="11" t="s">
        <v>12</v>
      </c>
      <c r="AP1" s="22" t="s">
        <v>13</v>
      </c>
    </row>
    <row r="2">
      <c r="A2" s="31" t="str">
        <f t="array" ref="A2">_xlfn.XLOOKUP(B2,'Up Icon'!A:A,'Up Icon'!B:B,)</f>
        <v/>
      </c>
      <c r="B2" s="58" t="str">
        <f t="array" ref="B2">HYPERLINK(_xlfn.XLOOKUP('Up Names'!K33,'Up Wiki'!A:A,'Up Wiki'!B:B,),'Up Names'!K33)</f>
        <v>Edge Fault</v>
      </c>
      <c r="C2" s="37" t="str">
        <f t="array" ref="C2">_xlfn.XLOOKUP(B2,'Up Desc'!A:A,'Up Desc'!B:B,)</f>
        <v>Increases the size of your upgrade grid.</v>
      </c>
      <c r="D2" s="37" t="str">
        <f t="array" ref="D2">_xlfn.XLOOKUP(B2,'Up Turbo'!A:A,'Up Turbo'!B:B,)</f>
        <v>n/a</v>
      </c>
      <c r="E2" s="39" t="str">
        <f t="array" ref="E2">_xlfn.XLOOKUP(B2,'Up Stats'!A:A,'Up Stats'!B:B,)</f>
        <v/>
      </c>
      <c r="F2" s="40" t="str">
        <f>IFERROR(__xludf.DUMMYFUNCTION("if(AND(G2=FALSE,H2=FALSE),,if(G2=H2,JOIN("""",""Static: "",G2),JOIN("""",""Min:  "",G2, CHAR(10),""Max: "",H2)))"),"")</f>
        <v/>
      </c>
      <c r="G2" s="42" t="str">
        <f t="array" ref="G2">_xlfn.XLOOKUP(B2,'Up Min'!A:A,'Up Min'!B:B,)</f>
        <v/>
      </c>
      <c r="H2" s="45" t="str">
        <f t="array" ref="H2">_xlfn.XLOOKUP(B2,'Up Max'!A:A,'Up Max'!B:B,)</f>
        <v/>
      </c>
      <c r="I2" s="39" t="str">
        <f t="array" ref="I2">_xlfn.XLOOKUP(B2,'Up Stats'!A:A,'Up Stats'!C:C,)</f>
        <v/>
      </c>
      <c r="J2" s="40" t="str">
        <f>IFERROR(__xludf.DUMMYFUNCTION("if(AND(K2=FALSE,L2=FALSE),,if(K2=L2,JOIN("""",""Static: "",K2),JOIN("""",""Min:  "",K2, CHAR(10),""Max: "",L2)))"),"")</f>
        <v/>
      </c>
      <c r="K2" s="42" t="str">
        <f t="array" ref="K2">_xlfn.XLOOKUP(B2,'Up Min'!A:A,'Up Min'!C:C,)</f>
        <v/>
      </c>
      <c r="L2" s="42" t="str">
        <f t="array" ref="L2">_xlfn.XLOOKUP(B2,'Up Max'!A:A,'Up Max'!C:C,)</f>
        <v/>
      </c>
      <c r="M2" s="48" t="str">
        <f t="array" ref="M2">_xlfn.XLOOKUP(B2,'Up Stats'!A:A,'Up Stats'!D:D,)</f>
        <v/>
      </c>
      <c r="N2" s="40" t="str">
        <f>IFERROR(__xludf.DUMMYFUNCTION("if(AND(O2=FALSE,P2=FALSE),,if(O2=P2,JOIN("""",""Static: "",O2),JOIN("""",""Min:  "",O2, CHAR(10),""Max: "",P2)))"),"")</f>
        <v/>
      </c>
      <c r="O2" s="42" t="str">
        <f t="array" ref="O2">_xlfn.XLOOKUP(B2,'Up Min'!A:A,'Up Min'!D:D,)</f>
        <v/>
      </c>
      <c r="P2" s="42" t="str">
        <f t="array" ref="P2">_xlfn.XLOOKUP(B2,'Up Max'!A:A,'Up Max'!D:D,)</f>
        <v/>
      </c>
      <c r="Q2" s="48" t="str">
        <f t="array" ref="Q2">_xlfn.XLOOKUP(B2,'Up Stats'!A:A,'Up Stats'!E:E,)</f>
        <v/>
      </c>
      <c r="R2" s="40" t="str">
        <f>IFERROR(__xludf.DUMMYFUNCTION("if(AND(S2=FALSE,T2=FALSE),,if(S2=T2,JOIN("""",""Static: "",S2),JOIN("""",""Min:  "",S2, CHAR(10),""Max: "",T2)))"),"")</f>
        <v/>
      </c>
      <c r="S2" s="42" t="str">
        <f t="array" ref="S2">_xlfn.XLOOKUP(B2,'Up Min'!A:A,'Up Min'!E:E,)</f>
        <v/>
      </c>
      <c r="T2" s="42" t="str">
        <f t="array" ref="T2">_xlfn.XLOOKUP(B2,'Up Max'!A:A,'Up Max'!E:E,)</f>
        <v/>
      </c>
      <c r="U2" s="48" t="str">
        <f t="array" ref="U2">_xlfn.XLOOKUP(B2,'Up Stats'!A:A,'Up Stats'!F:F,)</f>
        <v/>
      </c>
      <c r="V2" s="40" t="str">
        <f>IFERROR(__xludf.DUMMYFUNCTION("if(AND(W2=FALSE,X2=FALSE),,if(W2=X2,JOIN("""",""Static: "",W2),JOIN("""",""Min:  "",W2, CHAR(10),""Max: "",X2)))"),"")</f>
        <v/>
      </c>
      <c r="W2" s="42" t="str">
        <f t="array" ref="W2">_xlfn.XLOOKUP(B2,'Up Min'!A:A,'Up Min'!F:F,)</f>
        <v/>
      </c>
      <c r="X2" s="42" t="str">
        <f t="array" ref="X2">_xlfn.XLOOKUP(B2,'Up Max'!A:A,'Up Max'!F:F,)</f>
        <v/>
      </c>
      <c r="Y2" s="48" t="str">
        <f t="array" ref="Y2">_xlfn.XLOOKUP(B2,'Up Stats'!A:A,'Up Stats'!G:G,)</f>
        <v/>
      </c>
      <c r="Z2" s="40" t="str">
        <f>IFERROR(__xludf.DUMMYFUNCTION("if(AND(AA2=FALSE,AB2=FALSE),,if(AA2=AB2,JOIN("""",""Static: "",AA2),JOIN("""",""Min:  "",AA2, CHAR(10),""Max: "",AB2)))"),"")</f>
        <v/>
      </c>
      <c r="AA2" s="42" t="str">
        <f t="array" ref="AA2">_xlfn.XLOOKUP(B2,'Up Min'!A:A,'Up Min'!G:G,)</f>
        <v/>
      </c>
      <c r="AB2" s="42" t="str">
        <f t="array" ref="AB2">_xlfn.XLOOKUP(B2,'Up Max'!A:A,'Up Max'!G:G,)</f>
        <v/>
      </c>
      <c r="AC2" s="48" t="str">
        <f t="array" ref="AC2">_xlfn.XLOOKUP(B2,'Up Stats'!A:A,'Up Stats'!H:H,)</f>
        <v/>
      </c>
      <c r="AD2" s="40" t="str">
        <f>IFERROR(__xludf.DUMMYFUNCTION("if(AND(AE2=FALSE,AF2=FALSE),,if(AE2=AF2,JOIN("""",""Static: "",AE2),JOIN("""",""Min:  "",AE2, CHAR(10),""Max: "",AF2)))"),"")</f>
        <v/>
      </c>
      <c r="AE2" s="42" t="str">
        <f t="array" ref="AE2">_xlfn.XLOOKUP(B2,'Up Min'!A:A,'Up Min'!H:H,)</f>
        <v/>
      </c>
      <c r="AF2" s="42" t="str">
        <f t="array" ref="AF2">_xlfn.XLOOKUP(B2,'Up Max'!A:A,'Up Max'!H:H,)</f>
        <v/>
      </c>
      <c r="AG2" s="48" t="str">
        <f t="array" ref="AG2">_xlfn.XLOOKUP(B2,'Up Stats'!A:A,'Up Stats'!I:I,)</f>
        <v/>
      </c>
      <c r="AH2" s="40" t="str">
        <f>IFERROR(__xludf.DUMMYFUNCTION("if(AND(AI2=FALSE,AJ2=FALSE),,if(AI2=AJ2,JOIN("""",""Static: "",AI2),JOIN("""",""Min:  "",AI2, CHAR(10),""Max: "",AJ2)))"),"")</f>
        <v/>
      </c>
      <c r="AI2" s="42" t="str">
        <f t="array" ref="AI2">_xlfn.XLOOKUP(B2,'Up Min'!A:A,'Up Min'!I:I,)</f>
        <v/>
      </c>
      <c r="AJ2" s="42" t="str">
        <f t="array" ref="AJ2">_xlfn.XLOOKUP(B2,'Up Max'!A:A,'Up Max'!I:I,)</f>
        <v/>
      </c>
      <c r="AK2" s="48" t="str">
        <f t="array" ref="AK2">_xlfn.XLOOKUP(B2,'Up Stats'!A:A,'Up Stats'!J:J,)</f>
        <v/>
      </c>
      <c r="AL2" s="40" t="str">
        <f>IFERROR(__xludf.DUMMYFUNCTION("if(AND(AM2=FALSE,AN2=FALSE),,if(AM2=AN2,JOIN("""",""Static: "",AM2),JOIN("""",""Min:  "",AM2, CHAR(10),""Max: "",AN2)))"),"")</f>
        <v/>
      </c>
      <c r="AM2" s="42" t="str">
        <f t="array" ref="AM2">_xlfn.XLOOKUP(B2,'Up Min'!A:A,'Up Min'!J:J,)</f>
        <v/>
      </c>
      <c r="AN2" s="42" t="str">
        <f t="array" ref="AN2">_xlfn.XLOOKUP(B2,'Up Max'!A:A,'Up Max'!J:J,)</f>
        <v/>
      </c>
      <c r="AO2" s="34" t="str">
        <f t="array" ref="AO2">CONCATENATE(_xlfn.XLOOKUP(B2,'Up Cells'!A:A,'Up Cells'!B:B,))</f>
        <v>1</v>
      </c>
      <c r="AP2" s="34" t="str">
        <f t="array" ref="AP2">CONCATENATE(_xlfn.XLOOKUP(B2,'Up Rarity'!A:A,'Up Rarity'!B:B,),CHAR(10),"-")</f>
        <v>Contraband
-</v>
      </c>
    </row>
    <row r="3">
      <c r="A3" s="31" t="str">
        <f t="array" ref="A3">_xlfn.XLOOKUP(B3,'Up Icon'!A:A,'Up Icon'!B:B,)</f>
        <v/>
      </c>
      <c r="B3" s="61" t="str">
        <f t="array" ref="B3">HYPERLINK(_xlfn.XLOOKUP('Up Names'!K34,'Up Wiki'!A:A,'Up Wiki'!B:B,),'Up Names'!K34)</f>
        <v>Multiversal Thievery</v>
      </c>
      <c r="C3" s="52" t="str">
        <f t="array" ref="C3">_xlfn.XLOOKUP(B3,'Up Desc'!A:A,'Up Desc'!B:B,)</f>
        <v>Commandeers 1 column from each of your other upgrade grids.</v>
      </c>
      <c r="D3" s="52" t="str">
        <f t="array" ref="D3">_xlfn.XLOOKUP(B3,'Up Turbo'!A:A,'Up Turbo'!B:B,)</f>
        <v>n/a</v>
      </c>
      <c r="E3" s="53" t="str">
        <f t="array" ref="E3">_xlfn.XLOOKUP(B3,'Up Stats'!A:A,'Up Stats'!B:B,)</f>
        <v/>
      </c>
      <c r="F3" s="54" t="str">
        <f>IFERROR(__xludf.DUMMYFUNCTION("if(AND(G3=FALSE,H3=FALSE),,if(G3=H3,JOIN("""",""Static: "",G3),JOIN("""",""Min:  "",G3, CHAR(10),""Max: "",H3)))"),"")</f>
        <v/>
      </c>
      <c r="G3" s="55" t="str">
        <f t="array" ref="G3">_xlfn.XLOOKUP(B3,'Up Min'!A:A,'Up Min'!B:B,)</f>
        <v/>
      </c>
      <c r="H3" s="56" t="str">
        <f t="array" ref="H3">_xlfn.XLOOKUP(B3,'Up Max'!A:A,'Up Max'!B:B,)</f>
        <v/>
      </c>
      <c r="I3" s="53" t="str">
        <f t="array" ref="I3">_xlfn.XLOOKUP(B3,'Up Stats'!A:A,'Up Stats'!C:C,)</f>
        <v/>
      </c>
      <c r="J3" s="54" t="str">
        <f>IFERROR(__xludf.DUMMYFUNCTION("if(AND(K3=FALSE,L3=FALSE),,if(K3=L3,JOIN("""",""Static: "",K3),JOIN("""",""Min:  "",K3, CHAR(10),""Max: "",L3)))"),"")</f>
        <v/>
      </c>
      <c r="K3" s="55" t="str">
        <f t="array" ref="K3">_xlfn.XLOOKUP(B3,'Up Min'!A:A,'Up Min'!C:C,)</f>
        <v/>
      </c>
      <c r="L3" s="55" t="str">
        <f t="array" ref="L3">_xlfn.XLOOKUP(B3,'Up Max'!A:A,'Up Max'!C:C,)</f>
        <v/>
      </c>
      <c r="M3" s="57" t="str">
        <f t="array" ref="M3">_xlfn.XLOOKUP(B3,'Up Stats'!A:A,'Up Stats'!D:D,)</f>
        <v/>
      </c>
      <c r="N3" s="54" t="str">
        <f>IFERROR(__xludf.DUMMYFUNCTION("if(AND(O3=FALSE,P3=FALSE),,if(O3=P3,JOIN("""",""Static: "",O3),JOIN("""",""Min:  "",O3, CHAR(10),""Max: "",P3)))"),"")</f>
        <v/>
      </c>
      <c r="O3" s="55" t="str">
        <f t="array" ref="O3">_xlfn.XLOOKUP(B3,'Up Min'!A:A,'Up Min'!D:D,)</f>
        <v/>
      </c>
      <c r="P3" s="55" t="str">
        <f t="array" ref="P3">_xlfn.XLOOKUP(B3,'Up Max'!A:A,'Up Max'!D:D,)</f>
        <v/>
      </c>
      <c r="Q3" s="57" t="str">
        <f t="array" ref="Q3">_xlfn.XLOOKUP(B3,'Up Stats'!A:A,'Up Stats'!E:E,)</f>
        <v/>
      </c>
      <c r="R3" s="54" t="str">
        <f>IFERROR(__xludf.DUMMYFUNCTION("if(AND(S3=FALSE,T3=FALSE),,if(S3=T3,JOIN("""",""Static: "",S3),JOIN("""",""Min:  "",S3, CHAR(10),""Max: "",T3)))"),"")</f>
        <v/>
      </c>
      <c r="S3" s="55" t="str">
        <f t="array" ref="S3">_xlfn.XLOOKUP(B3,'Up Min'!A:A,'Up Min'!E:E,)</f>
        <v/>
      </c>
      <c r="T3" s="55" t="str">
        <f t="array" ref="T3">_xlfn.XLOOKUP(B3,'Up Max'!A:A,'Up Max'!E:E,)</f>
        <v/>
      </c>
      <c r="U3" s="57" t="str">
        <f t="array" ref="U3">_xlfn.XLOOKUP(B3,'Up Stats'!A:A,'Up Stats'!F:F,)</f>
        <v/>
      </c>
      <c r="V3" s="54" t="str">
        <f>IFERROR(__xludf.DUMMYFUNCTION("if(AND(W3=FALSE,X3=FALSE),,if(W3=X3,JOIN("""",""Static: "",W3),JOIN("""",""Min:  "",W3, CHAR(10),""Max: "",X3)))"),"")</f>
        <v/>
      </c>
      <c r="W3" s="55" t="str">
        <f t="array" ref="W3">_xlfn.XLOOKUP(B3,'Up Min'!A:A,'Up Min'!F:F,)</f>
        <v/>
      </c>
      <c r="X3" s="55" t="str">
        <f t="array" ref="X3">_xlfn.XLOOKUP(B3,'Up Max'!A:A,'Up Max'!F:F,)</f>
        <v/>
      </c>
      <c r="Y3" s="57" t="str">
        <f t="array" ref="Y3">_xlfn.XLOOKUP(B3,'Up Stats'!A:A,'Up Stats'!G:G,)</f>
        <v/>
      </c>
      <c r="Z3" s="54" t="str">
        <f>IFERROR(__xludf.DUMMYFUNCTION("if(AND(AA3=FALSE,AB3=FALSE),,if(AA3=AB3,JOIN("""",""Static: "",AA3),JOIN("""",""Min:  "",AA3, CHAR(10),""Max: "",AB3)))"),"")</f>
        <v/>
      </c>
      <c r="AA3" s="55" t="str">
        <f t="array" ref="AA3">_xlfn.XLOOKUP(B3,'Up Min'!A:A,'Up Min'!G:G,)</f>
        <v/>
      </c>
      <c r="AB3" s="55" t="str">
        <f t="array" ref="AB3">_xlfn.XLOOKUP(B3,'Up Max'!A:A,'Up Max'!G:G,)</f>
        <v/>
      </c>
      <c r="AC3" s="57" t="str">
        <f t="array" ref="AC3">_xlfn.XLOOKUP(B3,'Up Stats'!A:A,'Up Stats'!H:H,)</f>
        <v/>
      </c>
      <c r="AD3" s="54" t="str">
        <f>IFERROR(__xludf.DUMMYFUNCTION("if(AND(AE3=FALSE,AF3=FALSE),,if(AE3=AF3,JOIN("""",""Static: "",AE3),JOIN("""",""Min:  "",AE3, CHAR(10),""Max: "",AF3)))"),"")</f>
        <v/>
      </c>
      <c r="AE3" s="55" t="str">
        <f t="array" ref="AE3">_xlfn.XLOOKUP(B3,'Up Min'!A:A,'Up Min'!H:H,)</f>
        <v/>
      </c>
      <c r="AF3" s="55" t="str">
        <f t="array" ref="AF3">_xlfn.XLOOKUP(B3,'Up Max'!A:A,'Up Max'!H:H,)</f>
        <v/>
      </c>
      <c r="AG3" s="57" t="str">
        <f t="array" ref="AG3">_xlfn.XLOOKUP(B3,'Up Stats'!A:A,'Up Stats'!I:I,)</f>
        <v/>
      </c>
      <c r="AH3" s="54" t="str">
        <f>IFERROR(__xludf.DUMMYFUNCTION("if(AND(AI3=FALSE,AJ3=FALSE),,if(AI3=AJ3,JOIN("""",""Static: "",AI3),JOIN("""",""Min:  "",AI3, CHAR(10),""Max: "",AJ3)))"),"")</f>
        <v/>
      </c>
      <c r="AI3" s="55" t="str">
        <f t="array" ref="AI3">_xlfn.XLOOKUP(B3,'Up Min'!A:A,'Up Min'!I:I,)</f>
        <v/>
      </c>
      <c r="AJ3" s="55" t="str">
        <f t="array" ref="AJ3">_xlfn.XLOOKUP(B3,'Up Max'!A:A,'Up Max'!I:I,)</f>
        <v/>
      </c>
      <c r="AK3" s="57" t="str">
        <f t="array" ref="AK3">_xlfn.XLOOKUP(B3,'Up Stats'!A:A,'Up Stats'!J:J,)</f>
        <v/>
      </c>
      <c r="AL3" s="54" t="str">
        <f>IFERROR(__xludf.DUMMYFUNCTION("if(AND(AM3=FALSE,AN3=FALSE),,if(AM3=AN3,JOIN("""",""Static: "",AM3),JOIN("""",""Min:  "",AM3, CHAR(10),""Max: "",AN3)))"),"")</f>
        <v/>
      </c>
      <c r="AM3" s="55" t="str">
        <f t="array" ref="AM3">_xlfn.XLOOKUP(B3,'Up Min'!A:A,'Up Min'!J:J,)</f>
        <v/>
      </c>
      <c r="AN3" s="55" t="str">
        <f t="array" ref="AN3">_xlfn.XLOOKUP(B3,'Up Max'!A:A,'Up Max'!J:J,)</f>
        <v/>
      </c>
      <c r="AO3" s="51" t="str">
        <f t="array" ref="AO3">CONCATENATE(_xlfn.XLOOKUP(B3,'Up Cells'!A:A,'Up Cells'!B:B,))</f>
        <v>1</v>
      </c>
      <c r="AP3" s="51" t="str">
        <f t="array" ref="AP3">CONCATENATE(_xlfn.XLOOKUP(B3,'Up Rarity'!A:A,'Up Rarity'!B:B,),CHAR(10),"-")</f>
        <v>Contraband
-</v>
      </c>
    </row>
    <row r="4">
      <c r="A4" s="60" t="str">
        <f t="array" ref="A4">_xlfn.XLOOKUP(B4,'Up Icon'!A:A,'Up Icon'!B:B,)</f>
        <v/>
      </c>
      <c r="B4" s="58" t="str">
        <f t="array" ref="B4">HYPERLINK(_xlfn.XLOOKUP('Up Names'!K35,'Up Wiki'!A:A,'Up Wiki'!B:B,),'Up Names'!K35)</f>
        <v>Boundary Incursion</v>
      </c>
      <c r="C4" s="37" t="str">
        <f t="array" ref="C4">_xlfn.XLOOKUP(B4,'Up Desc'!A:A,'Up Desc'!B:B,)</f>
        <v>Increases the size of your upgrade grid.</v>
      </c>
      <c r="D4" s="37" t="str">
        <f t="array" ref="D4">_xlfn.XLOOKUP(B4,'Up Turbo'!A:A,'Up Turbo'!B:B,)</f>
        <v>n/a</v>
      </c>
      <c r="E4" s="39" t="str">
        <f t="array" ref="E4">_xlfn.XLOOKUP(B4,'Up Stats'!A:A,'Up Stats'!B:B,)</f>
        <v/>
      </c>
      <c r="F4" s="40" t="str">
        <f>IFERROR(__xludf.DUMMYFUNCTION("if(AND(G4=FALSE,H4=FALSE),,if(G4=H4,JOIN("""",""Static: "",G4),JOIN("""",""Min:  "",G4, CHAR(10),""Max: "",H4)))"),"")</f>
        <v/>
      </c>
      <c r="G4" s="42" t="str">
        <f t="array" ref="G4">_xlfn.XLOOKUP(B4,'Up Min'!A:A,'Up Min'!B:B,)</f>
        <v/>
      </c>
      <c r="H4" s="45" t="str">
        <f t="array" ref="H4">_xlfn.XLOOKUP(B4,'Up Max'!A:A,'Up Max'!B:B,)</f>
        <v/>
      </c>
      <c r="I4" s="39" t="str">
        <f t="array" ref="I4">_xlfn.XLOOKUP(B4,'Up Stats'!A:A,'Up Stats'!C:C,)</f>
        <v/>
      </c>
      <c r="J4" s="40" t="str">
        <f>IFERROR(__xludf.DUMMYFUNCTION("if(AND(K4=FALSE,L4=FALSE),,if(K4=L4,JOIN("""",""Static: "",K4),JOIN("""",""Min:  "",K4, CHAR(10),""Max: "",L4)))"),"")</f>
        <v/>
      </c>
      <c r="K4" s="42" t="str">
        <f t="array" ref="K4">_xlfn.XLOOKUP(B4,'Up Min'!A:A,'Up Min'!C:C,)</f>
        <v/>
      </c>
      <c r="L4" s="42" t="str">
        <f t="array" ref="L4">_xlfn.XLOOKUP(B4,'Up Max'!A:A,'Up Max'!C:C,)</f>
        <v/>
      </c>
      <c r="M4" s="48" t="str">
        <f t="array" ref="M4">_xlfn.XLOOKUP(B4,'Up Stats'!A:A,'Up Stats'!D:D,)</f>
        <v/>
      </c>
      <c r="N4" s="40" t="str">
        <f>IFERROR(__xludf.DUMMYFUNCTION("if(AND(O4=FALSE,P4=FALSE),,if(O4=P4,JOIN("""",""Static: "",O4),JOIN("""",""Min:  "",O4, CHAR(10),""Max: "",P4)))"),"")</f>
        <v/>
      </c>
      <c r="O4" s="42" t="str">
        <f t="array" ref="O4">_xlfn.XLOOKUP(B4,'Up Min'!A:A,'Up Min'!D:D,)</f>
        <v/>
      </c>
      <c r="P4" s="42" t="str">
        <f t="array" ref="P4">_xlfn.XLOOKUP(B4,'Up Max'!A:A,'Up Max'!D:D,)</f>
        <v/>
      </c>
      <c r="Q4" s="48" t="str">
        <f t="array" ref="Q4">_xlfn.XLOOKUP(B4,'Up Stats'!A:A,'Up Stats'!E:E,)</f>
        <v/>
      </c>
      <c r="R4" s="40" t="str">
        <f>IFERROR(__xludf.DUMMYFUNCTION("if(AND(S4=FALSE,T4=FALSE),,if(S4=T4,JOIN("""",""Static: "",S4),JOIN("""",""Min:  "",S4, CHAR(10),""Max: "",T4)))"),"")</f>
        <v/>
      </c>
      <c r="S4" s="42" t="str">
        <f t="array" ref="S4">_xlfn.XLOOKUP(B4,'Up Min'!A:A,'Up Min'!E:E,)</f>
        <v/>
      </c>
      <c r="T4" s="42" t="str">
        <f t="array" ref="T4">_xlfn.XLOOKUP(B4,'Up Max'!A:A,'Up Max'!E:E,)</f>
        <v/>
      </c>
      <c r="U4" s="48" t="str">
        <f t="array" ref="U4">_xlfn.XLOOKUP(B4,'Up Stats'!A:A,'Up Stats'!F:F,)</f>
        <v/>
      </c>
      <c r="V4" s="40" t="str">
        <f>IFERROR(__xludf.DUMMYFUNCTION("if(AND(W4=FALSE,X4=FALSE),,if(W4=X4,JOIN("""",""Static: "",W4),JOIN("""",""Min:  "",W4, CHAR(10),""Max: "",X4)))"),"")</f>
        <v/>
      </c>
      <c r="W4" s="42" t="str">
        <f t="array" ref="W4">_xlfn.XLOOKUP(B4,'Up Min'!A:A,'Up Min'!F:F,)</f>
        <v/>
      </c>
      <c r="X4" s="42" t="str">
        <f t="array" ref="X4">_xlfn.XLOOKUP(B4,'Up Max'!A:A,'Up Max'!F:F,)</f>
        <v/>
      </c>
      <c r="Y4" s="48" t="str">
        <f t="array" ref="Y4">_xlfn.XLOOKUP(B4,'Up Stats'!A:A,'Up Stats'!G:G,)</f>
        <v/>
      </c>
      <c r="Z4" s="40" t="str">
        <f>IFERROR(__xludf.DUMMYFUNCTION("if(AND(AA4=FALSE,AB4=FALSE),,if(AA4=AB4,JOIN("""",""Static: "",AA4),JOIN("""",""Min:  "",AA4, CHAR(10),""Max: "",AB4)))"),"")</f>
        <v/>
      </c>
      <c r="AA4" s="42" t="str">
        <f t="array" ref="AA4">_xlfn.XLOOKUP(B4,'Up Min'!A:A,'Up Min'!G:G,)</f>
        <v/>
      </c>
      <c r="AB4" s="42" t="str">
        <f t="array" ref="AB4">_xlfn.XLOOKUP(B4,'Up Max'!A:A,'Up Max'!G:G,)</f>
        <v/>
      </c>
      <c r="AC4" s="48" t="str">
        <f t="array" ref="AC4">_xlfn.XLOOKUP(B4,'Up Stats'!A:A,'Up Stats'!H:H,)</f>
        <v/>
      </c>
      <c r="AD4" s="40" t="str">
        <f>IFERROR(__xludf.DUMMYFUNCTION("if(AND(AE4=FALSE,AF4=FALSE),,if(AE4=AF4,JOIN("""",""Static: "",AE4),JOIN("""",""Min:  "",AE4, CHAR(10),""Max: "",AF4)))"),"")</f>
        <v/>
      </c>
      <c r="AE4" s="42" t="str">
        <f t="array" ref="AE4">_xlfn.XLOOKUP(B4,'Up Min'!A:A,'Up Min'!H:H,)</f>
        <v/>
      </c>
      <c r="AF4" s="42" t="str">
        <f t="array" ref="AF4">_xlfn.XLOOKUP(B4,'Up Max'!A:A,'Up Max'!H:H,)</f>
        <v/>
      </c>
      <c r="AG4" s="48" t="str">
        <f t="array" ref="AG4">_xlfn.XLOOKUP(B4,'Up Stats'!A:A,'Up Stats'!I:I,)</f>
        <v/>
      </c>
      <c r="AH4" s="40" t="str">
        <f>IFERROR(__xludf.DUMMYFUNCTION("if(AND(AI4=FALSE,AJ4=FALSE),,if(AI4=AJ4,JOIN("""",""Static: "",AI4),JOIN("""",""Min:  "",AI4, CHAR(10),""Max: "",AJ4)))"),"")</f>
        <v/>
      </c>
      <c r="AI4" s="42" t="str">
        <f t="array" ref="AI4">_xlfn.XLOOKUP(B4,'Up Min'!A:A,'Up Min'!I:I,)</f>
        <v/>
      </c>
      <c r="AJ4" s="42" t="str">
        <f t="array" ref="AJ4">_xlfn.XLOOKUP(B4,'Up Max'!A:A,'Up Max'!I:I,)</f>
        <v/>
      </c>
      <c r="AK4" s="48" t="str">
        <f t="array" ref="AK4">_xlfn.XLOOKUP(B4,'Up Stats'!A:A,'Up Stats'!J:J,)</f>
        <v/>
      </c>
      <c r="AL4" s="40" t="str">
        <f>IFERROR(__xludf.DUMMYFUNCTION("if(AND(AM4=FALSE,AN4=FALSE),,if(AM4=AN4,JOIN("""",""Static: "",AM4),JOIN("""",""Min:  "",AM4, CHAR(10),""Max: "",AN4)))"),"")</f>
        <v/>
      </c>
      <c r="AM4" s="42" t="str">
        <f t="array" ref="AM4">_xlfn.XLOOKUP(B4,'Up Min'!A:A,'Up Min'!J:J,)</f>
        <v/>
      </c>
      <c r="AN4" s="42" t="str">
        <f t="array" ref="AN4">_xlfn.XLOOKUP(B4,'Up Max'!A:A,'Up Max'!J:J,)</f>
        <v/>
      </c>
      <c r="AO4" s="34" t="str">
        <f t="array" ref="AO4">CONCATENATE(_xlfn.XLOOKUP(B4,'Up Cells'!A:A,'Up Cells'!B:B,))</f>
        <v>1</v>
      </c>
      <c r="AP4" s="34" t="str">
        <f t="array" ref="AP4">CONCATENATE(_xlfn.XLOOKUP(B4,'Up Rarity'!A:A,'Up Rarity'!B:B,),CHAR(10),"-")</f>
        <v>Oddity
-</v>
      </c>
    </row>
    <row r="5">
      <c r="A5" s="62" t="str">
        <f t="array" ref="A5">_xlfn.XLOOKUP(B5,'Up Icon'!A:A,'Up Icon'!B:B,)</f>
        <v/>
      </c>
      <c r="B5" s="61" t="str">
        <f t="array" ref="B5">HYPERLINK(_xlfn.XLOOKUP('Up Names'!K2,'Up Wiki'!A:A,'Up Wiki'!B:B,),'Up Names'!K2)</f>
        <v>Auger Subroutine</v>
      </c>
      <c r="C5" s="70" t="str">
        <f t="array" ref="C5">_xlfn.XLOOKUP(B5,'Up Desc'!A:A,'Up Desc'!B:B,)</f>
        <v>Hold RELOAD to charge up the Shocklance and release to launch yourself forward. Any targets in your way are drilled for continuous damage. Multiple Auger Subroutines increase damage and launch duration.</v>
      </c>
      <c r="D5" s="52" t="str">
        <f t="array" ref="D5">_xlfn.XLOOKUP(B5,'Up Turbo'!A:A,'Up Turbo'!B:B,)</f>
        <v/>
      </c>
      <c r="E5" s="53" t="str">
        <f t="array" ref="E5">_xlfn.XLOOKUP(B5,'Up Stats'!A:A,'Up Stats'!B:B,)</f>
        <v>Charge Time</v>
      </c>
      <c r="F5" s="54" t="str">
        <f>IFERROR(__xludf.DUMMYFUNCTION("if(AND(G5=FALSE,H5=FALSE),,if(G5=H5,JOIN("""",""Static: "",G5),JOIN("""",""Min:  "",G5, CHAR(10),""Max: "",H5)))"),"Min:  0.91
Max: 0.95")</f>
        <v>Min:  0.91
Max: 0.95</v>
      </c>
      <c r="G5" s="64">
        <f t="array" ref="G5">_xlfn.XLOOKUP(B5,'Up Min'!A:A,'Up Min'!B:B,)</f>
        <v>0.91</v>
      </c>
      <c r="H5" s="65">
        <f t="array" ref="H5">_xlfn.XLOOKUP(B5,'Up Max'!A:A,'Up Max'!B:B,)</f>
        <v>0.95</v>
      </c>
      <c r="I5" s="53" t="str">
        <f t="array" ref="I5">_xlfn.XLOOKUP(B5,'Up Stats'!A:A,'Up Stats'!C:C,)</f>
        <v>Speed</v>
      </c>
      <c r="J5" s="54" t="str">
        <f>IFERROR(__xludf.DUMMYFUNCTION("if(AND(K5=FALSE,L5=FALSE),,if(K5=L5,JOIN("""",""Static: "",K5),JOIN("""",""Min:  "",K5, CHAR(10),""Max: "",L5)))"),"Min:  37
Max: 45")</f>
        <v>Min:  37
Max: 45</v>
      </c>
      <c r="K5" s="55">
        <f t="array" ref="K5">_xlfn.XLOOKUP(B5,'Up Min'!A:A,'Up Min'!C:C,)</f>
        <v>37</v>
      </c>
      <c r="L5" s="55">
        <f t="array" ref="L5">_xlfn.XLOOKUP(B5,'Up Max'!A:A,'Up Max'!C:C,)</f>
        <v>45</v>
      </c>
      <c r="M5" s="57" t="str">
        <f t="array" ref="M5">_xlfn.XLOOKUP(B5,'Up Stats'!A:A,'Up Stats'!D:D,)</f>
        <v>Duration</v>
      </c>
      <c r="N5" s="54" t="str">
        <f>IFERROR(__xludf.DUMMYFUNCTION("if(AND(O5=FALSE,P5=FALSE),,if(O5=P5,JOIN("""",""Static: "",O5),JOIN("""",""Min:  "",O5, CHAR(10),""Max: "",P5)))"),"Min:  0.59
Max: 0.7")</f>
        <v>Min:  0.59
Max: 0.7</v>
      </c>
      <c r="O5" s="55">
        <f t="array" ref="O5">_xlfn.XLOOKUP(B5,'Up Min'!A:A,'Up Min'!D:D,)</f>
        <v>0.59</v>
      </c>
      <c r="P5" s="55">
        <f t="array" ref="P5">_xlfn.XLOOKUP(B5,'Up Max'!A:A,'Up Max'!D:D,)</f>
        <v>0.7</v>
      </c>
      <c r="Q5" s="57" t="str">
        <f t="array" ref="Q5">_xlfn.XLOOKUP(B5,'Up Stats'!A:A,'Up Stats'!E:E,)</f>
        <v>Size</v>
      </c>
      <c r="R5" s="54" t="str">
        <f>IFERROR(__xludf.DUMMYFUNCTION("if(AND(S5=FALSE,T5=FALSE),,if(S5=T5,JOIN("""",""Static: "",S5),JOIN("""",""Min:  "",S5, CHAR(10),""Max: "",T5)))"),"Min:  2.6
Max: 2.85")</f>
        <v>Min:  2.6
Max: 2.85</v>
      </c>
      <c r="S5" s="55">
        <f t="array" ref="S5">_xlfn.XLOOKUP(B5,'Up Min'!A:A,'Up Min'!E:E,)</f>
        <v>2.6</v>
      </c>
      <c r="T5" s="55">
        <f t="array" ref="T5">_xlfn.XLOOKUP(B5,'Up Max'!A:A,'Up Max'!E:E,)</f>
        <v>2.85</v>
      </c>
      <c r="U5" s="57" t="str">
        <f t="array" ref="U5">_xlfn.XLOOKUP(B5,'Up Stats'!A:A,'Up Stats'!F:F,)</f>
        <v>Damage</v>
      </c>
      <c r="V5" s="54" t="str">
        <f>IFERROR(__xludf.DUMMYFUNCTION("if(AND(W5=FALSE,X5=FALSE),,if(W5=X5,JOIN("""",""Static: "",W5),JOIN("""",""Min:  "",W5, CHAR(10),""Max: "",X5)))"),"Min:  37.2
Max: 42.7")</f>
        <v>Min:  37.2
Max: 42.7</v>
      </c>
      <c r="W5" s="55">
        <f t="array" ref="W5">_xlfn.XLOOKUP(B5,'Up Min'!A:A,'Up Min'!F:F,)</f>
        <v>37.2</v>
      </c>
      <c r="X5" s="55">
        <f t="array" ref="X5">_xlfn.XLOOKUP(B5,'Up Max'!A:A,'Up Max'!F:F,)</f>
        <v>42.7</v>
      </c>
      <c r="Y5" s="57" t="str">
        <f t="array" ref="Y5">_xlfn.XLOOKUP(B5,'Up Stats'!A:A,'Up Stats'!G:G,)</f>
        <v/>
      </c>
      <c r="Z5" s="54" t="str">
        <f>IFERROR(__xludf.DUMMYFUNCTION("if(AND(AA5=FALSE,AB5=FALSE),,if(AA5=AB5,JOIN("""",""Static: "",AA5),JOIN("""",""Min:  "",AA5, CHAR(10),""Max: "",AB5)))"),"")</f>
        <v/>
      </c>
      <c r="AA5" s="55" t="str">
        <f t="array" ref="AA5">_xlfn.XLOOKUP(B5,'Up Min'!A:A,'Up Min'!G:G,)</f>
        <v/>
      </c>
      <c r="AB5" s="55" t="str">
        <f t="array" ref="AB5">_xlfn.XLOOKUP(B5,'Up Max'!A:A,'Up Max'!G:G,)</f>
        <v/>
      </c>
      <c r="AC5" s="57" t="str">
        <f t="array" ref="AC5">_xlfn.XLOOKUP(B5,'Up Stats'!A:A,'Up Stats'!H:H,)</f>
        <v/>
      </c>
      <c r="AD5" s="54" t="str">
        <f>IFERROR(__xludf.DUMMYFUNCTION("if(AND(AE5=FALSE,AF5=FALSE),,if(AE5=AF5,JOIN("""",""Static: "",AE5),JOIN("""",""Min:  "",AE5, CHAR(10),""Max: "",AF5)))"),"")</f>
        <v/>
      </c>
      <c r="AE5" s="55" t="str">
        <f t="array" ref="AE5">_xlfn.XLOOKUP(B5,'Up Min'!A:A,'Up Min'!H:H,)</f>
        <v/>
      </c>
      <c r="AF5" s="55" t="str">
        <f t="array" ref="AF5">_xlfn.XLOOKUP(B5,'Up Max'!A:A,'Up Max'!H:H,)</f>
        <v/>
      </c>
      <c r="AG5" s="57" t="str">
        <f t="array" ref="AG5">_xlfn.XLOOKUP(B5,'Up Stats'!A:A,'Up Stats'!I:I,)</f>
        <v/>
      </c>
      <c r="AH5" s="54" t="str">
        <f>IFERROR(__xludf.DUMMYFUNCTION("if(AND(AI5=FALSE,AJ5=FALSE),,if(AI5=AJ5,JOIN("""",""Static: "",AI5),JOIN("""",""Min:  "",AI5, CHAR(10),""Max: "",AJ5)))"),"")</f>
        <v/>
      </c>
      <c r="AI5" s="55" t="str">
        <f t="array" ref="AI5">_xlfn.XLOOKUP(B5,'Up Min'!A:A,'Up Min'!I:I,)</f>
        <v/>
      </c>
      <c r="AJ5" s="55" t="str">
        <f t="array" ref="AJ5">_xlfn.XLOOKUP(B5,'Up Max'!A:A,'Up Max'!I:I,)</f>
        <v/>
      </c>
      <c r="AK5" s="57" t="str">
        <f t="array" ref="AK5">_xlfn.XLOOKUP(B5,'Up Stats'!A:A,'Up Stats'!J:J,)</f>
        <v/>
      </c>
      <c r="AL5" s="54" t="str">
        <f>IFERROR(__xludf.DUMMYFUNCTION("if(AND(AM5=FALSE,AN5=FALSE),,if(AM5=AN5,JOIN("""",""Static: "",AM5),JOIN("""",""Min:  "",AM5, CHAR(10),""Max: "",AN5)))"),"")</f>
        <v/>
      </c>
      <c r="AM5" s="55" t="str">
        <f t="array" ref="AM5">_xlfn.XLOOKUP(B5,'Up Min'!A:A,'Up Min'!J:J,)</f>
        <v/>
      </c>
      <c r="AN5" s="55" t="str">
        <f t="array" ref="AN5">_xlfn.XLOOKUP(B5,'Up Max'!A:A,'Up Max'!J:J,)</f>
        <v/>
      </c>
      <c r="AO5" s="51" t="str">
        <f t="array" ref="AO5">CONCATENATE(_xlfn.XLOOKUP(B5,'Up Cells'!A:A,'Up Cells'!B:B,))</f>
        <v>4</v>
      </c>
      <c r="AP5" s="51" t="str">
        <f t="array" ref="AP5">CONCATENATE(_xlfn.XLOOKUP(B5,'Up Rarity'!A:A,'Up Rarity'!B:B,),CHAR(10),"-")</f>
        <v>Exotic
-</v>
      </c>
    </row>
    <row r="6">
      <c r="A6" s="62" t="str">
        <f t="array" ref="A6">_xlfn.XLOOKUP(B6,'Up Icon'!A:A,'Up Icon'!B:B,)</f>
        <v/>
      </c>
      <c r="B6" s="58" t="str">
        <f t="array" ref="B6">HYPERLINK(_xlfn.XLOOKUP('Up Names'!K3,'Up Wiki'!A:A,'Up Wiki'!B:B,),'Up Names'!K3)</f>
        <v>Battery Recursion</v>
      </c>
      <c r="C6" s="67" t="str">
        <f t="array" ref="C6">_xlfn.XLOOKUP(B6,'Up Desc'!A:A,'Up Desc'!B:B,)</f>
        <v>Consecutive shots are fired full-auto without needing to charge up.</v>
      </c>
      <c r="D6" s="37" t="str">
        <f t="array" ref="D6">_xlfn.XLOOKUP(B6,'Up Turbo'!A:A,'Up Turbo'!B:B,)</f>
        <v/>
      </c>
      <c r="E6" s="39" t="str">
        <f t="array" ref="E6">_xlfn.XLOOKUP(B6,'Up Stats'!A:A,'Up Stats'!B:B,)</f>
        <v/>
      </c>
      <c r="F6" s="40" t="str">
        <f>IFERROR(__xludf.DUMMYFUNCTION("if(AND(G6=FALSE,H6=FALSE),,if(G6=H6,JOIN("""",""Static: "",G6),JOIN("""",""Min:  "",G6, CHAR(10),""Max: "",H6)))"),"")</f>
        <v/>
      </c>
      <c r="G6" s="41" t="str">
        <f t="array" ref="G6">_xlfn.XLOOKUP(B6,'Up Min'!A:A,'Up Min'!B:B,)</f>
        <v/>
      </c>
      <c r="H6" s="41" t="str">
        <f t="array" ref="H6">_xlfn.XLOOKUP(B6,'Up Max'!A:A,'Up Max'!B:B,)</f>
        <v/>
      </c>
      <c r="I6" s="39" t="str">
        <f t="array" ref="I6">_xlfn.XLOOKUP(B6,'Up Stats'!A:A,'Up Stats'!C:C,)</f>
        <v/>
      </c>
      <c r="J6" s="40" t="str">
        <f>IFERROR(__xludf.DUMMYFUNCTION("if(AND(K6=FALSE,L6=FALSE),,if(K6=L6,JOIN("""",""Static: "",K6),JOIN("""",""Min:  "",K6, CHAR(10),""Max: "",L6)))"),"")</f>
        <v/>
      </c>
      <c r="K6" s="41" t="str">
        <f t="array" ref="K6">_xlfn.XLOOKUP(B6,'Up Min'!A:A,'Up Min'!C:C,)</f>
        <v/>
      </c>
      <c r="L6" s="41" t="str">
        <f t="array" ref="L6">_xlfn.XLOOKUP(B6,'Up Max'!A:A,'Up Max'!C:C,)</f>
        <v/>
      </c>
      <c r="M6" s="39" t="str">
        <f t="array" ref="M6">_xlfn.XLOOKUP(B6,'Up Stats'!A:A,'Up Stats'!D:D,)</f>
        <v/>
      </c>
      <c r="N6" s="40" t="str">
        <f>IFERROR(__xludf.DUMMYFUNCTION("if(AND(O6=FALSE,P6=FALSE),,if(O6=P6,JOIN("""",""Static: "",O6),JOIN("""",""Min:  "",O6, CHAR(10),""Max: "",P6)))"),"")</f>
        <v/>
      </c>
      <c r="O6" s="42" t="str">
        <f t="array" ref="O6">_xlfn.XLOOKUP(B6,'Up Min'!A:A,'Up Min'!D:D,)</f>
        <v/>
      </c>
      <c r="P6" s="42" t="str">
        <f t="array" ref="P6">_xlfn.XLOOKUP(B6,'Up Max'!A:A,'Up Max'!D:D,)</f>
        <v/>
      </c>
      <c r="Q6" s="48" t="str">
        <f t="array" ref="Q6">_xlfn.XLOOKUP(B6,'Up Stats'!A:A,'Up Stats'!E:E,)</f>
        <v/>
      </c>
      <c r="R6" s="40" t="str">
        <f>IFERROR(__xludf.DUMMYFUNCTION("if(AND(S6=FALSE,T6=FALSE),,if(S6=T6,JOIN("""",""Static: "",S6),JOIN("""",""Min:  "",S6, CHAR(10),""Max: "",T6)))"),"")</f>
        <v/>
      </c>
      <c r="S6" s="42" t="str">
        <f t="array" ref="S6">_xlfn.XLOOKUP(B6,'Up Min'!A:A,'Up Min'!E:E,)</f>
        <v/>
      </c>
      <c r="T6" s="42" t="str">
        <f t="array" ref="T6">_xlfn.XLOOKUP(B6,'Up Max'!A:A,'Up Max'!E:E,)</f>
        <v/>
      </c>
      <c r="U6" s="48" t="str">
        <f t="array" ref="U6">_xlfn.XLOOKUP(B6,'Up Stats'!A:A,'Up Stats'!F:F,)</f>
        <v/>
      </c>
      <c r="V6" s="40" t="str">
        <f>IFERROR(__xludf.DUMMYFUNCTION("if(AND(W6=FALSE,X6=FALSE),,if(W6=X6,JOIN("""",""Static: "",W6),JOIN("""",""Min:  "",W6, CHAR(10),""Max: "",X6)))"),"")</f>
        <v/>
      </c>
      <c r="W6" s="42" t="str">
        <f t="array" ref="W6">_xlfn.XLOOKUP(B6,'Up Min'!A:A,'Up Min'!F:F,)</f>
        <v/>
      </c>
      <c r="X6" s="42" t="str">
        <f t="array" ref="X6">_xlfn.XLOOKUP(B6,'Up Max'!A:A,'Up Max'!F:F,)</f>
        <v/>
      </c>
      <c r="Y6" s="48" t="str">
        <f t="array" ref="Y6">_xlfn.XLOOKUP(B6,'Up Stats'!A:A,'Up Stats'!G:G,)</f>
        <v/>
      </c>
      <c r="Z6" s="40" t="str">
        <f>IFERROR(__xludf.DUMMYFUNCTION("if(AND(AA6=FALSE,AB6=FALSE),,if(AA6=AB6,JOIN("""",""Static: "",AA6),JOIN("""",""Min:  "",AA6, CHAR(10),""Max: "",AB6)))"),"")</f>
        <v/>
      </c>
      <c r="AA6" s="42" t="str">
        <f t="array" ref="AA6">_xlfn.XLOOKUP(B6,'Up Min'!A:A,'Up Min'!G:G,)</f>
        <v/>
      </c>
      <c r="AB6" s="42" t="str">
        <f t="array" ref="AB6">_xlfn.XLOOKUP(B6,'Up Max'!A:A,'Up Max'!G:G,)</f>
        <v/>
      </c>
      <c r="AC6" s="48" t="str">
        <f t="array" ref="AC6">_xlfn.XLOOKUP(B6,'Up Stats'!A:A,'Up Stats'!H:H,)</f>
        <v/>
      </c>
      <c r="AD6" s="40" t="str">
        <f>IFERROR(__xludf.DUMMYFUNCTION("if(AND(AE6=FALSE,AF6=FALSE),,if(AE6=AF6,JOIN("""",""Static: "",AE6),JOIN("""",""Min:  "",AE6, CHAR(10),""Max: "",AF6)))"),"")</f>
        <v/>
      </c>
      <c r="AE6" s="42" t="str">
        <f t="array" ref="AE6">_xlfn.XLOOKUP(B6,'Up Min'!A:A,'Up Min'!H:H,)</f>
        <v/>
      </c>
      <c r="AF6" s="42" t="str">
        <f t="array" ref="AF6">_xlfn.XLOOKUP(B6,'Up Max'!A:A,'Up Max'!H:H,)</f>
        <v/>
      </c>
      <c r="AG6" s="48" t="str">
        <f t="array" ref="AG6">_xlfn.XLOOKUP(B6,'Up Stats'!A:A,'Up Stats'!I:I,)</f>
        <v/>
      </c>
      <c r="AH6" s="40" t="str">
        <f>IFERROR(__xludf.DUMMYFUNCTION("if(AND(AI6=FALSE,AJ6=FALSE),,if(AI6=AJ6,JOIN("""",""Static: "",AI6),JOIN("""",""Min:  "",AI6, CHAR(10),""Max: "",AJ6)))"),"")</f>
        <v/>
      </c>
      <c r="AI6" s="42" t="str">
        <f t="array" ref="AI6">_xlfn.XLOOKUP(B6,'Up Min'!A:A,'Up Min'!I:I,)</f>
        <v/>
      </c>
      <c r="AJ6" s="42" t="str">
        <f t="array" ref="AJ6">_xlfn.XLOOKUP(B6,'Up Max'!A:A,'Up Max'!I:I,)</f>
        <v/>
      </c>
      <c r="AK6" s="48" t="str">
        <f t="array" ref="AK6">_xlfn.XLOOKUP(B6,'Up Stats'!A:A,'Up Stats'!J:J,)</f>
        <v/>
      </c>
      <c r="AL6" s="40" t="str">
        <f>IFERROR(__xludf.DUMMYFUNCTION("if(AND(AM6=FALSE,AN6=FALSE),,if(AM6=AN6,JOIN("""",""Static: "",AM6),JOIN("""",""Min:  "",AM6, CHAR(10),""Max: "",AN6)))"),"")</f>
        <v/>
      </c>
      <c r="AM6" s="42" t="str">
        <f t="array" ref="AM6">_xlfn.XLOOKUP(B6,'Up Min'!A:A,'Up Min'!J:J,)</f>
        <v/>
      </c>
      <c r="AN6" s="42" t="str">
        <f t="array" ref="AN6">_xlfn.XLOOKUP(B6,'Up Max'!A:A,'Up Max'!J:J,)</f>
        <v/>
      </c>
      <c r="AO6" s="34" t="str">
        <f t="array" ref="AO6">CONCATENATE(_xlfn.XLOOKUP(B6,'Up Cells'!A:A,'Up Cells'!B:B,))</f>
        <v>6</v>
      </c>
      <c r="AP6" s="34" t="str">
        <f t="array" ref="AP6">CONCATENATE(_xlfn.XLOOKUP(B6,'Up Rarity'!A:A,'Up Rarity'!B:B,),CHAR(10),"-")</f>
        <v>Exotic
-</v>
      </c>
    </row>
    <row r="7">
      <c r="A7" s="62" t="str">
        <f t="array" ref="A7">_xlfn.XLOOKUP(B7,'Up Icon'!A:A,'Up Icon'!B:B,)</f>
        <v/>
      </c>
      <c r="B7" s="61" t="str">
        <f t="array" ref="B7">HYPERLINK(_xlfn.XLOOKUP('Up Names'!K4,'Up Wiki'!A:A,'Up Wiki'!B:B,),'Up Names'!K4)</f>
        <v>Laying Cable</v>
      </c>
      <c r="C7" s="52" t="str">
        <f t="array" ref="C7">_xlfn.XLOOKUP(B7,'Up Desc'!A:A,'Up Desc'!B:B,)</f>
        <v>Press INTERACT to tether yourself to another employee. While tethered, you gain damage resistance and deal increased damage. The other employee's movement ability recharges faster.</v>
      </c>
      <c r="D7" s="52" t="str">
        <f t="array" ref="D7">_xlfn.XLOOKUP(B7,'Up Turbo'!A:A,'Up Turbo'!B:B,)</f>
        <v/>
      </c>
      <c r="E7" s="53" t="str">
        <f t="array" ref="E7">_xlfn.XLOOKUP(B7,'Up Stats'!A:A,'Up Stats'!B:B,)</f>
        <v>Distance</v>
      </c>
      <c r="F7" s="54" t="str">
        <f>IFERROR(__xludf.DUMMYFUNCTION("if(AND(G7=FALSE,H7=FALSE),,if(G7=H7,JOIN("""",""Static: "",G7),JOIN("""",""Min:  "",G7, CHAR(10),""Max: "",H7)))"),"Static: 6.4")</f>
        <v>Static: 6.4</v>
      </c>
      <c r="G7" s="64">
        <f t="array" ref="G7">_xlfn.XLOOKUP(B7,'Up Min'!A:A,'Up Min'!B:B,)</f>
        <v>6.4</v>
      </c>
      <c r="H7" s="65">
        <f t="array" ref="H7">_xlfn.XLOOKUP(B7,'Up Max'!A:A,'Up Max'!B:B,)</f>
        <v>6.4</v>
      </c>
      <c r="I7" s="53" t="str">
        <f t="array" ref="I7">_xlfn.XLOOKUP(B7,'Up Stats'!A:A,'Up Stats'!C:C,)</f>
        <v>Damage Resistance</v>
      </c>
      <c r="J7" s="54" t="str">
        <f>IFERROR(__xludf.DUMMYFUNCTION("if(AND(K7=FALSE,L7=FALSE),,if(K7=L7,JOIN("""",""Static: "",K7),JOIN("""",""Min:  "",K7, CHAR(10),""Max: "",L7)))"),"Static: 30%")</f>
        <v>Static: 30%</v>
      </c>
      <c r="K7" s="59">
        <f t="array" ref="K7">_xlfn.XLOOKUP(B7,'Up Min'!A:A,'Up Min'!C:C,)</f>
        <v>0.3</v>
      </c>
      <c r="L7" s="59">
        <f t="array" ref="L7">_xlfn.XLOOKUP(B7,'Up Max'!A:A,'Up Max'!C:C,)</f>
        <v>0.3</v>
      </c>
      <c r="M7" s="53" t="str">
        <f t="array" ref="M7">_xlfn.XLOOKUP(B7,'Up Stats'!A:A,'Up Stats'!D:D,)</f>
        <v>Damage</v>
      </c>
      <c r="N7" s="54" t="str">
        <f>IFERROR(__xludf.DUMMYFUNCTION("if(AND(O7=FALSE,P7=FALSE),,if(O7=P7,JOIN("""",""Static: "",O7),JOIN("""",""Min:  "",O7, CHAR(10),""Max: "",P7)))"),"Static: 30%")</f>
        <v>Static: 30%</v>
      </c>
      <c r="O7" s="59">
        <f t="array" ref="O7">_xlfn.XLOOKUP(B7,'Up Min'!A:A,'Up Min'!D:D,)</f>
        <v>0.3</v>
      </c>
      <c r="P7" s="59">
        <f t="array" ref="P7">_xlfn.XLOOKUP(B7,'Up Max'!A:A,'Up Max'!D:D,)</f>
        <v>0.3</v>
      </c>
      <c r="Q7" s="57" t="str">
        <f t="array" ref="Q7">_xlfn.XLOOKUP(B7,'Up Stats'!A:A,'Up Stats'!E:E,)</f>
        <v>Recharge Speed</v>
      </c>
      <c r="R7" s="54" t="str">
        <f>IFERROR(__xludf.DUMMYFUNCTION("if(AND(S7=FALSE,T7=FALSE),,if(S7=T7,JOIN("""",""Static: "",S7),JOIN("""",""Min:  "",S7, CHAR(10),""Max: "",T7)))"),"Min:  60%
Max: 70%")</f>
        <v>Min:  60%
Max: 70%</v>
      </c>
      <c r="S7" s="72">
        <f t="array" ref="S7">_xlfn.XLOOKUP(B7,'Up Min'!A:A,'Up Min'!E:E,)</f>
        <v>0.6</v>
      </c>
      <c r="T7" s="72">
        <f t="array" ref="T7">_xlfn.XLOOKUP(B7,'Up Max'!A:A,'Up Max'!E:E,)</f>
        <v>0.7</v>
      </c>
      <c r="U7" s="57" t="str">
        <f t="array" ref="U7">_xlfn.XLOOKUP(B7,'Up Stats'!A:A,'Up Stats'!F:F,)</f>
        <v/>
      </c>
      <c r="V7" s="54" t="str">
        <f>IFERROR(__xludf.DUMMYFUNCTION("if(AND(W7=FALSE,X7=FALSE),,if(W7=X7,JOIN("""",""Static: "",W7),JOIN("""",""Min:  "",W7, CHAR(10),""Max: "",X7)))"),"")</f>
        <v/>
      </c>
      <c r="W7" s="55" t="str">
        <f t="array" ref="W7">_xlfn.XLOOKUP(B7,'Up Min'!A:A,'Up Min'!F:F,)</f>
        <v/>
      </c>
      <c r="X7" s="55" t="str">
        <f t="array" ref="X7">_xlfn.XLOOKUP(B7,'Up Max'!A:A,'Up Max'!F:F,)</f>
        <v/>
      </c>
      <c r="Y7" s="57" t="str">
        <f t="array" ref="Y7">_xlfn.XLOOKUP(B7,'Up Stats'!A:A,'Up Stats'!G:G,)</f>
        <v/>
      </c>
      <c r="Z7" s="54" t="str">
        <f>IFERROR(__xludf.DUMMYFUNCTION("if(AND(AA7=FALSE,AB7=FALSE),,if(AA7=AB7,JOIN("""",""Static: "",AA7),JOIN("""",""Min:  "",AA7, CHAR(10),""Max: "",AB7)))"),"")</f>
        <v/>
      </c>
      <c r="AA7" s="55" t="str">
        <f t="array" ref="AA7">_xlfn.XLOOKUP(B7,'Up Min'!A:A,'Up Min'!G:G,)</f>
        <v/>
      </c>
      <c r="AB7" s="55" t="str">
        <f t="array" ref="AB7">_xlfn.XLOOKUP(B7,'Up Max'!A:A,'Up Max'!G:G,)</f>
        <v/>
      </c>
      <c r="AC7" s="57" t="str">
        <f t="array" ref="AC7">_xlfn.XLOOKUP(B7,'Up Stats'!A:A,'Up Stats'!H:H,)</f>
        <v/>
      </c>
      <c r="AD7" s="54" t="str">
        <f>IFERROR(__xludf.DUMMYFUNCTION("if(AND(AE7=FALSE,AF7=FALSE),,if(AE7=AF7,JOIN("""",""Static: "",AE7),JOIN("""",""Min:  "",AE7, CHAR(10),""Max: "",AF7)))"),"")</f>
        <v/>
      </c>
      <c r="AE7" s="55" t="str">
        <f t="array" ref="AE7">_xlfn.XLOOKUP(B7,'Up Min'!A:A,'Up Min'!H:H,)</f>
        <v/>
      </c>
      <c r="AF7" s="55" t="str">
        <f t="array" ref="AF7">_xlfn.XLOOKUP(B7,'Up Max'!A:A,'Up Max'!H:H,)</f>
        <v/>
      </c>
      <c r="AG7" s="57" t="str">
        <f t="array" ref="AG7">_xlfn.XLOOKUP(B7,'Up Stats'!A:A,'Up Stats'!I:I,)</f>
        <v/>
      </c>
      <c r="AH7" s="54" t="str">
        <f>IFERROR(__xludf.DUMMYFUNCTION("if(AND(AI7=FALSE,AJ7=FALSE),,if(AI7=AJ7,JOIN("""",""Static: "",AI7),JOIN("""",""Min:  "",AI7, CHAR(10),""Max: "",AJ7)))"),"")</f>
        <v/>
      </c>
      <c r="AI7" s="55" t="str">
        <f t="array" ref="AI7">_xlfn.XLOOKUP(B7,'Up Min'!A:A,'Up Min'!I:I,)</f>
        <v/>
      </c>
      <c r="AJ7" s="55" t="str">
        <f t="array" ref="AJ7">_xlfn.XLOOKUP(B7,'Up Max'!A:A,'Up Max'!I:I,)</f>
        <v/>
      </c>
      <c r="AK7" s="57" t="str">
        <f t="array" ref="AK7">_xlfn.XLOOKUP(B7,'Up Stats'!A:A,'Up Stats'!J:J,)</f>
        <v/>
      </c>
      <c r="AL7" s="54" t="str">
        <f>IFERROR(__xludf.DUMMYFUNCTION("if(AND(AM7=FALSE,AN7=FALSE),,if(AM7=AN7,JOIN("""",""Static: "",AM7),JOIN("""",""Min:  "",AM7, CHAR(10),""Max: "",AN7)))"),"")</f>
        <v/>
      </c>
      <c r="AM7" s="55" t="str">
        <f t="array" ref="AM7">_xlfn.XLOOKUP(B7,'Up Min'!A:A,'Up Min'!J:J,)</f>
        <v/>
      </c>
      <c r="AN7" s="55" t="str">
        <f t="array" ref="AN7">_xlfn.XLOOKUP(B7,'Up Max'!A:A,'Up Max'!J:J,)</f>
        <v/>
      </c>
      <c r="AO7" s="51" t="str">
        <f t="array" ref="AO7">CONCATENATE(_xlfn.XLOOKUP(B7,'Up Cells'!A:A,'Up Cells'!B:B,))</f>
        <v>3</v>
      </c>
      <c r="AP7" s="51" t="str">
        <f t="array" ref="AP7">CONCATENATE(_xlfn.XLOOKUP(B7,'Up Rarity'!A:A,'Up Rarity'!B:B,),CHAR(10),"-")</f>
        <v>Exotic
-</v>
      </c>
    </row>
    <row r="8">
      <c r="A8" s="62" t="str">
        <f t="array" ref="A8">_xlfn.XLOOKUP(B8,'Up Icon'!A:A,'Up Icon'!B:B,)</f>
        <v/>
      </c>
      <c r="B8" s="58" t="str">
        <f t="array" ref="B8">HYPERLINK(_xlfn.XLOOKUP('Up Names'!K5,'Up Wiki'!A:A,'Up Wiki'!B:B,),'Up Names'!K5)</f>
        <v>Micro Detonators</v>
      </c>
      <c r="C8" s="67" t="str">
        <f t="array" ref="C8">_xlfn.XLOOKUP(B8,'Up Desc'!A:A,'Up Desc'!B:B,)</f>
        <v>Killing a target has a chance to create an elemental explosion. Targets killed by the explosion have a chance to create another explosion.</v>
      </c>
      <c r="D8" s="37" t="str">
        <f t="array" ref="D8">_xlfn.XLOOKUP(B8,'Up Turbo'!A:A,'Up Turbo'!B:B,)</f>
        <v/>
      </c>
      <c r="E8" s="39" t="str">
        <f t="array" ref="E8">_xlfn.XLOOKUP(B8,'Up Stats'!A:A,'Up Stats'!B:B,)</f>
        <v>Chance</v>
      </c>
      <c r="F8" s="40" t="str">
        <f>IFERROR(__xludf.DUMMYFUNCTION("if(AND(G8=FALSE,H8=FALSE),,if(G8=H8,JOIN("""",""Static: "",G8),JOIN("""",""Min:  "",G8, CHAR(10),""Max: "",H8)))"),"Min:  23%
Max: 30%")</f>
        <v>Min:  23%
Max: 30%</v>
      </c>
      <c r="G8" s="41">
        <f t="array" ref="G8">_xlfn.XLOOKUP(B8,'Up Min'!A:A,'Up Min'!B:B,)</f>
        <v>0.23</v>
      </c>
      <c r="H8" s="41">
        <f t="array" ref="H8">_xlfn.XLOOKUP(B8,'Up Max'!A:A,'Up Max'!B:B,)</f>
        <v>0.3</v>
      </c>
      <c r="I8" s="39" t="str">
        <f t="array" ref="I8">_xlfn.XLOOKUP(B8,'Up Stats'!A:A,'Up Stats'!C:C,)</f>
        <v>Size</v>
      </c>
      <c r="J8" s="40" t="str">
        <f>IFERROR(__xludf.DUMMYFUNCTION("if(AND(K8=FALSE,L8=FALSE),,if(K8=L8,JOIN("""",""Static: "",K8),JOIN("""",""Min:  "",K8, CHAR(10),""Max: "",L8)))"),"Min:  2.8
Max: 3.11")</f>
        <v>Min:  2.8
Max: 3.11</v>
      </c>
      <c r="K8" s="68">
        <f t="array" ref="K8">_xlfn.XLOOKUP(B8,'Up Min'!A:A,'Up Min'!C:C,)</f>
        <v>2.8</v>
      </c>
      <c r="L8" s="69">
        <f t="array" ref="L8">_xlfn.XLOOKUP(B8,'Up Max'!A:A,'Up Max'!C:C,)</f>
        <v>3.11</v>
      </c>
      <c r="M8" s="39" t="str">
        <f t="array" ref="M8">_xlfn.XLOOKUP(B8,'Up Stats'!A:A,'Up Stats'!D:D,)</f>
        <v>Damage</v>
      </c>
      <c r="N8" s="40" t="str">
        <f>IFERROR(__xludf.DUMMYFUNCTION("if(AND(O8=FALSE,P8=FALSE),,if(O8=P8,JOIN("""",""Static: "",O8),JOIN("""",""Min:  "",O8, CHAR(10),""Max: "",P8)))"),"Min:  12
Max: 18")</f>
        <v>Min:  12
Max: 18</v>
      </c>
      <c r="O8" s="42">
        <f t="array" ref="O8">_xlfn.XLOOKUP(B8,'Up Min'!A:A,'Up Min'!D:D,)</f>
        <v>12</v>
      </c>
      <c r="P8" s="42">
        <f t="array" ref="P8">_xlfn.XLOOKUP(B8,'Up Max'!A:A,'Up Max'!D:D,)</f>
        <v>18</v>
      </c>
      <c r="Q8" s="48" t="str">
        <f t="array" ref="Q8">_xlfn.XLOOKUP(B8,'Up Stats'!A:A,'Up Stats'!E:E,)</f>
        <v>Element</v>
      </c>
      <c r="R8" s="40" t="str">
        <f>IFERROR(__xludf.DUMMYFUNCTION("if(AND(S8=FALSE,T8=FALSE),,if(S8=T8,JOIN("""",""Static: "",S8),JOIN("""",""Min:  "",S8, CHAR(10),""Max: "",T8)))"),"Static: element")</f>
        <v>Static: element</v>
      </c>
      <c r="S8" s="42" t="str">
        <f t="array" ref="S8">_xlfn.XLOOKUP(B8,'Up Min'!A:A,'Up Min'!E:E,)</f>
        <v>element</v>
      </c>
      <c r="T8" s="42" t="str">
        <f t="array" ref="T8">_xlfn.XLOOKUP(B8,'Up Max'!A:A,'Up Max'!E:E,)</f>
        <v>element</v>
      </c>
      <c r="U8" s="48" t="str">
        <f t="array" ref="U8">_xlfn.XLOOKUP(B8,'Up Stats'!A:A,'Up Stats'!F:F,)</f>
        <v/>
      </c>
      <c r="V8" s="40" t="str">
        <f>IFERROR(__xludf.DUMMYFUNCTION("if(AND(W8=FALSE,X8=FALSE),,if(W8=X8,JOIN("""",""Static: "",W8),JOIN("""",""Min:  "",W8, CHAR(10),""Max: "",X8)))"),"")</f>
        <v/>
      </c>
      <c r="W8" s="42" t="str">
        <f t="array" ref="W8">_xlfn.XLOOKUP(B8,'Up Min'!A:A,'Up Min'!F:F,)</f>
        <v/>
      </c>
      <c r="X8" s="42" t="str">
        <f t="array" ref="X8">_xlfn.XLOOKUP(B8,'Up Max'!A:A,'Up Max'!F:F,)</f>
        <v/>
      </c>
      <c r="Y8" s="48" t="str">
        <f t="array" ref="Y8">_xlfn.XLOOKUP(B8,'Up Stats'!A:A,'Up Stats'!G:G,)</f>
        <v/>
      </c>
      <c r="Z8" s="40" t="str">
        <f>IFERROR(__xludf.DUMMYFUNCTION("if(AND(AA8=FALSE,AB8=FALSE),,if(AA8=AB8,JOIN("""",""Static: "",AA8),JOIN("""",""Min:  "",AA8, CHAR(10),""Max: "",AB8)))"),"")</f>
        <v/>
      </c>
      <c r="AA8" s="42" t="str">
        <f t="array" ref="AA8">_xlfn.XLOOKUP(B8,'Up Min'!A:A,'Up Min'!G:G,)</f>
        <v/>
      </c>
      <c r="AB8" s="42" t="str">
        <f t="array" ref="AB8">_xlfn.XLOOKUP(B8,'Up Max'!A:A,'Up Max'!G:G,)</f>
        <v/>
      </c>
      <c r="AC8" s="48" t="str">
        <f t="array" ref="AC8">_xlfn.XLOOKUP(B8,'Up Stats'!A:A,'Up Stats'!H:H,)</f>
        <v/>
      </c>
      <c r="AD8" s="40" t="str">
        <f>IFERROR(__xludf.DUMMYFUNCTION("if(AND(AE8=FALSE,AF8=FALSE),,if(AE8=AF8,JOIN("""",""Static: "",AE8),JOIN("""",""Min:  "",AE8, CHAR(10),""Max: "",AF8)))"),"")</f>
        <v/>
      </c>
      <c r="AE8" s="42" t="str">
        <f t="array" ref="AE8">_xlfn.XLOOKUP(B8,'Up Min'!A:A,'Up Min'!H:H,)</f>
        <v/>
      </c>
      <c r="AF8" s="42" t="str">
        <f t="array" ref="AF8">_xlfn.XLOOKUP(B8,'Up Max'!A:A,'Up Max'!H:H,)</f>
        <v/>
      </c>
      <c r="AG8" s="48" t="str">
        <f t="array" ref="AG8">_xlfn.XLOOKUP(B8,'Up Stats'!A:A,'Up Stats'!I:I,)</f>
        <v/>
      </c>
      <c r="AH8" s="40" t="str">
        <f>IFERROR(__xludf.DUMMYFUNCTION("if(AND(AI8=FALSE,AJ8=FALSE),,if(AI8=AJ8,JOIN("""",""Static: "",AI8),JOIN("""",""Min:  "",AI8, CHAR(10),""Max: "",AJ8)))"),"")</f>
        <v/>
      </c>
      <c r="AI8" s="42" t="str">
        <f t="array" ref="AI8">_xlfn.XLOOKUP(B8,'Up Min'!A:A,'Up Min'!I:I,)</f>
        <v/>
      </c>
      <c r="AJ8" s="42" t="str">
        <f t="array" ref="AJ8">_xlfn.XLOOKUP(B8,'Up Max'!A:A,'Up Max'!I:I,)</f>
        <v/>
      </c>
      <c r="AK8" s="48" t="str">
        <f t="array" ref="AK8">_xlfn.XLOOKUP(B8,'Up Stats'!A:A,'Up Stats'!J:J,)</f>
        <v/>
      </c>
      <c r="AL8" s="40" t="str">
        <f>IFERROR(__xludf.DUMMYFUNCTION("if(AND(AM8=FALSE,AN8=FALSE),,if(AM8=AN8,JOIN("""",""Static: "",AM8),JOIN("""",""Min:  "",AM8, CHAR(10),""Max: "",AN8)))"),"")</f>
        <v/>
      </c>
      <c r="AM8" s="42" t="str">
        <f t="array" ref="AM8">_xlfn.XLOOKUP(B8,'Up Min'!A:A,'Up Min'!J:J,)</f>
        <v/>
      </c>
      <c r="AN8" s="42" t="str">
        <f t="array" ref="AN8">_xlfn.XLOOKUP(B8,'Up Max'!A:A,'Up Max'!J:J,)</f>
        <v/>
      </c>
      <c r="AO8" s="34" t="str">
        <f t="array" ref="AO8">CONCATENATE(_xlfn.XLOOKUP(B8,'Up Cells'!A:A,'Up Cells'!B:B,))</f>
        <v>7</v>
      </c>
      <c r="AP8" s="34" t="str">
        <f t="array" ref="AP8">CONCATENATE(_xlfn.XLOOKUP(B8,'Up Rarity'!A:A,'Up Rarity'!B:B,),CHAR(10),"-")</f>
        <v>Exotic
-</v>
      </c>
    </row>
    <row r="9">
      <c r="A9" s="75" t="str">
        <f t="array" ref="A9">_xlfn.XLOOKUP(B9,'Up Icon'!A:A,'Up Icon'!B:B,)</f>
        <v/>
      </c>
      <c r="B9" s="61" t="str">
        <f t="array" ref="B9">HYPERLINK(_xlfn.XLOOKUP('Up Names'!K6,'Up Wiki'!A:A,'Up Wiki'!B:B,),'Up Names'!K6)</f>
        <v>Black Market Battery</v>
      </c>
      <c r="C9" s="70" t="str">
        <f t="array" ref="C9">_xlfn.XLOOKUP(B9,'Up Desc'!A:A,'Up Desc'!B:B,)</f>
        <v>Damage and charge-up time are greatly increased.</v>
      </c>
      <c r="D9" s="52" t="str">
        <f t="array" ref="D9">_xlfn.XLOOKUP(B9,'Up Turbo'!A:A,'Up Turbo'!B:B,)</f>
        <v>n/a</v>
      </c>
      <c r="E9" s="53" t="str">
        <f t="array" ref="E9">_xlfn.XLOOKUP(B9,'Up Stats'!A:A,'Up Stats'!B:B,)</f>
        <v>Damage</v>
      </c>
      <c r="F9" s="54" t="str">
        <f>IFERROR(__xludf.DUMMYFUNCTION("if(AND(G9=FALSE,H9=FALSE),,if(G9=H9,JOIN("""",""Static: "",G9),JOIN("""",""Min:  "",G9, CHAR(10),""Max: "",H9)))"),"Min:  150%
Max: 201%")</f>
        <v>Min:  150%
Max: 201%</v>
      </c>
      <c r="G9" s="59">
        <f t="array" ref="G9">_xlfn.XLOOKUP(B9,'Up Min'!A:A,'Up Min'!B:B,)</f>
        <v>1.5</v>
      </c>
      <c r="H9" s="59">
        <f t="array" ref="H9">_xlfn.XLOOKUP(B9,'Up Max'!A:A,'Up Max'!B:B,)</f>
        <v>2.01</v>
      </c>
      <c r="I9" s="53" t="str">
        <f t="array" ref="I9">_xlfn.XLOOKUP(B9,'Up Stats'!A:A,'Up Stats'!C:C,)</f>
        <v>Charge Time</v>
      </c>
      <c r="J9" s="54" t="str">
        <f>IFERROR(__xludf.DUMMYFUNCTION("if(AND(K9=FALSE,L9=FALSE),,if(K9=L9,JOIN("""",""Static: "",K9),JOIN("""",""Min:  "",K9, CHAR(10),""Max: "",L9)))"),"Min:  160%
Max: 202%")</f>
        <v>Min:  160%
Max: 202%</v>
      </c>
      <c r="K9" s="59">
        <f t="array" ref="K9">_xlfn.XLOOKUP(B9,'Up Min'!A:A,'Up Min'!C:C,)</f>
        <v>1.6</v>
      </c>
      <c r="L9" s="59">
        <f t="array" ref="L9">_xlfn.XLOOKUP(B9,'Up Max'!A:A,'Up Max'!C:C,)</f>
        <v>2.02</v>
      </c>
      <c r="M9" s="53" t="str">
        <f t="array" ref="M9">_xlfn.XLOOKUP(B9,'Up Stats'!A:A,'Up Stats'!D:D,)</f>
        <v/>
      </c>
      <c r="N9" s="54" t="str">
        <f>IFERROR(__xludf.DUMMYFUNCTION("if(AND(O9=FALSE,P9=FALSE),,if(O9=P9,JOIN("""",""Static: "",O9),JOIN("""",""Min:  "",O9, CHAR(10),""Max: "",P9)))"),"")</f>
        <v/>
      </c>
      <c r="O9" s="55" t="str">
        <f t="array" ref="O9">_xlfn.XLOOKUP(B9,'Up Min'!A:A,'Up Min'!D:D,)</f>
        <v/>
      </c>
      <c r="P9" s="55" t="str">
        <f t="array" ref="P9">_xlfn.XLOOKUP(B9,'Up Max'!A:A,'Up Max'!D:D,)</f>
        <v/>
      </c>
      <c r="Q9" s="57" t="str">
        <f t="array" ref="Q9">_xlfn.XLOOKUP(B9,'Up Stats'!A:A,'Up Stats'!E:E,)</f>
        <v/>
      </c>
      <c r="R9" s="54" t="str">
        <f>IFERROR(__xludf.DUMMYFUNCTION("if(AND(S9=FALSE,T9=FALSE),,if(S9=T9,JOIN("""",""Static: "",S9),JOIN("""",""Min:  "",S9, CHAR(10),""Max: "",T9)))"),"")</f>
        <v/>
      </c>
      <c r="S9" s="55" t="str">
        <f t="array" ref="S9">_xlfn.XLOOKUP(B9,'Up Min'!A:A,'Up Min'!E:E,)</f>
        <v/>
      </c>
      <c r="T9" s="55" t="str">
        <f t="array" ref="T9">_xlfn.XLOOKUP(B9,'Up Max'!A:A,'Up Max'!E:E,)</f>
        <v/>
      </c>
      <c r="U9" s="57" t="str">
        <f t="array" ref="U9">_xlfn.XLOOKUP(B9,'Up Stats'!A:A,'Up Stats'!F:F,)</f>
        <v/>
      </c>
      <c r="V9" s="54" t="str">
        <f>IFERROR(__xludf.DUMMYFUNCTION("if(AND(W9=FALSE,X9=FALSE),,if(W9=X9,JOIN("""",""Static: "",W9),JOIN("""",""Min:  "",W9, CHAR(10),""Max: "",X9)))"),"")</f>
        <v/>
      </c>
      <c r="W9" s="55" t="str">
        <f t="array" ref="W9">_xlfn.XLOOKUP(B9,'Up Min'!A:A,'Up Min'!F:F,)</f>
        <v/>
      </c>
      <c r="X9" s="55" t="str">
        <f t="array" ref="X9">_xlfn.XLOOKUP(B9,'Up Max'!A:A,'Up Max'!F:F,)</f>
        <v/>
      </c>
      <c r="Y9" s="57" t="str">
        <f t="array" ref="Y9">_xlfn.XLOOKUP(B9,'Up Stats'!A:A,'Up Stats'!G:G,)</f>
        <v/>
      </c>
      <c r="Z9" s="54" t="str">
        <f>IFERROR(__xludf.DUMMYFUNCTION("if(AND(AA9=FALSE,AB9=FALSE),,if(AA9=AB9,JOIN("""",""Static: "",AA9),JOIN("""",""Min:  "",AA9, CHAR(10),""Max: "",AB9)))"),"")</f>
        <v/>
      </c>
      <c r="AA9" s="55" t="str">
        <f t="array" ref="AA9">_xlfn.XLOOKUP(B9,'Up Min'!A:A,'Up Min'!G:G,)</f>
        <v/>
      </c>
      <c r="AB9" s="55" t="str">
        <f t="array" ref="AB9">_xlfn.XLOOKUP(B9,'Up Max'!A:A,'Up Max'!G:G,)</f>
        <v/>
      </c>
      <c r="AC9" s="57" t="str">
        <f t="array" ref="AC9">_xlfn.XLOOKUP(B9,'Up Stats'!A:A,'Up Stats'!H:H,)</f>
        <v/>
      </c>
      <c r="AD9" s="54" t="str">
        <f>IFERROR(__xludf.DUMMYFUNCTION("if(AND(AE9=FALSE,AF9=FALSE),,if(AE9=AF9,JOIN("""",""Static: "",AE9),JOIN("""",""Min:  "",AE9, CHAR(10),""Max: "",AF9)))"),"")</f>
        <v/>
      </c>
      <c r="AE9" s="55" t="str">
        <f t="array" ref="AE9">_xlfn.XLOOKUP(B9,'Up Min'!A:A,'Up Min'!H:H,)</f>
        <v/>
      </c>
      <c r="AF9" s="55" t="str">
        <f t="array" ref="AF9">_xlfn.XLOOKUP(B9,'Up Max'!A:A,'Up Max'!H:H,)</f>
        <v/>
      </c>
      <c r="AG9" s="57" t="str">
        <f t="array" ref="AG9">_xlfn.XLOOKUP(B9,'Up Stats'!A:A,'Up Stats'!I:I,)</f>
        <v/>
      </c>
      <c r="AH9" s="54" t="str">
        <f>IFERROR(__xludf.DUMMYFUNCTION("if(AND(AI9=FALSE,AJ9=FALSE),,if(AI9=AJ9,JOIN("""",""Static: "",AI9),JOIN("""",""Min:  "",AI9, CHAR(10),""Max: "",AJ9)))"),"")</f>
        <v/>
      </c>
      <c r="AI9" s="55" t="str">
        <f t="array" ref="AI9">_xlfn.XLOOKUP(B9,'Up Min'!A:A,'Up Min'!I:I,)</f>
        <v/>
      </c>
      <c r="AJ9" s="55" t="str">
        <f t="array" ref="AJ9">_xlfn.XLOOKUP(B9,'Up Max'!A:A,'Up Max'!I:I,)</f>
        <v/>
      </c>
      <c r="AK9" s="57" t="str">
        <f t="array" ref="AK9">_xlfn.XLOOKUP(B9,'Up Stats'!A:A,'Up Stats'!J:J,)</f>
        <v/>
      </c>
      <c r="AL9" s="54" t="str">
        <f>IFERROR(__xludf.DUMMYFUNCTION("if(AND(AM9=FALSE,AN9=FALSE),,if(AM9=AN9,JOIN("""",""Static: "",AM9),JOIN("""",""Min:  "",AM9, CHAR(10),""Max: "",AN9)))"),"")</f>
        <v/>
      </c>
      <c r="AM9" s="55" t="str">
        <f t="array" ref="AM9">_xlfn.XLOOKUP(B9,'Up Min'!A:A,'Up Min'!J:J,)</f>
        <v/>
      </c>
      <c r="AN9" s="55" t="str">
        <f t="array" ref="AN9">_xlfn.XLOOKUP(B9,'Up Max'!A:A,'Up Max'!J:J,)</f>
        <v/>
      </c>
      <c r="AO9" s="51" t="str">
        <f t="array" ref="AO9">CONCATENATE(_xlfn.XLOOKUP(B9,'Up Cells'!A:A,'Up Cells'!B:B,))</f>
        <v>5</v>
      </c>
      <c r="AP9" s="51" t="str">
        <f t="array" ref="AP9">CONCATENATE(_xlfn.XLOOKUP(B9,'Up Rarity'!A:A,'Up Rarity'!B:B,),CHAR(10),"-")</f>
        <v>Epic
-</v>
      </c>
    </row>
    <row r="10">
      <c r="A10" s="75" t="str">
        <f t="array" ref="A10">_xlfn.XLOOKUP(B10,'Up Icon'!A:A,'Up Icon'!B:B,)</f>
        <v/>
      </c>
      <c r="B10" s="58" t="str">
        <f t="array" ref="B10">HYPERLINK(_xlfn.XLOOKUP('Up Names'!K7,'Up Wiki'!A:A,'Up Wiki'!B:B,),'Up Names'!K7)</f>
        <v>Crescendo</v>
      </c>
      <c r="C10" s="67" t="str">
        <f t="array" ref="C10">_xlfn.XLOOKUP(B10,'Up Desc'!A:A,'Up Desc'!B:B,)</f>
        <v>Damage increases with each shot fired before reloading. Multiple copies of this upgrade can stack, but with diminishing returns.</v>
      </c>
      <c r="D10" s="37" t="str">
        <f t="array" ref="D10">_xlfn.XLOOKUP(B10,'Up Turbo'!A:A,'Up Turbo'!B:B,)</f>
        <v>n/a</v>
      </c>
      <c r="E10" s="39" t="str">
        <f t="array" ref="E10">_xlfn.XLOOKUP(B10,'Up Stats'!A:A,'Up Stats'!B:B,)</f>
        <v>Damage</v>
      </c>
      <c r="F10" s="40" t="str">
        <f>IFERROR(__xludf.DUMMYFUNCTION("if(AND(G10=FALSE,H10=FALSE),,if(G10=H10,JOIN("""",""Static: "",G10),JOIN("""",""Min:  "",G10, CHAR(10),""Max: "",H10)))"),"Min:  3.6
Max: 4.2")</f>
        <v>Min:  3.6
Max: 4.2</v>
      </c>
      <c r="G10" s="69">
        <f t="array" ref="G10">_xlfn.XLOOKUP(B10,'Up Min'!A:A,'Up Min'!B:B,)</f>
        <v>3.6</v>
      </c>
      <c r="H10" s="68">
        <f t="array" ref="H10">_xlfn.XLOOKUP(B10,'Up Max'!A:A,'Up Max'!B:B,)</f>
        <v>4.2</v>
      </c>
      <c r="I10" s="39" t="str">
        <f t="array" ref="I10">_xlfn.XLOOKUP(B10,'Up Stats'!A:A,'Up Stats'!C:C,)</f>
        <v>Size</v>
      </c>
      <c r="J10" s="40" t="str">
        <f>IFERROR(__xludf.DUMMYFUNCTION("if(AND(K10=FALSE,L10=FALSE),,if(K10=L10,JOIN("""",""Static: "",K10),JOIN("""",""Min:  "",K10, CHAR(10),""Max: "",L10)))"),"Min:  -8%
Max: -12%")</f>
        <v>Min:  -8%
Max: -12%</v>
      </c>
      <c r="K10" s="74">
        <f t="array" ref="K10">_xlfn.XLOOKUP(B10,'Up Min'!A:A,'Up Min'!C:C,)</f>
        <v>-0.08</v>
      </c>
      <c r="L10" s="74">
        <f t="array" ref="L10">_xlfn.XLOOKUP(B10,'Up Max'!A:A,'Up Max'!C:C,)</f>
        <v>-0.12</v>
      </c>
      <c r="M10" s="48" t="str">
        <f t="array" ref="M10">_xlfn.XLOOKUP(B10,'Up Stats'!A:A,'Up Stats'!D:D,)</f>
        <v/>
      </c>
      <c r="N10" s="40" t="str">
        <f>IFERROR(__xludf.DUMMYFUNCTION("if(AND(O10=FALSE,P10=FALSE),,if(O10=P10,JOIN("""",""Static: "",O10),JOIN("""",""Min:  "",O10, CHAR(10),""Max: "",P10)))"),"")</f>
        <v/>
      </c>
      <c r="O10" s="42" t="str">
        <f t="array" ref="O10">_xlfn.XLOOKUP(B10,'Up Min'!A:A,'Up Min'!D:D,)</f>
        <v/>
      </c>
      <c r="P10" s="42" t="str">
        <f t="array" ref="P10">_xlfn.XLOOKUP(B10,'Up Max'!A:A,'Up Max'!D:D,)</f>
        <v/>
      </c>
      <c r="Q10" s="48" t="str">
        <f t="array" ref="Q10">_xlfn.XLOOKUP(B10,'Up Stats'!A:A,'Up Stats'!E:E,)</f>
        <v/>
      </c>
      <c r="R10" s="40" t="str">
        <f>IFERROR(__xludf.DUMMYFUNCTION("if(AND(S10=FALSE,T10=FALSE),,if(S10=T10,JOIN("""",""Static: "",S10),JOIN("""",""Min:  "",S10, CHAR(10),""Max: "",T10)))"),"")</f>
        <v/>
      </c>
      <c r="S10" s="42" t="str">
        <f t="array" ref="S10">_xlfn.XLOOKUP(B10,'Up Min'!A:A,'Up Min'!E:E,)</f>
        <v/>
      </c>
      <c r="T10" s="42" t="str">
        <f t="array" ref="T10">_xlfn.XLOOKUP(B10,'Up Max'!A:A,'Up Max'!E:E,)</f>
        <v/>
      </c>
      <c r="U10" s="48" t="str">
        <f t="array" ref="U10">_xlfn.XLOOKUP(B10,'Up Stats'!A:A,'Up Stats'!F:F,)</f>
        <v/>
      </c>
      <c r="V10" s="40" t="str">
        <f>IFERROR(__xludf.DUMMYFUNCTION("if(AND(W10=FALSE,X10=FALSE),,if(W10=X10,JOIN("""",""Static: "",W10),JOIN("""",""Min:  "",W10, CHAR(10),""Max: "",X10)))"),"")</f>
        <v/>
      </c>
      <c r="W10" s="42" t="str">
        <f t="array" ref="W10">_xlfn.XLOOKUP(B10,'Up Min'!A:A,'Up Min'!F:F,)</f>
        <v/>
      </c>
      <c r="X10" s="42" t="str">
        <f t="array" ref="X10">_xlfn.XLOOKUP(B10,'Up Max'!A:A,'Up Max'!F:F,)</f>
        <v/>
      </c>
      <c r="Y10" s="48" t="str">
        <f t="array" ref="Y10">_xlfn.XLOOKUP(B10,'Up Stats'!A:A,'Up Stats'!G:G,)</f>
        <v/>
      </c>
      <c r="Z10" s="40" t="str">
        <f>IFERROR(__xludf.DUMMYFUNCTION("if(AND(AA10=FALSE,AB10=FALSE),,if(AA10=AB10,JOIN("""",""Static: "",AA10),JOIN("""",""Min:  "",AA10, CHAR(10),""Max: "",AB10)))"),"")</f>
        <v/>
      </c>
      <c r="AA10" s="42" t="str">
        <f t="array" ref="AA10">_xlfn.XLOOKUP(B10,'Up Min'!A:A,'Up Min'!G:G,)</f>
        <v/>
      </c>
      <c r="AB10" s="42" t="str">
        <f t="array" ref="AB10">_xlfn.XLOOKUP(B10,'Up Max'!A:A,'Up Max'!G:G,)</f>
        <v/>
      </c>
      <c r="AC10" s="48" t="str">
        <f t="array" ref="AC10">_xlfn.XLOOKUP(B10,'Up Stats'!A:A,'Up Stats'!H:H,)</f>
        <v/>
      </c>
      <c r="AD10" s="40" t="str">
        <f>IFERROR(__xludf.DUMMYFUNCTION("if(AND(AE10=FALSE,AF10=FALSE),,if(AE10=AF10,JOIN("""",""Static: "",AE10),JOIN("""",""Min:  "",AE10, CHAR(10),""Max: "",AF10)))"),"")</f>
        <v/>
      </c>
      <c r="AE10" s="42" t="str">
        <f t="array" ref="AE10">_xlfn.XLOOKUP(B10,'Up Min'!A:A,'Up Min'!H:H,)</f>
        <v/>
      </c>
      <c r="AF10" s="42" t="str">
        <f t="array" ref="AF10">_xlfn.XLOOKUP(B10,'Up Max'!A:A,'Up Max'!H:H,)</f>
        <v/>
      </c>
      <c r="AG10" s="48" t="str">
        <f t="array" ref="AG10">_xlfn.XLOOKUP(B10,'Up Stats'!A:A,'Up Stats'!I:I,)</f>
        <v/>
      </c>
      <c r="AH10" s="40" t="str">
        <f>IFERROR(__xludf.DUMMYFUNCTION("if(AND(AI10=FALSE,AJ10=FALSE),,if(AI10=AJ10,JOIN("""",""Static: "",AI10),JOIN("""",""Min:  "",AI10, CHAR(10),""Max: "",AJ10)))"),"")</f>
        <v/>
      </c>
      <c r="AI10" s="42" t="str">
        <f t="array" ref="AI10">_xlfn.XLOOKUP(B10,'Up Min'!A:A,'Up Min'!I:I,)</f>
        <v/>
      </c>
      <c r="AJ10" s="42" t="str">
        <f t="array" ref="AJ10">_xlfn.XLOOKUP(B10,'Up Max'!A:A,'Up Max'!I:I,)</f>
        <v/>
      </c>
      <c r="AK10" s="48" t="str">
        <f t="array" ref="AK10">_xlfn.XLOOKUP(B10,'Up Stats'!A:A,'Up Stats'!J:J,)</f>
        <v/>
      </c>
      <c r="AL10" s="40" t="str">
        <f>IFERROR(__xludf.DUMMYFUNCTION("if(AND(AM10=FALSE,AN10=FALSE),,if(AM10=AN10,JOIN("""",""Static: "",AM10),JOIN("""",""Min:  "",AM10, CHAR(10),""Max: "",AN10)))"),"")</f>
        <v/>
      </c>
      <c r="AM10" s="42" t="str">
        <f t="array" ref="AM10">_xlfn.XLOOKUP(B10,'Up Min'!A:A,'Up Min'!J:J,)</f>
        <v/>
      </c>
      <c r="AN10" s="42" t="str">
        <f t="array" ref="AN10">_xlfn.XLOOKUP(B10,'Up Max'!A:A,'Up Max'!J:J,)</f>
        <v/>
      </c>
      <c r="AO10" s="34" t="str">
        <f t="array" ref="AO10">CONCATENATE(_xlfn.XLOOKUP(B10,'Up Cells'!A:A,'Up Cells'!B:B,))</f>
        <v>4</v>
      </c>
      <c r="AP10" s="34" t="str">
        <f t="array" ref="AP10">CONCATENATE(_xlfn.XLOOKUP(B10,'Up Rarity'!A:A,'Up Rarity'!B:B,),CHAR(10),"-")</f>
        <v>Epic
-</v>
      </c>
    </row>
    <row r="11">
      <c r="A11" s="75" t="str">
        <f t="array" ref="A11">_xlfn.XLOOKUP(B11,'Up Icon'!A:A,'Up Icon'!B:B,)</f>
        <v/>
      </c>
      <c r="B11" s="61" t="str">
        <f t="array" ref="B11">HYPERLINK(_xlfn.XLOOKUP('Up Names'!K8,'Up Wiki'!A:A,'Up Wiki'!B:B,),'Up Names'!K8)</f>
        <v>Extra Capacitors</v>
      </c>
      <c r="C11" s="70" t="str">
        <f t="array" ref="C11">_xlfn.XLOOKUP(B11,'Up Desc'!A:A,'Up Desc'!B:B,)</f>
        <v>Range is greatly increased, but so is recoil.</v>
      </c>
      <c r="D11" s="52" t="str">
        <f t="array" ref="D11">_xlfn.XLOOKUP(B11,'Up Turbo'!A:A,'Up Turbo'!B:B,)</f>
        <v>n/a</v>
      </c>
      <c r="E11" s="53" t="str">
        <f t="array" ref="E11">_xlfn.XLOOKUP(B11,'Up Stats'!A:A,'Up Stats'!B:B,)</f>
        <v>Range</v>
      </c>
      <c r="F11" s="54" t="str">
        <f>IFERROR(__xludf.DUMMYFUNCTION("if(AND(G11=FALSE,H11=FALSE),,if(G11=H11,JOIN("""",""Static: "",G11),JOIN("""",""Min:  "",G11, CHAR(10),""Max: "",H11)))"),"Min:  30
Max: 40")</f>
        <v>Min:  30
Max: 40</v>
      </c>
      <c r="G11" s="64">
        <f t="array" ref="G11">_xlfn.XLOOKUP(B11,'Up Min'!A:A,'Up Min'!B:B,)</f>
        <v>30</v>
      </c>
      <c r="H11" s="65">
        <f t="array" ref="H11">_xlfn.XLOOKUP(B11,'Up Max'!A:A,'Up Max'!B:B,)</f>
        <v>40</v>
      </c>
      <c r="I11" s="53" t="str">
        <f t="array" ref="I11">_xlfn.XLOOKUP(B11,'Up Stats'!A:A,'Up Stats'!C:C,)</f>
        <v>Horizontal Recoil</v>
      </c>
      <c r="J11" s="54" t="str">
        <f>IFERROR(__xludf.DUMMYFUNCTION("if(AND(K11=FALSE,L11=FALSE),,if(K11=L11,JOIN("""",""Static: "",K11),JOIN("""",""Min:  "",K11, CHAR(10),""Max: "",L11)))"),"Min:  100%
Max: 200%")</f>
        <v>Min:  100%
Max: 200%</v>
      </c>
      <c r="K11" s="72">
        <f t="array" ref="K11">_xlfn.XLOOKUP(B11,'Up Min'!A:A,'Up Min'!C:C,)</f>
        <v>1</v>
      </c>
      <c r="L11" s="72">
        <f t="array" ref="L11">_xlfn.XLOOKUP(B11,'Up Max'!A:A,'Up Max'!C:C,)</f>
        <v>2</v>
      </c>
      <c r="M11" s="57" t="str">
        <f t="array" ref="M11">_xlfn.XLOOKUP(B11,'Up Stats'!A:A,'Up Stats'!D:D,)</f>
        <v>Vertical Recoil</v>
      </c>
      <c r="N11" s="54" t="str">
        <f>IFERROR(__xludf.DUMMYFUNCTION("if(AND(O11=FALSE,P11=FALSE),,if(O11=P11,JOIN("""",""Static: "",O11),JOIN("""",""Min:  "",O11, CHAR(10),""Max: "",P11)))"),"Min:  100%
Max: 200%")</f>
        <v>Min:  100%
Max: 200%</v>
      </c>
      <c r="O11" s="72">
        <f t="array" ref="O11">_xlfn.XLOOKUP(B11,'Up Min'!A:A,'Up Min'!D:D,)</f>
        <v>1</v>
      </c>
      <c r="P11" s="72">
        <f t="array" ref="P11">_xlfn.XLOOKUP(B11,'Up Max'!A:A,'Up Max'!D:D,)</f>
        <v>2</v>
      </c>
      <c r="Q11" s="57" t="str">
        <f t="array" ref="Q11">_xlfn.XLOOKUP(B11,'Up Stats'!A:A,'Up Stats'!E:E,)</f>
        <v/>
      </c>
      <c r="R11" s="54" t="str">
        <f>IFERROR(__xludf.DUMMYFUNCTION("if(AND(S11=FALSE,T11=FALSE),,if(S11=T11,JOIN("""",""Static: "",S11),JOIN("""",""Min:  "",S11, CHAR(10),""Max: "",T11)))"),"")</f>
        <v/>
      </c>
      <c r="S11" s="55" t="str">
        <f t="array" ref="S11">_xlfn.XLOOKUP(B11,'Up Min'!A:A,'Up Min'!E:E,)</f>
        <v/>
      </c>
      <c r="T11" s="55" t="str">
        <f t="array" ref="T11">_xlfn.XLOOKUP(B11,'Up Max'!A:A,'Up Max'!E:E,)</f>
        <v/>
      </c>
      <c r="U11" s="57" t="str">
        <f t="array" ref="U11">_xlfn.XLOOKUP(B11,'Up Stats'!A:A,'Up Stats'!F:F,)</f>
        <v/>
      </c>
      <c r="V11" s="54" t="str">
        <f>IFERROR(__xludf.DUMMYFUNCTION("if(AND(W11=FALSE,X11=FALSE),,if(W11=X11,JOIN("""",""Static: "",W11),JOIN("""",""Min:  "",W11, CHAR(10),""Max: "",X11)))"),"")</f>
        <v/>
      </c>
      <c r="W11" s="55" t="str">
        <f t="array" ref="W11">_xlfn.XLOOKUP(B11,'Up Min'!A:A,'Up Min'!F:F,)</f>
        <v/>
      </c>
      <c r="X11" s="55" t="str">
        <f t="array" ref="X11">_xlfn.XLOOKUP(B11,'Up Max'!A:A,'Up Max'!F:F,)</f>
        <v/>
      </c>
      <c r="Y11" s="57" t="str">
        <f t="array" ref="Y11">_xlfn.XLOOKUP(B11,'Up Stats'!A:A,'Up Stats'!G:G,)</f>
        <v/>
      </c>
      <c r="Z11" s="54" t="str">
        <f>IFERROR(__xludf.DUMMYFUNCTION("if(AND(AA11=FALSE,AB11=FALSE),,if(AA11=AB11,JOIN("""",""Static: "",AA11),JOIN("""",""Min:  "",AA11, CHAR(10),""Max: "",AB11)))"),"")</f>
        <v/>
      </c>
      <c r="AA11" s="55" t="str">
        <f t="array" ref="AA11">_xlfn.XLOOKUP(B11,'Up Min'!A:A,'Up Min'!G:G,)</f>
        <v/>
      </c>
      <c r="AB11" s="55" t="str">
        <f t="array" ref="AB11">_xlfn.XLOOKUP(B11,'Up Max'!A:A,'Up Max'!G:G,)</f>
        <v/>
      </c>
      <c r="AC11" s="57" t="str">
        <f t="array" ref="AC11">_xlfn.XLOOKUP(B11,'Up Stats'!A:A,'Up Stats'!H:H,)</f>
        <v/>
      </c>
      <c r="AD11" s="54" t="str">
        <f>IFERROR(__xludf.DUMMYFUNCTION("if(AND(AE11=FALSE,AF11=FALSE),,if(AE11=AF11,JOIN("""",""Static: "",AE11),JOIN("""",""Min:  "",AE11, CHAR(10),""Max: "",AF11)))"),"")</f>
        <v/>
      </c>
      <c r="AE11" s="55" t="str">
        <f t="array" ref="AE11">_xlfn.XLOOKUP(B11,'Up Min'!A:A,'Up Min'!H:H,)</f>
        <v/>
      </c>
      <c r="AF11" s="55" t="str">
        <f t="array" ref="AF11">_xlfn.XLOOKUP(B11,'Up Max'!A:A,'Up Max'!H:H,)</f>
        <v/>
      </c>
      <c r="AG11" s="57" t="str">
        <f t="array" ref="AG11">_xlfn.XLOOKUP(B11,'Up Stats'!A:A,'Up Stats'!I:I,)</f>
        <v/>
      </c>
      <c r="AH11" s="54" t="str">
        <f>IFERROR(__xludf.DUMMYFUNCTION("if(AND(AI11=FALSE,AJ11=FALSE),,if(AI11=AJ11,JOIN("""",""Static: "",AI11),JOIN("""",""Min:  "",AI11, CHAR(10),""Max: "",AJ11)))"),"")</f>
        <v/>
      </c>
      <c r="AI11" s="55" t="str">
        <f t="array" ref="AI11">_xlfn.XLOOKUP(B11,'Up Min'!A:A,'Up Min'!I:I,)</f>
        <v/>
      </c>
      <c r="AJ11" s="55" t="str">
        <f t="array" ref="AJ11">_xlfn.XLOOKUP(B11,'Up Max'!A:A,'Up Max'!I:I,)</f>
        <v/>
      </c>
      <c r="AK11" s="57" t="str">
        <f t="array" ref="AK11">_xlfn.XLOOKUP(B11,'Up Stats'!A:A,'Up Stats'!J:J,)</f>
        <v/>
      </c>
      <c r="AL11" s="54" t="str">
        <f>IFERROR(__xludf.DUMMYFUNCTION("if(AND(AM11=FALSE,AN11=FALSE),,if(AM11=AN11,JOIN("""",""Static: "",AM11),JOIN("""",""Min:  "",AM11, CHAR(10),""Max: "",AN11)))"),"")</f>
        <v/>
      </c>
      <c r="AM11" s="55" t="str">
        <f t="array" ref="AM11">_xlfn.XLOOKUP(B11,'Up Min'!A:A,'Up Min'!J:J,)</f>
        <v/>
      </c>
      <c r="AN11" s="55" t="str">
        <f t="array" ref="AN11">_xlfn.XLOOKUP(B11,'Up Max'!A:A,'Up Max'!J:J,)</f>
        <v/>
      </c>
      <c r="AO11" s="51" t="str">
        <f t="array" ref="AO11">CONCATENATE(_xlfn.XLOOKUP(B11,'Up Cells'!A:A,'Up Cells'!B:B,))</f>
        <v>4</v>
      </c>
      <c r="AP11" s="51" t="str">
        <f t="array" ref="AP11">CONCATENATE(_xlfn.XLOOKUP(B11,'Up Rarity'!A:A,'Up Rarity'!B:B,),CHAR(10),"-")</f>
        <v>Epic
-</v>
      </c>
    </row>
    <row r="12">
      <c r="A12" s="75" t="str">
        <f t="array" ref="A12">_xlfn.XLOOKUP(B12,'Up Icon'!A:A,'Up Icon'!B:B,)</f>
        <v/>
      </c>
      <c r="B12" s="58" t="str">
        <f t="array" ref="B12">HYPERLINK(_xlfn.XLOOKUP('Up Names'!K9,'Up Wiki'!A:A,'Up Wiki'!B:B,),'Up Names'!K9)</f>
        <v>Fester</v>
      </c>
      <c r="C12" s="67" t="str">
        <f t="array" ref="C12">_xlfn.XLOOKUP(B12,'Up Desc'!A:A,'Up Desc'!B:B,)</f>
        <v>Applies decay.</v>
      </c>
      <c r="D12" s="37" t="str">
        <f t="array" ref="D12">_xlfn.XLOOKUP(B12,'Up Turbo'!A:A,'Up Turbo'!B:B,)</f>
        <v>n/a</v>
      </c>
      <c r="E12" s="39" t="str">
        <f t="array" ref="E12">_xlfn.XLOOKUP(B12,'Up Stats'!A:A,'Up Stats'!B:B,)</f>
        <v/>
      </c>
      <c r="F12" s="40" t="str">
        <f>IFERROR(__xludf.DUMMYFUNCTION("if(AND(G12=FALSE,H12=FALSE),,if(G12=H12,JOIN("""",""Static: "",G12),JOIN("""",""Min:  "",G12, CHAR(10),""Max: "",H12)))"),"")</f>
        <v/>
      </c>
      <c r="G12" s="41" t="str">
        <f t="array" ref="G12">_xlfn.XLOOKUP(B12,'Up Min'!A:A,'Up Min'!B:B,)</f>
        <v/>
      </c>
      <c r="H12" s="41" t="str">
        <f t="array" ref="H12">_xlfn.XLOOKUP(B12,'Up Max'!A:A,'Up Max'!B:B,)</f>
        <v/>
      </c>
      <c r="I12" s="39" t="str">
        <f t="array" ref="I12">_xlfn.XLOOKUP(B12,'Up Stats'!A:A,'Up Stats'!C:C,)</f>
        <v/>
      </c>
      <c r="J12" s="40" t="str">
        <f>IFERROR(__xludf.DUMMYFUNCTION("if(AND(K12=FALSE,L12=FALSE),,if(K12=L12,JOIN("""",""Static: "",K12),JOIN("""",""Min:  "",K12, CHAR(10),""Max: "",L12)))"),"")</f>
        <v/>
      </c>
      <c r="K12" s="74" t="str">
        <f t="array" ref="K12">_xlfn.XLOOKUP(B12,'Up Min'!A:A,'Up Min'!C:C,)</f>
        <v/>
      </c>
      <c r="L12" s="42" t="str">
        <f t="array" ref="L12">_xlfn.XLOOKUP(B12,'Up Max'!A:A,'Up Max'!C:C,)</f>
        <v/>
      </c>
      <c r="M12" s="48" t="str">
        <f t="array" ref="M12">_xlfn.XLOOKUP(B12,'Up Stats'!A:A,'Up Stats'!D:D,)</f>
        <v/>
      </c>
      <c r="N12" s="40" t="str">
        <f>IFERROR(__xludf.DUMMYFUNCTION("if(AND(O12=FALSE,P12=FALSE),,if(O12=P12,JOIN("""",""Static: "",O12),JOIN("""",""Min:  "",O12, CHAR(10),""Max: "",P12)))"),"")</f>
        <v/>
      </c>
      <c r="O12" s="42" t="str">
        <f t="array" ref="O12">_xlfn.XLOOKUP(B12,'Up Min'!A:A,'Up Min'!D:D,)</f>
        <v/>
      </c>
      <c r="P12" s="42" t="str">
        <f t="array" ref="P12">_xlfn.XLOOKUP(B12,'Up Max'!A:A,'Up Max'!D:D,)</f>
        <v/>
      </c>
      <c r="Q12" s="48" t="str">
        <f t="array" ref="Q12">_xlfn.XLOOKUP(B12,'Up Stats'!A:A,'Up Stats'!E:E,)</f>
        <v/>
      </c>
      <c r="R12" s="40" t="str">
        <f>IFERROR(__xludf.DUMMYFUNCTION("if(AND(S12=FALSE,T12=FALSE),,if(S12=T12,JOIN("""",""Static: "",S12),JOIN("""",""Min:  "",S12, CHAR(10),""Max: "",T12)))"),"")</f>
        <v/>
      </c>
      <c r="S12" s="42" t="str">
        <f t="array" ref="S12">_xlfn.XLOOKUP(B12,'Up Min'!A:A,'Up Min'!E:E,)</f>
        <v/>
      </c>
      <c r="T12" s="42" t="str">
        <f t="array" ref="T12">_xlfn.XLOOKUP(B12,'Up Max'!A:A,'Up Max'!E:E,)</f>
        <v/>
      </c>
      <c r="U12" s="48" t="str">
        <f t="array" ref="U12">_xlfn.XLOOKUP(B12,'Up Stats'!A:A,'Up Stats'!F:F,)</f>
        <v/>
      </c>
      <c r="V12" s="40" t="str">
        <f>IFERROR(__xludf.DUMMYFUNCTION("if(AND(W12=FALSE,X12=FALSE),,if(W12=X12,JOIN("""",""Static: "",W12),JOIN("""",""Min:  "",W12, CHAR(10),""Max: "",X12)))"),"")</f>
        <v/>
      </c>
      <c r="W12" s="42" t="str">
        <f t="array" ref="W12">_xlfn.XLOOKUP(B12,'Up Min'!A:A,'Up Min'!F:F,)</f>
        <v/>
      </c>
      <c r="X12" s="42" t="str">
        <f t="array" ref="X12">_xlfn.XLOOKUP(B12,'Up Max'!A:A,'Up Max'!F:F,)</f>
        <v/>
      </c>
      <c r="Y12" s="48" t="str">
        <f t="array" ref="Y12">_xlfn.XLOOKUP(B12,'Up Stats'!A:A,'Up Stats'!G:G,)</f>
        <v/>
      </c>
      <c r="Z12" s="40" t="str">
        <f>IFERROR(__xludf.DUMMYFUNCTION("if(AND(AA12=FALSE,AB12=FALSE),,if(AA12=AB12,JOIN("""",""Static: "",AA12),JOIN("""",""Min:  "",AA12, CHAR(10),""Max: "",AB12)))"),"")</f>
        <v/>
      </c>
      <c r="AA12" s="42" t="str">
        <f t="array" ref="AA12">_xlfn.XLOOKUP(B12,'Up Min'!A:A,'Up Min'!G:G,)</f>
        <v/>
      </c>
      <c r="AB12" s="42" t="str">
        <f t="array" ref="AB12">_xlfn.XLOOKUP(B12,'Up Max'!A:A,'Up Max'!G:G,)</f>
        <v/>
      </c>
      <c r="AC12" s="48" t="str">
        <f t="array" ref="AC12">_xlfn.XLOOKUP(B12,'Up Stats'!A:A,'Up Stats'!H:H,)</f>
        <v/>
      </c>
      <c r="AD12" s="40" t="str">
        <f>IFERROR(__xludf.DUMMYFUNCTION("if(AND(AE12=FALSE,AF12=FALSE),,if(AE12=AF12,JOIN("""",""Static: "",AE12),JOIN("""",""Min:  "",AE12, CHAR(10),""Max: "",AF12)))"),"")</f>
        <v/>
      </c>
      <c r="AE12" s="42" t="str">
        <f t="array" ref="AE12">_xlfn.XLOOKUP(B12,'Up Min'!A:A,'Up Min'!H:H,)</f>
        <v/>
      </c>
      <c r="AF12" s="42" t="str">
        <f t="array" ref="AF12">_xlfn.XLOOKUP(B12,'Up Max'!A:A,'Up Max'!H:H,)</f>
        <v/>
      </c>
      <c r="AG12" s="48" t="str">
        <f t="array" ref="AG12">_xlfn.XLOOKUP(B12,'Up Stats'!A:A,'Up Stats'!I:I,)</f>
        <v/>
      </c>
      <c r="AH12" s="40" t="str">
        <f>IFERROR(__xludf.DUMMYFUNCTION("if(AND(AI12=FALSE,AJ12=FALSE),,if(AI12=AJ12,JOIN("""",""Static: "",AI12),JOIN("""",""Min:  "",AI12, CHAR(10),""Max: "",AJ12)))"),"")</f>
        <v/>
      </c>
      <c r="AI12" s="42" t="str">
        <f t="array" ref="AI12">_xlfn.XLOOKUP(B12,'Up Min'!A:A,'Up Min'!I:I,)</f>
        <v/>
      </c>
      <c r="AJ12" s="42" t="str">
        <f t="array" ref="AJ12">_xlfn.XLOOKUP(B12,'Up Max'!A:A,'Up Max'!I:I,)</f>
        <v/>
      </c>
      <c r="AK12" s="48" t="str">
        <f t="array" ref="AK12">_xlfn.XLOOKUP(B12,'Up Stats'!A:A,'Up Stats'!J:J,)</f>
        <v/>
      </c>
      <c r="AL12" s="40" t="str">
        <f>IFERROR(__xludf.DUMMYFUNCTION("if(AND(AM12=FALSE,AN12=FALSE),,if(AM12=AN12,JOIN("""",""Static: "",AM12),JOIN("""",""Min:  "",AM12, CHAR(10),""Max: "",AN12)))"),"")</f>
        <v/>
      </c>
      <c r="AM12" s="42" t="str">
        <f t="array" ref="AM12">_xlfn.XLOOKUP(B12,'Up Min'!A:A,'Up Min'!J:J,)</f>
        <v/>
      </c>
      <c r="AN12" s="42" t="str">
        <f t="array" ref="AN12">_xlfn.XLOOKUP(B12,'Up Max'!A:A,'Up Max'!J:J,)</f>
        <v/>
      </c>
      <c r="AO12" s="34" t="str">
        <f t="array" ref="AO12">CONCATENATE(_xlfn.XLOOKUP(B12,'Up Cells'!A:A,'Up Cells'!B:B,))</f>
        <v>5</v>
      </c>
      <c r="AP12" s="34" t="str">
        <f t="array" ref="AP12">CONCATENATE(_xlfn.XLOOKUP(B12,'Up Rarity'!A:A,'Up Rarity'!B:B,),CHAR(10),"-")</f>
        <v>Epic
-</v>
      </c>
    </row>
    <row r="13">
      <c r="A13" s="75" t="str">
        <f t="array" ref="A13">_xlfn.XLOOKUP(B13,'Up Icon'!A:A,'Up Icon'!B:B,)</f>
        <v/>
      </c>
      <c r="B13" s="61" t="str">
        <f t="array" ref="B13">HYPERLINK(_xlfn.XLOOKUP('Up Names'!K10,'Up Wiki'!A:A,'Up Wiki'!B:B,),'Up Names'!K10)</f>
        <v>Gearshift</v>
      </c>
      <c r="C13" s="52" t="str">
        <f t="array" ref="C13">_xlfn.XLOOKUP(B13,'Up Desc'!A:A,'Up Desc'!B:B,)</f>
        <v>While Auger Subroutine is active and for a short time after, the Shocklance charges faster and you gain damage resistance.</v>
      </c>
      <c r="D13" s="52" t="str">
        <f t="array" ref="D13">_xlfn.XLOOKUP(B13,'Up Turbo'!A:A,'Up Turbo'!B:B,)</f>
        <v>n/a</v>
      </c>
      <c r="E13" s="53" t="str">
        <f t="array" ref="E13">_xlfn.XLOOKUP(B13,'Up Stats'!A:A,'Up Stats'!B:B,)</f>
        <v>Damage Resistance</v>
      </c>
      <c r="F13" s="54" t="str">
        <f>IFERROR(__xludf.DUMMYFUNCTION("if(AND(G13=FALSE,H13=FALSE),,if(G13=H13,JOIN("""",""Static: "",G13),JOIN("""",""Min:  "",G13, CHAR(10),""Max: "",H13)))"),"Min:  20%
Max: 25%")</f>
        <v>Min:  20%
Max: 25%</v>
      </c>
      <c r="G13" s="59">
        <f t="array" ref="G13">_xlfn.XLOOKUP(B13,'Up Min'!A:A,'Up Min'!B:B,)</f>
        <v>0.2</v>
      </c>
      <c r="H13" s="59">
        <f t="array" ref="H13">_xlfn.XLOOKUP(B13,'Up Max'!A:A,'Up Max'!B:B,)</f>
        <v>0.25</v>
      </c>
      <c r="I13" s="53" t="str">
        <f t="array" ref="I13">_xlfn.XLOOKUP(B13,'Up Stats'!A:A,'Up Stats'!C:C,)</f>
        <v>Charge Speed</v>
      </c>
      <c r="J13" s="54" t="str">
        <f>IFERROR(__xludf.DUMMYFUNCTION("if(AND(K13=FALSE,L13=FALSE),,if(K13=L13,JOIN("""",""Static: "",K13),JOIN("""",""Min:  "",K13, CHAR(10),""Max: "",L13)))"),"Min:  96%
Max: 103%")</f>
        <v>Min:  96%
Max: 103%</v>
      </c>
      <c r="K13" s="59">
        <f t="array" ref="K13">_xlfn.XLOOKUP(B13,'Up Min'!A:A,'Up Min'!C:C,)</f>
        <v>0.96</v>
      </c>
      <c r="L13" s="59">
        <f t="array" ref="L13">_xlfn.XLOOKUP(B13,'Up Max'!A:A,'Up Max'!C:C,)</f>
        <v>1.03</v>
      </c>
      <c r="M13" s="53" t="str">
        <f t="array" ref="M13">_xlfn.XLOOKUP(B13,'Up Stats'!A:A,'Up Stats'!D:D,)</f>
        <v>Duration</v>
      </c>
      <c r="N13" s="54" t="str">
        <f>IFERROR(__xludf.DUMMYFUNCTION("if(AND(O13=FALSE,P13=FALSE),,if(O13=P13,JOIN("""",""Static: "",O13),JOIN("""",""Min:  "",O13, CHAR(10),""Max: "",P13)))"),"Min:  2
Max: 2.3")</f>
        <v>Min:  2
Max: 2.3</v>
      </c>
      <c r="O13" s="55">
        <f t="array" ref="O13">_xlfn.XLOOKUP(B13,'Up Min'!A:A,'Up Min'!D:D,)</f>
        <v>2</v>
      </c>
      <c r="P13" s="55">
        <f t="array" ref="P13">_xlfn.XLOOKUP(B13,'Up Max'!A:A,'Up Max'!D:D,)</f>
        <v>2.3</v>
      </c>
      <c r="Q13" s="57" t="str">
        <f t="array" ref="Q13">_xlfn.XLOOKUP(B13,'Up Stats'!A:A,'Up Stats'!E:E,)</f>
        <v/>
      </c>
      <c r="R13" s="54" t="str">
        <f>IFERROR(__xludf.DUMMYFUNCTION("if(AND(S13=FALSE,T13=FALSE),,if(S13=T13,JOIN("""",""Static: "",S13),JOIN("""",""Min:  "",S13, CHAR(10),""Max: "",T13)))"),"")</f>
        <v/>
      </c>
      <c r="S13" s="55" t="str">
        <f t="array" ref="S13">_xlfn.XLOOKUP(B13,'Up Min'!A:A,'Up Min'!E:E,)</f>
        <v/>
      </c>
      <c r="T13" s="55" t="str">
        <f t="array" ref="T13">_xlfn.XLOOKUP(B13,'Up Max'!A:A,'Up Max'!E:E,)</f>
        <v/>
      </c>
      <c r="U13" s="57" t="str">
        <f t="array" ref="U13">_xlfn.XLOOKUP(B13,'Up Stats'!A:A,'Up Stats'!F:F,)</f>
        <v/>
      </c>
      <c r="V13" s="54" t="str">
        <f>IFERROR(__xludf.DUMMYFUNCTION("if(AND(W13=FALSE,X13=FALSE),,if(W13=X13,JOIN("""",""Static: "",W13),JOIN("""",""Min:  "",W13, CHAR(10),""Max: "",X13)))"),"")</f>
        <v/>
      </c>
      <c r="W13" s="55" t="str">
        <f t="array" ref="W13">_xlfn.XLOOKUP(B13,'Up Min'!A:A,'Up Min'!F:F,)</f>
        <v/>
      </c>
      <c r="X13" s="55" t="str">
        <f t="array" ref="X13">_xlfn.XLOOKUP(B13,'Up Max'!A:A,'Up Max'!F:F,)</f>
        <v/>
      </c>
      <c r="Y13" s="57" t="str">
        <f t="array" ref="Y13">_xlfn.XLOOKUP(B13,'Up Stats'!A:A,'Up Stats'!G:G,)</f>
        <v/>
      </c>
      <c r="Z13" s="54" t="str">
        <f>IFERROR(__xludf.DUMMYFUNCTION("if(AND(AA13=FALSE,AB13=FALSE),,if(AA13=AB13,JOIN("""",""Static: "",AA13),JOIN("""",""Min:  "",AA13, CHAR(10),""Max: "",AB13)))"),"")</f>
        <v/>
      </c>
      <c r="AA13" s="55" t="str">
        <f t="array" ref="AA13">_xlfn.XLOOKUP(B13,'Up Min'!A:A,'Up Min'!G:G,)</f>
        <v/>
      </c>
      <c r="AB13" s="55" t="str">
        <f t="array" ref="AB13">_xlfn.XLOOKUP(B13,'Up Max'!A:A,'Up Max'!G:G,)</f>
        <v/>
      </c>
      <c r="AC13" s="57" t="str">
        <f t="array" ref="AC13">_xlfn.XLOOKUP(B13,'Up Stats'!A:A,'Up Stats'!H:H,)</f>
        <v/>
      </c>
      <c r="AD13" s="54" t="str">
        <f>IFERROR(__xludf.DUMMYFUNCTION("if(AND(AE13=FALSE,AF13=FALSE),,if(AE13=AF13,JOIN("""",""Static: "",AE13),JOIN("""",""Min:  "",AE13, CHAR(10),""Max: "",AF13)))"),"")</f>
        <v/>
      </c>
      <c r="AE13" s="55" t="str">
        <f t="array" ref="AE13">_xlfn.XLOOKUP(B13,'Up Min'!A:A,'Up Min'!H:H,)</f>
        <v/>
      </c>
      <c r="AF13" s="55" t="str">
        <f t="array" ref="AF13">_xlfn.XLOOKUP(B13,'Up Max'!A:A,'Up Max'!H:H,)</f>
        <v/>
      </c>
      <c r="AG13" s="57" t="str">
        <f t="array" ref="AG13">_xlfn.XLOOKUP(B13,'Up Stats'!A:A,'Up Stats'!I:I,)</f>
        <v/>
      </c>
      <c r="AH13" s="54" t="str">
        <f>IFERROR(__xludf.DUMMYFUNCTION("if(AND(AI13=FALSE,AJ13=FALSE),,if(AI13=AJ13,JOIN("""",""Static: "",AI13),JOIN("""",""Min:  "",AI13, CHAR(10),""Max: "",AJ13)))"),"")</f>
        <v/>
      </c>
      <c r="AI13" s="55" t="str">
        <f t="array" ref="AI13">_xlfn.XLOOKUP(B13,'Up Min'!A:A,'Up Min'!I:I,)</f>
        <v/>
      </c>
      <c r="AJ13" s="55" t="str">
        <f t="array" ref="AJ13">_xlfn.XLOOKUP(B13,'Up Max'!A:A,'Up Max'!I:I,)</f>
        <v/>
      </c>
      <c r="AK13" s="57" t="str">
        <f t="array" ref="AK13">_xlfn.XLOOKUP(B13,'Up Stats'!A:A,'Up Stats'!J:J,)</f>
        <v/>
      </c>
      <c r="AL13" s="54" t="str">
        <f>IFERROR(__xludf.DUMMYFUNCTION("if(AND(AM13=FALSE,AN13=FALSE),,if(AM13=AN13,JOIN("""",""Static: "",AM13),JOIN("""",""Min:  "",AM13, CHAR(10),""Max: "",AN13)))"),"")</f>
        <v/>
      </c>
      <c r="AM13" s="55" t="str">
        <f t="array" ref="AM13">_xlfn.XLOOKUP(B13,'Up Min'!A:A,'Up Min'!J:J,)</f>
        <v/>
      </c>
      <c r="AN13" s="55" t="str">
        <f t="array" ref="AN13">_xlfn.XLOOKUP(B13,'Up Max'!A:A,'Up Max'!J:J,)</f>
        <v/>
      </c>
      <c r="AO13" s="51" t="str">
        <f t="array" ref="AO13">CONCATENATE(_xlfn.XLOOKUP(B13,'Up Cells'!A:A,'Up Cells'!B:B,))</f>
        <v>4</v>
      </c>
      <c r="AP13" s="51" t="str">
        <f t="array" ref="AP13">CONCATENATE(_xlfn.XLOOKUP(B13,'Up Rarity'!A:A,'Up Rarity'!B:B,),CHAR(10),"-")</f>
        <v>Epic
-</v>
      </c>
    </row>
    <row r="14">
      <c r="A14" s="75" t="str">
        <f t="array" ref="A14">_xlfn.XLOOKUP(B14,'Up Icon'!A:A,'Up Icon'!B:B,)</f>
        <v/>
      </c>
      <c r="B14" s="58" t="str">
        <f t="array" ref="B14">HYPERLINK(_xlfn.XLOOKUP('Up Names'!K11,'Up Wiki'!A:A,'Up Wiki'!B:B,),'Up Names'!K11)</f>
        <v>Killing Field</v>
      </c>
      <c r="C14" s="37" t="str">
        <f t="array" ref="C14">_xlfn.XLOOKUP(B14,'Up Desc'!A:A,'Up Desc'!B:B,)</f>
        <v>Coils linger and increase your outgoing damage when inside.</v>
      </c>
      <c r="D14" s="37" t="str">
        <f t="array" ref="D14">_xlfn.XLOOKUP(B14,'Up Turbo'!A:A,'Up Turbo'!B:B,)</f>
        <v>n/a</v>
      </c>
      <c r="E14" s="39" t="str">
        <f t="array" ref="E14">_xlfn.XLOOKUP(B14,'Up Stats'!A:A,'Up Stats'!B:B,)</f>
        <v>Duration</v>
      </c>
      <c r="F14" s="40" t="str">
        <f>IFERROR(__xludf.DUMMYFUNCTION("if(AND(G14=FALSE,H14=FALSE),,if(G14=H14,JOIN("""",""Static: "",G14),JOIN("""",""Min:  "",G14, CHAR(10),""Max: "",H14)))"),"Min:  4.85
Max: 6.15")</f>
        <v>Min:  4.85
Max: 6.15</v>
      </c>
      <c r="G14" s="69">
        <f t="array" ref="G14">_xlfn.XLOOKUP(B14,'Up Min'!A:A,'Up Min'!B:B,)</f>
        <v>4.85</v>
      </c>
      <c r="H14" s="68">
        <f t="array" ref="H14">_xlfn.XLOOKUP(B14,'Up Max'!A:A,'Up Max'!B:B,)</f>
        <v>6.15</v>
      </c>
      <c r="I14" s="39" t="str">
        <f t="array" ref="I14">_xlfn.XLOOKUP(B14,'Up Stats'!A:A,'Up Stats'!C:C,)</f>
        <v>Linger Size</v>
      </c>
      <c r="J14" s="40" t="str">
        <f>IFERROR(__xludf.DUMMYFUNCTION("if(AND(K14=FALSE,L14=FALSE),,if(K14=L14,JOIN("""",""Static: "",K14),JOIN("""",""Min:  "",K14, CHAR(10),""Max: "",L14)))"),"Min:  2
Max: 3.2")</f>
        <v>Min:  2
Max: 3.2</v>
      </c>
      <c r="K14" s="69">
        <f t="array" ref="K14">_xlfn.XLOOKUP(B14,'Up Min'!A:A,'Up Min'!C:C,)</f>
        <v>2</v>
      </c>
      <c r="L14" s="69">
        <f t="array" ref="L14">_xlfn.XLOOKUP(B14,'Up Max'!A:A,'Up Max'!C:C,)</f>
        <v>3.2</v>
      </c>
      <c r="M14" s="39" t="str">
        <f t="array" ref="M14">_xlfn.XLOOKUP(B14,'Up Stats'!A:A,'Up Stats'!D:D,)</f>
        <v>Damage</v>
      </c>
      <c r="N14" s="40" t="str">
        <f>IFERROR(__xludf.DUMMYFUNCTION("if(AND(O14=FALSE,P14=FALSE),,if(O14=P14,JOIN("""",""Static: "",O14),JOIN("""",""Min:  "",O14, CHAR(10),""Max: "",P14)))"),"Min:  20%
Max: 30%")</f>
        <v>Min:  20%
Max: 30%</v>
      </c>
      <c r="O14" s="41">
        <f t="array" ref="O14">_xlfn.XLOOKUP(B14,'Up Min'!A:A,'Up Min'!D:D,)</f>
        <v>0.2</v>
      </c>
      <c r="P14" s="41">
        <f t="array" ref="P14">_xlfn.XLOOKUP(B14,'Up Max'!A:A,'Up Max'!D:D,)</f>
        <v>0.3</v>
      </c>
      <c r="Q14" s="48" t="str">
        <f t="array" ref="Q14">_xlfn.XLOOKUP(B14,'Up Stats'!A:A,'Up Stats'!E:E,)</f>
        <v/>
      </c>
      <c r="R14" s="40" t="str">
        <f>IFERROR(__xludf.DUMMYFUNCTION("if(AND(S14=FALSE,T14=FALSE),,if(S14=T14,JOIN("""",""Static: "",S14),JOIN("""",""Min:  "",S14, CHAR(10),""Max: "",T14)))"),"")</f>
        <v/>
      </c>
      <c r="S14" s="42" t="str">
        <f t="array" ref="S14">_xlfn.XLOOKUP(B14,'Up Min'!A:A,'Up Min'!E:E,)</f>
        <v/>
      </c>
      <c r="T14" s="42" t="str">
        <f t="array" ref="T14">_xlfn.XLOOKUP(B14,'Up Max'!A:A,'Up Max'!E:E,)</f>
        <v/>
      </c>
      <c r="U14" s="48" t="str">
        <f t="array" ref="U14">_xlfn.XLOOKUP(B14,'Up Stats'!A:A,'Up Stats'!F:F,)</f>
        <v/>
      </c>
      <c r="V14" s="40" t="str">
        <f>IFERROR(__xludf.DUMMYFUNCTION("if(AND(W14=FALSE,X14=FALSE),,if(W14=X14,JOIN("""",""Static: "",W14),JOIN("""",""Min:  "",W14, CHAR(10),""Max: "",X14)))"),"")</f>
        <v/>
      </c>
      <c r="W14" s="42" t="str">
        <f t="array" ref="W14">_xlfn.XLOOKUP(B14,'Up Min'!A:A,'Up Min'!F:F,)</f>
        <v/>
      </c>
      <c r="X14" s="42" t="str">
        <f t="array" ref="X14">_xlfn.XLOOKUP(B14,'Up Max'!A:A,'Up Max'!F:F,)</f>
        <v/>
      </c>
      <c r="Y14" s="48" t="str">
        <f t="array" ref="Y14">_xlfn.XLOOKUP(B14,'Up Stats'!A:A,'Up Stats'!G:G,)</f>
        <v/>
      </c>
      <c r="Z14" s="40" t="str">
        <f>IFERROR(__xludf.DUMMYFUNCTION("if(AND(AA14=FALSE,AB14=FALSE),,if(AA14=AB14,JOIN("""",""Static: "",AA14),JOIN("""",""Min:  "",AA14, CHAR(10),""Max: "",AB14)))"),"")</f>
        <v/>
      </c>
      <c r="AA14" s="42" t="str">
        <f t="array" ref="AA14">_xlfn.XLOOKUP(B14,'Up Min'!A:A,'Up Min'!G:G,)</f>
        <v/>
      </c>
      <c r="AB14" s="42" t="str">
        <f t="array" ref="AB14">_xlfn.XLOOKUP(B14,'Up Max'!A:A,'Up Max'!G:G,)</f>
        <v/>
      </c>
      <c r="AC14" s="48" t="str">
        <f t="array" ref="AC14">_xlfn.XLOOKUP(B14,'Up Stats'!A:A,'Up Stats'!H:H,)</f>
        <v/>
      </c>
      <c r="AD14" s="40" t="str">
        <f>IFERROR(__xludf.DUMMYFUNCTION("if(AND(AE14=FALSE,AF14=FALSE),,if(AE14=AF14,JOIN("""",""Static: "",AE14),JOIN("""",""Min:  "",AE14, CHAR(10),""Max: "",AF14)))"),"")</f>
        <v/>
      </c>
      <c r="AE14" s="42" t="str">
        <f t="array" ref="AE14">_xlfn.XLOOKUP(B14,'Up Min'!A:A,'Up Min'!H:H,)</f>
        <v/>
      </c>
      <c r="AF14" s="42" t="str">
        <f t="array" ref="AF14">_xlfn.XLOOKUP(B14,'Up Max'!A:A,'Up Max'!H:H,)</f>
        <v/>
      </c>
      <c r="AG14" s="48" t="str">
        <f t="array" ref="AG14">_xlfn.XLOOKUP(B14,'Up Stats'!A:A,'Up Stats'!I:I,)</f>
        <v/>
      </c>
      <c r="AH14" s="40" t="str">
        <f>IFERROR(__xludf.DUMMYFUNCTION("if(AND(AI14=FALSE,AJ14=FALSE),,if(AI14=AJ14,JOIN("""",""Static: "",AI14),JOIN("""",""Min:  "",AI14, CHAR(10),""Max: "",AJ14)))"),"")</f>
        <v/>
      </c>
      <c r="AI14" s="42" t="str">
        <f t="array" ref="AI14">_xlfn.XLOOKUP(B14,'Up Min'!A:A,'Up Min'!I:I,)</f>
        <v/>
      </c>
      <c r="AJ14" s="42" t="str">
        <f t="array" ref="AJ14">_xlfn.XLOOKUP(B14,'Up Max'!A:A,'Up Max'!I:I,)</f>
        <v/>
      </c>
      <c r="AK14" s="48" t="str">
        <f t="array" ref="AK14">_xlfn.XLOOKUP(B14,'Up Stats'!A:A,'Up Stats'!J:J,)</f>
        <v/>
      </c>
      <c r="AL14" s="40" t="str">
        <f>IFERROR(__xludf.DUMMYFUNCTION("if(AND(AM14=FALSE,AN14=FALSE),,if(AM14=AN14,JOIN("""",""Static: "",AM14),JOIN("""",""Min:  "",AM14, CHAR(10),""Max: "",AN14)))"),"")</f>
        <v/>
      </c>
      <c r="AM14" s="42" t="str">
        <f t="array" ref="AM14">_xlfn.XLOOKUP(B14,'Up Min'!A:A,'Up Min'!J:J,)</f>
        <v/>
      </c>
      <c r="AN14" s="42" t="str">
        <f t="array" ref="AN14">_xlfn.XLOOKUP(B14,'Up Max'!A:A,'Up Max'!J:J,)</f>
        <v/>
      </c>
      <c r="AO14" s="34" t="str">
        <f t="array" ref="AO14">CONCATENATE(_xlfn.XLOOKUP(B14,'Up Cells'!A:A,'Up Cells'!B:B,))</f>
        <v>5</v>
      </c>
      <c r="AP14" s="34" t="str">
        <f t="array" ref="AP14">CONCATENATE(_xlfn.XLOOKUP(B14,'Up Rarity'!A:A,'Up Rarity'!B:B,),CHAR(10),"-")</f>
        <v>Epic
-</v>
      </c>
    </row>
    <row r="15">
      <c r="A15" s="75" t="str">
        <f t="array" ref="A15">_xlfn.XLOOKUP(B15,'Up Icon'!A:A,'Up Icon'!B:B,)</f>
        <v/>
      </c>
      <c r="B15" s="61" t="str">
        <f t="array" ref="B15">HYPERLINK(_xlfn.XLOOKUP('Up Names'!K12,'Up Wiki'!A:A,'Up Wiki'!B:B,),'Up Names'!K12)</f>
        <v>Ready and Waiting</v>
      </c>
      <c r="C15" s="70" t="str">
        <f t="array" ref="C15">_xlfn.XLOOKUP(B15,'Up Desc'!A:A,'Up Desc'!B:B,)</f>
        <v>The Shocklance passively charges over time. Passive charges is slowed when unequipped.</v>
      </c>
      <c r="D15" s="52" t="str">
        <f t="array" ref="D15">_xlfn.XLOOKUP(B15,'Up Turbo'!A:A,'Up Turbo'!B:B,)</f>
        <v>n/a</v>
      </c>
      <c r="E15" s="53" t="str">
        <f t="array" ref="E15">_xlfn.XLOOKUP(B15,'Up Stats'!A:A,'Up Stats'!B:B,)</f>
        <v>Charge Speed</v>
      </c>
      <c r="F15" s="54" t="str">
        <f>IFERROR(__xludf.DUMMYFUNCTION("if(AND(G15=FALSE,H15=FALSE),,if(G15=H15,JOIN("""",""Static: "",G15),JOIN("""",""Min:  "",G15, CHAR(10),""Max: "",H15)))"),"Min:  13%
Max: 18%")</f>
        <v>Min:  13%
Max: 18%</v>
      </c>
      <c r="G15" s="72">
        <f t="array" ref="G15">_xlfn.XLOOKUP(B15,'Up Min'!A:A,'Up Min'!B:B,)</f>
        <v>0.13</v>
      </c>
      <c r="H15" s="72">
        <f t="array" ref="H15">_xlfn.XLOOKUP(B15,'Up Max'!A:A,'Up Max'!B:B,)</f>
        <v>0.18</v>
      </c>
      <c r="I15" s="53" t="str">
        <f t="array" ref="I15">_xlfn.XLOOKUP(B15,'Up Stats'!A:A,'Up Stats'!C:C,)</f>
        <v/>
      </c>
      <c r="J15" s="54" t="str">
        <f>IFERROR(__xludf.DUMMYFUNCTION("if(AND(K15=FALSE,L15=FALSE),,if(K15=L15,JOIN("""",""Static: "",K15),JOIN("""",""Min:  "",K15, CHAR(10),""Max: "",L15)))"),"")</f>
        <v/>
      </c>
      <c r="K15" s="55" t="str">
        <f t="array" ref="K15">_xlfn.XLOOKUP(B15,'Up Min'!A:A,'Up Min'!C:C,)</f>
        <v/>
      </c>
      <c r="L15" s="55" t="str">
        <f t="array" ref="L15">_xlfn.XLOOKUP(B15,'Up Max'!A:A,'Up Max'!C:C,)</f>
        <v/>
      </c>
      <c r="M15" s="57" t="str">
        <f t="array" ref="M15">_xlfn.XLOOKUP(B15,'Up Stats'!A:A,'Up Stats'!D:D,)</f>
        <v/>
      </c>
      <c r="N15" s="54" t="str">
        <f>IFERROR(__xludf.DUMMYFUNCTION("if(AND(O15=FALSE,P15=FALSE),,if(O15=P15,JOIN("""",""Static: "",O15),JOIN("""",""Min:  "",O15, CHAR(10),""Max: "",P15)))"),"")</f>
        <v/>
      </c>
      <c r="O15" s="55" t="str">
        <f t="array" ref="O15">_xlfn.XLOOKUP(B15,'Up Min'!A:A,'Up Min'!D:D,)</f>
        <v/>
      </c>
      <c r="P15" s="55" t="str">
        <f t="array" ref="P15">_xlfn.XLOOKUP(B15,'Up Max'!A:A,'Up Max'!D:D,)</f>
        <v/>
      </c>
      <c r="Q15" s="57" t="str">
        <f t="array" ref="Q15">_xlfn.XLOOKUP(B15,'Up Stats'!A:A,'Up Stats'!E:E,)</f>
        <v/>
      </c>
      <c r="R15" s="54" t="str">
        <f>IFERROR(__xludf.DUMMYFUNCTION("if(AND(S15=FALSE,T15=FALSE),,if(S15=T15,JOIN("""",""Static: "",S15),JOIN("""",""Min:  "",S15, CHAR(10),""Max: "",T15)))"),"")</f>
        <v/>
      </c>
      <c r="S15" s="55" t="str">
        <f t="array" ref="S15">_xlfn.XLOOKUP(B15,'Up Min'!A:A,'Up Min'!E:E,)</f>
        <v/>
      </c>
      <c r="T15" s="55" t="str">
        <f t="array" ref="T15">_xlfn.XLOOKUP(B15,'Up Max'!A:A,'Up Max'!E:E,)</f>
        <v/>
      </c>
      <c r="U15" s="57" t="str">
        <f t="array" ref="U15">_xlfn.XLOOKUP(B15,'Up Stats'!A:A,'Up Stats'!F:F,)</f>
        <v/>
      </c>
      <c r="V15" s="54" t="str">
        <f>IFERROR(__xludf.DUMMYFUNCTION("if(AND(W15=FALSE,X15=FALSE),,if(W15=X15,JOIN("""",""Static: "",W15),JOIN("""",""Min:  "",W15, CHAR(10),""Max: "",X15)))"),"")</f>
        <v/>
      </c>
      <c r="W15" s="55" t="str">
        <f t="array" ref="W15">_xlfn.XLOOKUP(B15,'Up Min'!A:A,'Up Min'!F:F,)</f>
        <v/>
      </c>
      <c r="X15" s="55" t="str">
        <f t="array" ref="X15">_xlfn.XLOOKUP(B15,'Up Max'!A:A,'Up Max'!F:F,)</f>
        <v/>
      </c>
      <c r="Y15" s="57" t="str">
        <f t="array" ref="Y15">_xlfn.XLOOKUP(B15,'Up Stats'!A:A,'Up Stats'!G:G,)</f>
        <v/>
      </c>
      <c r="Z15" s="54" t="str">
        <f>IFERROR(__xludf.DUMMYFUNCTION("if(AND(AA15=FALSE,AB15=FALSE),,if(AA15=AB15,JOIN("""",""Static: "",AA15),JOIN("""",""Min:  "",AA15, CHAR(10),""Max: "",AB15)))"),"")</f>
        <v/>
      </c>
      <c r="AA15" s="55" t="str">
        <f t="array" ref="AA15">_xlfn.XLOOKUP(B15,'Up Min'!A:A,'Up Min'!G:G,)</f>
        <v/>
      </c>
      <c r="AB15" s="55" t="str">
        <f t="array" ref="AB15">_xlfn.XLOOKUP(B15,'Up Max'!A:A,'Up Max'!G:G,)</f>
        <v/>
      </c>
      <c r="AC15" s="57" t="str">
        <f t="array" ref="AC15">_xlfn.XLOOKUP(B15,'Up Stats'!A:A,'Up Stats'!H:H,)</f>
        <v/>
      </c>
      <c r="AD15" s="54" t="str">
        <f>IFERROR(__xludf.DUMMYFUNCTION("if(AND(AE15=FALSE,AF15=FALSE),,if(AE15=AF15,JOIN("""",""Static: "",AE15),JOIN("""",""Min:  "",AE15, CHAR(10),""Max: "",AF15)))"),"")</f>
        <v/>
      </c>
      <c r="AE15" s="55" t="str">
        <f t="array" ref="AE15">_xlfn.XLOOKUP(B15,'Up Min'!A:A,'Up Min'!H:H,)</f>
        <v/>
      </c>
      <c r="AF15" s="55" t="str">
        <f t="array" ref="AF15">_xlfn.XLOOKUP(B15,'Up Max'!A:A,'Up Max'!H:H,)</f>
        <v/>
      </c>
      <c r="AG15" s="57" t="str">
        <f t="array" ref="AG15">_xlfn.XLOOKUP(B15,'Up Stats'!A:A,'Up Stats'!I:I,)</f>
        <v/>
      </c>
      <c r="AH15" s="54" t="str">
        <f>IFERROR(__xludf.DUMMYFUNCTION("if(AND(AI15=FALSE,AJ15=FALSE),,if(AI15=AJ15,JOIN("""",""Static: "",AI15),JOIN("""",""Min:  "",AI15, CHAR(10),""Max: "",AJ15)))"),"")</f>
        <v/>
      </c>
      <c r="AI15" s="55" t="str">
        <f t="array" ref="AI15">_xlfn.XLOOKUP(B15,'Up Min'!A:A,'Up Min'!I:I,)</f>
        <v/>
      </c>
      <c r="AJ15" s="55" t="str">
        <f t="array" ref="AJ15">_xlfn.XLOOKUP(B15,'Up Max'!A:A,'Up Max'!I:I,)</f>
        <v/>
      </c>
      <c r="AK15" s="57" t="str">
        <f t="array" ref="AK15">_xlfn.XLOOKUP(B15,'Up Stats'!A:A,'Up Stats'!J:J,)</f>
        <v/>
      </c>
      <c r="AL15" s="54" t="str">
        <f>IFERROR(__xludf.DUMMYFUNCTION("if(AND(AM15=FALSE,AN15=FALSE),,if(AM15=AN15,JOIN("""",""Static: "",AM15),JOIN("""",""Min:  "",AM15, CHAR(10),""Max: "",AN15)))"),"")</f>
        <v/>
      </c>
      <c r="AM15" s="55" t="str">
        <f t="array" ref="AM15">_xlfn.XLOOKUP(B15,'Up Min'!A:A,'Up Min'!J:J,)</f>
        <v/>
      </c>
      <c r="AN15" s="55" t="str">
        <f t="array" ref="AN15">_xlfn.XLOOKUP(B15,'Up Max'!A:A,'Up Max'!J:J,)</f>
        <v/>
      </c>
      <c r="AO15" s="51" t="str">
        <f t="array" ref="AO15">CONCATENATE(_xlfn.XLOOKUP(B15,'Up Cells'!A:A,'Up Cells'!B:B,))</f>
        <v>4</v>
      </c>
      <c r="AP15" s="51" t="str">
        <f t="array" ref="AP15">CONCATENATE(_xlfn.XLOOKUP(B15,'Up Rarity'!A:A,'Up Rarity'!B:B,),CHAR(10),"-")</f>
        <v>Epic
-</v>
      </c>
    </row>
    <row r="16">
      <c r="A16" s="75" t="str">
        <f t="array" ref="A16">_xlfn.XLOOKUP(B16,'Up Icon'!A:A,'Up Icon'!B:B,)</f>
        <v/>
      </c>
      <c r="B16" s="58" t="str">
        <f t="array" ref="B16">HYPERLINK(_xlfn.XLOOKUP('Up Names'!K13,'Up Wiki'!A:A,'Up Wiki'!B:B,),'Up Names'!K13)</f>
        <v>Storm's Eye</v>
      </c>
      <c r="C16" s="67" t="str">
        <f t="array" ref="C16">_xlfn.XLOOKUP(B16,'Up Desc'!A:A,'Up Desc'!B:B,)</f>
        <v>After firing your last shot, an additional coil is fired upward with increased size and damage.</v>
      </c>
      <c r="D16" s="37" t="str">
        <f t="array" ref="D16">_xlfn.XLOOKUP(B16,'Up Turbo'!A:A,'Up Turbo'!B:B,)</f>
        <v>n/a</v>
      </c>
      <c r="E16" s="39" t="str">
        <f t="array" ref="E16">_xlfn.XLOOKUP(B16,'Up Stats'!A:A,'Up Stats'!B:B,)</f>
        <v>Size</v>
      </c>
      <c r="F16" s="40" t="str">
        <f>IFERROR(__xludf.DUMMYFUNCTION("if(AND(G16=FALSE,H16=FALSE),,if(G16=H16,JOIN("""",""Static: "",G16),JOIN("""",""Min:  "",G16, CHAR(10),""Max: "",H16)))"),"Min:  1000%
Max: 1240%")</f>
        <v>Min:  1000%
Max: 1240%</v>
      </c>
      <c r="G16" s="41">
        <f t="array" ref="G16">_xlfn.XLOOKUP(B16,'Up Min'!A:A,'Up Min'!B:B,)</f>
        <v>10</v>
      </c>
      <c r="H16" s="41">
        <f t="array" ref="H16">_xlfn.XLOOKUP(B16,'Up Max'!A:A,'Up Max'!B:B,)</f>
        <v>12.4</v>
      </c>
      <c r="I16" s="39" t="str">
        <f t="array" ref="I16">_xlfn.XLOOKUP(B16,'Up Stats'!A:A,'Up Stats'!C:C,)</f>
        <v>Damage</v>
      </c>
      <c r="J16" s="40" t="str">
        <f>IFERROR(__xludf.DUMMYFUNCTION("if(AND(K16=FALSE,L16=FALSE),,if(K16=L16,JOIN("""",""Static: "",K16),JOIN("""",""Min:  "",K16, CHAR(10),""Max: "",L16)))"),"Min:  160
Max: 175")</f>
        <v>Min:  160
Max: 175</v>
      </c>
      <c r="K16" s="68">
        <f t="array" ref="K16">_xlfn.XLOOKUP(B16,'Up Min'!A:A,'Up Min'!C:C,)</f>
        <v>160</v>
      </c>
      <c r="L16" s="69">
        <f t="array" ref="L16">_xlfn.XLOOKUP(B16,'Up Max'!A:A,'Up Max'!C:C,)</f>
        <v>175</v>
      </c>
      <c r="M16" s="39" t="str">
        <f t="array" ref="M16">_xlfn.XLOOKUP(B16,'Up Stats'!A:A,'Up Stats'!D:D,)</f>
        <v/>
      </c>
      <c r="N16" s="40" t="str">
        <f>IFERROR(__xludf.DUMMYFUNCTION("if(AND(O16=FALSE,P16=FALSE),,if(O16=P16,JOIN("""",""Static: "",O16),JOIN("""",""Min:  "",O16, CHAR(10),""Max: "",P16)))"),"")</f>
        <v/>
      </c>
      <c r="O16" s="42" t="str">
        <f t="array" ref="O16">_xlfn.XLOOKUP(B16,'Up Min'!A:A,'Up Min'!D:D,)</f>
        <v/>
      </c>
      <c r="P16" s="42" t="str">
        <f t="array" ref="P16">_xlfn.XLOOKUP(B16,'Up Max'!A:A,'Up Max'!D:D,)</f>
        <v/>
      </c>
      <c r="Q16" s="48" t="str">
        <f t="array" ref="Q16">_xlfn.XLOOKUP(B16,'Up Stats'!A:A,'Up Stats'!E:E,)</f>
        <v/>
      </c>
      <c r="R16" s="40" t="str">
        <f>IFERROR(__xludf.DUMMYFUNCTION("if(AND(S16=FALSE,T16=FALSE),,if(S16=T16,JOIN("""",""Static: "",S16),JOIN("""",""Min:  "",S16, CHAR(10),""Max: "",T16)))"),"")</f>
        <v/>
      </c>
      <c r="S16" s="42" t="str">
        <f t="array" ref="S16">_xlfn.XLOOKUP(B16,'Up Min'!A:A,'Up Min'!E:E,)</f>
        <v/>
      </c>
      <c r="T16" s="42" t="str">
        <f t="array" ref="T16">_xlfn.XLOOKUP(B16,'Up Max'!A:A,'Up Max'!E:E,)</f>
        <v/>
      </c>
      <c r="U16" s="48" t="str">
        <f t="array" ref="U16">_xlfn.XLOOKUP(B16,'Up Stats'!A:A,'Up Stats'!F:F,)</f>
        <v/>
      </c>
      <c r="V16" s="40" t="str">
        <f>IFERROR(__xludf.DUMMYFUNCTION("if(AND(W16=FALSE,X16=FALSE),,if(W16=X16,JOIN("""",""Static: "",W16),JOIN("""",""Min:  "",W16, CHAR(10),""Max: "",X16)))"),"")</f>
        <v/>
      </c>
      <c r="W16" s="42" t="str">
        <f t="array" ref="W16">_xlfn.XLOOKUP(B16,'Up Min'!A:A,'Up Min'!F:F,)</f>
        <v/>
      </c>
      <c r="X16" s="42" t="str">
        <f t="array" ref="X16">_xlfn.XLOOKUP(B16,'Up Max'!A:A,'Up Max'!F:F,)</f>
        <v/>
      </c>
      <c r="Y16" s="48" t="str">
        <f t="array" ref="Y16">_xlfn.XLOOKUP(B16,'Up Stats'!A:A,'Up Stats'!G:G,)</f>
        <v/>
      </c>
      <c r="Z16" s="40" t="str">
        <f>IFERROR(__xludf.DUMMYFUNCTION("if(AND(AA16=FALSE,AB16=FALSE),,if(AA16=AB16,JOIN("""",""Static: "",AA16),JOIN("""",""Min:  "",AA16, CHAR(10),""Max: "",AB16)))"),"")</f>
        <v/>
      </c>
      <c r="AA16" s="42" t="str">
        <f t="array" ref="AA16">_xlfn.XLOOKUP(B16,'Up Min'!A:A,'Up Min'!G:G,)</f>
        <v/>
      </c>
      <c r="AB16" s="42" t="str">
        <f t="array" ref="AB16">_xlfn.XLOOKUP(B16,'Up Max'!A:A,'Up Max'!G:G,)</f>
        <v/>
      </c>
      <c r="AC16" s="48" t="str">
        <f t="array" ref="AC16">_xlfn.XLOOKUP(B16,'Up Stats'!A:A,'Up Stats'!H:H,)</f>
        <v/>
      </c>
      <c r="AD16" s="40" t="str">
        <f>IFERROR(__xludf.DUMMYFUNCTION("if(AND(AE16=FALSE,AF16=FALSE),,if(AE16=AF16,JOIN("""",""Static: "",AE16),JOIN("""",""Min:  "",AE16, CHAR(10),""Max: "",AF16)))"),"")</f>
        <v/>
      </c>
      <c r="AE16" s="42" t="str">
        <f t="array" ref="AE16">_xlfn.XLOOKUP(B16,'Up Min'!A:A,'Up Min'!H:H,)</f>
        <v/>
      </c>
      <c r="AF16" s="42" t="str">
        <f t="array" ref="AF16">_xlfn.XLOOKUP(B16,'Up Max'!A:A,'Up Max'!H:H,)</f>
        <v/>
      </c>
      <c r="AG16" s="48" t="str">
        <f t="array" ref="AG16">_xlfn.XLOOKUP(B16,'Up Stats'!A:A,'Up Stats'!I:I,)</f>
        <v/>
      </c>
      <c r="AH16" s="40" t="str">
        <f>IFERROR(__xludf.DUMMYFUNCTION("if(AND(AI16=FALSE,AJ16=FALSE),,if(AI16=AJ16,JOIN("""",""Static: "",AI16),JOIN("""",""Min:  "",AI16, CHAR(10),""Max: "",AJ16)))"),"")</f>
        <v/>
      </c>
      <c r="AI16" s="42" t="str">
        <f t="array" ref="AI16">_xlfn.XLOOKUP(B16,'Up Min'!A:A,'Up Min'!I:I,)</f>
        <v/>
      </c>
      <c r="AJ16" s="42" t="str">
        <f t="array" ref="AJ16">_xlfn.XLOOKUP(B16,'Up Max'!A:A,'Up Max'!I:I,)</f>
        <v/>
      </c>
      <c r="AK16" s="48" t="str">
        <f t="array" ref="AK16">_xlfn.XLOOKUP(B16,'Up Stats'!A:A,'Up Stats'!J:J,)</f>
        <v/>
      </c>
      <c r="AL16" s="40" t="str">
        <f>IFERROR(__xludf.DUMMYFUNCTION("if(AND(AM16=FALSE,AN16=FALSE),,if(AM16=AN16,JOIN("""",""Static: "",AM16),JOIN("""",""Min:  "",AM16, CHAR(10),""Max: "",AN16)))"),"")</f>
        <v/>
      </c>
      <c r="AM16" s="42" t="str">
        <f t="array" ref="AM16">_xlfn.XLOOKUP(B16,'Up Min'!A:A,'Up Min'!J:J,)</f>
        <v/>
      </c>
      <c r="AN16" s="42" t="str">
        <f t="array" ref="AN16">_xlfn.XLOOKUP(B16,'Up Max'!A:A,'Up Max'!J:J,)</f>
        <v/>
      </c>
      <c r="AO16" s="34" t="str">
        <f t="array" ref="AO16">CONCATENATE(_xlfn.XLOOKUP(B16,'Up Cells'!A:A,'Up Cells'!B:B,))</f>
        <v>4</v>
      </c>
      <c r="AP16" s="34" t="str">
        <f t="array" ref="AP16">CONCATENATE(_xlfn.XLOOKUP(B16,'Up Rarity'!A:A,'Up Rarity'!B:B,),CHAR(10),"-")</f>
        <v>Epic
-</v>
      </c>
    </row>
    <row r="17">
      <c r="A17" s="75" t="str">
        <f t="array" ref="A17">_xlfn.XLOOKUP(B17,'Up Icon'!A:A,'Up Icon'!B:B,)</f>
        <v/>
      </c>
      <c r="B17" s="61" t="str">
        <f t="array" ref="B17">HYPERLINK(_xlfn.XLOOKUP('Up Names'!K14,'Up Wiki'!A:A,'Up Wiki'!B:B,),'Up Names'!K14)</f>
        <v>Subway</v>
      </c>
      <c r="C17" s="70" t="str">
        <f t="array" ref="C17">_xlfn.XLOOKUP(B17,'Up Desc'!A:A,'Up Desc'!B:B,)</f>
        <v>Coils linger and increase the move speed of any player inside.</v>
      </c>
      <c r="D17" s="52" t="str">
        <f t="array" ref="D17">_xlfn.XLOOKUP(B17,'Up Turbo'!A:A,'Up Turbo'!B:B,)</f>
        <v>n/a</v>
      </c>
      <c r="E17" s="53" t="str">
        <f t="array" ref="E17">_xlfn.XLOOKUP(B17,'Up Stats'!A:A,'Up Stats'!B:B,)</f>
        <v>Duration</v>
      </c>
      <c r="F17" s="54" t="str">
        <f>IFERROR(__xludf.DUMMYFUNCTION("if(AND(G17=FALSE,H17=FALSE),,if(G17=H17,JOIN("""",""Static: "",G17),JOIN("""",""Min:  "",G17, CHAR(10),""Max: "",H17)))"),"Min:  4.85
Max: 6.15")</f>
        <v>Min:  4.85
Max: 6.15</v>
      </c>
      <c r="G17" s="64">
        <f t="array" ref="G17">_xlfn.XLOOKUP(B17,'Up Min'!A:A,'Up Min'!B:B,)</f>
        <v>4.85</v>
      </c>
      <c r="H17" s="65">
        <f t="array" ref="H17">_xlfn.XLOOKUP(B17,'Up Max'!A:A,'Up Max'!B:B,)</f>
        <v>6.15</v>
      </c>
      <c r="I17" s="53" t="str">
        <f t="array" ref="I17">_xlfn.XLOOKUP(B17,'Up Stats'!A:A,'Up Stats'!C:C,)</f>
        <v>Linger Size</v>
      </c>
      <c r="J17" s="54" t="str">
        <f>IFERROR(__xludf.DUMMYFUNCTION("if(AND(K17=FALSE,L17=FALSE),,if(K17=L17,JOIN("""",""Static: "",K17),JOIN("""",""Min:  "",K17, CHAR(10),""Max: "",L17)))"),"Min:  2
Max: 4")</f>
        <v>Min:  2
Max: 4</v>
      </c>
      <c r="K17" s="65">
        <f t="array" ref="K17">_xlfn.XLOOKUP(B17,'Up Min'!A:A,'Up Min'!C:C,)</f>
        <v>2</v>
      </c>
      <c r="L17" s="64">
        <f t="array" ref="L17">_xlfn.XLOOKUP(B17,'Up Max'!A:A,'Up Max'!C:C,)</f>
        <v>4</v>
      </c>
      <c r="M17" s="53" t="str">
        <f t="array" ref="M17">_xlfn.XLOOKUP(B17,'Up Stats'!A:A,'Up Stats'!D:D,)</f>
        <v>Speed</v>
      </c>
      <c r="N17" s="54" t="str">
        <f>IFERROR(__xludf.DUMMYFUNCTION("if(AND(O17=FALSE,P17=FALSE),,if(O17=P17,JOIN("""",""Static: "",O17),JOIN("""",""Min:  "",O17, CHAR(10),""Max: "",P17)))"),"Min:  15.5
Max: 17.5")</f>
        <v>Min:  15.5
Max: 17.5</v>
      </c>
      <c r="O17" s="55">
        <f t="array" ref="O17">_xlfn.XLOOKUP(B17,'Up Min'!A:A,'Up Min'!D:D,)</f>
        <v>15.5</v>
      </c>
      <c r="P17" s="55">
        <f t="array" ref="P17">_xlfn.XLOOKUP(B17,'Up Max'!A:A,'Up Max'!D:D,)</f>
        <v>17.5</v>
      </c>
      <c r="Q17" s="57" t="str">
        <f t="array" ref="Q17">_xlfn.XLOOKUP(B17,'Up Stats'!A:A,'Up Stats'!E:E,)</f>
        <v/>
      </c>
      <c r="R17" s="54" t="str">
        <f>IFERROR(__xludf.DUMMYFUNCTION("if(AND(S17=FALSE,T17=FALSE),,if(S17=T17,JOIN("""",""Static: "",S17),JOIN("""",""Min:  "",S17, CHAR(10),""Max: "",T17)))"),"")</f>
        <v/>
      </c>
      <c r="S17" s="55" t="str">
        <f t="array" ref="S17">_xlfn.XLOOKUP(B17,'Up Min'!A:A,'Up Min'!E:E,)</f>
        <v/>
      </c>
      <c r="T17" s="55" t="str">
        <f t="array" ref="T17">_xlfn.XLOOKUP(B17,'Up Max'!A:A,'Up Max'!E:E,)</f>
        <v/>
      </c>
      <c r="U17" s="57" t="str">
        <f t="array" ref="U17">_xlfn.XLOOKUP(B17,'Up Stats'!A:A,'Up Stats'!F:F,)</f>
        <v/>
      </c>
      <c r="V17" s="54" t="str">
        <f>IFERROR(__xludf.DUMMYFUNCTION("if(AND(W17=FALSE,X17=FALSE),,if(W17=X17,JOIN("""",""Static: "",W17),JOIN("""",""Min:  "",W17, CHAR(10),""Max: "",X17)))"),"")</f>
        <v/>
      </c>
      <c r="W17" s="55" t="str">
        <f t="array" ref="W17">_xlfn.XLOOKUP(B17,'Up Min'!A:A,'Up Min'!F:F,)</f>
        <v/>
      </c>
      <c r="X17" s="55" t="str">
        <f t="array" ref="X17">_xlfn.XLOOKUP(B17,'Up Max'!A:A,'Up Max'!F:F,)</f>
        <v/>
      </c>
      <c r="Y17" s="57" t="str">
        <f t="array" ref="Y17">_xlfn.XLOOKUP(B17,'Up Stats'!A:A,'Up Stats'!G:G,)</f>
        <v/>
      </c>
      <c r="Z17" s="54" t="str">
        <f>IFERROR(__xludf.DUMMYFUNCTION("if(AND(AA17=FALSE,AB17=FALSE),,if(AA17=AB17,JOIN("""",""Static: "",AA17),JOIN("""",""Min:  "",AA17, CHAR(10),""Max: "",AB17)))"),"")</f>
        <v/>
      </c>
      <c r="AA17" s="55" t="str">
        <f t="array" ref="AA17">_xlfn.XLOOKUP(B17,'Up Min'!A:A,'Up Min'!G:G,)</f>
        <v/>
      </c>
      <c r="AB17" s="55" t="str">
        <f t="array" ref="AB17">_xlfn.XLOOKUP(B17,'Up Max'!A:A,'Up Max'!G:G,)</f>
        <v/>
      </c>
      <c r="AC17" s="57" t="str">
        <f t="array" ref="AC17">_xlfn.XLOOKUP(B17,'Up Stats'!A:A,'Up Stats'!H:H,)</f>
        <v/>
      </c>
      <c r="AD17" s="54" t="str">
        <f>IFERROR(__xludf.DUMMYFUNCTION("if(AND(AE17=FALSE,AF17=FALSE),,if(AE17=AF17,JOIN("""",""Static: "",AE17),JOIN("""",""Min:  "",AE17, CHAR(10),""Max: "",AF17)))"),"")</f>
        <v/>
      </c>
      <c r="AE17" s="55" t="str">
        <f t="array" ref="AE17">_xlfn.XLOOKUP(B17,'Up Min'!A:A,'Up Min'!H:H,)</f>
        <v/>
      </c>
      <c r="AF17" s="55" t="str">
        <f t="array" ref="AF17">_xlfn.XLOOKUP(B17,'Up Max'!A:A,'Up Max'!H:H,)</f>
        <v/>
      </c>
      <c r="AG17" s="57" t="str">
        <f t="array" ref="AG17">_xlfn.XLOOKUP(B17,'Up Stats'!A:A,'Up Stats'!I:I,)</f>
        <v/>
      </c>
      <c r="AH17" s="54" t="str">
        <f>IFERROR(__xludf.DUMMYFUNCTION("if(AND(AI17=FALSE,AJ17=FALSE),,if(AI17=AJ17,JOIN("""",""Static: "",AI17),JOIN("""",""Min:  "",AI17, CHAR(10),""Max: "",AJ17)))"),"")</f>
        <v/>
      </c>
      <c r="AI17" s="55" t="str">
        <f t="array" ref="AI17">_xlfn.XLOOKUP(B17,'Up Min'!A:A,'Up Min'!I:I,)</f>
        <v/>
      </c>
      <c r="AJ17" s="55" t="str">
        <f t="array" ref="AJ17">_xlfn.XLOOKUP(B17,'Up Max'!A:A,'Up Max'!I:I,)</f>
        <v/>
      </c>
      <c r="AK17" s="57" t="str">
        <f t="array" ref="AK17">_xlfn.XLOOKUP(B17,'Up Stats'!A:A,'Up Stats'!J:J,)</f>
        <v/>
      </c>
      <c r="AL17" s="54" t="str">
        <f>IFERROR(__xludf.DUMMYFUNCTION("if(AND(AM17=FALSE,AN17=FALSE),,if(AM17=AN17,JOIN("""",""Static: "",AM17),JOIN("""",""Min:  "",AM17, CHAR(10),""Max: "",AN17)))"),"")</f>
        <v/>
      </c>
      <c r="AM17" s="55" t="str">
        <f t="array" ref="AM17">_xlfn.XLOOKUP(B17,'Up Min'!A:A,'Up Min'!J:J,)</f>
        <v/>
      </c>
      <c r="AN17" s="55" t="str">
        <f t="array" ref="AN17">_xlfn.XLOOKUP(B17,'Up Max'!A:A,'Up Max'!J:J,)</f>
        <v/>
      </c>
      <c r="AO17" s="51" t="str">
        <f t="array" ref="AO17">CONCATENATE(_xlfn.XLOOKUP(B17,'Up Cells'!A:A,'Up Cells'!B:B,))</f>
        <v>4</v>
      </c>
      <c r="AP17" s="51" t="str">
        <f t="array" ref="AP17">CONCATENATE(_xlfn.XLOOKUP(B17,'Up Rarity'!A:A,'Up Rarity'!B:B,),CHAR(10),"-")</f>
        <v>Epic
-</v>
      </c>
    </row>
    <row r="18">
      <c r="A18" s="83" t="str">
        <f t="array" ref="A18">_xlfn.XLOOKUP(B18,'Up Icon'!A:A,'Up Icon'!B:B,)</f>
        <v/>
      </c>
      <c r="B18" s="58" t="str">
        <f t="array" ref="B18">HYPERLINK(_xlfn.XLOOKUP('Up Names'!K15,'Up Wiki'!A:A,'Up Wiki'!B:B,),'Up Names'!K15)</f>
        <v>Centripetal Cornering</v>
      </c>
      <c r="C18" s="37" t="str">
        <f t="array" ref="C18">_xlfn.XLOOKUP(B18,'Up Desc'!A:A,'Up Desc'!B:B,)</f>
        <v>You gain increased turning speed while Auger Subroutine is active.</v>
      </c>
      <c r="D18" s="37" t="str">
        <f t="array" ref="D18">_xlfn.XLOOKUP(B18,'Up Turbo'!A:A,'Up Turbo'!B:B,)</f>
        <v>n/a</v>
      </c>
      <c r="E18" s="39" t="str">
        <f t="array" ref="E18">_xlfn.XLOOKUP(B18,'Up Stats'!A:A,'Up Stats'!B:B,)</f>
        <v>Speed</v>
      </c>
      <c r="F18" s="40" t="str">
        <f>IFERROR(__xludf.DUMMYFUNCTION("if(AND(G18=FALSE,H18=FALSE),,if(G18=H18,JOIN("""",""Static: "",G18),JOIN("""",""Min:  "",G18, CHAR(10),""Max: "",H18)))"),"Min:  0.7
Max: 0.82")</f>
        <v>Min:  0.7
Max: 0.82</v>
      </c>
      <c r="G18" s="42">
        <f t="array" ref="G18">_xlfn.XLOOKUP(B18,'Up Min'!A:A,'Up Min'!B:B,)</f>
        <v>0.7</v>
      </c>
      <c r="H18" s="45">
        <f t="array" ref="H18">_xlfn.XLOOKUP(B18,'Up Max'!A:A,'Up Max'!B:B,)</f>
        <v>0.82</v>
      </c>
      <c r="I18" s="39" t="str">
        <f t="array" ref="I18">_xlfn.XLOOKUP(B18,'Up Stats'!A:A,'Up Stats'!C:C,)</f>
        <v/>
      </c>
      <c r="J18" s="40" t="str">
        <f>IFERROR(__xludf.DUMMYFUNCTION("if(AND(K18=FALSE,L18=FALSE),,if(K18=L18,JOIN("""",""Static: "",K18),JOIN("""",""Min:  "",K18, CHAR(10),""Max: "",L18)))"),"")</f>
        <v/>
      </c>
      <c r="K18" s="42" t="str">
        <f t="array" ref="K18">_xlfn.XLOOKUP(B18,'Up Min'!A:A,'Up Min'!C:C,)</f>
        <v/>
      </c>
      <c r="L18" s="42" t="str">
        <f t="array" ref="L18">_xlfn.XLOOKUP(B18,'Up Max'!A:A,'Up Max'!C:C,)</f>
        <v/>
      </c>
      <c r="M18" s="48" t="str">
        <f t="array" ref="M18">_xlfn.XLOOKUP(B18,'Up Stats'!A:A,'Up Stats'!D:D,)</f>
        <v/>
      </c>
      <c r="N18" s="40" t="str">
        <f>IFERROR(__xludf.DUMMYFUNCTION("if(AND(O18=FALSE,P18=FALSE),,if(O18=P18,JOIN("""",""Static: "",O18),JOIN("""",""Min:  "",O18, CHAR(10),""Max: "",P18)))"),"")</f>
        <v/>
      </c>
      <c r="O18" s="42" t="str">
        <f t="array" ref="O18">_xlfn.XLOOKUP(B18,'Up Min'!A:A,'Up Min'!D:D,)</f>
        <v/>
      </c>
      <c r="P18" s="42" t="str">
        <f t="array" ref="P18">_xlfn.XLOOKUP(B18,'Up Max'!A:A,'Up Max'!D:D,)</f>
        <v/>
      </c>
      <c r="Q18" s="48" t="str">
        <f t="array" ref="Q18">_xlfn.XLOOKUP(B18,'Up Stats'!A:A,'Up Stats'!E:E,)</f>
        <v/>
      </c>
      <c r="R18" s="40" t="str">
        <f>IFERROR(__xludf.DUMMYFUNCTION("if(AND(S18=FALSE,T18=FALSE),,if(S18=T18,JOIN("""",""Static: "",S18),JOIN("""",""Min:  "",S18, CHAR(10),""Max: "",T18)))"),"")</f>
        <v/>
      </c>
      <c r="S18" s="42" t="str">
        <f t="array" ref="S18">_xlfn.XLOOKUP(B18,'Up Min'!A:A,'Up Min'!E:E,)</f>
        <v/>
      </c>
      <c r="T18" s="42" t="str">
        <f t="array" ref="T18">_xlfn.XLOOKUP(B18,'Up Max'!A:A,'Up Max'!E:E,)</f>
        <v/>
      </c>
      <c r="U18" s="48" t="str">
        <f t="array" ref="U18">_xlfn.XLOOKUP(B18,'Up Stats'!A:A,'Up Stats'!F:F,)</f>
        <v/>
      </c>
      <c r="V18" s="40" t="str">
        <f>IFERROR(__xludf.DUMMYFUNCTION("if(AND(W18=FALSE,X18=FALSE),,if(W18=X18,JOIN("""",""Static: "",W18),JOIN("""",""Min:  "",W18, CHAR(10),""Max: "",X18)))"),"")</f>
        <v/>
      </c>
      <c r="W18" s="42" t="str">
        <f t="array" ref="W18">_xlfn.XLOOKUP(B18,'Up Min'!A:A,'Up Min'!F:F,)</f>
        <v/>
      </c>
      <c r="X18" s="42" t="str">
        <f t="array" ref="X18">_xlfn.XLOOKUP(B18,'Up Max'!A:A,'Up Max'!F:F,)</f>
        <v/>
      </c>
      <c r="Y18" s="48" t="str">
        <f t="array" ref="Y18">_xlfn.XLOOKUP(B18,'Up Stats'!A:A,'Up Stats'!G:G,)</f>
        <v/>
      </c>
      <c r="Z18" s="40" t="str">
        <f>IFERROR(__xludf.DUMMYFUNCTION("if(AND(AA18=FALSE,AB18=FALSE),,if(AA18=AB18,JOIN("""",""Static: "",AA18),JOIN("""",""Min:  "",AA18, CHAR(10),""Max: "",AB18)))"),"")</f>
        <v/>
      </c>
      <c r="AA18" s="42" t="str">
        <f t="array" ref="AA18">_xlfn.XLOOKUP(B18,'Up Min'!A:A,'Up Min'!G:G,)</f>
        <v/>
      </c>
      <c r="AB18" s="42" t="str">
        <f t="array" ref="AB18">_xlfn.XLOOKUP(B18,'Up Max'!A:A,'Up Max'!G:G,)</f>
        <v/>
      </c>
      <c r="AC18" s="48" t="str">
        <f t="array" ref="AC18">_xlfn.XLOOKUP(B18,'Up Stats'!A:A,'Up Stats'!H:H,)</f>
        <v/>
      </c>
      <c r="AD18" s="40" t="str">
        <f>IFERROR(__xludf.DUMMYFUNCTION("if(AND(AE18=FALSE,AF18=FALSE),,if(AE18=AF18,JOIN("""",""Static: "",AE18),JOIN("""",""Min:  "",AE18, CHAR(10),""Max: "",AF18)))"),"")</f>
        <v/>
      </c>
      <c r="AE18" s="42" t="str">
        <f t="array" ref="AE18">_xlfn.XLOOKUP(B18,'Up Min'!A:A,'Up Min'!H:H,)</f>
        <v/>
      </c>
      <c r="AF18" s="42" t="str">
        <f t="array" ref="AF18">_xlfn.XLOOKUP(B18,'Up Max'!A:A,'Up Max'!H:H,)</f>
        <v/>
      </c>
      <c r="AG18" s="48" t="str">
        <f t="array" ref="AG18">_xlfn.XLOOKUP(B18,'Up Stats'!A:A,'Up Stats'!I:I,)</f>
        <v/>
      </c>
      <c r="AH18" s="40" t="str">
        <f>IFERROR(__xludf.DUMMYFUNCTION("if(AND(AI18=FALSE,AJ18=FALSE),,if(AI18=AJ18,JOIN("""",""Static: "",AI18),JOIN("""",""Min:  "",AI18, CHAR(10),""Max: "",AJ18)))"),"")</f>
        <v/>
      </c>
      <c r="AI18" s="42" t="str">
        <f t="array" ref="AI18">_xlfn.XLOOKUP(B18,'Up Min'!A:A,'Up Min'!I:I,)</f>
        <v/>
      </c>
      <c r="AJ18" s="42" t="str">
        <f t="array" ref="AJ18">_xlfn.XLOOKUP(B18,'Up Max'!A:A,'Up Max'!I:I,)</f>
        <v/>
      </c>
      <c r="AK18" s="48" t="str">
        <f t="array" ref="AK18">_xlfn.XLOOKUP(B18,'Up Stats'!A:A,'Up Stats'!J:J,)</f>
        <v/>
      </c>
      <c r="AL18" s="40" t="str">
        <f>IFERROR(__xludf.DUMMYFUNCTION("if(AND(AM18=FALSE,AN18=FALSE),,if(AM18=AN18,JOIN("""",""Static: "",AM18),JOIN("""",""Min:  "",AM18, CHAR(10),""Max: "",AN18)))"),"")</f>
        <v/>
      </c>
      <c r="AM18" s="42" t="str">
        <f t="array" ref="AM18">_xlfn.XLOOKUP(B18,'Up Min'!A:A,'Up Min'!J:J,)</f>
        <v/>
      </c>
      <c r="AN18" s="42" t="str">
        <f t="array" ref="AN18">_xlfn.XLOOKUP(B18,'Up Max'!A:A,'Up Max'!J:J,)</f>
        <v/>
      </c>
      <c r="AO18" s="34" t="str">
        <f t="array" ref="AO18">CONCATENATE(_xlfn.XLOOKUP(B18,'Up Cells'!A:A,'Up Cells'!B:B,))</f>
        <v>2</v>
      </c>
      <c r="AP18" s="34" t="str">
        <f t="array" ref="AP18">CONCATENATE(_xlfn.XLOOKUP(B18,'Up Rarity'!A:A,'Up Rarity'!B:B,),CHAR(10),"-")</f>
        <v>Rare
-</v>
      </c>
    </row>
    <row r="19">
      <c r="A19" s="83" t="str">
        <f t="array" ref="A19">_xlfn.XLOOKUP(B19,'Up Icon'!A:A,'Up Icon'!B:B,)</f>
        <v/>
      </c>
      <c r="B19" s="61" t="str">
        <f t="array" ref="B19">HYPERLINK(_xlfn.XLOOKUP('Up Names'!K16,'Up Wiki'!A:A,'Up Wiki'!B:B,),'Up Names'!K16)</f>
        <v>Compressor</v>
      </c>
      <c r="C19" s="70" t="str">
        <f t="array" ref="C19">_xlfn.XLOOKUP(B19,'Up Desc'!A:A,'Up Desc'!B:B,)</f>
        <v>Size is increased but range is decreased.</v>
      </c>
      <c r="D19" s="52" t="str">
        <f t="array" ref="D19">_xlfn.XLOOKUP(B19,'Up Turbo'!A:A,'Up Turbo'!B:B,)</f>
        <v>n/a</v>
      </c>
      <c r="E19" s="53" t="str">
        <f t="array" ref="E19">_xlfn.XLOOKUP(B19,'Up Stats'!A:A,'Up Stats'!B:B,)</f>
        <v>Bullet Size</v>
      </c>
      <c r="F19" s="54" t="str">
        <f>IFERROR(__xludf.DUMMYFUNCTION("if(AND(G19=FALSE,H19=FALSE),,if(G19=H19,JOIN("""",""Static: "",G19),JOIN("""",""Min:  "",G19, CHAR(10),""Max: "",H19)))"),"Min:  128%
Max: 151.00%")</f>
        <v>Min:  128%
Max: 151.00%</v>
      </c>
      <c r="G19" s="59">
        <f t="array" ref="G19">_xlfn.XLOOKUP(B19,'Up Min'!A:A,'Up Min'!B:B,)</f>
        <v>1.28</v>
      </c>
      <c r="H19" s="71">
        <f t="array" ref="H19">_xlfn.XLOOKUP(B19,'Up Max'!A:A,'Up Max'!B:B,)</f>
        <v>1.51</v>
      </c>
      <c r="I19" s="53" t="str">
        <f t="array" ref="I19">_xlfn.XLOOKUP(B19,'Up Stats'!A:A,'Up Stats'!C:C,)</f>
        <v>Range</v>
      </c>
      <c r="J19" s="54" t="str">
        <f>IFERROR(__xludf.DUMMYFUNCTION("if(AND(K19=FALSE,L19=FALSE),,if(K19=L19,JOIN("""",""Static: "",K19),JOIN("""",""Min:  "",K19, CHAR(10),""Max: "",L19)))"),"Min:  -55%
Max: -46%")</f>
        <v>Min:  -55%
Max: -46%</v>
      </c>
      <c r="K19" s="72">
        <f t="array" ref="K19">_xlfn.XLOOKUP(B19,'Up Min'!A:A,'Up Min'!C:C,)</f>
        <v>-0.55</v>
      </c>
      <c r="L19" s="72">
        <f t="array" ref="L19">_xlfn.XLOOKUP(B19,'Up Max'!A:A,'Up Max'!C:C,)</f>
        <v>-0.46</v>
      </c>
      <c r="M19" s="57" t="str">
        <f t="array" ref="M19">_xlfn.XLOOKUP(B19,'Up Stats'!A:A,'Up Stats'!D:D,)</f>
        <v/>
      </c>
      <c r="N19" s="54" t="str">
        <f>IFERROR(__xludf.DUMMYFUNCTION("if(AND(O19=FALSE,P19=FALSE),,if(O19=P19,JOIN("""",""Static: "",O19),JOIN("""",""Min:  "",O19, CHAR(10),""Max: "",P19)))"),"")</f>
        <v/>
      </c>
      <c r="O19" s="55" t="str">
        <f t="array" ref="O19">_xlfn.XLOOKUP(B19,'Up Min'!A:A,'Up Min'!D:D,)</f>
        <v/>
      </c>
      <c r="P19" s="55" t="str">
        <f t="array" ref="P19">_xlfn.XLOOKUP(B19,'Up Max'!A:A,'Up Max'!D:D,)</f>
        <v/>
      </c>
      <c r="Q19" s="57" t="str">
        <f t="array" ref="Q19">_xlfn.XLOOKUP(B19,'Up Stats'!A:A,'Up Stats'!E:E,)</f>
        <v/>
      </c>
      <c r="R19" s="54" t="str">
        <f>IFERROR(__xludf.DUMMYFUNCTION("if(AND(S19=FALSE,T19=FALSE),,if(S19=T19,JOIN("""",""Static: "",S19),JOIN("""",""Min:  "",S19, CHAR(10),""Max: "",T19)))"),"")</f>
        <v/>
      </c>
      <c r="S19" s="55" t="str">
        <f t="array" ref="S19">_xlfn.XLOOKUP(B19,'Up Min'!A:A,'Up Min'!E:E,)</f>
        <v/>
      </c>
      <c r="T19" s="55" t="str">
        <f t="array" ref="T19">_xlfn.XLOOKUP(B19,'Up Max'!A:A,'Up Max'!E:E,)</f>
        <v/>
      </c>
      <c r="U19" s="57" t="str">
        <f t="array" ref="U19">_xlfn.XLOOKUP(B19,'Up Stats'!A:A,'Up Stats'!F:F,)</f>
        <v/>
      </c>
      <c r="V19" s="54" t="str">
        <f>IFERROR(__xludf.DUMMYFUNCTION("if(AND(W19=FALSE,X19=FALSE),,if(W19=X19,JOIN("""",""Static: "",W19),JOIN("""",""Min:  "",W19, CHAR(10),""Max: "",X19)))"),"")</f>
        <v/>
      </c>
      <c r="W19" s="55" t="str">
        <f t="array" ref="W19">_xlfn.XLOOKUP(B19,'Up Min'!A:A,'Up Min'!F:F,)</f>
        <v/>
      </c>
      <c r="X19" s="55" t="str">
        <f t="array" ref="X19">_xlfn.XLOOKUP(B19,'Up Max'!A:A,'Up Max'!F:F,)</f>
        <v/>
      </c>
      <c r="Y19" s="57" t="str">
        <f t="array" ref="Y19">_xlfn.XLOOKUP(B19,'Up Stats'!A:A,'Up Stats'!G:G,)</f>
        <v/>
      </c>
      <c r="Z19" s="54" t="str">
        <f>IFERROR(__xludf.DUMMYFUNCTION("if(AND(AA19=FALSE,AB19=FALSE),,if(AA19=AB19,JOIN("""",""Static: "",AA19),JOIN("""",""Min:  "",AA19, CHAR(10),""Max: "",AB19)))"),"")</f>
        <v/>
      </c>
      <c r="AA19" s="55" t="str">
        <f t="array" ref="AA19">_xlfn.XLOOKUP(B19,'Up Min'!A:A,'Up Min'!G:G,)</f>
        <v/>
      </c>
      <c r="AB19" s="55" t="str">
        <f t="array" ref="AB19">_xlfn.XLOOKUP(B19,'Up Max'!A:A,'Up Max'!G:G,)</f>
        <v/>
      </c>
      <c r="AC19" s="57" t="str">
        <f t="array" ref="AC19">_xlfn.XLOOKUP(B19,'Up Stats'!A:A,'Up Stats'!H:H,)</f>
        <v/>
      </c>
      <c r="AD19" s="54" t="str">
        <f>IFERROR(__xludf.DUMMYFUNCTION("if(AND(AE19=FALSE,AF19=FALSE),,if(AE19=AF19,JOIN("""",""Static: "",AE19),JOIN("""",""Min:  "",AE19, CHAR(10),""Max: "",AF19)))"),"")</f>
        <v/>
      </c>
      <c r="AE19" s="55" t="str">
        <f t="array" ref="AE19">_xlfn.XLOOKUP(B19,'Up Min'!A:A,'Up Min'!H:H,)</f>
        <v/>
      </c>
      <c r="AF19" s="55" t="str">
        <f t="array" ref="AF19">_xlfn.XLOOKUP(B19,'Up Max'!A:A,'Up Max'!H:H,)</f>
        <v/>
      </c>
      <c r="AG19" s="57" t="str">
        <f t="array" ref="AG19">_xlfn.XLOOKUP(B19,'Up Stats'!A:A,'Up Stats'!I:I,)</f>
        <v/>
      </c>
      <c r="AH19" s="54" t="str">
        <f>IFERROR(__xludf.DUMMYFUNCTION("if(AND(AI19=FALSE,AJ19=FALSE),,if(AI19=AJ19,JOIN("""",""Static: "",AI19),JOIN("""",""Min:  "",AI19, CHAR(10),""Max: "",AJ19)))"),"")</f>
        <v/>
      </c>
      <c r="AI19" s="55" t="str">
        <f t="array" ref="AI19">_xlfn.XLOOKUP(B19,'Up Min'!A:A,'Up Min'!I:I,)</f>
        <v/>
      </c>
      <c r="AJ19" s="55" t="str">
        <f t="array" ref="AJ19">_xlfn.XLOOKUP(B19,'Up Max'!A:A,'Up Max'!I:I,)</f>
        <v/>
      </c>
      <c r="AK19" s="57" t="str">
        <f t="array" ref="AK19">_xlfn.XLOOKUP(B19,'Up Stats'!A:A,'Up Stats'!J:J,)</f>
        <v/>
      </c>
      <c r="AL19" s="54" t="str">
        <f>IFERROR(__xludf.DUMMYFUNCTION("if(AND(AM19=FALSE,AN19=FALSE),,if(AM19=AN19,JOIN("""",""Static: "",AM19),JOIN("""",""Min:  "",AM19, CHAR(10),""Max: "",AN19)))"),"")</f>
        <v/>
      </c>
      <c r="AM19" s="55" t="str">
        <f t="array" ref="AM19">_xlfn.XLOOKUP(B19,'Up Min'!A:A,'Up Min'!J:J,)</f>
        <v/>
      </c>
      <c r="AN19" s="55" t="str">
        <f t="array" ref="AN19">_xlfn.XLOOKUP(B19,'Up Max'!A:A,'Up Max'!J:J,)</f>
        <v/>
      </c>
      <c r="AO19" s="51" t="str">
        <f t="array" ref="AO19">CONCATENATE(_xlfn.XLOOKUP(B19,'Up Cells'!A:A,'Up Cells'!B:B,))</f>
        <v>4</v>
      </c>
      <c r="AP19" s="51" t="str">
        <f t="array" ref="AP19">CONCATENATE(_xlfn.XLOOKUP(B19,'Up Rarity'!A:A,'Up Rarity'!B:B,),CHAR(10),"-")</f>
        <v>Rare
-</v>
      </c>
    </row>
    <row r="20">
      <c r="A20" s="83" t="str">
        <f t="array" ref="A20">_xlfn.XLOOKUP(B20,'Up Icon'!A:A,'Up Icon'!B:B,)</f>
        <v/>
      </c>
      <c r="B20" s="58" t="str">
        <f t="array" ref="B20">HYPERLINK(_xlfn.XLOOKUP('Up Names'!K17,'Up Wiki'!A:A,'Up Wiki'!B:B,),'Up Names'!K17)</f>
        <v>Fisticuffs</v>
      </c>
      <c r="C20" s="67" t="str">
        <f t="array" ref="C20">_xlfn.XLOOKUP(B20,'Up Desc'!A:A,'Up Desc'!B:B,)</f>
        <v>Dealing melee damage briefly increases the Shocklance's damage and refunds some reserve ammo.</v>
      </c>
      <c r="D20" s="37" t="str">
        <f t="array" ref="D20">_xlfn.XLOOKUP(B20,'Up Turbo'!A:A,'Up Turbo'!B:B,)</f>
        <v>n/a</v>
      </c>
      <c r="E20" s="39" t="str">
        <f t="array" ref="E20">_xlfn.XLOOKUP(B20,'Up Stats'!A:A,'Up Stats'!B:B,)</f>
        <v>Duration</v>
      </c>
      <c r="F20" s="40" t="str">
        <f>IFERROR(__xludf.DUMMYFUNCTION("if(AND(G20=FALSE,H20=FALSE),,if(G20=H20,JOIN("""",""Static: "",G20),JOIN("""",""Min:  "",G20, CHAR(10),""Max: "",H20)))"),"Min:  2.4
Max: 3")</f>
        <v>Min:  2.4
Max: 3</v>
      </c>
      <c r="G20" s="69">
        <f t="array" ref="G20">_xlfn.XLOOKUP(B20,'Up Min'!A:A,'Up Min'!B:B,)</f>
        <v>2.4</v>
      </c>
      <c r="H20" s="68">
        <f t="array" ref="H20">_xlfn.XLOOKUP(B20,'Up Max'!A:A,'Up Max'!B:B,)</f>
        <v>3</v>
      </c>
      <c r="I20" s="39" t="str">
        <f t="array" ref="I20">_xlfn.XLOOKUP(B20,'Up Stats'!A:A,'Up Stats'!C:C,)</f>
        <v>Speed</v>
      </c>
      <c r="J20" s="40" t="str">
        <f>IFERROR(__xludf.DUMMYFUNCTION("if(AND(K20=FALSE,L20=FALSE),,if(K20=L20,JOIN("""",""Static: "",K20),JOIN("""",""Min:  "",K20, CHAR(10),""Max: "",L20)))"),"Min:  9
Max: 11")</f>
        <v>Min:  9
Max: 11</v>
      </c>
      <c r="K20" s="42">
        <f t="array" ref="K20">_xlfn.XLOOKUP(B20,'Up Min'!A:A,'Up Min'!C:C,)</f>
        <v>9</v>
      </c>
      <c r="L20" s="42">
        <f t="array" ref="L20">_xlfn.XLOOKUP(B20,'Up Max'!A:A,'Up Max'!C:C,)</f>
        <v>11</v>
      </c>
      <c r="M20" s="48" t="str">
        <f t="array" ref="M20">_xlfn.XLOOKUP(B20,'Up Stats'!A:A,'Up Stats'!D:D,)</f>
        <v>Ammo Efficiency</v>
      </c>
      <c r="N20" s="40" t="str">
        <f>IFERROR(__xludf.DUMMYFUNCTION("if(AND(O20=FALSE,P20=FALSE),,if(O20=P20,JOIN("""",""Static: "",O20),JOIN("""",""Min:  "",O20, CHAR(10),""Max: "",P20)))"),"Min:  50%
Max: 100%")</f>
        <v>Min:  50%
Max: 100%</v>
      </c>
      <c r="O20" s="74">
        <f t="array" ref="O20">_xlfn.XLOOKUP(B20,'Up Min'!A:A,'Up Min'!D:D,)</f>
        <v>0.5</v>
      </c>
      <c r="P20" s="74">
        <f t="array" ref="P20">_xlfn.XLOOKUP(B20,'Up Max'!A:A,'Up Max'!D:D,)</f>
        <v>1</v>
      </c>
      <c r="Q20" s="48" t="str">
        <f t="array" ref="Q20">_xlfn.XLOOKUP(B20,'Up Stats'!A:A,'Up Stats'!E:E,)</f>
        <v/>
      </c>
      <c r="R20" s="40" t="str">
        <f>IFERROR(__xludf.DUMMYFUNCTION("if(AND(S20=FALSE,T20=FALSE),,if(S20=T20,JOIN("""",""Static: "",S20),JOIN("""",""Min:  "",S20, CHAR(10),""Max: "",T20)))"),"")</f>
        <v/>
      </c>
      <c r="S20" s="42" t="str">
        <f t="array" ref="S20">_xlfn.XLOOKUP(B20,'Up Min'!A:A,'Up Min'!E:E,)</f>
        <v/>
      </c>
      <c r="T20" s="42" t="str">
        <f t="array" ref="T20">_xlfn.XLOOKUP(B20,'Up Max'!A:A,'Up Max'!E:E,)</f>
        <v/>
      </c>
      <c r="U20" s="48" t="str">
        <f t="array" ref="U20">_xlfn.XLOOKUP(B20,'Up Stats'!A:A,'Up Stats'!F:F,)</f>
        <v/>
      </c>
      <c r="V20" s="40" t="str">
        <f>IFERROR(__xludf.DUMMYFUNCTION("if(AND(W20=FALSE,X20=FALSE),,if(W20=X20,JOIN("""",""Static: "",W20),JOIN("""",""Min:  "",W20, CHAR(10),""Max: "",X20)))"),"")</f>
        <v/>
      </c>
      <c r="W20" s="42" t="str">
        <f t="array" ref="W20">_xlfn.XLOOKUP(B20,'Up Min'!A:A,'Up Min'!F:F,)</f>
        <v/>
      </c>
      <c r="X20" s="42" t="str">
        <f t="array" ref="X20">_xlfn.XLOOKUP(B20,'Up Max'!A:A,'Up Max'!F:F,)</f>
        <v/>
      </c>
      <c r="Y20" s="48" t="str">
        <f t="array" ref="Y20">_xlfn.XLOOKUP(B20,'Up Stats'!A:A,'Up Stats'!G:G,)</f>
        <v/>
      </c>
      <c r="Z20" s="40" t="str">
        <f>IFERROR(__xludf.DUMMYFUNCTION("if(AND(AA20=FALSE,AB20=FALSE),,if(AA20=AB20,JOIN("""",""Static: "",AA20),JOIN("""",""Min:  "",AA20, CHAR(10),""Max: "",AB20)))"),"")</f>
        <v/>
      </c>
      <c r="AA20" s="42" t="str">
        <f t="array" ref="AA20">_xlfn.XLOOKUP(B20,'Up Min'!A:A,'Up Min'!G:G,)</f>
        <v/>
      </c>
      <c r="AB20" s="42" t="str">
        <f t="array" ref="AB20">_xlfn.XLOOKUP(B20,'Up Max'!A:A,'Up Max'!G:G,)</f>
        <v/>
      </c>
      <c r="AC20" s="48" t="str">
        <f t="array" ref="AC20">_xlfn.XLOOKUP(B20,'Up Stats'!A:A,'Up Stats'!H:H,)</f>
        <v/>
      </c>
      <c r="AD20" s="40" t="str">
        <f>IFERROR(__xludf.DUMMYFUNCTION("if(AND(AE20=FALSE,AF20=FALSE),,if(AE20=AF20,JOIN("""",""Static: "",AE20),JOIN("""",""Min:  "",AE20, CHAR(10),""Max: "",AF20)))"),"")</f>
        <v/>
      </c>
      <c r="AE20" s="42" t="str">
        <f t="array" ref="AE20">_xlfn.XLOOKUP(B20,'Up Min'!A:A,'Up Min'!H:H,)</f>
        <v/>
      </c>
      <c r="AF20" s="42" t="str">
        <f t="array" ref="AF20">_xlfn.XLOOKUP(B20,'Up Max'!A:A,'Up Max'!H:H,)</f>
        <v/>
      </c>
      <c r="AG20" s="48" t="str">
        <f t="array" ref="AG20">_xlfn.XLOOKUP(B20,'Up Stats'!A:A,'Up Stats'!I:I,)</f>
        <v/>
      </c>
      <c r="AH20" s="40" t="str">
        <f>IFERROR(__xludf.DUMMYFUNCTION("if(AND(AI20=FALSE,AJ20=FALSE),,if(AI20=AJ20,JOIN("""",""Static: "",AI20),JOIN("""",""Min:  "",AI20, CHAR(10),""Max: "",AJ20)))"),"")</f>
        <v/>
      </c>
      <c r="AI20" s="42" t="str">
        <f t="array" ref="AI20">_xlfn.XLOOKUP(B20,'Up Min'!A:A,'Up Min'!I:I,)</f>
        <v/>
      </c>
      <c r="AJ20" s="42" t="str">
        <f t="array" ref="AJ20">_xlfn.XLOOKUP(B20,'Up Max'!A:A,'Up Max'!I:I,)</f>
        <v/>
      </c>
      <c r="AK20" s="48" t="str">
        <f t="array" ref="AK20">_xlfn.XLOOKUP(B20,'Up Stats'!A:A,'Up Stats'!J:J,)</f>
        <v/>
      </c>
      <c r="AL20" s="40" t="str">
        <f>IFERROR(__xludf.DUMMYFUNCTION("if(AND(AM20=FALSE,AN20=FALSE),,if(AM20=AN20,JOIN("""",""Static: "",AM20),JOIN("""",""Min:  "",AM20, CHAR(10),""Max: "",AN20)))"),"")</f>
        <v/>
      </c>
      <c r="AM20" s="42" t="str">
        <f t="array" ref="AM20">_xlfn.XLOOKUP(B20,'Up Min'!A:A,'Up Min'!J:J,)</f>
        <v/>
      </c>
      <c r="AN20" s="42" t="str">
        <f t="array" ref="AN20">_xlfn.XLOOKUP(B20,'Up Max'!A:A,'Up Max'!J:J,)</f>
        <v/>
      </c>
      <c r="AO20" s="34" t="str">
        <f t="array" ref="AO20">CONCATENATE(_xlfn.XLOOKUP(B20,'Up Cells'!A:A,'Up Cells'!B:B,))</f>
        <v>3</v>
      </c>
      <c r="AP20" s="34" t="str">
        <f t="array" ref="AP20">CONCATENATE(_xlfn.XLOOKUP(B20,'Up Rarity'!A:A,'Up Rarity'!B:B,),CHAR(10),"-")</f>
        <v>Rare
-</v>
      </c>
    </row>
    <row r="21">
      <c r="A21" s="83" t="str">
        <f t="array" ref="A21">_xlfn.XLOOKUP(B21,'Up Icon'!A:A,'Up Icon'!B:B,)</f>
        <v/>
      </c>
      <c r="B21" s="61" t="str">
        <f t="array" ref="B21">HYPERLINK(_xlfn.XLOOKUP('Up Names'!K18,'Up Wiki'!A:A,'Up Wiki'!B:B,),'Up Names'!K18)</f>
        <v>Flurrying Configuration</v>
      </c>
      <c r="C21" s="52" t="str">
        <f t="array" ref="C21">_xlfn.XLOOKUP(B21,'Up Desc'!A:A,'Up Desc'!B:B,)</f>
        <v>Charge speed is increased, but magazine size is decreased.</v>
      </c>
      <c r="D21" s="52" t="str">
        <f t="array" ref="D21">_xlfn.XLOOKUP(B21,'Up Turbo'!A:A,'Up Turbo'!B:B,)</f>
        <v>n/a</v>
      </c>
      <c r="E21" s="53" t="str">
        <f t="array" ref="E21">_xlfn.XLOOKUP(B21,'Up Stats'!A:A,'Up Stats'!B:B,)</f>
        <v>Charge Time</v>
      </c>
      <c r="F21" s="54" t="str">
        <f>IFERROR(__xludf.DUMMYFUNCTION("if(AND(G21=FALSE,H21=FALSE),,if(G21=H21,JOIN("""",""Static: "",G21),JOIN("""",""Min:  "",G21, CHAR(10),""Max: "",H21)))"),"Min:  -19%
Max: -16%")</f>
        <v>Min:  -19%
Max: -16%</v>
      </c>
      <c r="G21" s="59">
        <f t="array" ref="G21">_xlfn.XLOOKUP(B21,'Up Min'!A:A,'Up Min'!B:B,)</f>
        <v>-0.19</v>
      </c>
      <c r="H21" s="59">
        <f t="array" ref="H21">_xlfn.XLOOKUP(B21,'Up Max'!A:A,'Up Max'!B:B,)</f>
        <v>-0.16</v>
      </c>
      <c r="I21" s="53" t="str">
        <f t="array" ref="I21">_xlfn.XLOOKUP(B21,'Up Stats'!A:A,'Up Stats'!C:C,)</f>
        <v>Magazine Size</v>
      </c>
      <c r="J21" s="54" t="str">
        <f>IFERROR(__xludf.DUMMYFUNCTION("if(AND(K21=FALSE,L21=FALSE),,if(K21=L21,JOIN("""",""Static: "",K21),JOIN("""",""Min:  "",K21, CHAR(10),""Max: "",L21)))"),"Min:  -40%
Max: -35%")</f>
        <v>Min:  -40%
Max: -35%</v>
      </c>
      <c r="K21" s="59">
        <f t="array" ref="K21">_xlfn.XLOOKUP(B21,'Up Min'!A:A,'Up Min'!C:C,)</f>
        <v>-0.4</v>
      </c>
      <c r="L21" s="59">
        <f t="array" ref="L21">_xlfn.XLOOKUP(B21,'Up Max'!A:A,'Up Max'!C:C,)</f>
        <v>-0.35</v>
      </c>
      <c r="M21" s="53" t="str">
        <f t="array" ref="M21">_xlfn.XLOOKUP(B21,'Up Stats'!A:A,'Up Stats'!D:D,)</f>
        <v/>
      </c>
      <c r="N21" s="54" t="str">
        <f>IFERROR(__xludf.DUMMYFUNCTION("if(AND(O21=FALSE,P21=FALSE),,if(O21=P21,JOIN("""",""Static: "",O21),JOIN("""",""Min:  "",O21, CHAR(10),""Max: "",P21)))"),"")</f>
        <v/>
      </c>
      <c r="O21" s="55" t="str">
        <f t="array" ref="O21">_xlfn.XLOOKUP(B21,'Up Min'!A:A,'Up Min'!D:D,)</f>
        <v/>
      </c>
      <c r="P21" s="55" t="str">
        <f t="array" ref="P21">_xlfn.XLOOKUP(B21,'Up Max'!A:A,'Up Max'!D:D,)</f>
        <v/>
      </c>
      <c r="Q21" s="57" t="str">
        <f t="array" ref="Q21">_xlfn.XLOOKUP(B21,'Up Stats'!A:A,'Up Stats'!E:E,)</f>
        <v/>
      </c>
      <c r="R21" s="54" t="str">
        <f>IFERROR(__xludf.DUMMYFUNCTION("if(AND(S21=FALSE,T21=FALSE),,if(S21=T21,JOIN("""",""Static: "",S21),JOIN("""",""Min:  "",S21, CHAR(10),""Max: "",T21)))"),"")</f>
        <v/>
      </c>
      <c r="S21" s="55" t="str">
        <f t="array" ref="S21">_xlfn.XLOOKUP(B21,'Up Min'!A:A,'Up Min'!E:E,)</f>
        <v/>
      </c>
      <c r="T21" s="55" t="str">
        <f t="array" ref="T21">_xlfn.XLOOKUP(B21,'Up Max'!A:A,'Up Max'!E:E,)</f>
        <v/>
      </c>
      <c r="U21" s="57" t="str">
        <f t="array" ref="U21">_xlfn.XLOOKUP(B21,'Up Stats'!A:A,'Up Stats'!F:F,)</f>
        <v/>
      </c>
      <c r="V21" s="54" t="str">
        <f>IFERROR(__xludf.DUMMYFUNCTION("if(AND(W21=FALSE,X21=FALSE),,if(W21=X21,JOIN("""",""Static: "",W21),JOIN("""",""Min:  "",W21, CHAR(10),""Max: "",X21)))"),"")</f>
        <v/>
      </c>
      <c r="W21" s="55" t="str">
        <f t="array" ref="W21">_xlfn.XLOOKUP(B21,'Up Min'!A:A,'Up Min'!F:F,)</f>
        <v/>
      </c>
      <c r="X21" s="55" t="str">
        <f t="array" ref="X21">_xlfn.XLOOKUP(B21,'Up Max'!A:A,'Up Max'!F:F,)</f>
        <v/>
      </c>
      <c r="Y21" s="57" t="str">
        <f t="array" ref="Y21">_xlfn.XLOOKUP(B21,'Up Stats'!A:A,'Up Stats'!G:G,)</f>
        <v/>
      </c>
      <c r="Z21" s="54" t="str">
        <f>IFERROR(__xludf.DUMMYFUNCTION("if(AND(AA21=FALSE,AB21=FALSE),,if(AA21=AB21,JOIN("""",""Static: "",AA21),JOIN("""",""Min:  "",AA21, CHAR(10),""Max: "",AB21)))"),"")</f>
        <v/>
      </c>
      <c r="AA21" s="55" t="str">
        <f t="array" ref="AA21">_xlfn.XLOOKUP(B21,'Up Min'!A:A,'Up Min'!G:G,)</f>
        <v/>
      </c>
      <c r="AB21" s="55" t="str">
        <f t="array" ref="AB21">_xlfn.XLOOKUP(B21,'Up Max'!A:A,'Up Max'!G:G,)</f>
        <v/>
      </c>
      <c r="AC21" s="57" t="str">
        <f t="array" ref="AC21">_xlfn.XLOOKUP(B21,'Up Stats'!A:A,'Up Stats'!H:H,)</f>
        <v/>
      </c>
      <c r="AD21" s="54" t="str">
        <f>IFERROR(__xludf.DUMMYFUNCTION("if(AND(AE21=FALSE,AF21=FALSE),,if(AE21=AF21,JOIN("""",""Static: "",AE21),JOIN("""",""Min:  "",AE21, CHAR(10),""Max: "",AF21)))"),"")</f>
        <v/>
      </c>
      <c r="AE21" s="55" t="str">
        <f t="array" ref="AE21">_xlfn.XLOOKUP(B21,'Up Min'!A:A,'Up Min'!H:H,)</f>
        <v/>
      </c>
      <c r="AF21" s="55" t="str">
        <f t="array" ref="AF21">_xlfn.XLOOKUP(B21,'Up Max'!A:A,'Up Max'!H:H,)</f>
        <v/>
      </c>
      <c r="AG21" s="57" t="str">
        <f t="array" ref="AG21">_xlfn.XLOOKUP(B21,'Up Stats'!A:A,'Up Stats'!I:I,)</f>
        <v/>
      </c>
      <c r="AH21" s="54" t="str">
        <f>IFERROR(__xludf.DUMMYFUNCTION("if(AND(AI21=FALSE,AJ21=FALSE),,if(AI21=AJ21,JOIN("""",""Static: "",AI21),JOIN("""",""Min:  "",AI21, CHAR(10),""Max: "",AJ21)))"),"")</f>
        <v/>
      </c>
      <c r="AI21" s="55" t="str">
        <f t="array" ref="AI21">_xlfn.XLOOKUP(B21,'Up Min'!A:A,'Up Min'!I:I,)</f>
        <v/>
      </c>
      <c r="AJ21" s="55" t="str">
        <f t="array" ref="AJ21">_xlfn.XLOOKUP(B21,'Up Max'!A:A,'Up Max'!I:I,)</f>
        <v/>
      </c>
      <c r="AK21" s="57" t="str">
        <f t="array" ref="AK21">_xlfn.XLOOKUP(B21,'Up Stats'!A:A,'Up Stats'!J:J,)</f>
        <v/>
      </c>
      <c r="AL21" s="54" t="str">
        <f>IFERROR(__xludf.DUMMYFUNCTION("if(AND(AM21=FALSE,AN21=FALSE),,if(AM21=AN21,JOIN("""",""Static: "",AM21),JOIN("""",""Min:  "",AM21, CHAR(10),""Max: "",AN21)))"),"")</f>
        <v/>
      </c>
      <c r="AM21" s="55" t="str">
        <f t="array" ref="AM21">_xlfn.XLOOKUP(B21,'Up Min'!A:A,'Up Min'!J:J,)</f>
        <v/>
      </c>
      <c r="AN21" s="55" t="str">
        <f t="array" ref="AN21">_xlfn.XLOOKUP(B21,'Up Max'!A:A,'Up Max'!J:J,)</f>
        <v/>
      </c>
      <c r="AO21" s="51" t="str">
        <f t="array" ref="AO21">CONCATENATE(_xlfn.XLOOKUP(B21,'Up Cells'!A:A,'Up Cells'!B:B,))</f>
        <v>3</v>
      </c>
      <c r="AP21" s="51" t="str">
        <f t="array" ref="AP21">CONCATENATE(_xlfn.XLOOKUP(B21,'Up Rarity'!A:A,'Up Rarity'!B:B,),CHAR(10),"-")</f>
        <v>Rare
-</v>
      </c>
    </row>
    <row r="22">
      <c r="A22" s="83" t="str">
        <f t="array" ref="A22">_xlfn.XLOOKUP(B22,'Up Icon'!A:A,'Up Icon'!B:B,)</f>
        <v/>
      </c>
      <c r="B22" s="58" t="str">
        <f t="array" ref="B22">HYPERLINK(_xlfn.XLOOKUP('Up Names'!K19,'Up Wiki'!A:A,'Up Wiki'!B:B,),'Up Names'!K19)</f>
        <v>Forward Charge</v>
      </c>
      <c r="C22" s="67" t="str">
        <f t="array" ref="C22">_xlfn.XLOOKUP(B22,'Up Desc'!A:A,'Up Desc'!B:B,)</f>
        <v>Move faster while charging the Shocklance.</v>
      </c>
      <c r="D22" s="37" t="str">
        <f t="array" ref="D22">_xlfn.XLOOKUP(B22,'Up Turbo'!A:A,'Up Turbo'!B:B,)</f>
        <v>n/a</v>
      </c>
      <c r="E22" s="39" t="str">
        <f t="array" ref="E22">_xlfn.XLOOKUP(B22,'Up Stats'!A:A,'Up Stats'!B:B,)</f>
        <v>Speed</v>
      </c>
      <c r="F22" s="40" t="str">
        <f>IFERROR(__xludf.DUMMYFUNCTION("if(AND(G22=FALSE,H22=FALSE),,if(G22=H22,JOIN("""",""Static: "",G22),JOIN("""",""Min:  "",G22, CHAR(10),""Max: "",H22)))"),"Min:  370%
Max: 440%")</f>
        <v>Min:  370%
Max: 440%</v>
      </c>
      <c r="G22" s="41">
        <f t="array" ref="G22">_xlfn.XLOOKUP(B22,'Up Min'!A:A,'Up Min'!B:B,)</f>
        <v>3.7</v>
      </c>
      <c r="H22" s="41">
        <f t="array" ref="H22">_xlfn.XLOOKUP(B22,'Up Max'!A:A,'Up Max'!B:B,)</f>
        <v>4.4</v>
      </c>
      <c r="I22" s="39" t="str">
        <f t="array" ref="I22">_xlfn.XLOOKUP(B22,'Up Stats'!A:A,'Up Stats'!C:C,)</f>
        <v/>
      </c>
      <c r="J22" s="40" t="str">
        <f>IFERROR(__xludf.DUMMYFUNCTION("if(AND(K22=FALSE,L22=FALSE),,if(K22=L22,JOIN("""",""Static: "",K22),JOIN("""",""Min:  "",K22, CHAR(10),""Max: "",L22)))"),"")</f>
        <v/>
      </c>
      <c r="K22" s="41" t="str">
        <f t="array" ref="K22">_xlfn.XLOOKUP(B22,'Up Min'!A:A,'Up Min'!C:C,)</f>
        <v/>
      </c>
      <c r="L22" s="41" t="str">
        <f t="array" ref="L22">_xlfn.XLOOKUP(B22,'Up Max'!A:A,'Up Max'!C:C,)</f>
        <v/>
      </c>
      <c r="M22" s="39" t="str">
        <f t="array" ref="M22">_xlfn.XLOOKUP(B22,'Up Stats'!A:A,'Up Stats'!D:D,)</f>
        <v/>
      </c>
      <c r="N22" s="40" t="str">
        <f>IFERROR(__xludf.DUMMYFUNCTION("if(AND(O22=FALSE,P22=FALSE),,if(O22=P22,JOIN("""",""Static: "",O22),JOIN("""",""Min:  "",O22, CHAR(10),""Max: "",P22)))"),"")</f>
        <v/>
      </c>
      <c r="O22" s="41" t="str">
        <f t="array" ref="O22">_xlfn.XLOOKUP(B22,'Up Min'!A:A,'Up Min'!D:D,)</f>
        <v/>
      </c>
      <c r="P22" s="41" t="str">
        <f t="array" ref="P22">_xlfn.XLOOKUP(B22,'Up Max'!A:A,'Up Max'!D:D,)</f>
        <v/>
      </c>
      <c r="Q22" s="48" t="str">
        <f t="array" ref="Q22">_xlfn.XLOOKUP(B22,'Up Stats'!A:A,'Up Stats'!E:E,)</f>
        <v/>
      </c>
      <c r="R22" s="40" t="str">
        <f>IFERROR(__xludf.DUMMYFUNCTION("if(AND(S22=FALSE,T22=FALSE),,if(S22=T22,JOIN("""",""Static: "",S22),JOIN("""",""Min:  "",S22, CHAR(10),""Max: "",T22)))"),"")</f>
        <v/>
      </c>
      <c r="S22" s="42" t="str">
        <f t="array" ref="S22">_xlfn.XLOOKUP(B22,'Up Min'!A:A,'Up Min'!E:E,)</f>
        <v/>
      </c>
      <c r="T22" s="42" t="str">
        <f t="array" ref="T22">_xlfn.XLOOKUP(B22,'Up Max'!A:A,'Up Max'!E:E,)</f>
        <v/>
      </c>
      <c r="U22" s="48" t="str">
        <f t="array" ref="U22">_xlfn.XLOOKUP(B22,'Up Stats'!A:A,'Up Stats'!F:F,)</f>
        <v/>
      </c>
      <c r="V22" s="40" t="str">
        <f>IFERROR(__xludf.DUMMYFUNCTION("if(AND(W22=FALSE,X22=FALSE),,if(W22=X22,JOIN("""",""Static: "",W22),JOIN("""",""Min:  "",W22, CHAR(10),""Max: "",X22)))"),"")</f>
        <v/>
      </c>
      <c r="W22" s="42" t="str">
        <f t="array" ref="W22">_xlfn.XLOOKUP(B22,'Up Min'!A:A,'Up Min'!F:F,)</f>
        <v/>
      </c>
      <c r="X22" s="42" t="str">
        <f t="array" ref="X22">_xlfn.XLOOKUP(B22,'Up Max'!A:A,'Up Max'!F:F,)</f>
        <v/>
      </c>
      <c r="Y22" s="48" t="str">
        <f t="array" ref="Y22">_xlfn.XLOOKUP(B22,'Up Stats'!A:A,'Up Stats'!G:G,)</f>
        <v/>
      </c>
      <c r="Z22" s="40" t="str">
        <f>IFERROR(__xludf.DUMMYFUNCTION("if(AND(AA22=FALSE,AB22=FALSE),,if(AA22=AB22,JOIN("""",""Static: "",AA22),JOIN("""",""Min:  "",AA22, CHAR(10),""Max: "",AB22)))"),"")</f>
        <v/>
      </c>
      <c r="AA22" s="42" t="str">
        <f t="array" ref="AA22">_xlfn.XLOOKUP(B22,'Up Min'!A:A,'Up Min'!G:G,)</f>
        <v/>
      </c>
      <c r="AB22" s="42" t="str">
        <f t="array" ref="AB22">_xlfn.XLOOKUP(B22,'Up Max'!A:A,'Up Max'!G:G,)</f>
        <v/>
      </c>
      <c r="AC22" s="48" t="str">
        <f t="array" ref="AC22">_xlfn.XLOOKUP(B22,'Up Stats'!A:A,'Up Stats'!H:H,)</f>
        <v/>
      </c>
      <c r="AD22" s="40" t="str">
        <f>IFERROR(__xludf.DUMMYFUNCTION("if(AND(AE22=FALSE,AF22=FALSE),,if(AE22=AF22,JOIN("""",""Static: "",AE22),JOIN("""",""Min:  "",AE22, CHAR(10),""Max: "",AF22)))"),"")</f>
        <v/>
      </c>
      <c r="AE22" s="42" t="str">
        <f t="array" ref="AE22">_xlfn.XLOOKUP(B22,'Up Min'!A:A,'Up Min'!H:H,)</f>
        <v/>
      </c>
      <c r="AF22" s="42" t="str">
        <f t="array" ref="AF22">_xlfn.XLOOKUP(B22,'Up Max'!A:A,'Up Max'!H:H,)</f>
        <v/>
      </c>
      <c r="AG22" s="48" t="str">
        <f t="array" ref="AG22">_xlfn.XLOOKUP(B22,'Up Stats'!A:A,'Up Stats'!I:I,)</f>
        <v/>
      </c>
      <c r="AH22" s="40" t="str">
        <f>IFERROR(__xludf.DUMMYFUNCTION("if(AND(AI22=FALSE,AJ22=FALSE),,if(AI22=AJ22,JOIN("""",""Static: "",AI22),JOIN("""",""Min:  "",AI22, CHAR(10),""Max: "",AJ22)))"),"")</f>
        <v/>
      </c>
      <c r="AI22" s="42" t="str">
        <f t="array" ref="AI22">_xlfn.XLOOKUP(B22,'Up Min'!A:A,'Up Min'!I:I,)</f>
        <v/>
      </c>
      <c r="AJ22" s="42" t="str">
        <f t="array" ref="AJ22">_xlfn.XLOOKUP(B22,'Up Max'!A:A,'Up Max'!I:I,)</f>
        <v/>
      </c>
      <c r="AK22" s="48" t="str">
        <f t="array" ref="AK22">_xlfn.XLOOKUP(B22,'Up Stats'!A:A,'Up Stats'!J:J,)</f>
        <v/>
      </c>
      <c r="AL22" s="40" t="str">
        <f>IFERROR(__xludf.DUMMYFUNCTION("if(AND(AM22=FALSE,AN22=FALSE),,if(AM22=AN22,JOIN("""",""Static: "",AM22),JOIN("""",""Min:  "",AM22, CHAR(10),""Max: "",AN22)))"),"")</f>
        <v/>
      </c>
      <c r="AM22" s="42" t="str">
        <f t="array" ref="AM22">_xlfn.XLOOKUP(B22,'Up Min'!A:A,'Up Min'!J:J,)</f>
        <v/>
      </c>
      <c r="AN22" s="42" t="str">
        <f t="array" ref="AN22">_xlfn.XLOOKUP(B22,'Up Max'!A:A,'Up Max'!J:J,)</f>
        <v/>
      </c>
      <c r="AO22" s="34" t="str">
        <f t="array" ref="AO22">CONCATENATE(_xlfn.XLOOKUP(B22,'Up Cells'!A:A,'Up Cells'!B:B,))</f>
        <v>3</v>
      </c>
      <c r="AP22" s="34" t="str">
        <f t="array" ref="AP22">CONCATENATE(_xlfn.XLOOKUP(B22,'Up Rarity'!A:A,'Up Rarity'!B:B,),CHAR(10),"-")</f>
        <v>Rare
-</v>
      </c>
    </row>
    <row r="23">
      <c r="A23" s="83" t="str">
        <f t="array" ref="A23">_xlfn.XLOOKUP(B23,'Up Icon'!A:A,'Up Icon'!B:B,)</f>
        <v/>
      </c>
      <c r="B23" s="61" t="str">
        <f t="array" ref="B23">HYPERLINK(_xlfn.XLOOKUP('Up Names'!K20,'Up Wiki'!A:A,'Up Wiki'!B:B,),'Up Names'!K20)</f>
        <v>Fwoosh</v>
      </c>
      <c r="C23" s="52" t="str">
        <f t="array" ref="C23">_xlfn.XLOOKUP(B23,'Up Desc'!A:A,'Up Desc'!B:B,)</f>
        <v>Applies fire.</v>
      </c>
      <c r="D23" s="52" t="str">
        <f t="array" ref="D23">_xlfn.XLOOKUP(B23,'Up Turbo'!A:A,'Up Turbo'!B:B,)</f>
        <v>n/a</v>
      </c>
      <c r="E23" s="53" t="str">
        <f t="array" ref="E23">_xlfn.XLOOKUP(B23,'Up Stats'!A:A,'Up Stats'!B:B,)</f>
        <v/>
      </c>
      <c r="F23" s="54" t="str">
        <f>IFERROR(__xludf.DUMMYFUNCTION("if(AND(G23=FALSE,H23=FALSE),,if(G23=H23,JOIN("""",""Static: "",G23),JOIN("""",""Min:  "",G23, CHAR(10),""Max: "",H23)))"),"")</f>
        <v/>
      </c>
      <c r="G23" s="59" t="str">
        <f t="array" ref="G23">_xlfn.XLOOKUP(B23,'Up Min'!A:A,'Up Min'!B:B,)</f>
        <v/>
      </c>
      <c r="H23" s="59" t="str">
        <f t="array" ref="H23">_xlfn.XLOOKUP(B23,'Up Max'!A:A,'Up Max'!B:B,)</f>
        <v/>
      </c>
      <c r="I23" s="53" t="str">
        <f t="array" ref="I23">_xlfn.XLOOKUP(B23,'Up Stats'!A:A,'Up Stats'!C:C,)</f>
        <v/>
      </c>
      <c r="J23" s="54" t="str">
        <f>IFERROR(__xludf.DUMMYFUNCTION("if(AND(K23=FALSE,L23=FALSE),,if(K23=L23,JOIN("""",""Static: "",K23),JOIN("""",""Min:  "",K23, CHAR(10),""Max: "",L23)))"),"")</f>
        <v/>
      </c>
      <c r="K23" s="55" t="str">
        <f t="array" ref="K23">_xlfn.XLOOKUP(B23,'Up Min'!A:A,'Up Min'!C:C,)</f>
        <v/>
      </c>
      <c r="L23" s="55" t="str">
        <f t="array" ref="L23">_xlfn.XLOOKUP(B23,'Up Max'!A:A,'Up Max'!C:C,)</f>
        <v/>
      </c>
      <c r="M23" s="57" t="str">
        <f t="array" ref="M23">_xlfn.XLOOKUP(B23,'Up Stats'!A:A,'Up Stats'!D:D,)</f>
        <v/>
      </c>
      <c r="N23" s="54" t="str">
        <f>IFERROR(__xludf.DUMMYFUNCTION("if(AND(O23=FALSE,P23=FALSE),,if(O23=P23,JOIN("""",""Static: "",O23),JOIN("""",""Min:  "",O23, CHAR(10),""Max: "",P23)))"),"")</f>
        <v/>
      </c>
      <c r="O23" s="55" t="str">
        <f t="array" ref="O23">_xlfn.XLOOKUP(B23,'Up Min'!A:A,'Up Min'!D:D,)</f>
        <v/>
      </c>
      <c r="P23" s="55" t="str">
        <f t="array" ref="P23">_xlfn.XLOOKUP(B23,'Up Max'!A:A,'Up Max'!D:D,)</f>
        <v/>
      </c>
      <c r="Q23" s="57" t="str">
        <f t="array" ref="Q23">_xlfn.XLOOKUP(B23,'Up Stats'!A:A,'Up Stats'!E:E,)</f>
        <v/>
      </c>
      <c r="R23" s="54" t="str">
        <f>IFERROR(__xludf.DUMMYFUNCTION("if(AND(S23=FALSE,T23=FALSE),,if(S23=T23,JOIN("""",""Static: "",S23),JOIN("""",""Min:  "",S23, CHAR(10),""Max: "",T23)))"),"")</f>
        <v/>
      </c>
      <c r="S23" s="55" t="str">
        <f t="array" ref="S23">_xlfn.XLOOKUP(B23,'Up Min'!A:A,'Up Min'!E:E,)</f>
        <v/>
      </c>
      <c r="T23" s="55" t="str">
        <f t="array" ref="T23">_xlfn.XLOOKUP(B23,'Up Max'!A:A,'Up Max'!E:E,)</f>
        <v/>
      </c>
      <c r="U23" s="57" t="str">
        <f t="array" ref="U23">_xlfn.XLOOKUP(B23,'Up Stats'!A:A,'Up Stats'!F:F,)</f>
        <v/>
      </c>
      <c r="V23" s="54" t="str">
        <f>IFERROR(__xludf.DUMMYFUNCTION("if(AND(W23=FALSE,X23=FALSE),,if(W23=X23,JOIN("""",""Static: "",W23),JOIN("""",""Min:  "",W23, CHAR(10),""Max: "",X23)))"),"")</f>
        <v/>
      </c>
      <c r="W23" s="55" t="str">
        <f t="array" ref="W23">_xlfn.XLOOKUP(B23,'Up Min'!A:A,'Up Min'!F:F,)</f>
        <v/>
      </c>
      <c r="X23" s="55" t="str">
        <f t="array" ref="X23">_xlfn.XLOOKUP(B23,'Up Max'!A:A,'Up Max'!F:F,)</f>
        <v/>
      </c>
      <c r="Y23" s="57" t="str">
        <f t="array" ref="Y23">_xlfn.XLOOKUP(B23,'Up Stats'!A:A,'Up Stats'!G:G,)</f>
        <v/>
      </c>
      <c r="Z23" s="54" t="str">
        <f>IFERROR(__xludf.DUMMYFUNCTION("if(AND(AA23=FALSE,AB23=FALSE),,if(AA23=AB23,JOIN("""",""Static: "",AA23),JOIN("""",""Min:  "",AA23, CHAR(10),""Max: "",AB23)))"),"")</f>
        <v/>
      </c>
      <c r="AA23" s="55" t="str">
        <f t="array" ref="AA23">_xlfn.XLOOKUP(B23,'Up Min'!A:A,'Up Min'!G:G,)</f>
        <v/>
      </c>
      <c r="AB23" s="55" t="str">
        <f t="array" ref="AB23">_xlfn.XLOOKUP(B23,'Up Max'!A:A,'Up Max'!G:G,)</f>
        <v/>
      </c>
      <c r="AC23" s="57" t="str">
        <f t="array" ref="AC23">_xlfn.XLOOKUP(B23,'Up Stats'!A:A,'Up Stats'!H:H,)</f>
        <v/>
      </c>
      <c r="AD23" s="54" t="str">
        <f>IFERROR(__xludf.DUMMYFUNCTION("if(AND(AE23=FALSE,AF23=FALSE),,if(AE23=AF23,JOIN("""",""Static: "",AE23),JOIN("""",""Min:  "",AE23, CHAR(10),""Max: "",AF23)))"),"")</f>
        <v/>
      </c>
      <c r="AE23" s="55" t="str">
        <f t="array" ref="AE23">_xlfn.XLOOKUP(B23,'Up Min'!A:A,'Up Min'!H:H,)</f>
        <v/>
      </c>
      <c r="AF23" s="55" t="str">
        <f t="array" ref="AF23">_xlfn.XLOOKUP(B23,'Up Max'!A:A,'Up Max'!H:H,)</f>
        <v/>
      </c>
      <c r="AG23" s="57" t="str">
        <f t="array" ref="AG23">_xlfn.XLOOKUP(B23,'Up Stats'!A:A,'Up Stats'!I:I,)</f>
        <v/>
      </c>
      <c r="AH23" s="54" t="str">
        <f>IFERROR(__xludf.DUMMYFUNCTION("if(AND(AI23=FALSE,AJ23=FALSE),,if(AI23=AJ23,JOIN("""",""Static: "",AI23),JOIN("""",""Min:  "",AI23, CHAR(10),""Max: "",AJ23)))"),"")</f>
        <v/>
      </c>
      <c r="AI23" s="55" t="str">
        <f t="array" ref="AI23">_xlfn.XLOOKUP(B23,'Up Min'!A:A,'Up Min'!I:I,)</f>
        <v/>
      </c>
      <c r="AJ23" s="55" t="str">
        <f t="array" ref="AJ23">_xlfn.XLOOKUP(B23,'Up Max'!A:A,'Up Max'!I:I,)</f>
        <v/>
      </c>
      <c r="AK23" s="57" t="str">
        <f t="array" ref="AK23">_xlfn.XLOOKUP(B23,'Up Stats'!A:A,'Up Stats'!J:J,)</f>
        <v/>
      </c>
      <c r="AL23" s="54" t="str">
        <f>IFERROR(__xludf.DUMMYFUNCTION("if(AND(AM23=FALSE,AN23=FALSE),,if(AM23=AN23,JOIN("""",""Static: "",AM23),JOIN("""",""Min:  "",AM23, CHAR(10),""Max: "",AN23)))"),"")</f>
        <v/>
      </c>
      <c r="AM23" s="55" t="str">
        <f t="array" ref="AM23">_xlfn.XLOOKUP(B23,'Up Min'!A:A,'Up Min'!J:J,)</f>
        <v/>
      </c>
      <c r="AN23" s="55" t="str">
        <f t="array" ref="AN23">_xlfn.XLOOKUP(B23,'Up Max'!A:A,'Up Max'!J:J,)</f>
        <v/>
      </c>
      <c r="AO23" s="51" t="str">
        <f t="array" ref="AO23">CONCATENATE(_xlfn.XLOOKUP(B23,'Up Cells'!A:A,'Up Cells'!B:B,))</f>
        <v>3</v>
      </c>
      <c r="AP23" s="51" t="str">
        <f t="array" ref="AP23">CONCATENATE(_xlfn.XLOOKUP(B23,'Up Rarity'!A:A,'Up Rarity'!B:B,),CHAR(10),"-")</f>
        <v>Rare
-</v>
      </c>
    </row>
    <row r="24">
      <c r="A24" s="83" t="str">
        <f t="array" ref="A24">_xlfn.XLOOKUP(B24,'Up Icon'!A:A,'Up Icon'!B:B,)</f>
        <v/>
      </c>
      <c r="B24" s="58" t="str">
        <f t="array" ref="B24">HYPERLINK(_xlfn.XLOOKUP('Up Names'!K21,'Up Wiki'!A:A,'Up Wiki'!B:B,),'Up Names'!K21)</f>
        <v>Half Cocked</v>
      </c>
      <c r="C24" s="67" t="str">
        <f t="array" ref="C24">_xlfn.XLOOKUP(B24,'Up Desc'!A:A,'Up Desc'!B:B,)</f>
        <v>Charge duration is increased but you can fire at any time while charging. Damage, size, and range are increased the longer you charge.</v>
      </c>
      <c r="D24" s="37" t="str">
        <f t="array" ref="D24">_xlfn.XLOOKUP(B24,'Up Turbo'!A:A,'Up Turbo'!B:B,)</f>
        <v>n/a</v>
      </c>
      <c r="E24" s="39" t="str">
        <f t="array" ref="E24">_xlfn.XLOOKUP(B24,'Up Stats'!A:A,'Up Stats'!B:B,)</f>
        <v>Charge Time</v>
      </c>
      <c r="F24" s="40" t="str">
        <f>IFERROR(__xludf.DUMMYFUNCTION("if(AND(G24=FALSE,H24=FALSE),,if(G24=H24,JOIN("""",""Static: "",G24),JOIN("""",""Min:  "",G24, CHAR(10),""Max: "",H24)))"),"Min:  85%
Max: 115%")</f>
        <v>Min:  85%
Max: 115%</v>
      </c>
      <c r="G24" s="41">
        <f t="array" ref="G24">_xlfn.XLOOKUP(B24,'Up Min'!A:A,'Up Min'!B:B,)</f>
        <v>0.85</v>
      </c>
      <c r="H24" s="41">
        <f t="array" ref="H24">_xlfn.XLOOKUP(B24,'Up Max'!A:A,'Up Max'!B:B,)</f>
        <v>1.15</v>
      </c>
      <c r="I24" s="39" t="str">
        <f t="array" ref="I24">_xlfn.XLOOKUP(B24,'Up Stats'!A:A,'Up Stats'!C:C,)</f>
        <v>Max Damage</v>
      </c>
      <c r="J24" s="40" t="str">
        <f>IFERROR(__xludf.DUMMYFUNCTION("if(AND(K24=FALSE,L24=FALSE),,if(K24=L24,JOIN("""",""Static: "",K24),JOIN("""",""Min:  "",K24, CHAR(10),""Max: "",L24)))"),"Min:  175%
Max: 209%")</f>
        <v>Min:  175%
Max: 209%</v>
      </c>
      <c r="K24" s="41">
        <f t="array" ref="K24">_xlfn.XLOOKUP(B24,'Up Min'!A:A,'Up Min'!C:C,)</f>
        <v>1.75</v>
      </c>
      <c r="L24" s="41">
        <f t="array" ref="L24">_xlfn.XLOOKUP(B24,'Up Max'!A:A,'Up Max'!C:C,)</f>
        <v>2.09</v>
      </c>
      <c r="M24" s="39" t="str">
        <f t="array" ref="M24">_xlfn.XLOOKUP(B24,'Up Stats'!A:A,'Up Stats'!D:D,)</f>
        <v>Max Size</v>
      </c>
      <c r="N24" s="40" t="str">
        <f>IFERROR(__xludf.DUMMYFUNCTION("if(AND(O24=FALSE,P24=FALSE),,if(O24=P24,JOIN("""",""Static: "",O24),JOIN("""",""Min:  "",O24, CHAR(10),""Max: "",P24)))"),"Min:  110%
Max: 160%")</f>
        <v>Min:  110%
Max: 160%</v>
      </c>
      <c r="O24" s="74">
        <f t="array" ref="O24">_xlfn.XLOOKUP(B24,'Up Min'!A:A,'Up Min'!D:D,)</f>
        <v>1.1</v>
      </c>
      <c r="P24" s="74">
        <f t="array" ref="P24">_xlfn.XLOOKUP(B24,'Up Max'!A:A,'Up Max'!D:D,)</f>
        <v>1.6</v>
      </c>
      <c r="Q24" s="48" t="str">
        <f t="array" ref="Q24">_xlfn.XLOOKUP(B24,'Up Stats'!A:A,'Up Stats'!E:E,)</f>
        <v>Max Range</v>
      </c>
      <c r="R24" s="40" t="str">
        <f>IFERROR(__xludf.DUMMYFUNCTION("if(AND(S24=FALSE,T24=FALSE),,if(S24=T24,JOIN("""",""Static: "",S24),JOIN("""",""Min:  "",S24, CHAR(10),""Max: "",T24)))"),"Min:  90%
Max: 133%")</f>
        <v>Min:  90%
Max: 133%</v>
      </c>
      <c r="S24" s="74">
        <f t="array" ref="S24">_xlfn.XLOOKUP(B24,'Up Min'!A:A,'Up Min'!E:E,)</f>
        <v>0.9</v>
      </c>
      <c r="T24" s="74">
        <f t="array" ref="T24">_xlfn.XLOOKUP(B24,'Up Max'!A:A,'Up Max'!E:E,)</f>
        <v>1.33</v>
      </c>
      <c r="U24" s="48" t="str">
        <f t="array" ref="U24">_xlfn.XLOOKUP(B24,'Up Stats'!A:A,'Up Stats'!F:F,)</f>
        <v/>
      </c>
      <c r="V24" s="40" t="str">
        <f>IFERROR(__xludf.DUMMYFUNCTION("if(AND(W24=FALSE,X24=FALSE),,if(W24=X24,JOIN("""",""Static: "",W24),JOIN("""",""Min:  "",W24, CHAR(10),""Max: "",X24)))"),"")</f>
        <v/>
      </c>
      <c r="W24" s="42" t="str">
        <f t="array" ref="W24">_xlfn.XLOOKUP(B24,'Up Min'!A:A,'Up Min'!F:F,)</f>
        <v/>
      </c>
      <c r="X24" s="42" t="str">
        <f t="array" ref="X24">_xlfn.XLOOKUP(B24,'Up Max'!A:A,'Up Max'!F:F,)</f>
        <v/>
      </c>
      <c r="Y24" s="48" t="str">
        <f t="array" ref="Y24">_xlfn.XLOOKUP(B24,'Up Stats'!A:A,'Up Stats'!G:G,)</f>
        <v/>
      </c>
      <c r="Z24" s="40" t="str">
        <f>IFERROR(__xludf.DUMMYFUNCTION("if(AND(AA24=FALSE,AB24=FALSE),,if(AA24=AB24,JOIN("""",""Static: "",AA24),JOIN("""",""Min:  "",AA24, CHAR(10),""Max: "",AB24)))"),"")</f>
        <v/>
      </c>
      <c r="AA24" s="42" t="str">
        <f t="array" ref="AA24">_xlfn.XLOOKUP(B24,'Up Min'!A:A,'Up Min'!G:G,)</f>
        <v/>
      </c>
      <c r="AB24" s="42" t="str">
        <f t="array" ref="AB24">_xlfn.XLOOKUP(B24,'Up Max'!A:A,'Up Max'!G:G,)</f>
        <v/>
      </c>
      <c r="AC24" s="48" t="str">
        <f t="array" ref="AC24">_xlfn.XLOOKUP(B24,'Up Stats'!A:A,'Up Stats'!H:H,)</f>
        <v/>
      </c>
      <c r="AD24" s="40" t="str">
        <f>IFERROR(__xludf.DUMMYFUNCTION("if(AND(AE24=FALSE,AF24=FALSE),,if(AE24=AF24,JOIN("""",""Static: "",AE24),JOIN("""",""Min:  "",AE24, CHAR(10),""Max: "",AF24)))"),"")</f>
        <v/>
      </c>
      <c r="AE24" s="42" t="str">
        <f t="array" ref="AE24">_xlfn.XLOOKUP(B24,'Up Min'!A:A,'Up Min'!H:H,)</f>
        <v/>
      </c>
      <c r="AF24" s="42" t="str">
        <f t="array" ref="AF24">_xlfn.XLOOKUP(B24,'Up Max'!A:A,'Up Max'!H:H,)</f>
        <v/>
      </c>
      <c r="AG24" s="48" t="str">
        <f t="array" ref="AG24">_xlfn.XLOOKUP(B24,'Up Stats'!A:A,'Up Stats'!I:I,)</f>
        <v/>
      </c>
      <c r="AH24" s="40" t="str">
        <f>IFERROR(__xludf.DUMMYFUNCTION("if(AND(AI24=FALSE,AJ24=FALSE),,if(AI24=AJ24,JOIN("""",""Static: "",AI24),JOIN("""",""Min:  "",AI24, CHAR(10),""Max: "",AJ24)))"),"")</f>
        <v/>
      </c>
      <c r="AI24" s="42" t="str">
        <f t="array" ref="AI24">_xlfn.XLOOKUP(B24,'Up Min'!A:A,'Up Min'!I:I,)</f>
        <v/>
      </c>
      <c r="AJ24" s="42" t="str">
        <f t="array" ref="AJ24">_xlfn.XLOOKUP(B24,'Up Max'!A:A,'Up Max'!I:I,)</f>
        <v/>
      </c>
      <c r="AK24" s="48" t="str">
        <f t="array" ref="AK24">_xlfn.XLOOKUP(B24,'Up Stats'!A:A,'Up Stats'!J:J,)</f>
        <v/>
      </c>
      <c r="AL24" s="40" t="str">
        <f>IFERROR(__xludf.DUMMYFUNCTION("if(AND(AM24=FALSE,AN24=FALSE),,if(AM24=AN24,JOIN("""",""Static: "",AM24),JOIN("""",""Min:  "",AM24, CHAR(10),""Max: "",AN24)))"),"")</f>
        <v/>
      </c>
      <c r="AM24" s="42" t="str">
        <f t="array" ref="AM24">_xlfn.XLOOKUP(B24,'Up Min'!A:A,'Up Min'!J:J,)</f>
        <v/>
      </c>
      <c r="AN24" s="42" t="str">
        <f t="array" ref="AN24">_xlfn.XLOOKUP(B24,'Up Max'!A:A,'Up Max'!J:J,)</f>
        <v/>
      </c>
      <c r="AO24" s="34" t="str">
        <f t="array" ref="AO24">CONCATENATE(_xlfn.XLOOKUP(B24,'Up Cells'!A:A,'Up Cells'!B:B,))</f>
        <v>4</v>
      </c>
      <c r="AP24" s="34" t="str">
        <f t="array" ref="AP24">CONCATENATE(_xlfn.XLOOKUP(B24,'Up Rarity'!A:A,'Up Rarity'!B:B,),CHAR(10),"-")</f>
        <v>Rare
-</v>
      </c>
    </row>
    <row r="25">
      <c r="A25" s="83" t="str">
        <f t="array" ref="A25">_xlfn.XLOOKUP(B25,'Up Icon'!A:A,'Up Icon'!B:B,)</f>
        <v/>
      </c>
      <c r="B25" s="61" t="str">
        <f t="array" ref="B25">HYPERLINK(_xlfn.XLOOKUP('Up Names'!K22,'Up Wiki'!A:A,'Up Wiki'!B:B,),'Up Names'!K22)</f>
        <v>Notched Breakpoint</v>
      </c>
      <c r="C25" s="52" t="str">
        <f t="array" ref="C25">_xlfn.XLOOKUP(B25,'Up Desc'!A:A,'Up Desc'!B:B,)</f>
        <v>Greatly reduces vertical recoil when Splintered Lance is equipped.</v>
      </c>
      <c r="D25" s="52" t="str">
        <f t="array" ref="D25">_xlfn.XLOOKUP(B25,'Up Turbo'!A:A,'Up Turbo'!B:B,)</f>
        <v>n/a</v>
      </c>
      <c r="E25" s="53" t="str">
        <f t="array" ref="E25">_xlfn.XLOOKUP(B25,'Up Stats'!A:A,'Up Stats'!B:B,)</f>
        <v>Vertical Spread</v>
      </c>
      <c r="F25" s="54" t="str">
        <f>IFERROR(__xludf.DUMMYFUNCTION("if(AND(G25=FALSE,H25=FALSE),,if(G25=H25,JOIN("""",""Static: "",G25),JOIN("""",""Min:  "",G25, CHAR(10),""Max: "",H25)))"),"Min:  -91%
Max: -72%")</f>
        <v>Min:  -91%
Max: -72%</v>
      </c>
      <c r="G25" s="72">
        <f t="array" ref="G25">_xlfn.XLOOKUP(B25,'Up Min'!A:A,'Up Min'!B:B,)</f>
        <v>-0.91</v>
      </c>
      <c r="H25" s="72">
        <f t="array" ref="H25">_xlfn.XLOOKUP(B25,'Up Max'!A:A,'Up Max'!B:B,)</f>
        <v>-0.72</v>
      </c>
      <c r="I25" s="53" t="str">
        <f t="array" ref="I25">_xlfn.XLOOKUP(B25,'Up Stats'!A:A,'Up Stats'!C:C,)</f>
        <v/>
      </c>
      <c r="J25" s="54" t="str">
        <f>IFERROR(__xludf.DUMMYFUNCTION("if(AND(K25=FALSE,L25=FALSE),,if(K25=L25,JOIN("""",""Static: "",K25),JOIN("""",""Min:  "",K25, CHAR(10),""Max: "",L25)))"),"")</f>
        <v/>
      </c>
      <c r="K25" s="55" t="str">
        <f t="array" ref="K25">_xlfn.XLOOKUP(B25,'Up Min'!A:A,'Up Min'!C:C,)</f>
        <v/>
      </c>
      <c r="L25" s="55" t="str">
        <f t="array" ref="L25">_xlfn.XLOOKUP(B25,'Up Max'!A:A,'Up Max'!C:C,)</f>
        <v/>
      </c>
      <c r="M25" s="57" t="str">
        <f t="array" ref="M25">_xlfn.XLOOKUP(B25,'Up Stats'!A:A,'Up Stats'!D:D,)</f>
        <v/>
      </c>
      <c r="N25" s="54" t="str">
        <f>IFERROR(__xludf.DUMMYFUNCTION("if(AND(O25=FALSE,P25=FALSE),,if(O25=P25,JOIN("""",""Static: "",O25),JOIN("""",""Min:  "",O25, CHAR(10),""Max: "",P25)))"),"")</f>
        <v/>
      </c>
      <c r="O25" s="55" t="str">
        <f t="array" ref="O25">_xlfn.XLOOKUP(B25,'Up Min'!A:A,'Up Min'!D:D,)</f>
        <v/>
      </c>
      <c r="P25" s="55" t="str">
        <f t="array" ref="P25">_xlfn.XLOOKUP(B25,'Up Max'!A:A,'Up Max'!D:D,)</f>
        <v/>
      </c>
      <c r="Q25" s="57" t="str">
        <f t="array" ref="Q25">_xlfn.XLOOKUP(B25,'Up Stats'!A:A,'Up Stats'!E:E,)</f>
        <v/>
      </c>
      <c r="R25" s="54" t="str">
        <f>IFERROR(__xludf.DUMMYFUNCTION("if(AND(S25=FALSE,T25=FALSE),,if(S25=T25,JOIN("""",""Static: "",S25),JOIN("""",""Min:  "",S25, CHAR(10),""Max: "",T25)))"),"")</f>
        <v/>
      </c>
      <c r="S25" s="55" t="str">
        <f t="array" ref="S25">_xlfn.XLOOKUP(B25,'Up Min'!A:A,'Up Min'!E:E,)</f>
        <v/>
      </c>
      <c r="T25" s="55" t="str">
        <f t="array" ref="T25">_xlfn.XLOOKUP(B25,'Up Max'!A:A,'Up Max'!E:E,)</f>
        <v/>
      </c>
      <c r="U25" s="57" t="str">
        <f t="array" ref="U25">_xlfn.XLOOKUP(B25,'Up Stats'!A:A,'Up Stats'!F:F,)</f>
        <v/>
      </c>
      <c r="V25" s="54" t="str">
        <f>IFERROR(__xludf.DUMMYFUNCTION("if(AND(W25=FALSE,X25=FALSE),,if(W25=X25,JOIN("""",""Static: "",W25),JOIN("""",""Min:  "",W25, CHAR(10),""Max: "",X25)))"),"")</f>
        <v/>
      </c>
      <c r="W25" s="55" t="str">
        <f t="array" ref="W25">_xlfn.XLOOKUP(B25,'Up Min'!A:A,'Up Min'!F:F,)</f>
        <v/>
      </c>
      <c r="X25" s="55" t="str">
        <f t="array" ref="X25">_xlfn.XLOOKUP(B25,'Up Max'!A:A,'Up Max'!F:F,)</f>
        <v/>
      </c>
      <c r="Y25" s="57" t="str">
        <f t="array" ref="Y25">_xlfn.XLOOKUP(B25,'Up Stats'!A:A,'Up Stats'!G:G,)</f>
        <v/>
      </c>
      <c r="Z25" s="54" t="str">
        <f>IFERROR(__xludf.DUMMYFUNCTION("if(AND(AA25=FALSE,AB25=FALSE),,if(AA25=AB25,JOIN("""",""Static: "",AA25),JOIN("""",""Min:  "",AA25, CHAR(10),""Max: "",AB25)))"),"")</f>
        <v/>
      </c>
      <c r="AA25" s="55" t="str">
        <f t="array" ref="AA25">_xlfn.XLOOKUP(B25,'Up Min'!A:A,'Up Min'!G:G,)</f>
        <v/>
      </c>
      <c r="AB25" s="55" t="str">
        <f t="array" ref="AB25">_xlfn.XLOOKUP(B25,'Up Max'!A:A,'Up Max'!G:G,)</f>
        <v/>
      </c>
      <c r="AC25" s="57" t="str">
        <f t="array" ref="AC25">_xlfn.XLOOKUP(B25,'Up Stats'!A:A,'Up Stats'!H:H,)</f>
        <v/>
      </c>
      <c r="AD25" s="54" t="str">
        <f>IFERROR(__xludf.DUMMYFUNCTION("if(AND(AE25=FALSE,AF25=FALSE),,if(AE25=AF25,JOIN("""",""Static: "",AE25),JOIN("""",""Min:  "",AE25, CHAR(10),""Max: "",AF25)))"),"")</f>
        <v/>
      </c>
      <c r="AE25" s="55" t="str">
        <f t="array" ref="AE25">_xlfn.XLOOKUP(B25,'Up Min'!A:A,'Up Min'!H:H,)</f>
        <v/>
      </c>
      <c r="AF25" s="55" t="str">
        <f t="array" ref="AF25">_xlfn.XLOOKUP(B25,'Up Max'!A:A,'Up Max'!H:H,)</f>
        <v/>
      </c>
      <c r="AG25" s="57" t="str">
        <f t="array" ref="AG25">_xlfn.XLOOKUP(B25,'Up Stats'!A:A,'Up Stats'!I:I,)</f>
        <v/>
      </c>
      <c r="AH25" s="54" t="str">
        <f>IFERROR(__xludf.DUMMYFUNCTION("if(AND(AI25=FALSE,AJ25=FALSE),,if(AI25=AJ25,JOIN("""",""Static: "",AI25),JOIN("""",""Min:  "",AI25, CHAR(10),""Max: "",AJ25)))"),"")</f>
        <v/>
      </c>
      <c r="AI25" s="55" t="str">
        <f t="array" ref="AI25">_xlfn.XLOOKUP(B25,'Up Min'!A:A,'Up Min'!I:I,)</f>
        <v/>
      </c>
      <c r="AJ25" s="55" t="str">
        <f t="array" ref="AJ25">_xlfn.XLOOKUP(B25,'Up Max'!A:A,'Up Max'!I:I,)</f>
        <v/>
      </c>
      <c r="AK25" s="57" t="str">
        <f t="array" ref="AK25">_xlfn.XLOOKUP(B25,'Up Stats'!A:A,'Up Stats'!J:J,)</f>
        <v/>
      </c>
      <c r="AL25" s="54" t="str">
        <f>IFERROR(__xludf.DUMMYFUNCTION("if(AND(AM25=FALSE,AN25=FALSE),,if(AM25=AN25,JOIN("""",""Static: "",AM25),JOIN("""",""Min:  "",AM25, CHAR(10),""Max: "",AN25)))"),"")</f>
        <v/>
      </c>
      <c r="AM25" s="55" t="str">
        <f t="array" ref="AM25">_xlfn.XLOOKUP(B25,'Up Min'!A:A,'Up Min'!J:J,)</f>
        <v/>
      </c>
      <c r="AN25" s="55" t="str">
        <f t="array" ref="AN25">_xlfn.XLOOKUP(B25,'Up Max'!A:A,'Up Max'!J:J,)</f>
        <v/>
      </c>
      <c r="AO25" s="51" t="str">
        <f t="array" ref="AO25">CONCATENATE(_xlfn.XLOOKUP(B25,'Up Cells'!A:A,'Up Cells'!B:B,))</f>
        <v>2</v>
      </c>
      <c r="AP25" s="51" t="str">
        <f t="array" ref="AP25">CONCATENATE(_xlfn.XLOOKUP(B25,'Up Rarity'!A:A,'Up Rarity'!B:B,),CHAR(10),"-")</f>
        <v>Rare
-</v>
      </c>
    </row>
    <row r="26">
      <c r="A26" s="83" t="str">
        <f t="array" ref="A26">_xlfn.XLOOKUP(B26,'Up Icon'!A:A,'Up Icon'!B:B,)</f>
        <v/>
      </c>
      <c r="B26" s="58" t="str">
        <f t="array" ref="B26">HYPERLINK(_xlfn.XLOOKUP('Up Names'!K23,'Up Wiki'!A:A,'Up Wiki'!B:B,),'Up Names'!K23)</f>
        <v>Railshot</v>
      </c>
      <c r="C26" s="67" t="str">
        <f t="array" ref="C26">_xlfn.XLOOKUP(B26,'Up Desc'!A:A,'Up Desc'!B:B,)</f>
        <v>Fire in a tight line. Range and damage are increased.</v>
      </c>
      <c r="D26" s="37" t="str">
        <f t="array" ref="D26">_xlfn.XLOOKUP(B26,'Up Turbo'!A:A,'Up Turbo'!B:B,)</f>
        <v>n/a</v>
      </c>
      <c r="E26" s="39" t="str">
        <f t="array" ref="E26">_xlfn.XLOOKUP(B26,'Up Stats'!A:A,'Up Stats'!B:B,)</f>
        <v>Bullet Size</v>
      </c>
      <c r="F26" s="40" t="str">
        <f>IFERROR(__xludf.DUMMYFUNCTION("if(AND(G26=FALSE,H26=FALSE),,if(G26=H26,JOIN("""",""Static: "",G26),JOIN("""",""Min:  "",G26, CHAR(10),""Max: "",H26)))"),"Static: 15%")</f>
        <v>Static: 15%</v>
      </c>
      <c r="G26" s="41">
        <f t="array" ref="G26">_xlfn.XLOOKUP(B26,'Up Min'!A:A,'Up Min'!B:B,)</f>
        <v>0.15</v>
      </c>
      <c r="H26" s="41">
        <f t="array" ref="H26">_xlfn.XLOOKUP(B26,'Up Max'!A:A,'Up Max'!B:B,)</f>
        <v>0.15</v>
      </c>
      <c r="I26" s="39" t="str">
        <f t="array" ref="I26">_xlfn.XLOOKUP(B26,'Up Stats'!A:A,'Up Stats'!C:C,)</f>
        <v>Range</v>
      </c>
      <c r="J26" s="40" t="str">
        <f>IFERROR(__xludf.DUMMYFUNCTION("if(AND(K26=FALSE,L26=FALSE),,if(K26=L26,JOIN("""",""Static: "",K26),JOIN("""",""Min:  "",K26, CHAR(10),""Max: "",L26)))"),"Min:  60%
Max: 80%")</f>
        <v>Min:  60%
Max: 80%</v>
      </c>
      <c r="K26" s="74">
        <f t="array" ref="K26">_xlfn.XLOOKUP(B26,'Up Min'!A:A,'Up Min'!C:C,)</f>
        <v>0.6</v>
      </c>
      <c r="L26" s="74">
        <f t="array" ref="L26">_xlfn.XLOOKUP(B26,'Up Max'!A:A,'Up Max'!C:C,)</f>
        <v>0.8</v>
      </c>
      <c r="M26" s="48" t="str">
        <f t="array" ref="M26">_xlfn.XLOOKUP(B26,'Up Stats'!A:A,'Up Stats'!D:D,)</f>
        <v>Damage</v>
      </c>
      <c r="N26" s="40" t="str">
        <f>IFERROR(__xludf.DUMMYFUNCTION("if(AND(O26=FALSE,P26=FALSE),,if(O26=P26,JOIN("""",""Static: "",O26),JOIN("""",""Min:  "",O26, CHAR(10),""Max: "",P26)))"),"Min:  50%
Max: 60%")</f>
        <v>Min:  50%
Max: 60%</v>
      </c>
      <c r="O26" s="74">
        <f t="array" ref="O26">_xlfn.XLOOKUP(B26,'Up Min'!A:A,'Up Min'!D:D,)</f>
        <v>0.5</v>
      </c>
      <c r="P26" s="74">
        <f t="array" ref="P26">_xlfn.XLOOKUP(B26,'Up Max'!A:A,'Up Max'!D:D,)</f>
        <v>0.6</v>
      </c>
      <c r="Q26" s="48" t="str">
        <f t="array" ref="Q26">_xlfn.XLOOKUP(B26,'Up Stats'!A:A,'Up Stats'!E:E,)</f>
        <v>Element</v>
      </c>
      <c r="R26" s="40" t="str">
        <f>IFERROR(__xludf.DUMMYFUNCTION("if(AND(S26=FALSE,T26=FALSE),,if(S26=T26,JOIN("""",""Static: "",S26),JOIN("""",""Min:  "",S26, CHAR(10),""Max: "",T26)))"),"Min:  50%
Max: 60%")</f>
        <v>Min:  50%
Max: 60%</v>
      </c>
      <c r="S26" s="74">
        <f t="array" ref="S26">_xlfn.XLOOKUP(B26,'Up Min'!A:A,'Up Min'!E:E,)</f>
        <v>0.5</v>
      </c>
      <c r="T26" s="74">
        <f t="array" ref="T26">_xlfn.XLOOKUP(B26,'Up Max'!A:A,'Up Max'!E:E,)</f>
        <v>0.6</v>
      </c>
      <c r="U26" s="48" t="str">
        <f t="array" ref="U26">_xlfn.XLOOKUP(B26,'Up Stats'!A:A,'Up Stats'!F:F,)</f>
        <v/>
      </c>
      <c r="V26" s="40" t="str">
        <f>IFERROR(__xludf.DUMMYFUNCTION("if(AND(W26=FALSE,X26=FALSE),,if(W26=X26,JOIN("""",""Static: "",W26),JOIN("""",""Min:  "",W26, CHAR(10),""Max: "",X26)))"),"")</f>
        <v/>
      </c>
      <c r="W26" s="42" t="str">
        <f t="array" ref="W26">_xlfn.XLOOKUP(B26,'Up Min'!A:A,'Up Min'!F:F,)</f>
        <v/>
      </c>
      <c r="X26" s="42" t="str">
        <f t="array" ref="X26">_xlfn.XLOOKUP(B26,'Up Max'!A:A,'Up Max'!F:F,)</f>
        <v/>
      </c>
      <c r="Y26" s="48" t="str">
        <f t="array" ref="Y26">_xlfn.XLOOKUP(B26,'Up Stats'!A:A,'Up Stats'!G:G,)</f>
        <v/>
      </c>
      <c r="Z26" s="40" t="str">
        <f>IFERROR(__xludf.DUMMYFUNCTION("if(AND(AA26=FALSE,AB26=FALSE),,if(AA26=AB26,JOIN("""",""Static: "",AA26),JOIN("""",""Min:  "",AA26, CHAR(10),""Max: "",AB26)))"),"")</f>
        <v/>
      </c>
      <c r="AA26" s="42" t="str">
        <f t="array" ref="AA26">_xlfn.XLOOKUP(B26,'Up Min'!A:A,'Up Min'!G:G,)</f>
        <v/>
      </c>
      <c r="AB26" s="42" t="str">
        <f t="array" ref="AB26">_xlfn.XLOOKUP(B26,'Up Max'!A:A,'Up Max'!G:G,)</f>
        <v/>
      </c>
      <c r="AC26" s="48" t="str">
        <f t="array" ref="AC26">_xlfn.XLOOKUP(B26,'Up Stats'!A:A,'Up Stats'!H:H,)</f>
        <v/>
      </c>
      <c r="AD26" s="40" t="str">
        <f>IFERROR(__xludf.DUMMYFUNCTION("if(AND(AE26=FALSE,AF26=FALSE),,if(AE26=AF26,JOIN("""",""Static: "",AE26),JOIN("""",""Min:  "",AE26, CHAR(10),""Max: "",AF26)))"),"")</f>
        <v/>
      </c>
      <c r="AE26" s="42" t="str">
        <f t="array" ref="AE26">_xlfn.XLOOKUP(B26,'Up Min'!A:A,'Up Min'!H:H,)</f>
        <v/>
      </c>
      <c r="AF26" s="42" t="str">
        <f t="array" ref="AF26">_xlfn.XLOOKUP(B26,'Up Max'!A:A,'Up Max'!H:H,)</f>
        <v/>
      </c>
      <c r="AG26" s="48" t="str">
        <f t="array" ref="AG26">_xlfn.XLOOKUP(B26,'Up Stats'!A:A,'Up Stats'!I:I,)</f>
        <v/>
      </c>
      <c r="AH26" s="40" t="str">
        <f>IFERROR(__xludf.DUMMYFUNCTION("if(AND(AI26=FALSE,AJ26=FALSE),,if(AI26=AJ26,JOIN("""",""Static: "",AI26),JOIN("""",""Min:  "",AI26, CHAR(10),""Max: "",AJ26)))"),"")</f>
        <v/>
      </c>
      <c r="AI26" s="42" t="str">
        <f t="array" ref="AI26">_xlfn.XLOOKUP(B26,'Up Min'!A:A,'Up Min'!I:I,)</f>
        <v/>
      </c>
      <c r="AJ26" s="42" t="str">
        <f t="array" ref="AJ26">_xlfn.XLOOKUP(B26,'Up Max'!A:A,'Up Max'!I:I,)</f>
        <v/>
      </c>
      <c r="AK26" s="48" t="str">
        <f t="array" ref="AK26">_xlfn.XLOOKUP(B26,'Up Stats'!A:A,'Up Stats'!J:J,)</f>
        <v/>
      </c>
      <c r="AL26" s="40" t="str">
        <f>IFERROR(__xludf.DUMMYFUNCTION("if(AND(AM26=FALSE,AN26=FALSE),,if(AM26=AN26,JOIN("""",""Static: "",AM26),JOIN("""",""Min:  "",AM26, CHAR(10),""Max: "",AN26)))"),"")</f>
        <v/>
      </c>
      <c r="AM26" s="42" t="str">
        <f t="array" ref="AM26">_xlfn.XLOOKUP(B26,'Up Min'!A:A,'Up Min'!J:J,)</f>
        <v/>
      </c>
      <c r="AN26" s="42" t="str">
        <f t="array" ref="AN26">_xlfn.XLOOKUP(B26,'Up Max'!A:A,'Up Max'!J:J,)</f>
        <v/>
      </c>
      <c r="AO26" s="34" t="str">
        <f t="array" ref="AO26">CONCATENATE(_xlfn.XLOOKUP(B26,'Up Cells'!A:A,'Up Cells'!B:B,))</f>
        <v>4</v>
      </c>
      <c r="AP26" s="34" t="str">
        <f t="array" ref="AP26">CONCATENATE(_xlfn.XLOOKUP(B26,'Up Rarity'!A:A,'Up Rarity'!B:B,),CHAR(10),"-")</f>
        <v>Rare
-</v>
      </c>
    </row>
    <row r="27">
      <c r="A27" s="83" t="str">
        <f t="array" ref="A27">_xlfn.XLOOKUP(B27,'Up Icon'!A:A,'Up Icon'!B:B,)</f>
        <v/>
      </c>
      <c r="B27" s="61" t="str">
        <f t="array" ref="B27">HYPERLINK(_xlfn.XLOOKUP('Up Names'!K24,'Up Wiki'!A:A,'Up Wiki'!B:B,),'Up Names'!K24)</f>
        <v>Skewer</v>
      </c>
      <c r="C27" s="52" t="str">
        <f t="array" ref="C27">_xlfn.XLOOKUP(B27,'Up Desc'!A:A,'Up Desc'!B:B,)</f>
        <v>Base damage is decreased but the damage of your shots increases for each target they pierce.</v>
      </c>
      <c r="D27" s="52" t="str">
        <f t="array" ref="D27">_xlfn.XLOOKUP(B27,'Up Turbo'!A:A,'Up Turbo'!B:B,)</f>
        <v>n/a</v>
      </c>
      <c r="E27" s="53" t="str">
        <f t="array" ref="E27">_xlfn.XLOOKUP(B27,'Up Stats'!A:A,'Up Stats'!B:B,)</f>
        <v>Damage</v>
      </c>
      <c r="F27" s="54" t="str">
        <f>IFERROR(__xludf.DUMMYFUNCTION("if(AND(G27=FALSE,H27=FALSE),,if(G27=H27,JOIN("""",""Static: "",G27),JOIN("""",""Min:  "",G27, CHAR(10),""Max: "",H27)))"),"Min:  -29%
Max: -24%")</f>
        <v>Min:  -29%
Max: -24%</v>
      </c>
      <c r="G27" s="59">
        <f t="array" ref="G27">_xlfn.XLOOKUP(B27,'Up Min'!A:A,'Up Min'!B:B,)</f>
        <v>-0.29</v>
      </c>
      <c r="H27" s="59">
        <f t="array" ref="H27">_xlfn.XLOOKUP(B27,'Up Max'!A:A,'Up Max'!B:B,)</f>
        <v>-0.24</v>
      </c>
      <c r="I27" s="53" t="str">
        <f t="array" ref="I27">_xlfn.XLOOKUP(B27,'Up Stats'!A:A,'Up Stats'!C:C,)</f>
        <v>Pierce Damage</v>
      </c>
      <c r="J27" s="54" t="str">
        <f>IFERROR(__xludf.DUMMYFUNCTION("if(AND(K27=FALSE,L27=FALSE),,if(K27=L27,JOIN("""",""Static: "",K27),JOIN("""",""Min:  "",K27, CHAR(10),""Max: "",L27)))"),"Min:  1.1
Max: 1.16")</f>
        <v>Min:  1.1
Max: 1.16</v>
      </c>
      <c r="K27" s="55">
        <f t="array" ref="K27">_xlfn.XLOOKUP(B27,'Up Min'!A:A,'Up Min'!C:C,)</f>
        <v>1.1</v>
      </c>
      <c r="L27" s="55">
        <f t="array" ref="L27">_xlfn.XLOOKUP(B27,'Up Max'!A:A,'Up Max'!C:C,)</f>
        <v>1.16</v>
      </c>
      <c r="M27" s="57" t="str">
        <f t="array" ref="M27">_xlfn.XLOOKUP(B27,'Up Stats'!A:A,'Up Stats'!D:D,)</f>
        <v/>
      </c>
      <c r="N27" s="54" t="str">
        <f>IFERROR(__xludf.DUMMYFUNCTION("if(AND(O27=FALSE,P27=FALSE),,if(O27=P27,JOIN("""",""Static: "",O27),JOIN("""",""Min:  "",O27, CHAR(10),""Max: "",P27)))"),"")</f>
        <v/>
      </c>
      <c r="O27" s="55" t="str">
        <f t="array" ref="O27">_xlfn.XLOOKUP(B27,'Up Min'!A:A,'Up Min'!D:D,)</f>
        <v/>
      </c>
      <c r="P27" s="55" t="str">
        <f t="array" ref="P27">_xlfn.XLOOKUP(B27,'Up Max'!A:A,'Up Max'!D:D,)</f>
        <v/>
      </c>
      <c r="Q27" s="57" t="str">
        <f t="array" ref="Q27">_xlfn.XLOOKUP(B27,'Up Stats'!A:A,'Up Stats'!E:E,)</f>
        <v/>
      </c>
      <c r="R27" s="54" t="str">
        <f>IFERROR(__xludf.DUMMYFUNCTION("if(AND(S27=FALSE,T27=FALSE),,if(S27=T27,JOIN("""",""Static: "",S27),JOIN("""",""Min:  "",S27, CHAR(10),""Max: "",T27)))"),"")</f>
        <v/>
      </c>
      <c r="S27" s="55" t="str">
        <f t="array" ref="S27">_xlfn.XLOOKUP(B27,'Up Min'!A:A,'Up Min'!E:E,)</f>
        <v/>
      </c>
      <c r="T27" s="55" t="str">
        <f t="array" ref="T27">_xlfn.XLOOKUP(B27,'Up Max'!A:A,'Up Max'!E:E,)</f>
        <v/>
      </c>
      <c r="U27" s="57" t="str">
        <f t="array" ref="U27">_xlfn.XLOOKUP(B27,'Up Stats'!A:A,'Up Stats'!F:F,)</f>
        <v/>
      </c>
      <c r="V27" s="54" t="str">
        <f>IFERROR(__xludf.DUMMYFUNCTION("if(AND(W27=FALSE,X27=FALSE),,if(W27=X27,JOIN("""",""Static: "",W27),JOIN("""",""Min:  "",W27, CHAR(10),""Max: "",X27)))"),"")</f>
        <v/>
      </c>
      <c r="W27" s="55" t="str">
        <f t="array" ref="W27">_xlfn.XLOOKUP(B27,'Up Min'!A:A,'Up Min'!F:F,)</f>
        <v/>
      </c>
      <c r="X27" s="55" t="str">
        <f t="array" ref="X27">_xlfn.XLOOKUP(B27,'Up Max'!A:A,'Up Max'!F:F,)</f>
        <v/>
      </c>
      <c r="Y27" s="57" t="str">
        <f t="array" ref="Y27">_xlfn.XLOOKUP(B27,'Up Stats'!A:A,'Up Stats'!G:G,)</f>
        <v/>
      </c>
      <c r="Z27" s="54" t="str">
        <f>IFERROR(__xludf.DUMMYFUNCTION("if(AND(AA27=FALSE,AB27=FALSE),,if(AA27=AB27,JOIN("""",""Static: "",AA27),JOIN("""",""Min:  "",AA27, CHAR(10),""Max: "",AB27)))"),"")</f>
        <v/>
      </c>
      <c r="AA27" s="55" t="str">
        <f t="array" ref="AA27">_xlfn.XLOOKUP(B27,'Up Min'!A:A,'Up Min'!G:G,)</f>
        <v/>
      </c>
      <c r="AB27" s="55" t="str">
        <f t="array" ref="AB27">_xlfn.XLOOKUP(B27,'Up Max'!A:A,'Up Max'!G:G,)</f>
        <v/>
      </c>
      <c r="AC27" s="57" t="str">
        <f t="array" ref="AC27">_xlfn.XLOOKUP(B27,'Up Stats'!A:A,'Up Stats'!H:H,)</f>
        <v/>
      </c>
      <c r="AD27" s="54" t="str">
        <f>IFERROR(__xludf.DUMMYFUNCTION("if(AND(AE27=FALSE,AF27=FALSE),,if(AE27=AF27,JOIN("""",""Static: "",AE27),JOIN("""",""Min:  "",AE27, CHAR(10),""Max: "",AF27)))"),"")</f>
        <v/>
      </c>
      <c r="AE27" s="55" t="str">
        <f t="array" ref="AE27">_xlfn.XLOOKUP(B27,'Up Min'!A:A,'Up Min'!H:H,)</f>
        <v/>
      </c>
      <c r="AF27" s="55" t="str">
        <f t="array" ref="AF27">_xlfn.XLOOKUP(B27,'Up Max'!A:A,'Up Max'!H:H,)</f>
        <v/>
      </c>
      <c r="AG27" s="57" t="str">
        <f t="array" ref="AG27">_xlfn.XLOOKUP(B27,'Up Stats'!A:A,'Up Stats'!I:I,)</f>
        <v/>
      </c>
      <c r="AH27" s="54" t="str">
        <f>IFERROR(__xludf.DUMMYFUNCTION("if(AND(AI27=FALSE,AJ27=FALSE),,if(AI27=AJ27,JOIN("""",""Static: "",AI27),JOIN("""",""Min:  "",AI27, CHAR(10),""Max: "",AJ27)))"),"")</f>
        <v/>
      </c>
      <c r="AI27" s="55" t="str">
        <f t="array" ref="AI27">_xlfn.XLOOKUP(B27,'Up Min'!A:A,'Up Min'!I:I,)</f>
        <v/>
      </c>
      <c r="AJ27" s="55" t="str">
        <f t="array" ref="AJ27">_xlfn.XLOOKUP(B27,'Up Max'!A:A,'Up Max'!I:I,)</f>
        <v/>
      </c>
      <c r="AK27" s="57" t="str">
        <f t="array" ref="AK27">_xlfn.XLOOKUP(B27,'Up Stats'!A:A,'Up Stats'!J:J,)</f>
        <v/>
      </c>
      <c r="AL27" s="54" t="str">
        <f>IFERROR(__xludf.DUMMYFUNCTION("if(AND(AM27=FALSE,AN27=FALSE),,if(AM27=AN27,JOIN("""",""Static: "",AM27),JOIN("""",""Min:  "",AM27, CHAR(10),""Max: "",AN27)))"),"")</f>
        <v/>
      </c>
      <c r="AM27" s="55" t="str">
        <f t="array" ref="AM27">_xlfn.XLOOKUP(B27,'Up Min'!A:A,'Up Min'!J:J,)</f>
        <v/>
      </c>
      <c r="AN27" s="55" t="str">
        <f t="array" ref="AN27">_xlfn.XLOOKUP(B27,'Up Max'!A:A,'Up Max'!J:J,)</f>
        <v/>
      </c>
      <c r="AO27" s="51" t="str">
        <f t="array" ref="AO27">CONCATENATE(_xlfn.XLOOKUP(B27,'Up Cells'!A:A,'Up Cells'!B:B,))</f>
        <v>4</v>
      </c>
      <c r="AP27" s="51" t="str">
        <f t="array" ref="AP27">CONCATENATE(_xlfn.XLOOKUP(B27,'Up Rarity'!A:A,'Up Rarity'!B:B,),CHAR(10),"-")</f>
        <v>Rare
-</v>
      </c>
    </row>
    <row r="28">
      <c r="A28" s="83" t="str">
        <f t="array" ref="A28">_xlfn.XLOOKUP(B28,'Up Icon'!A:A,'Up Icon'!B:B,)</f>
        <v/>
      </c>
      <c r="B28" s="58" t="str">
        <f t="array" ref="B28">HYPERLINK(_xlfn.XLOOKUP('Up Names'!K25,'Up Wiki'!A:A,'Up Wiki'!B:B,),'Up Names'!K25)</f>
        <v>Splintered Lance</v>
      </c>
      <c r="C28" s="67" t="str">
        <f t="array" ref="C28">_xlfn.XLOOKUP(B28,'Up Desc'!A:A,'Up Desc'!B:B,)</f>
        <v>Fire multiple shots with little accuracy.</v>
      </c>
      <c r="D28" s="37" t="str">
        <f t="array" ref="D28">_xlfn.XLOOKUP(B28,'Up Turbo'!A:A,'Up Turbo'!B:B,)</f>
        <v>n/a</v>
      </c>
      <c r="E28" s="39" t="str">
        <f t="array" ref="E28">_xlfn.XLOOKUP(B28,'Up Stats'!A:A,'Up Stats'!B:B,)</f>
        <v>Bullets per Shot</v>
      </c>
      <c r="F28" s="40" t="str">
        <f>IFERROR(__xludf.DUMMYFUNCTION("if(AND(G28=FALSE,H28=FALSE),,if(G28=H28,JOIN("""",""Static: "",G28),JOIN("""",""Min:  "",G28, CHAR(10),""Max: "",H28)))"),"Static: 2")</f>
        <v>Static: 2</v>
      </c>
      <c r="G28" s="69">
        <f t="array" ref="G28">_xlfn.XLOOKUP(B28,'Up Min'!A:A,'Up Min'!B:B,)</f>
        <v>2</v>
      </c>
      <c r="H28" s="68">
        <f t="array" ref="H28">_xlfn.XLOOKUP(B28,'Up Max'!A:A,'Up Max'!B:B,)</f>
        <v>2</v>
      </c>
      <c r="I28" s="39" t="str">
        <f t="array" ref="I28">_xlfn.XLOOKUP(B28,'Up Stats'!A:A,'Up Stats'!C:C,)</f>
        <v>Horizontal Spread</v>
      </c>
      <c r="J28" s="40" t="str">
        <f>IFERROR(__xludf.DUMMYFUNCTION("if(AND(K28=FALSE,L28=FALSE),,if(K28=L28,JOIN("""",""Static: "",K28),JOIN("""",""Min:  "",K28, CHAR(10),""Max: "",L28)))"),"Min:  55
Max: 65")</f>
        <v>Min:  55
Max: 65</v>
      </c>
      <c r="K28" s="42">
        <f t="array" ref="K28">_xlfn.XLOOKUP(B28,'Up Min'!A:A,'Up Min'!C:C,)</f>
        <v>55</v>
      </c>
      <c r="L28" s="42">
        <f t="array" ref="L28">_xlfn.XLOOKUP(B28,'Up Max'!A:A,'Up Max'!C:C,)</f>
        <v>65</v>
      </c>
      <c r="M28" s="48" t="str">
        <f t="array" ref="M28">_xlfn.XLOOKUP(B28,'Up Stats'!A:A,'Up Stats'!D:D,)</f>
        <v>Vertical Spread</v>
      </c>
      <c r="N28" s="40" t="str">
        <f>IFERROR(__xludf.DUMMYFUNCTION("if(AND(O28=FALSE,P28=FALSE),,if(O28=P28,JOIN("""",""Static: "",O28),JOIN("""",""Min:  "",O28, CHAR(10),""Max: "",P28)))"),"Min:  55
Max: 65")</f>
        <v>Min:  55
Max: 65</v>
      </c>
      <c r="O28" s="42">
        <f t="array" ref="O28">_xlfn.XLOOKUP(B28,'Up Min'!A:A,'Up Min'!D:D,)</f>
        <v>55</v>
      </c>
      <c r="P28" s="42">
        <f t="array" ref="P28">_xlfn.XLOOKUP(B28,'Up Max'!A:A,'Up Max'!D:D,)</f>
        <v>65</v>
      </c>
      <c r="Q28" s="48" t="str">
        <f t="array" ref="Q28">_xlfn.XLOOKUP(B28,'Up Stats'!A:A,'Up Stats'!E:E,)</f>
        <v/>
      </c>
      <c r="R28" s="40" t="str">
        <f>IFERROR(__xludf.DUMMYFUNCTION("if(AND(S28=FALSE,T28=FALSE),,if(S28=T28,JOIN("""",""Static: "",S28),JOIN("""",""Min:  "",S28, CHAR(10),""Max: "",T28)))"),"")</f>
        <v/>
      </c>
      <c r="S28" s="42" t="str">
        <f t="array" ref="S28">_xlfn.XLOOKUP(B28,'Up Min'!A:A,'Up Min'!E:E,)</f>
        <v/>
      </c>
      <c r="T28" s="42" t="str">
        <f t="array" ref="T28">_xlfn.XLOOKUP(B28,'Up Max'!A:A,'Up Max'!E:E,)</f>
        <v/>
      </c>
      <c r="U28" s="48" t="str">
        <f t="array" ref="U28">_xlfn.XLOOKUP(B28,'Up Stats'!A:A,'Up Stats'!F:F,)</f>
        <v/>
      </c>
      <c r="V28" s="40" t="str">
        <f>IFERROR(__xludf.DUMMYFUNCTION("if(AND(W28=FALSE,X28=FALSE),,if(W28=X28,JOIN("""",""Static: "",W28),JOIN("""",""Min:  "",W28, CHAR(10),""Max: "",X28)))"),"")</f>
        <v/>
      </c>
      <c r="W28" s="42" t="str">
        <f t="array" ref="W28">_xlfn.XLOOKUP(B28,'Up Min'!A:A,'Up Min'!F:F,)</f>
        <v/>
      </c>
      <c r="X28" s="42" t="str">
        <f t="array" ref="X28">_xlfn.XLOOKUP(B28,'Up Max'!A:A,'Up Max'!F:F,)</f>
        <v/>
      </c>
      <c r="Y28" s="48" t="str">
        <f t="array" ref="Y28">_xlfn.XLOOKUP(B28,'Up Stats'!A:A,'Up Stats'!G:G,)</f>
        <v/>
      </c>
      <c r="Z28" s="40" t="str">
        <f>IFERROR(__xludf.DUMMYFUNCTION("if(AND(AA28=FALSE,AB28=FALSE),,if(AA28=AB28,JOIN("""",""Static: "",AA28),JOIN("""",""Min:  "",AA28, CHAR(10),""Max: "",AB28)))"),"")</f>
        <v/>
      </c>
      <c r="AA28" s="42" t="str">
        <f t="array" ref="AA28">_xlfn.XLOOKUP(B28,'Up Min'!A:A,'Up Min'!G:G,)</f>
        <v/>
      </c>
      <c r="AB28" s="42" t="str">
        <f t="array" ref="AB28">_xlfn.XLOOKUP(B28,'Up Max'!A:A,'Up Max'!G:G,)</f>
        <v/>
      </c>
      <c r="AC28" s="48" t="str">
        <f t="array" ref="AC28">_xlfn.XLOOKUP(B28,'Up Stats'!A:A,'Up Stats'!H:H,)</f>
        <v/>
      </c>
      <c r="AD28" s="40" t="str">
        <f>IFERROR(__xludf.DUMMYFUNCTION("if(AND(AE28=FALSE,AF28=FALSE),,if(AE28=AF28,JOIN("""",""Static: "",AE28),JOIN("""",""Min:  "",AE28, CHAR(10),""Max: "",AF28)))"),"")</f>
        <v/>
      </c>
      <c r="AE28" s="42" t="str">
        <f t="array" ref="AE28">_xlfn.XLOOKUP(B28,'Up Min'!A:A,'Up Min'!H:H,)</f>
        <v/>
      </c>
      <c r="AF28" s="42" t="str">
        <f t="array" ref="AF28">_xlfn.XLOOKUP(B28,'Up Max'!A:A,'Up Max'!H:H,)</f>
        <v/>
      </c>
      <c r="AG28" s="48" t="str">
        <f t="array" ref="AG28">_xlfn.XLOOKUP(B28,'Up Stats'!A:A,'Up Stats'!I:I,)</f>
        <v/>
      </c>
      <c r="AH28" s="40" t="str">
        <f>IFERROR(__xludf.DUMMYFUNCTION("if(AND(AI28=FALSE,AJ28=FALSE),,if(AI28=AJ28,JOIN("""",""Static: "",AI28),JOIN("""",""Min:  "",AI28, CHAR(10),""Max: "",AJ28)))"),"")</f>
        <v/>
      </c>
      <c r="AI28" s="42" t="str">
        <f t="array" ref="AI28">_xlfn.XLOOKUP(B28,'Up Min'!A:A,'Up Min'!I:I,)</f>
        <v/>
      </c>
      <c r="AJ28" s="42" t="str">
        <f t="array" ref="AJ28">_xlfn.XLOOKUP(B28,'Up Max'!A:A,'Up Max'!I:I,)</f>
        <v/>
      </c>
      <c r="AK28" s="48" t="str">
        <f t="array" ref="AK28">_xlfn.XLOOKUP(B28,'Up Stats'!A:A,'Up Stats'!J:J,)</f>
        <v/>
      </c>
      <c r="AL28" s="40" t="str">
        <f>IFERROR(__xludf.DUMMYFUNCTION("if(AND(AM28=FALSE,AN28=FALSE),,if(AM28=AN28,JOIN("""",""Static: "",AM28),JOIN("""",""Min:  "",AM28, CHAR(10),""Max: "",AN28)))"),"")</f>
        <v/>
      </c>
      <c r="AM28" s="42" t="str">
        <f t="array" ref="AM28">_xlfn.XLOOKUP(B28,'Up Min'!A:A,'Up Min'!J:J,)</f>
        <v/>
      </c>
      <c r="AN28" s="42" t="str">
        <f t="array" ref="AN28">_xlfn.XLOOKUP(B28,'Up Max'!A:A,'Up Max'!J:J,)</f>
        <v/>
      </c>
      <c r="AO28" s="34" t="str">
        <f t="array" ref="AO28">CONCATENATE(_xlfn.XLOOKUP(B28,'Up Cells'!A:A,'Up Cells'!B:B,))</f>
        <v>5</v>
      </c>
      <c r="AP28" s="34" t="str">
        <f t="array" ref="AP28">CONCATENATE(_xlfn.XLOOKUP(B28,'Up Rarity'!A:A,'Up Rarity'!B:B,),CHAR(10),"-")</f>
        <v>Rare
-</v>
      </c>
    </row>
    <row r="29">
      <c r="A29" s="83" t="str">
        <f t="array" ref="A29">_xlfn.XLOOKUP(B29,'Up Icon'!A:A,'Up Icon'!B:B,)</f>
        <v/>
      </c>
      <c r="B29" s="61" t="str">
        <f t="array" ref="B29">HYPERLINK(_xlfn.XLOOKUP('Up Names'!K26,'Up Wiki'!A:A,'Up Wiki'!B:B,),'Up Names'!K26)</f>
        <v>Swing Through</v>
      </c>
      <c r="C29" s="70" t="str">
        <f t="array" ref="C29">_xlfn.XLOOKUP(B29,'Up Desc'!A:A,'Up Desc'!B:B,)</f>
        <v>Piercing multiple targets builds up extra damage for your next shot.</v>
      </c>
      <c r="D29" s="52" t="str">
        <f t="array" ref="D29">_xlfn.XLOOKUP(B29,'Up Turbo'!A:A,'Up Turbo'!B:B,)</f>
        <v>n/a</v>
      </c>
      <c r="E29" s="53" t="str">
        <f t="array" ref="E29">_xlfn.XLOOKUP(B29,'Up Stats'!A:A,'Up Stats'!B:B,)</f>
        <v>Damage</v>
      </c>
      <c r="F29" s="54" t="str">
        <f>IFERROR(__xludf.DUMMYFUNCTION("if(AND(G29=FALSE,H29=FALSE),,if(G29=H29,JOIN("""",""Static: "",G29),JOIN("""",""Min:  "",G29, CHAR(10),""Max: "",H29)))"),"Min:  60%
Max: 80%")</f>
        <v>Min:  60%
Max: 80%</v>
      </c>
      <c r="G29" s="59">
        <f t="array" ref="G29">_xlfn.XLOOKUP(B29,'Up Min'!A:A,'Up Min'!B:B,)</f>
        <v>0.6</v>
      </c>
      <c r="H29" s="59">
        <f t="array" ref="H29">_xlfn.XLOOKUP(B29,'Up Max'!A:A,'Up Max'!B:B,)</f>
        <v>0.8</v>
      </c>
      <c r="I29" s="53" t="str">
        <f t="array" ref="I29">_xlfn.XLOOKUP(B29,'Up Stats'!A:A,'Up Stats'!C:C,)</f>
        <v>Max Damage</v>
      </c>
      <c r="J29" s="54" t="str">
        <f>IFERROR(__xludf.DUMMYFUNCTION("if(AND(K29=FALSE,L29=FALSE),,if(K29=L29,JOIN("""",""Static: "",K29),JOIN("""",""Min:  "",K29, CHAR(10),""Max: "",L29)))"),"Static: 15.68")</f>
        <v>Static: 15.68</v>
      </c>
      <c r="K29" s="55">
        <f t="array" ref="K29">_xlfn.XLOOKUP(B29,'Up Min'!A:A,'Up Min'!C:C,)</f>
        <v>15.68</v>
      </c>
      <c r="L29" s="55">
        <f t="array" ref="L29">_xlfn.XLOOKUP(B29,'Up Max'!A:A,'Up Max'!C:C,)</f>
        <v>15.68</v>
      </c>
      <c r="M29" s="53" t="str">
        <f t="array" ref="M29">_xlfn.XLOOKUP(B29,'Up Stats'!A:A,'Up Stats'!D:D,)</f>
        <v/>
      </c>
      <c r="N29" s="54" t="str">
        <f>IFERROR(__xludf.DUMMYFUNCTION("if(AND(O29=FALSE,P29=FALSE),,if(O29=P29,JOIN("""",""Static: "",O29),JOIN("""",""Min:  "",O29, CHAR(10),""Max: "",P29)))"),"")</f>
        <v/>
      </c>
      <c r="O29" s="55" t="str">
        <f t="array" ref="O29">_xlfn.XLOOKUP(B29,'Up Min'!A:A,'Up Min'!D:D,)</f>
        <v/>
      </c>
      <c r="P29" s="55" t="str">
        <f t="array" ref="P29">_xlfn.XLOOKUP(B29,'Up Max'!A:A,'Up Max'!D:D,)</f>
        <v/>
      </c>
      <c r="Q29" s="57" t="str">
        <f t="array" ref="Q29">_xlfn.XLOOKUP(B29,'Up Stats'!A:A,'Up Stats'!E:E,)</f>
        <v/>
      </c>
      <c r="R29" s="54" t="str">
        <f>IFERROR(__xludf.DUMMYFUNCTION("if(AND(S29=FALSE,T29=FALSE),,if(S29=T29,JOIN("""",""Static: "",S29),JOIN("""",""Min:  "",S29, CHAR(10),""Max: "",T29)))"),"")</f>
        <v/>
      </c>
      <c r="S29" s="55" t="str">
        <f t="array" ref="S29">_xlfn.XLOOKUP(B29,'Up Min'!A:A,'Up Min'!E:E,)</f>
        <v/>
      </c>
      <c r="T29" s="55" t="str">
        <f t="array" ref="T29">_xlfn.XLOOKUP(B29,'Up Max'!A:A,'Up Max'!E:E,)</f>
        <v/>
      </c>
      <c r="U29" s="57" t="str">
        <f t="array" ref="U29">_xlfn.XLOOKUP(B29,'Up Stats'!A:A,'Up Stats'!F:F,)</f>
        <v/>
      </c>
      <c r="V29" s="54" t="str">
        <f>IFERROR(__xludf.DUMMYFUNCTION("if(AND(W29=FALSE,X29=FALSE),,if(W29=X29,JOIN("""",""Static: "",W29),JOIN("""",""Min:  "",W29, CHAR(10),""Max: "",X29)))"),"")</f>
        <v/>
      </c>
      <c r="W29" s="55" t="str">
        <f t="array" ref="W29">_xlfn.XLOOKUP(B29,'Up Min'!A:A,'Up Min'!F:F,)</f>
        <v/>
      </c>
      <c r="X29" s="55" t="str">
        <f t="array" ref="X29">_xlfn.XLOOKUP(B29,'Up Max'!A:A,'Up Max'!F:F,)</f>
        <v/>
      </c>
      <c r="Y29" s="57" t="str">
        <f t="array" ref="Y29">_xlfn.XLOOKUP(B29,'Up Stats'!A:A,'Up Stats'!G:G,)</f>
        <v/>
      </c>
      <c r="Z29" s="54" t="str">
        <f>IFERROR(__xludf.DUMMYFUNCTION("if(AND(AA29=FALSE,AB29=FALSE),,if(AA29=AB29,JOIN("""",""Static: "",AA29),JOIN("""",""Min:  "",AA29, CHAR(10),""Max: "",AB29)))"),"")</f>
        <v/>
      </c>
      <c r="AA29" s="55" t="str">
        <f t="array" ref="AA29">_xlfn.XLOOKUP(B29,'Up Min'!A:A,'Up Min'!G:G,)</f>
        <v/>
      </c>
      <c r="AB29" s="55" t="str">
        <f t="array" ref="AB29">_xlfn.XLOOKUP(B29,'Up Max'!A:A,'Up Max'!G:G,)</f>
        <v/>
      </c>
      <c r="AC29" s="57" t="str">
        <f t="array" ref="AC29">_xlfn.XLOOKUP(B29,'Up Stats'!A:A,'Up Stats'!H:H,)</f>
        <v/>
      </c>
      <c r="AD29" s="54" t="str">
        <f>IFERROR(__xludf.DUMMYFUNCTION("if(AND(AE29=FALSE,AF29=FALSE),,if(AE29=AF29,JOIN("""",""Static: "",AE29),JOIN("""",""Min:  "",AE29, CHAR(10),""Max: "",AF29)))"),"")</f>
        <v/>
      </c>
      <c r="AE29" s="55" t="str">
        <f t="array" ref="AE29">_xlfn.XLOOKUP(B29,'Up Min'!A:A,'Up Min'!H:H,)</f>
        <v/>
      </c>
      <c r="AF29" s="55" t="str">
        <f t="array" ref="AF29">_xlfn.XLOOKUP(B29,'Up Max'!A:A,'Up Max'!H:H,)</f>
        <v/>
      </c>
      <c r="AG29" s="57" t="str">
        <f t="array" ref="AG29">_xlfn.XLOOKUP(B29,'Up Stats'!A:A,'Up Stats'!I:I,)</f>
        <v/>
      </c>
      <c r="AH29" s="54" t="str">
        <f>IFERROR(__xludf.DUMMYFUNCTION("if(AND(AI29=FALSE,AJ29=FALSE),,if(AI29=AJ29,JOIN("""",""Static: "",AI29),JOIN("""",""Min:  "",AI29, CHAR(10),""Max: "",AJ29)))"),"")</f>
        <v/>
      </c>
      <c r="AI29" s="55" t="str">
        <f t="array" ref="AI29">_xlfn.XLOOKUP(B29,'Up Min'!A:A,'Up Min'!I:I,)</f>
        <v/>
      </c>
      <c r="AJ29" s="55" t="str">
        <f t="array" ref="AJ29">_xlfn.XLOOKUP(B29,'Up Max'!A:A,'Up Max'!I:I,)</f>
        <v/>
      </c>
      <c r="AK29" s="57" t="str">
        <f t="array" ref="AK29">_xlfn.XLOOKUP(B29,'Up Stats'!A:A,'Up Stats'!J:J,)</f>
        <v/>
      </c>
      <c r="AL29" s="54" t="str">
        <f>IFERROR(__xludf.DUMMYFUNCTION("if(AND(AM29=FALSE,AN29=FALSE),,if(AM29=AN29,JOIN("""",""Static: "",AM29),JOIN("""",""Min:  "",AM29, CHAR(10),""Max: "",AN29)))"),"")</f>
        <v/>
      </c>
      <c r="AM29" s="55" t="str">
        <f t="array" ref="AM29">_xlfn.XLOOKUP(B29,'Up Min'!A:A,'Up Min'!J:J,)</f>
        <v/>
      </c>
      <c r="AN29" s="55" t="str">
        <f t="array" ref="AN29">_xlfn.XLOOKUP(B29,'Up Max'!A:A,'Up Max'!J:J,)</f>
        <v/>
      </c>
      <c r="AO29" s="51" t="str">
        <f t="array" ref="AO29">CONCATENATE(_xlfn.XLOOKUP(B29,'Up Cells'!A:A,'Up Cells'!B:B,))</f>
        <v>4</v>
      </c>
      <c r="AP29" s="51" t="str">
        <f t="array" ref="AP29">CONCATENATE(_xlfn.XLOOKUP(B29,'Up Rarity'!A:A,'Up Rarity'!B:B,),CHAR(10),"-")</f>
        <v>Rare
-</v>
      </c>
    </row>
    <row r="30">
      <c r="A30" s="84" t="str">
        <f t="array" ref="A30">_xlfn.XLOOKUP(B30,'Up Icon'!A:A,'Up Icon'!B:B,)</f>
        <v/>
      </c>
      <c r="B30" s="58" t="str">
        <f t="array" ref="B30">HYPERLINK(_xlfn.XLOOKUP('Up Names'!K27,'Up Wiki'!A:A,'Up Wiki'!B:B,),'Up Names'!K27)</f>
        <v>Auxiliary Chargers</v>
      </c>
      <c r="C30" s="67" t="str">
        <f t="array" ref="C30">_xlfn.XLOOKUP(B30,'Up Desc'!A:A,'Up Desc'!B:B,)</f>
        <v>Damage is increased, but so is charge-up time.</v>
      </c>
      <c r="D30" s="37" t="str">
        <f t="array" ref="D30">_xlfn.XLOOKUP(B30,'Up Turbo'!A:A,'Up Turbo'!B:B,)</f>
        <v>n/a</v>
      </c>
      <c r="E30" s="39" t="str">
        <f t="array" ref="E30">_xlfn.XLOOKUP(B30,'Up Stats'!A:A,'Up Stats'!B:B,)</f>
        <v>Damage</v>
      </c>
      <c r="F30" s="40" t="str">
        <f>IFERROR(__xludf.DUMMYFUNCTION("if(AND(G30=FALSE,H30=FALSE),,if(G30=H30,JOIN("""",""Static: "",G30),JOIN("""",""Min:  "",G30, CHAR(10),""Max: "",H30)))"),"Min:  850%
Max: 1110%")</f>
        <v>Min:  850%
Max: 1110%</v>
      </c>
      <c r="G30" s="41">
        <f t="array" ref="G30">_xlfn.XLOOKUP(B30,'Up Min'!A:A,'Up Min'!B:B,)</f>
        <v>8.5</v>
      </c>
      <c r="H30" s="41">
        <f t="array" ref="H30">_xlfn.XLOOKUP(B30,'Up Max'!A:A,'Up Max'!B:B,)</f>
        <v>11.1</v>
      </c>
      <c r="I30" s="39" t="str">
        <f t="array" ref="I30">_xlfn.XLOOKUP(B30,'Up Stats'!A:A,'Up Stats'!C:C,)</f>
        <v>Charge Time</v>
      </c>
      <c r="J30" s="40" t="str">
        <f>IFERROR(__xludf.DUMMYFUNCTION("if(AND(K30=FALSE,L30=FALSE),,if(K30=L30,JOIN("""",""Static: "",K30),JOIN("""",""Min:  "",K30, CHAR(10),""Max: "",L30)))"),"Min:  35%
Max: 43%")</f>
        <v>Min:  35%
Max: 43%</v>
      </c>
      <c r="K30" s="74">
        <f t="array" ref="K30">_xlfn.XLOOKUP(B30,'Up Min'!A:A,'Up Min'!C:C,)</f>
        <v>0.35</v>
      </c>
      <c r="L30" s="74">
        <f t="array" ref="L30">_xlfn.XLOOKUP(B30,'Up Max'!A:A,'Up Max'!C:C,)</f>
        <v>0.43</v>
      </c>
      <c r="M30" s="48" t="str">
        <f t="array" ref="M30">_xlfn.XLOOKUP(B30,'Up Stats'!A:A,'Up Stats'!D:D,)</f>
        <v/>
      </c>
      <c r="N30" s="40" t="str">
        <f>IFERROR(__xludf.DUMMYFUNCTION("if(AND(O30=FALSE,P30=FALSE),,if(O30=P30,JOIN("""",""Static: "",O30),JOIN("""",""Min:  "",O30, CHAR(10),""Max: "",P30)))"),"")</f>
        <v/>
      </c>
      <c r="O30" s="42" t="str">
        <f t="array" ref="O30">_xlfn.XLOOKUP(B30,'Up Min'!A:A,'Up Min'!D:D,)</f>
        <v/>
      </c>
      <c r="P30" s="42" t="str">
        <f t="array" ref="P30">_xlfn.XLOOKUP(B30,'Up Max'!A:A,'Up Max'!D:D,)</f>
        <v/>
      </c>
      <c r="Q30" s="48" t="str">
        <f t="array" ref="Q30">_xlfn.XLOOKUP(B30,'Up Stats'!A:A,'Up Stats'!E:E,)</f>
        <v/>
      </c>
      <c r="R30" s="40" t="str">
        <f>IFERROR(__xludf.DUMMYFUNCTION("if(AND(S30=FALSE,T30=FALSE),,if(S30=T30,JOIN("""",""Static: "",S30),JOIN("""",""Min:  "",S30, CHAR(10),""Max: "",T30)))"),"")</f>
        <v/>
      </c>
      <c r="S30" s="42" t="str">
        <f t="array" ref="S30">_xlfn.XLOOKUP(B30,'Up Min'!A:A,'Up Min'!E:E,)</f>
        <v/>
      </c>
      <c r="T30" s="42" t="str">
        <f t="array" ref="T30">_xlfn.XLOOKUP(B30,'Up Max'!A:A,'Up Max'!E:E,)</f>
        <v/>
      </c>
      <c r="U30" s="48" t="str">
        <f t="array" ref="U30">_xlfn.XLOOKUP(B30,'Up Stats'!A:A,'Up Stats'!F:F,)</f>
        <v/>
      </c>
      <c r="V30" s="40" t="str">
        <f>IFERROR(__xludf.DUMMYFUNCTION("if(AND(W30=FALSE,X30=FALSE),,if(W30=X30,JOIN("""",""Static: "",W30),JOIN("""",""Min:  "",W30, CHAR(10),""Max: "",X30)))"),"")</f>
        <v/>
      </c>
      <c r="W30" s="42" t="str">
        <f t="array" ref="W30">_xlfn.XLOOKUP(B30,'Up Min'!A:A,'Up Min'!F:F,)</f>
        <v/>
      </c>
      <c r="X30" s="42" t="str">
        <f t="array" ref="X30">_xlfn.XLOOKUP(B30,'Up Max'!A:A,'Up Max'!F:F,)</f>
        <v/>
      </c>
      <c r="Y30" s="48" t="str">
        <f t="array" ref="Y30">_xlfn.XLOOKUP(B30,'Up Stats'!A:A,'Up Stats'!G:G,)</f>
        <v/>
      </c>
      <c r="Z30" s="40" t="str">
        <f>IFERROR(__xludf.DUMMYFUNCTION("if(AND(AA30=FALSE,AB30=FALSE),,if(AA30=AB30,JOIN("""",""Static: "",AA30),JOIN("""",""Min:  "",AA30, CHAR(10),""Max: "",AB30)))"),"")</f>
        <v/>
      </c>
      <c r="AA30" s="42" t="str">
        <f t="array" ref="AA30">_xlfn.XLOOKUP(B30,'Up Min'!A:A,'Up Min'!G:G,)</f>
        <v/>
      </c>
      <c r="AB30" s="42" t="str">
        <f t="array" ref="AB30">_xlfn.XLOOKUP(B30,'Up Max'!A:A,'Up Max'!G:G,)</f>
        <v/>
      </c>
      <c r="AC30" s="48" t="str">
        <f t="array" ref="AC30">_xlfn.XLOOKUP(B30,'Up Stats'!A:A,'Up Stats'!H:H,)</f>
        <v/>
      </c>
      <c r="AD30" s="40" t="str">
        <f>IFERROR(__xludf.DUMMYFUNCTION("if(AND(AE30=FALSE,AF30=FALSE),,if(AE30=AF30,JOIN("""",""Static: "",AE30),JOIN("""",""Min:  "",AE30, CHAR(10),""Max: "",AF30)))"),"")</f>
        <v/>
      </c>
      <c r="AE30" s="42" t="str">
        <f t="array" ref="AE30">_xlfn.XLOOKUP(B30,'Up Min'!A:A,'Up Min'!H:H,)</f>
        <v/>
      </c>
      <c r="AF30" s="42" t="str">
        <f t="array" ref="AF30">_xlfn.XLOOKUP(B30,'Up Max'!A:A,'Up Max'!H:H,)</f>
        <v/>
      </c>
      <c r="AG30" s="48" t="str">
        <f t="array" ref="AG30">_xlfn.XLOOKUP(B30,'Up Stats'!A:A,'Up Stats'!I:I,)</f>
        <v/>
      </c>
      <c r="AH30" s="40" t="str">
        <f>IFERROR(__xludf.DUMMYFUNCTION("if(AND(AI30=FALSE,AJ30=FALSE),,if(AI30=AJ30,JOIN("""",""Static: "",AI30),JOIN("""",""Min:  "",AI30, CHAR(10),""Max: "",AJ30)))"),"")</f>
        <v/>
      </c>
      <c r="AI30" s="42" t="str">
        <f t="array" ref="AI30">_xlfn.XLOOKUP(B30,'Up Min'!A:A,'Up Min'!I:I,)</f>
        <v/>
      </c>
      <c r="AJ30" s="42" t="str">
        <f t="array" ref="AJ30">_xlfn.XLOOKUP(B30,'Up Max'!A:A,'Up Max'!I:I,)</f>
        <v/>
      </c>
      <c r="AK30" s="48" t="str">
        <f t="array" ref="AK30">_xlfn.XLOOKUP(B30,'Up Stats'!A:A,'Up Stats'!J:J,)</f>
        <v/>
      </c>
      <c r="AL30" s="40" t="str">
        <f>IFERROR(__xludf.DUMMYFUNCTION("if(AND(AM30=FALSE,AN30=FALSE),,if(AM30=AN30,JOIN("""",""Static: "",AM30),JOIN("""",""Min:  "",AM30, CHAR(10),""Max: "",AN30)))"),"")</f>
        <v/>
      </c>
      <c r="AM30" s="42" t="str">
        <f t="array" ref="AM30">_xlfn.XLOOKUP(B30,'Up Min'!A:A,'Up Min'!J:J,)</f>
        <v/>
      </c>
      <c r="AN30" s="42" t="str">
        <f t="array" ref="AN30">_xlfn.XLOOKUP(B30,'Up Max'!A:A,'Up Max'!J:J,)</f>
        <v/>
      </c>
      <c r="AO30" s="34" t="str">
        <f t="array" ref="AO30">CONCATENATE(_xlfn.XLOOKUP(B30,'Up Cells'!A:A,'Up Cells'!B:B,))</f>
        <v>3</v>
      </c>
      <c r="AP30" s="34" t="str">
        <f t="array" ref="AP30">CONCATENATE(_xlfn.XLOOKUP(B30,'Up Rarity'!A:A,'Up Rarity'!B:B,),CHAR(10),"-")</f>
        <v>Standard
-</v>
      </c>
    </row>
    <row r="31">
      <c r="A31" s="84" t="str">
        <f t="array" ref="A31">_xlfn.XLOOKUP(B31,'Up Icon'!A:A,'Up Icon'!B:B,)</f>
        <v/>
      </c>
      <c r="B31" s="61" t="str">
        <f t="array" ref="B31">HYPERLINK(_xlfn.XLOOKUP('Up Names'!K28,'Up Wiki'!A:A,'Up Wiki'!B:B,),'Up Names'!K28)</f>
        <v>Coated Coils</v>
      </c>
      <c r="C31" s="52" t="str">
        <f t="array" ref="C31">_xlfn.XLOOKUP(B31,'Up Desc'!A:A,'Up Desc'!B:B,)</f>
        <v>Coils apply more of their element to targets.</v>
      </c>
      <c r="D31" s="52" t="str">
        <f t="array" ref="D31">_xlfn.XLOOKUP(B31,'Up Turbo'!A:A,'Up Turbo'!B:B,)</f>
        <v>n/a</v>
      </c>
      <c r="E31" s="53" t="str">
        <f t="array" ref="E31">_xlfn.XLOOKUP(B31,'Up Stats'!A:A,'Up Stats'!B:B,)</f>
        <v>Element</v>
      </c>
      <c r="F31" s="54" t="str">
        <f>IFERROR(__xludf.DUMMYFUNCTION("if(AND(G31=FALSE,H31=FALSE),,if(G31=H31,JOIN("""",""Static: "",G31),JOIN("""",""Min:  "",G31, CHAR(10),""Max: "",H31)))"),"Min:  100%
Max: 160%")</f>
        <v>Min:  100%
Max: 160%</v>
      </c>
      <c r="G31" s="59">
        <f t="array" ref="G31">_xlfn.XLOOKUP(B31,'Up Min'!A:A,'Up Min'!B:B,)</f>
        <v>1</v>
      </c>
      <c r="H31" s="59">
        <f t="array" ref="H31">_xlfn.XLOOKUP(B31,'Up Max'!A:A,'Up Max'!B:B,)</f>
        <v>1.6</v>
      </c>
      <c r="I31" s="53" t="str">
        <f t="array" ref="I31">_xlfn.XLOOKUP(B31,'Up Stats'!A:A,'Up Stats'!C:C,)</f>
        <v/>
      </c>
      <c r="J31" s="54" t="str">
        <f>IFERROR(__xludf.DUMMYFUNCTION("if(AND(K31=FALSE,L31=FALSE),,if(K31=L31,JOIN("""",""Static: "",K31),JOIN("""",""Min:  "",K31, CHAR(10),""Max: "",L31)))"),"")</f>
        <v/>
      </c>
      <c r="K31" s="55" t="str">
        <f t="array" ref="K31">_xlfn.XLOOKUP(B31,'Up Min'!A:A,'Up Min'!C:C,)</f>
        <v/>
      </c>
      <c r="L31" s="55" t="str">
        <f t="array" ref="L31">_xlfn.XLOOKUP(B31,'Up Max'!A:A,'Up Max'!C:C,)</f>
        <v/>
      </c>
      <c r="M31" s="57" t="str">
        <f t="array" ref="M31">_xlfn.XLOOKUP(B31,'Up Stats'!A:A,'Up Stats'!D:D,)</f>
        <v/>
      </c>
      <c r="N31" s="54" t="str">
        <f>IFERROR(__xludf.DUMMYFUNCTION("if(AND(O31=FALSE,P31=FALSE),,if(O31=P31,JOIN("""",""Static: "",O31),JOIN("""",""Min:  "",O31, CHAR(10),""Max: "",P31)))"),"")</f>
        <v/>
      </c>
      <c r="O31" s="55" t="str">
        <f t="array" ref="O31">_xlfn.XLOOKUP(B31,'Up Min'!A:A,'Up Min'!D:D,)</f>
        <v/>
      </c>
      <c r="P31" s="55" t="str">
        <f t="array" ref="P31">_xlfn.XLOOKUP(B31,'Up Max'!A:A,'Up Max'!D:D,)</f>
        <v/>
      </c>
      <c r="Q31" s="57" t="str">
        <f t="array" ref="Q31">_xlfn.XLOOKUP(B31,'Up Stats'!A:A,'Up Stats'!E:E,)</f>
        <v/>
      </c>
      <c r="R31" s="54" t="str">
        <f>IFERROR(__xludf.DUMMYFUNCTION("if(AND(S31=FALSE,T31=FALSE),,if(S31=T31,JOIN("""",""Static: "",S31),JOIN("""",""Min:  "",S31, CHAR(10),""Max: "",T31)))"),"")</f>
        <v/>
      </c>
      <c r="S31" s="55" t="str">
        <f t="array" ref="S31">_xlfn.XLOOKUP(B31,'Up Min'!A:A,'Up Min'!E:E,)</f>
        <v/>
      </c>
      <c r="T31" s="55" t="str">
        <f t="array" ref="T31">_xlfn.XLOOKUP(B31,'Up Max'!A:A,'Up Max'!E:E,)</f>
        <v/>
      </c>
      <c r="U31" s="57" t="str">
        <f t="array" ref="U31">_xlfn.XLOOKUP(B31,'Up Stats'!A:A,'Up Stats'!F:F,)</f>
        <v/>
      </c>
      <c r="V31" s="54" t="str">
        <f>IFERROR(__xludf.DUMMYFUNCTION("if(AND(W31=FALSE,X31=FALSE),,if(W31=X31,JOIN("""",""Static: "",W31),JOIN("""",""Min:  "",W31, CHAR(10),""Max: "",X31)))"),"")</f>
        <v/>
      </c>
      <c r="W31" s="55" t="str">
        <f t="array" ref="W31">_xlfn.XLOOKUP(B31,'Up Min'!A:A,'Up Min'!F:F,)</f>
        <v/>
      </c>
      <c r="X31" s="55" t="str">
        <f t="array" ref="X31">_xlfn.XLOOKUP(B31,'Up Max'!A:A,'Up Max'!F:F,)</f>
        <v/>
      </c>
      <c r="Y31" s="57" t="str">
        <f t="array" ref="Y31">_xlfn.XLOOKUP(B31,'Up Stats'!A:A,'Up Stats'!G:G,)</f>
        <v/>
      </c>
      <c r="Z31" s="54" t="str">
        <f>IFERROR(__xludf.DUMMYFUNCTION("if(AND(AA31=FALSE,AB31=FALSE),,if(AA31=AB31,JOIN("""",""Static: "",AA31),JOIN("""",""Min:  "",AA31, CHAR(10),""Max: "",AB31)))"),"")</f>
        <v/>
      </c>
      <c r="AA31" s="55" t="str">
        <f t="array" ref="AA31">_xlfn.XLOOKUP(B31,'Up Min'!A:A,'Up Min'!G:G,)</f>
        <v/>
      </c>
      <c r="AB31" s="55" t="str">
        <f t="array" ref="AB31">_xlfn.XLOOKUP(B31,'Up Max'!A:A,'Up Max'!G:G,)</f>
        <v/>
      </c>
      <c r="AC31" s="57" t="str">
        <f t="array" ref="AC31">_xlfn.XLOOKUP(B31,'Up Stats'!A:A,'Up Stats'!H:H,)</f>
        <v/>
      </c>
      <c r="AD31" s="54" t="str">
        <f>IFERROR(__xludf.DUMMYFUNCTION("if(AND(AE31=FALSE,AF31=FALSE),,if(AE31=AF31,JOIN("""",""Static: "",AE31),JOIN("""",""Min:  "",AE31, CHAR(10),""Max: "",AF31)))"),"")</f>
        <v/>
      </c>
      <c r="AE31" s="55" t="str">
        <f t="array" ref="AE31">_xlfn.XLOOKUP(B31,'Up Min'!A:A,'Up Min'!H:H,)</f>
        <v/>
      </c>
      <c r="AF31" s="55" t="str">
        <f t="array" ref="AF31">_xlfn.XLOOKUP(B31,'Up Max'!A:A,'Up Max'!H:H,)</f>
        <v/>
      </c>
      <c r="AG31" s="57" t="str">
        <f t="array" ref="AG31">_xlfn.XLOOKUP(B31,'Up Stats'!A:A,'Up Stats'!I:I,)</f>
        <v/>
      </c>
      <c r="AH31" s="54" t="str">
        <f>IFERROR(__xludf.DUMMYFUNCTION("if(AND(AI31=FALSE,AJ31=FALSE),,if(AI31=AJ31,JOIN("""",""Static: "",AI31),JOIN("""",""Min:  "",AI31, CHAR(10),""Max: "",AJ31)))"),"")</f>
        <v/>
      </c>
      <c r="AI31" s="55" t="str">
        <f t="array" ref="AI31">_xlfn.XLOOKUP(B31,'Up Min'!A:A,'Up Min'!I:I,)</f>
        <v/>
      </c>
      <c r="AJ31" s="55" t="str">
        <f t="array" ref="AJ31">_xlfn.XLOOKUP(B31,'Up Max'!A:A,'Up Max'!I:I,)</f>
        <v/>
      </c>
      <c r="AK31" s="57" t="str">
        <f t="array" ref="AK31">_xlfn.XLOOKUP(B31,'Up Stats'!A:A,'Up Stats'!J:J,)</f>
        <v/>
      </c>
      <c r="AL31" s="54" t="str">
        <f>IFERROR(__xludf.DUMMYFUNCTION("if(AND(AM31=FALSE,AN31=FALSE),,if(AM31=AN31,JOIN("""",""Static: "",AM31),JOIN("""",""Min:  "",AM31, CHAR(10),""Max: "",AN31)))"),"")</f>
        <v/>
      </c>
      <c r="AM31" s="55" t="str">
        <f t="array" ref="AM31">_xlfn.XLOOKUP(B31,'Up Min'!A:A,'Up Min'!J:J,)</f>
        <v/>
      </c>
      <c r="AN31" s="55" t="str">
        <f t="array" ref="AN31">_xlfn.XLOOKUP(B31,'Up Max'!A:A,'Up Max'!J:J,)</f>
        <v/>
      </c>
      <c r="AO31" s="51" t="str">
        <f t="array" ref="AO31">CONCATENATE(_xlfn.XLOOKUP(B31,'Up Cells'!A:A,'Up Cells'!B:B,))</f>
        <v>2</v>
      </c>
      <c r="AP31" s="51" t="str">
        <f t="array" ref="AP31">CONCATENATE(_xlfn.XLOOKUP(B31,'Up Rarity'!A:A,'Up Rarity'!B:B,),CHAR(10),"-")</f>
        <v>Standard
-</v>
      </c>
    </row>
    <row r="32">
      <c r="A32" s="84" t="str">
        <f t="array" ref="A32">_xlfn.XLOOKUP(B32,'Up Icon'!A:A,'Up Icon'!B:B,)</f>
        <v/>
      </c>
      <c r="B32" s="58" t="str">
        <f t="array" ref="B32">HYPERLINK(_xlfn.XLOOKUP('Up Names'!K29,'Up Wiki'!A:A,'Up Wiki'!B:B,),'Up Names'!K29)</f>
        <v>Coil Extension</v>
      </c>
      <c r="C32" s="37" t="str">
        <f t="array" ref="C32">_xlfn.XLOOKUP(B32,'Up Desc'!A:A,'Up Desc'!B:B,)</f>
        <v>Range is increased.</v>
      </c>
      <c r="D32" s="37" t="str">
        <f t="array" ref="D32">_xlfn.XLOOKUP(B32,'Up Turbo'!A:A,'Up Turbo'!B:B,)</f>
        <v>n/a</v>
      </c>
      <c r="E32" s="39" t="str">
        <f t="array" ref="E32">_xlfn.XLOOKUP(B32,'Up Stats'!A:A,'Up Stats'!B:B,)</f>
        <v>Range</v>
      </c>
      <c r="F32" s="40" t="str">
        <f>IFERROR(__xludf.DUMMYFUNCTION("if(AND(G32=FALSE,H32=FALSE),,if(G32=H32,JOIN("""",""Static: "",G32),JOIN("""",""Min:  "",G32, CHAR(10),""Max: "",H32)))"),"Min:  2.85
Max: 4.2")</f>
        <v>Min:  2.85
Max: 4.2</v>
      </c>
      <c r="G32" s="42">
        <f t="array" ref="G32">_xlfn.XLOOKUP(B32,'Up Min'!A:A,'Up Min'!B:B,)</f>
        <v>2.85</v>
      </c>
      <c r="H32" s="45">
        <f t="array" ref="H32">_xlfn.XLOOKUP(B32,'Up Max'!A:A,'Up Max'!B:B,)</f>
        <v>4.2</v>
      </c>
      <c r="I32" s="39" t="str">
        <f t="array" ref="I32">_xlfn.XLOOKUP(B32,'Up Stats'!A:A,'Up Stats'!C:C,)</f>
        <v/>
      </c>
      <c r="J32" s="40" t="str">
        <f>IFERROR(__xludf.DUMMYFUNCTION("if(AND(K32=FALSE,L32=FALSE),,if(K32=L32,JOIN("""",""Static: "",K32),JOIN("""",""Min:  "",K32, CHAR(10),""Max: "",L32)))"),"")</f>
        <v/>
      </c>
      <c r="K32" s="42" t="str">
        <f t="array" ref="K32">_xlfn.XLOOKUP(B32,'Up Min'!A:A,'Up Min'!C:C,)</f>
        <v/>
      </c>
      <c r="L32" s="42" t="str">
        <f t="array" ref="L32">_xlfn.XLOOKUP(B32,'Up Max'!A:A,'Up Max'!C:C,)</f>
        <v/>
      </c>
      <c r="M32" s="48" t="str">
        <f t="array" ref="M32">_xlfn.XLOOKUP(B32,'Up Stats'!A:A,'Up Stats'!D:D,)</f>
        <v/>
      </c>
      <c r="N32" s="40" t="str">
        <f>IFERROR(__xludf.DUMMYFUNCTION("if(AND(O32=FALSE,P32=FALSE),,if(O32=P32,JOIN("""",""Static: "",O32),JOIN("""",""Min:  "",O32, CHAR(10),""Max: "",P32)))"),"")</f>
        <v/>
      </c>
      <c r="O32" s="42" t="str">
        <f t="array" ref="O32">_xlfn.XLOOKUP(B32,'Up Min'!A:A,'Up Min'!D:D,)</f>
        <v/>
      </c>
      <c r="P32" s="42" t="str">
        <f t="array" ref="P32">_xlfn.XLOOKUP(B32,'Up Max'!A:A,'Up Max'!D:D,)</f>
        <v/>
      </c>
      <c r="Q32" s="48" t="str">
        <f t="array" ref="Q32">_xlfn.XLOOKUP(B32,'Up Stats'!A:A,'Up Stats'!E:E,)</f>
        <v/>
      </c>
      <c r="R32" s="40" t="str">
        <f>IFERROR(__xludf.DUMMYFUNCTION("if(AND(S32=FALSE,T32=FALSE),,if(S32=T32,JOIN("""",""Static: "",S32),JOIN("""",""Min:  "",S32, CHAR(10),""Max: "",T32)))"),"")</f>
        <v/>
      </c>
      <c r="S32" s="42" t="str">
        <f t="array" ref="S32">_xlfn.XLOOKUP(B32,'Up Min'!A:A,'Up Min'!E:E,)</f>
        <v/>
      </c>
      <c r="T32" s="42" t="str">
        <f t="array" ref="T32">_xlfn.XLOOKUP(B32,'Up Max'!A:A,'Up Max'!E:E,)</f>
        <v/>
      </c>
      <c r="U32" s="48" t="str">
        <f t="array" ref="U32">_xlfn.XLOOKUP(B32,'Up Stats'!A:A,'Up Stats'!F:F,)</f>
        <v/>
      </c>
      <c r="V32" s="40" t="str">
        <f>IFERROR(__xludf.DUMMYFUNCTION("if(AND(W32=FALSE,X32=FALSE),,if(W32=X32,JOIN("""",""Static: "",W32),JOIN("""",""Min:  "",W32, CHAR(10),""Max: "",X32)))"),"")</f>
        <v/>
      </c>
      <c r="W32" s="42" t="str">
        <f t="array" ref="W32">_xlfn.XLOOKUP(B32,'Up Min'!A:A,'Up Min'!F:F,)</f>
        <v/>
      </c>
      <c r="X32" s="42" t="str">
        <f t="array" ref="X32">_xlfn.XLOOKUP(B32,'Up Max'!A:A,'Up Max'!F:F,)</f>
        <v/>
      </c>
      <c r="Y32" s="48" t="str">
        <f t="array" ref="Y32">_xlfn.XLOOKUP(B32,'Up Stats'!A:A,'Up Stats'!G:G,)</f>
        <v/>
      </c>
      <c r="Z32" s="40" t="str">
        <f>IFERROR(__xludf.DUMMYFUNCTION("if(AND(AA32=FALSE,AB32=FALSE),,if(AA32=AB32,JOIN("""",""Static: "",AA32),JOIN("""",""Min:  "",AA32, CHAR(10),""Max: "",AB32)))"),"")</f>
        <v/>
      </c>
      <c r="AA32" s="42" t="str">
        <f t="array" ref="AA32">_xlfn.XLOOKUP(B32,'Up Min'!A:A,'Up Min'!G:G,)</f>
        <v/>
      </c>
      <c r="AB32" s="42" t="str">
        <f t="array" ref="AB32">_xlfn.XLOOKUP(B32,'Up Max'!A:A,'Up Max'!G:G,)</f>
        <v/>
      </c>
      <c r="AC32" s="48" t="str">
        <f t="array" ref="AC32">_xlfn.XLOOKUP(B32,'Up Stats'!A:A,'Up Stats'!H:H,)</f>
        <v/>
      </c>
      <c r="AD32" s="40" t="str">
        <f>IFERROR(__xludf.DUMMYFUNCTION("if(AND(AE32=FALSE,AF32=FALSE),,if(AE32=AF32,JOIN("""",""Static: "",AE32),JOIN("""",""Min:  "",AE32, CHAR(10),""Max: "",AF32)))"),"")</f>
        <v/>
      </c>
      <c r="AE32" s="42" t="str">
        <f t="array" ref="AE32">_xlfn.XLOOKUP(B32,'Up Min'!A:A,'Up Min'!H:H,)</f>
        <v/>
      </c>
      <c r="AF32" s="42" t="str">
        <f t="array" ref="AF32">_xlfn.XLOOKUP(B32,'Up Max'!A:A,'Up Max'!H:H,)</f>
        <v/>
      </c>
      <c r="AG32" s="48" t="str">
        <f t="array" ref="AG32">_xlfn.XLOOKUP(B32,'Up Stats'!A:A,'Up Stats'!I:I,)</f>
        <v/>
      </c>
      <c r="AH32" s="40" t="str">
        <f>IFERROR(__xludf.DUMMYFUNCTION("if(AND(AI32=FALSE,AJ32=FALSE),,if(AI32=AJ32,JOIN("""",""Static: "",AI32),JOIN("""",""Min:  "",AI32, CHAR(10),""Max: "",AJ32)))"),"")</f>
        <v/>
      </c>
      <c r="AI32" s="42" t="str">
        <f t="array" ref="AI32">_xlfn.XLOOKUP(B32,'Up Min'!A:A,'Up Min'!I:I,)</f>
        <v/>
      </c>
      <c r="AJ32" s="42" t="str">
        <f t="array" ref="AJ32">_xlfn.XLOOKUP(B32,'Up Max'!A:A,'Up Max'!I:I,)</f>
        <v/>
      </c>
      <c r="AK32" s="48" t="str">
        <f t="array" ref="AK32">_xlfn.XLOOKUP(B32,'Up Stats'!A:A,'Up Stats'!J:J,)</f>
        <v/>
      </c>
      <c r="AL32" s="40" t="str">
        <f>IFERROR(__xludf.DUMMYFUNCTION("if(AND(AM32=FALSE,AN32=FALSE),,if(AM32=AN32,JOIN("""",""Static: "",AM32),JOIN("""",""Min:  "",AM32, CHAR(10),""Max: "",AN32)))"),"")</f>
        <v/>
      </c>
      <c r="AM32" s="42" t="str">
        <f t="array" ref="AM32">_xlfn.XLOOKUP(B32,'Up Min'!A:A,'Up Min'!J:J,)</f>
        <v/>
      </c>
      <c r="AN32" s="42" t="str">
        <f t="array" ref="AN32">_xlfn.XLOOKUP(B32,'Up Max'!A:A,'Up Max'!J:J,)</f>
        <v/>
      </c>
      <c r="AO32" s="34" t="str">
        <f t="array" ref="AO32">CONCATENATE(_xlfn.XLOOKUP(B32,'Up Cells'!A:A,'Up Cells'!B:B,))</f>
        <v>2</v>
      </c>
      <c r="AP32" s="34" t="str">
        <f t="array" ref="AP32">CONCATENATE(_xlfn.XLOOKUP(B32,'Up Rarity'!A:A,'Up Rarity'!B:B,),CHAR(10),"-")</f>
        <v>Standard
-</v>
      </c>
    </row>
    <row r="33">
      <c r="A33" s="84" t="str">
        <f t="array" ref="A33">_xlfn.XLOOKUP(B33,'Up Icon'!A:A,'Up Icon'!B:B,)</f>
        <v/>
      </c>
      <c r="B33" s="61" t="str">
        <f t="array" ref="B33">HYPERLINK(_xlfn.XLOOKUP('Up Names'!K30,'Up Wiki'!A:A,'Up Wiki'!B:B,),'Up Names'!K30)</f>
        <v>Gladiator's Pockets</v>
      </c>
      <c r="C33" s="52" t="str">
        <f t="array" ref="C33">_xlfn.XLOOKUP(B33,'Up Desc'!A:A,'Up Desc'!B:B,)</f>
        <v>Ammo reserves are increased.</v>
      </c>
      <c r="D33" s="52" t="str">
        <f t="array" ref="D33">_xlfn.XLOOKUP(B33,'Up Turbo'!A:A,'Up Turbo'!B:B,)</f>
        <v>n/a</v>
      </c>
      <c r="E33" s="53" t="str">
        <f t="array" ref="E33">_xlfn.XLOOKUP(B33,'Up Stats'!A:A,'Up Stats'!B:B,)</f>
        <v>Ammo Capacity</v>
      </c>
      <c r="F33" s="54" t="str">
        <f>IFERROR(__xludf.DUMMYFUNCTION("if(AND(G33=FALSE,H33=FALSE),,if(G33=H33,JOIN("""",""Static: "",G33),JOIN("""",""Min:  "",G33, CHAR(10),""Max: "",H33)))"),"Min:  4
Max: 6")</f>
        <v>Min:  4
Max: 6</v>
      </c>
      <c r="G33" s="55">
        <f t="array" ref="G33">_xlfn.XLOOKUP(B33,'Up Min'!A:A,'Up Min'!B:B,)</f>
        <v>4</v>
      </c>
      <c r="H33" s="56">
        <f t="array" ref="H33">_xlfn.XLOOKUP(B33,'Up Max'!A:A,'Up Max'!B:B,)</f>
        <v>6</v>
      </c>
      <c r="I33" s="53" t="str">
        <f t="array" ref="I33">_xlfn.XLOOKUP(B33,'Up Stats'!A:A,'Up Stats'!C:C,)</f>
        <v/>
      </c>
      <c r="J33" s="54" t="str">
        <f>IFERROR(__xludf.DUMMYFUNCTION("if(AND(K33=FALSE,L33=FALSE),,if(K33=L33,JOIN("""",""Static: "",K33),JOIN("""",""Min:  "",K33, CHAR(10),""Max: "",L33)))"),"")</f>
        <v/>
      </c>
      <c r="K33" s="55" t="str">
        <f t="array" ref="K33">_xlfn.XLOOKUP(B33,'Up Min'!A:A,'Up Min'!C:C,)</f>
        <v/>
      </c>
      <c r="L33" s="55" t="str">
        <f t="array" ref="L33">_xlfn.XLOOKUP(B33,'Up Max'!A:A,'Up Max'!C:C,)</f>
        <v/>
      </c>
      <c r="M33" s="57" t="str">
        <f t="array" ref="M33">_xlfn.XLOOKUP(B33,'Up Stats'!A:A,'Up Stats'!D:D,)</f>
        <v/>
      </c>
      <c r="N33" s="54" t="str">
        <f>IFERROR(__xludf.DUMMYFUNCTION("if(AND(O33=FALSE,P33=FALSE),,if(O33=P33,JOIN("""",""Static: "",O33),JOIN("""",""Min:  "",O33, CHAR(10),""Max: "",P33)))"),"")</f>
        <v/>
      </c>
      <c r="O33" s="55" t="str">
        <f t="array" ref="O33">_xlfn.XLOOKUP(B33,'Up Min'!A:A,'Up Min'!D:D,)</f>
        <v/>
      </c>
      <c r="P33" s="55" t="str">
        <f t="array" ref="P33">_xlfn.XLOOKUP(B33,'Up Max'!A:A,'Up Max'!D:D,)</f>
        <v/>
      </c>
      <c r="Q33" s="57" t="str">
        <f t="array" ref="Q33">_xlfn.XLOOKUP(B33,'Up Stats'!A:A,'Up Stats'!E:E,)</f>
        <v/>
      </c>
      <c r="R33" s="54" t="str">
        <f>IFERROR(__xludf.DUMMYFUNCTION("if(AND(S33=FALSE,T33=FALSE),,if(S33=T33,JOIN("""",""Static: "",S33),JOIN("""",""Min:  "",S33, CHAR(10),""Max: "",T33)))"),"")</f>
        <v/>
      </c>
      <c r="S33" s="55" t="str">
        <f t="array" ref="S33">_xlfn.XLOOKUP(B33,'Up Min'!A:A,'Up Min'!E:E,)</f>
        <v/>
      </c>
      <c r="T33" s="55" t="str">
        <f t="array" ref="T33">_xlfn.XLOOKUP(B33,'Up Max'!A:A,'Up Max'!E:E,)</f>
        <v/>
      </c>
      <c r="U33" s="57" t="str">
        <f t="array" ref="U33">_xlfn.XLOOKUP(B33,'Up Stats'!A:A,'Up Stats'!F:F,)</f>
        <v/>
      </c>
      <c r="V33" s="54" t="str">
        <f>IFERROR(__xludf.DUMMYFUNCTION("if(AND(W33=FALSE,X33=FALSE),,if(W33=X33,JOIN("""",""Static: "",W33),JOIN("""",""Min:  "",W33, CHAR(10),""Max: "",X33)))"),"")</f>
        <v/>
      </c>
      <c r="W33" s="55" t="str">
        <f t="array" ref="W33">_xlfn.XLOOKUP(B33,'Up Min'!A:A,'Up Min'!F:F,)</f>
        <v/>
      </c>
      <c r="X33" s="55" t="str">
        <f t="array" ref="X33">_xlfn.XLOOKUP(B33,'Up Max'!A:A,'Up Max'!F:F,)</f>
        <v/>
      </c>
      <c r="Y33" s="57" t="str">
        <f t="array" ref="Y33">_xlfn.XLOOKUP(B33,'Up Stats'!A:A,'Up Stats'!G:G,)</f>
        <v/>
      </c>
      <c r="Z33" s="54" t="str">
        <f>IFERROR(__xludf.DUMMYFUNCTION("if(AND(AA33=FALSE,AB33=FALSE),,if(AA33=AB33,JOIN("""",""Static: "",AA33),JOIN("""",""Min:  "",AA33, CHAR(10),""Max: "",AB33)))"),"")</f>
        <v/>
      </c>
      <c r="AA33" s="55" t="str">
        <f t="array" ref="AA33">_xlfn.XLOOKUP(B33,'Up Min'!A:A,'Up Min'!G:G,)</f>
        <v/>
      </c>
      <c r="AB33" s="55" t="str">
        <f t="array" ref="AB33">_xlfn.XLOOKUP(B33,'Up Max'!A:A,'Up Max'!G:G,)</f>
        <v/>
      </c>
      <c r="AC33" s="57" t="str">
        <f t="array" ref="AC33">_xlfn.XLOOKUP(B33,'Up Stats'!A:A,'Up Stats'!H:H,)</f>
        <v/>
      </c>
      <c r="AD33" s="54" t="str">
        <f>IFERROR(__xludf.DUMMYFUNCTION("if(AND(AE33=FALSE,AF33=FALSE),,if(AE33=AF33,JOIN("""",""Static: "",AE33),JOIN("""",""Min:  "",AE33, CHAR(10),""Max: "",AF33)))"),"")</f>
        <v/>
      </c>
      <c r="AE33" s="55" t="str">
        <f t="array" ref="AE33">_xlfn.XLOOKUP(B33,'Up Min'!A:A,'Up Min'!H:H,)</f>
        <v/>
      </c>
      <c r="AF33" s="55" t="str">
        <f t="array" ref="AF33">_xlfn.XLOOKUP(B33,'Up Max'!A:A,'Up Max'!H:H,)</f>
        <v/>
      </c>
      <c r="AG33" s="57" t="str">
        <f t="array" ref="AG33">_xlfn.XLOOKUP(B33,'Up Stats'!A:A,'Up Stats'!I:I,)</f>
        <v/>
      </c>
      <c r="AH33" s="54" t="str">
        <f>IFERROR(__xludf.DUMMYFUNCTION("if(AND(AI33=FALSE,AJ33=FALSE),,if(AI33=AJ33,JOIN("""",""Static: "",AI33),JOIN("""",""Min:  "",AI33, CHAR(10),""Max: "",AJ33)))"),"")</f>
        <v/>
      </c>
      <c r="AI33" s="55" t="str">
        <f t="array" ref="AI33">_xlfn.XLOOKUP(B33,'Up Min'!A:A,'Up Min'!I:I,)</f>
        <v/>
      </c>
      <c r="AJ33" s="55" t="str">
        <f t="array" ref="AJ33">_xlfn.XLOOKUP(B33,'Up Max'!A:A,'Up Max'!I:I,)</f>
        <v/>
      </c>
      <c r="AK33" s="57" t="str">
        <f t="array" ref="AK33">_xlfn.XLOOKUP(B33,'Up Stats'!A:A,'Up Stats'!J:J,)</f>
        <v/>
      </c>
      <c r="AL33" s="54" t="str">
        <f>IFERROR(__xludf.DUMMYFUNCTION("if(AND(AM33=FALSE,AN33=FALSE),,if(AM33=AN33,JOIN("""",""Static: "",AM33),JOIN("""",""Min:  "",AM33, CHAR(10),""Max: "",AN33)))"),"")</f>
        <v/>
      </c>
      <c r="AM33" s="55" t="str">
        <f t="array" ref="AM33">_xlfn.XLOOKUP(B33,'Up Min'!A:A,'Up Min'!J:J,)</f>
        <v/>
      </c>
      <c r="AN33" s="55" t="str">
        <f t="array" ref="AN33">_xlfn.XLOOKUP(B33,'Up Max'!A:A,'Up Max'!J:J,)</f>
        <v/>
      </c>
      <c r="AO33" s="51" t="str">
        <f t="array" ref="AO33">CONCATENATE(_xlfn.XLOOKUP(B33,'Up Cells'!A:A,'Up Cells'!B:B,))</f>
        <v>3</v>
      </c>
      <c r="AP33" s="51" t="str">
        <f t="array" ref="AP33">CONCATENATE(_xlfn.XLOOKUP(B33,'Up Rarity'!A:A,'Up Rarity'!B:B,),CHAR(10),"-")</f>
        <v>Standard
-</v>
      </c>
    </row>
    <row r="34">
      <c r="A34" s="84" t="str">
        <f t="array" ref="A34">_xlfn.XLOOKUP(B34,'Up Icon'!A:A,'Up Icon'!B:B,)</f>
        <v/>
      </c>
      <c r="B34" s="58" t="str">
        <f t="array" ref="B34">HYPERLINK(_xlfn.XLOOKUP('Up Names'!K31,'Up Wiki'!A:A,'Up Wiki'!B:B,),'Up Names'!K31)</f>
        <v>Squire Supplier</v>
      </c>
      <c r="C34" s="37" t="str">
        <f t="array" ref="C34">_xlfn.XLOOKUP(B34,'Up Desc'!A:A,'Up Desc'!B:B,)</f>
        <v>Reload speed is increased.</v>
      </c>
      <c r="D34" s="37" t="str">
        <f t="array" ref="D34">_xlfn.XLOOKUP(B34,'Up Turbo'!A:A,'Up Turbo'!B:B,)</f>
        <v>n/a</v>
      </c>
      <c r="E34" s="39" t="str">
        <f t="array" ref="E34">_xlfn.XLOOKUP(B34,'Up Stats'!A:A,'Up Stats'!B:B,)</f>
        <v>Reload Speed</v>
      </c>
      <c r="F34" s="40" t="str">
        <f>IFERROR(__xludf.DUMMYFUNCTION("if(AND(G34=FALSE,H34=FALSE),,if(G34=H34,JOIN("""",""Static: "",G34),JOIN("""",""Min:  "",G34, CHAR(10),""Max: "",H34)))"),"Min:  11.11%
Max: 7.53%")</f>
        <v>Min:  11.11%
Max: 7.53%</v>
      </c>
      <c r="G34" s="85">
        <f t="array" ref="G34">_xlfn.XLOOKUP(B34,'Up Min'!A:A,'Up Min'!B:B,)</f>
        <v>0.1111</v>
      </c>
      <c r="H34" s="85">
        <f t="array" ref="H34">_xlfn.XLOOKUP(B34,'Up Max'!A:A,'Up Max'!B:B,)</f>
        <v>0.0753</v>
      </c>
      <c r="I34" s="39" t="str">
        <f t="array" ref="I34">_xlfn.XLOOKUP(B34,'Up Stats'!A:A,'Up Stats'!C:C,)</f>
        <v/>
      </c>
      <c r="J34" s="40" t="str">
        <f>IFERROR(__xludf.DUMMYFUNCTION("if(AND(K34=FALSE,L34=FALSE),,if(K34=L34,JOIN("""",""Static: "",K34),JOIN("""",""Min:  "",K34, CHAR(10),""Max: "",L34)))"),"")</f>
        <v/>
      </c>
      <c r="K34" s="42" t="str">
        <f t="array" ref="K34">_xlfn.XLOOKUP(B34,'Up Min'!A:A,'Up Min'!C:C,)</f>
        <v/>
      </c>
      <c r="L34" s="42" t="str">
        <f t="array" ref="L34">_xlfn.XLOOKUP(B34,'Up Max'!A:A,'Up Max'!C:C,)</f>
        <v/>
      </c>
      <c r="M34" s="48" t="str">
        <f t="array" ref="M34">_xlfn.XLOOKUP(B34,'Up Stats'!A:A,'Up Stats'!D:D,)</f>
        <v/>
      </c>
      <c r="N34" s="40" t="str">
        <f>IFERROR(__xludf.DUMMYFUNCTION("if(AND(O34=FALSE,P34=FALSE),,if(O34=P34,JOIN("""",""Static: "",O34),JOIN("""",""Min:  "",O34, CHAR(10),""Max: "",P34)))"),"")</f>
        <v/>
      </c>
      <c r="O34" s="42" t="str">
        <f t="array" ref="O34">_xlfn.XLOOKUP(B34,'Up Min'!A:A,'Up Min'!D:D,)</f>
        <v/>
      </c>
      <c r="P34" s="42" t="str">
        <f t="array" ref="P34">_xlfn.XLOOKUP(B34,'Up Max'!A:A,'Up Max'!D:D,)</f>
        <v/>
      </c>
      <c r="Q34" s="48" t="str">
        <f t="array" ref="Q34">_xlfn.XLOOKUP(B34,'Up Stats'!A:A,'Up Stats'!E:E,)</f>
        <v/>
      </c>
      <c r="R34" s="40" t="str">
        <f>IFERROR(__xludf.DUMMYFUNCTION("if(AND(S34=FALSE,T34=FALSE),,if(S34=T34,JOIN("""",""Static: "",S34),JOIN("""",""Min:  "",S34, CHAR(10),""Max: "",T34)))"),"")</f>
        <v/>
      </c>
      <c r="S34" s="42" t="str">
        <f t="array" ref="S34">_xlfn.XLOOKUP(B34,'Up Min'!A:A,'Up Min'!E:E,)</f>
        <v/>
      </c>
      <c r="T34" s="42" t="str">
        <f t="array" ref="T34">_xlfn.XLOOKUP(B34,'Up Max'!A:A,'Up Max'!E:E,)</f>
        <v/>
      </c>
      <c r="U34" s="48" t="str">
        <f t="array" ref="U34">_xlfn.XLOOKUP(B34,'Up Stats'!A:A,'Up Stats'!F:F,)</f>
        <v/>
      </c>
      <c r="V34" s="40" t="str">
        <f>IFERROR(__xludf.DUMMYFUNCTION("if(AND(W34=FALSE,X34=FALSE),,if(W34=X34,JOIN("""",""Static: "",W34),JOIN("""",""Min:  "",W34, CHAR(10),""Max: "",X34)))"),"")</f>
        <v/>
      </c>
      <c r="W34" s="42" t="str">
        <f t="array" ref="W34">_xlfn.XLOOKUP(B34,'Up Min'!A:A,'Up Min'!F:F,)</f>
        <v/>
      </c>
      <c r="X34" s="42" t="str">
        <f t="array" ref="X34">_xlfn.XLOOKUP(B34,'Up Max'!A:A,'Up Max'!F:F,)</f>
        <v/>
      </c>
      <c r="Y34" s="48" t="str">
        <f t="array" ref="Y34">_xlfn.XLOOKUP(B34,'Up Stats'!A:A,'Up Stats'!G:G,)</f>
        <v/>
      </c>
      <c r="Z34" s="40" t="str">
        <f>IFERROR(__xludf.DUMMYFUNCTION("if(AND(AA34=FALSE,AB34=FALSE),,if(AA34=AB34,JOIN("""",""Static: "",AA34),JOIN("""",""Min:  "",AA34, CHAR(10),""Max: "",AB34)))"),"")</f>
        <v/>
      </c>
      <c r="AA34" s="42" t="str">
        <f t="array" ref="AA34">_xlfn.XLOOKUP(B34,'Up Min'!A:A,'Up Min'!G:G,)</f>
        <v/>
      </c>
      <c r="AB34" s="42" t="str">
        <f t="array" ref="AB34">_xlfn.XLOOKUP(B34,'Up Max'!A:A,'Up Max'!G:G,)</f>
        <v/>
      </c>
      <c r="AC34" s="48" t="str">
        <f t="array" ref="AC34">_xlfn.XLOOKUP(B34,'Up Stats'!A:A,'Up Stats'!H:H,)</f>
        <v/>
      </c>
      <c r="AD34" s="40" t="str">
        <f>IFERROR(__xludf.DUMMYFUNCTION("if(AND(AE34=FALSE,AF34=FALSE),,if(AE34=AF34,JOIN("""",""Static: "",AE34),JOIN("""",""Min:  "",AE34, CHAR(10),""Max: "",AF34)))"),"")</f>
        <v/>
      </c>
      <c r="AE34" s="42" t="str">
        <f t="array" ref="AE34">_xlfn.XLOOKUP(B34,'Up Min'!A:A,'Up Min'!H:H,)</f>
        <v/>
      </c>
      <c r="AF34" s="42" t="str">
        <f t="array" ref="AF34">_xlfn.XLOOKUP(B34,'Up Max'!A:A,'Up Max'!H:H,)</f>
        <v/>
      </c>
      <c r="AG34" s="48" t="str">
        <f t="array" ref="AG34">_xlfn.XLOOKUP(B34,'Up Stats'!A:A,'Up Stats'!I:I,)</f>
        <v/>
      </c>
      <c r="AH34" s="40" t="str">
        <f>IFERROR(__xludf.DUMMYFUNCTION("if(AND(AI34=FALSE,AJ34=FALSE),,if(AI34=AJ34,JOIN("""",""Static: "",AI34),JOIN("""",""Min:  "",AI34, CHAR(10),""Max: "",AJ34)))"),"")</f>
        <v/>
      </c>
      <c r="AI34" s="42" t="str">
        <f t="array" ref="AI34">_xlfn.XLOOKUP(B34,'Up Min'!A:A,'Up Min'!I:I,)</f>
        <v/>
      </c>
      <c r="AJ34" s="42" t="str">
        <f t="array" ref="AJ34">_xlfn.XLOOKUP(B34,'Up Max'!A:A,'Up Max'!I:I,)</f>
        <v/>
      </c>
      <c r="AK34" s="48" t="str">
        <f t="array" ref="AK34">_xlfn.XLOOKUP(B34,'Up Stats'!A:A,'Up Stats'!J:J,)</f>
        <v/>
      </c>
      <c r="AL34" s="40" t="str">
        <f>IFERROR(__xludf.DUMMYFUNCTION("if(AND(AM34=FALSE,AN34=FALSE),,if(AM34=AN34,JOIN("""",""Static: "",AM34),JOIN("""",""Min:  "",AM34, CHAR(10),""Max: "",AN34)))"),"")</f>
        <v/>
      </c>
      <c r="AM34" s="42" t="str">
        <f t="array" ref="AM34">_xlfn.XLOOKUP(B34,'Up Min'!A:A,'Up Min'!J:J,)</f>
        <v/>
      </c>
      <c r="AN34" s="42" t="str">
        <f t="array" ref="AN34">_xlfn.XLOOKUP(B34,'Up Max'!A:A,'Up Max'!J:J,)</f>
        <v/>
      </c>
      <c r="AO34" s="34" t="str">
        <f t="array" ref="AO34">CONCATENATE(_xlfn.XLOOKUP(B34,'Up Cells'!A:A,'Up Cells'!B:B,))</f>
        <v>3</v>
      </c>
      <c r="AP34" s="34" t="str">
        <f t="array" ref="AP34">CONCATENATE(_xlfn.XLOOKUP(B34,'Up Rarity'!A:A,'Up Rarity'!B:B,),CHAR(10),"-")</f>
        <v>Standard
-</v>
      </c>
    </row>
    <row r="35">
      <c r="A35" s="84" t="str">
        <f t="array" ref="A35">_xlfn.XLOOKUP(B35,'Up Icon'!A:A,'Up Icon'!B:B,)</f>
        <v/>
      </c>
      <c r="B35" s="61" t="str">
        <f t="array" ref="B35">HYPERLINK(_xlfn.XLOOKUP('Up Names'!K32,'Up Wiki'!A:A,'Up Wiki'!B:B,),'Up Names'!K32)</f>
        <v>Triple A</v>
      </c>
      <c r="C35" s="52" t="str">
        <f t="array" ref="C35">_xlfn.XLOOKUP(B35,'Up Desc'!A:A,'Up Desc'!B:B,)</f>
        <v>Magazine size is increased.</v>
      </c>
      <c r="D35" s="52" t="str">
        <f t="array" ref="D35">_xlfn.XLOOKUP(B35,'Up Turbo'!A:A,'Up Turbo'!B:B,)</f>
        <v>n/a</v>
      </c>
      <c r="E35" s="53" t="str">
        <f t="array" ref="E35">_xlfn.XLOOKUP(B35,'Up Stats'!A:A,'Up Stats'!B:B,)</f>
        <v>Magazine Size</v>
      </c>
      <c r="F35" s="54" t="str">
        <f>IFERROR(__xludf.DUMMYFUNCTION("if(AND(G35=FALSE,H35=FALSE),,if(G35=H35,JOIN("""",""Static: "",G35),JOIN("""",""Min:  "",G35, CHAR(10),""Max: "",H35)))"),"Min:  1
Max: 2")</f>
        <v>Min:  1
Max: 2</v>
      </c>
      <c r="G35" s="55">
        <f t="array" ref="G35">_xlfn.XLOOKUP(B35,'Up Min'!A:A,'Up Min'!B:B,)</f>
        <v>1</v>
      </c>
      <c r="H35" s="56">
        <f t="array" ref="H35">_xlfn.XLOOKUP(B35,'Up Max'!A:A,'Up Max'!B:B,)</f>
        <v>2</v>
      </c>
      <c r="I35" s="53" t="str">
        <f t="array" ref="I35">_xlfn.XLOOKUP(B35,'Up Stats'!A:A,'Up Stats'!C:C,)</f>
        <v/>
      </c>
      <c r="J35" s="54" t="str">
        <f>IFERROR(__xludf.DUMMYFUNCTION("if(AND(K35=FALSE,L35=FALSE),,if(K35=L35,JOIN("""",""Static: "",K35),JOIN("""",""Min:  "",K35, CHAR(10),""Max: "",L35)))"),"")</f>
        <v/>
      </c>
      <c r="K35" s="55" t="str">
        <f t="array" ref="K35">_xlfn.XLOOKUP(B35,'Up Min'!A:A,'Up Min'!C:C,)</f>
        <v/>
      </c>
      <c r="L35" s="55" t="str">
        <f t="array" ref="L35">_xlfn.XLOOKUP(B35,'Up Max'!A:A,'Up Max'!C:C,)</f>
        <v/>
      </c>
      <c r="M35" s="57" t="str">
        <f t="array" ref="M35">_xlfn.XLOOKUP(B35,'Up Stats'!A:A,'Up Stats'!D:D,)</f>
        <v/>
      </c>
      <c r="N35" s="54" t="str">
        <f>IFERROR(__xludf.DUMMYFUNCTION("if(AND(O35=FALSE,P35=FALSE),,if(O35=P35,JOIN("""",""Static: "",O35),JOIN("""",""Min:  "",O35, CHAR(10),""Max: "",P35)))"),"")</f>
        <v/>
      </c>
      <c r="O35" s="55" t="str">
        <f t="array" ref="O35">_xlfn.XLOOKUP(B35,'Up Min'!A:A,'Up Min'!D:D,)</f>
        <v/>
      </c>
      <c r="P35" s="55" t="str">
        <f t="array" ref="P35">_xlfn.XLOOKUP(B35,'Up Max'!A:A,'Up Max'!D:D,)</f>
        <v/>
      </c>
      <c r="Q35" s="57" t="str">
        <f t="array" ref="Q35">_xlfn.XLOOKUP(B35,'Up Stats'!A:A,'Up Stats'!E:E,)</f>
        <v/>
      </c>
      <c r="R35" s="54" t="str">
        <f>IFERROR(__xludf.DUMMYFUNCTION("if(AND(S35=FALSE,T35=FALSE),,if(S35=T35,JOIN("""",""Static: "",S35),JOIN("""",""Min:  "",S35, CHAR(10),""Max: "",T35)))"),"")</f>
        <v/>
      </c>
      <c r="S35" s="55" t="str">
        <f t="array" ref="S35">_xlfn.XLOOKUP(B35,'Up Min'!A:A,'Up Min'!E:E,)</f>
        <v/>
      </c>
      <c r="T35" s="55" t="str">
        <f t="array" ref="T35">_xlfn.XLOOKUP(B35,'Up Max'!A:A,'Up Max'!E:E,)</f>
        <v/>
      </c>
      <c r="U35" s="57" t="str">
        <f t="array" ref="U35">_xlfn.XLOOKUP(B35,'Up Stats'!A:A,'Up Stats'!F:F,)</f>
        <v/>
      </c>
      <c r="V35" s="54" t="str">
        <f>IFERROR(__xludf.DUMMYFUNCTION("if(AND(W35=FALSE,X35=FALSE),,if(W35=X35,JOIN("""",""Static: "",W35),JOIN("""",""Min:  "",W35, CHAR(10),""Max: "",X35)))"),"")</f>
        <v/>
      </c>
      <c r="W35" s="55" t="str">
        <f t="array" ref="W35">_xlfn.XLOOKUP(B35,'Up Min'!A:A,'Up Min'!F:F,)</f>
        <v/>
      </c>
      <c r="X35" s="55" t="str">
        <f t="array" ref="X35">_xlfn.XLOOKUP(B35,'Up Max'!A:A,'Up Max'!F:F,)</f>
        <v/>
      </c>
      <c r="Y35" s="57" t="str">
        <f t="array" ref="Y35">_xlfn.XLOOKUP(B35,'Up Stats'!A:A,'Up Stats'!G:G,)</f>
        <v/>
      </c>
      <c r="Z35" s="54" t="str">
        <f>IFERROR(__xludf.DUMMYFUNCTION("if(AND(AA35=FALSE,AB35=FALSE),,if(AA35=AB35,JOIN("""",""Static: "",AA35),JOIN("""",""Min:  "",AA35, CHAR(10),""Max: "",AB35)))"),"")</f>
        <v/>
      </c>
      <c r="AA35" s="55" t="str">
        <f t="array" ref="AA35">_xlfn.XLOOKUP(B35,'Up Min'!A:A,'Up Min'!G:G,)</f>
        <v/>
      </c>
      <c r="AB35" s="55" t="str">
        <f t="array" ref="AB35">_xlfn.XLOOKUP(B35,'Up Max'!A:A,'Up Max'!G:G,)</f>
        <v/>
      </c>
      <c r="AC35" s="57" t="str">
        <f t="array" ref="AC35">_xlfn.XLOOKUP(B35,'Up Stats'!A:A,'Up Stats'!H:H,)</f>
        <v/>
      </c>
      <c r="AD35" s="54" t="str">
        <f>IFERROR(__xludf.DUMMYFUNCTION("if(AND(AE35=FALSE,AF35=FALSE),,if(AE35=AF35,JOIN("""",""Static: "",AE35),JOIN("""",""Min:  "",AE35, CHAR(10),""Max: "",AF35)))"),"")</f>
        <v/>
      </c>
      <c r="AE35" s="55" t="str">
        <f t="array" ref="AE35">_xlfn.XLOOKUP(B35,'Up Min'!A:A,'Up Min'!H:H,)</f>
        <v/>
      </c>
      <c r="AF35" s="55" t="str">
        <f t="array" ref="AF35">_xlfn.XLOOKUP(B35,'Up Max'!A:A,'Up Max'!H:H,)</f>
        <v/>
      </c>
      <c r="AG35" s="57" t="str">
        <f t="array" ref="AG35">_xlfn.XLOOKUP(B35,'Up Stats'!A:A,'Up Stats'!I:I,)</f>
        <v/>
      </c>
      <c r="AH35" s="54" t="str">
        <f>IFERROR(__xludf.DUMMYFUNCTION("if(AND(AI35=FALSE,AJ35=FALSE),,if(AI35=AJ35,JOIN("""",""Static: "",AI35),JOIN("""",""Min:  "",AI35, CHAR(10),""Max: "",AJ35)))"),"")</f>
        <v/>
      </c>
      <c r="AI35" s="55" t="str">
        <f t="array" ref="AI35">_xlfn.XLOOKUP(B35,'Up Min'!A:A,'Up Min'!I:I,)</f>
        <v/>
      </c>
      <c r="AJ35" s="55" t="str">
        <f t="array" ref="AJ35">_xlfn.XLOOKUP(B35,'Up Max'!A:A,'Up Max'!I:I,)</f>
        <v/>
      </c>
      <c r="AK35" s="57" t="str">
        <f t="array" ref="AK35">_xlfn.XLOOKUP(B35,'Up Stats'!A:A,'Up Stats'!J:J,)</f>
        <v/>
      </c>
      <c r="AL35" s="54" t="str">
        <f>IFERROR(__xludf.DUMMYFUNCTION("if(AND(AM35=FALSE,AN35=FALSE),,if(AM35=AN35,JOIN("""",""Static: "",AM35),JOIN("""",""Min:  "",AM35, CHAR(10),""Max: "",AN35)))"),"")</f>
        <v/>
      </c>
      <c r="AM35" s="55" t="str">
        <f t="array" ref="AM35">_xlfn.XLOOKUP(B35,'Up Min'!A:A,'Up Min'!J:J,)</f>
        <v/>
      </c>
      <c r="AN35" s="55" t="str">
        <f t="array" ref="AN35">_xlfn.XLOOKUP(B35,'Up Max'!A:A,'Up Max'!J:J,)</f>
        <v/>
      </c>
      <c r="AO35" s="51" t="str">
        <f t="array" ref="AO35">CONCATENATE(_xlfn.XLOOKUP(B35,'Up Cells'!A:A,'Up Cells'!B:B,))</f>
        <v>4</v>
      </c>
      <c r="AP35" s="51" t="str">
        <f t="array" ref="AP35">CONCATENATE(_xlfn.XLOOKUP(B35,'Up Rarity'!A:A,'Up Rarity'!B:B,),CHAR(10),"-")</f>
        <v>Standard
-</v>
      </c>
    </row>
    <row r="36">
      <c r="A36" s="87" t="str">
        <f t="array" ref="A36">_xlfn.XLOOKUP(B36,'Up Icon'!A:A,'Up Icon'!B:B,)</f>
        <v/>
      </c>
      <c r="B36" s="58" t="str">
        <f t="array" ref="B36">HYPERLINK(_xlfn.XLOOKUP('Up Names'!K36,'Up Wiki'!A:A,'Up Wiki'!B:B,),'Up Names'!K36)</f>
        <v/>
      </c>
      <c r="C36" s="37" t="str">
        <f t="array" ref="C36">_xlfn.XLOOKUP(B36,'Up Desc'!A:A,'Up Desc'!B:B,)</f>
        <v/>
      </c>
      <c r="D36" s="37" t="str">
        <f t="array" ref="D36">_xlfn.XLOOKUP(B36,'Up Turbo'!A:A,'Up Turbo'!B:B,)</f>
        <v/>
      </c>
      <c r="E36" s="39" t="str">
        <f t="array" ref="E36">_xlfn.XLOOKUP(B36,'Up Stats'!A:A,'Up Stats'!B:B,)</f>
        <v/>
      </c>
      <c r="F36" s="40" t="str">
        <f>IFERROR(__xludf.DUMMYFUNCTION("if(AND(G36=FALSE,H36=FALSE),,if(G36=H36,JOIN("""",""Static: "",G36),JOIN("""",""Min:  "",G36, CHAR(10),""Max: "",H36)))"),"")</f>
        <v/>
      </c>
      <c r="G36" s="42" t="str">
        <f t="array" ref="G36">_xlfn.XLOOKUP(B36,'Up Min'!A:A,'Up Min'!B:B,)</f>
        <v/>
      </c>
      <c r="H36" s="45" t="str">
        <f t="array" ref="H36">_xlfn.XLOOKUP(B36,'Up Max'!A:A,'Up Max'!B:B,)</f>
        <v/>
      </c>
      <c r="I36" s="39" t="str">
        <f t="array" ref="I36">_xlfn.XLOOKUP(B36,'Up Stats'!A:A,'Up Stats'!C:C,)</f>
        <v/>
      </c>
      <c r="J36" s="40" t="str">
        <f>IFERROR(__xludf.DUMMYFUNCTION("if(AND(K36=FALSE,L36=FALSE),,if(K36=L36,JOIN("""",""Static: "",K36),JOIN("""",""Min:  "",K36, CHAR(10),""Max: "",L36)))"),"")</f>
        <v/>
      </c>
      <c r="K36" s="42" t="str">
        <f t="array" ref="K36">_xlfn.XLOOKUP(B36,'Up Min'!A:A,'Up Min'!C:C,)</f>
        <v/>
      </c>
      <c r="L36" s="42" t="str">
        <f t="array" ref="L36">_xlfn.XLOOKUP(B36,'Up Max'!A:A,'Up Max'!C:C,)</f>
        <v/>
      </c>
      <c r="M36" s="48" t="str">
        <f t="array" ref="M36">_xlfn.XLOOKUP(B36,'Up Stats'!A:A,'Up Stats'!D:D,)</f>
        <v/>
      </c>
      <c r="N36" s="40" t="str">
        <f>IFERROR(__xludf.DUMMYFUNCTION("if(AND(O36=FALSE,P36=FALSE),,if(O36=P36,JOIN("""",""Static: "",O36),JOIN("""",""Min:  "",O36, CHAR(10),""Max: "",P36)))"),"")</f>
        <v/>
      </c>
      <c r="O36" s="42" t="str">
        <f t="array" ref="O36">_xlfn.XLOOKUP(B36,'Up Min'!A:A,'Up Min'!D:D,)</f>
        <v/>
      </c>
      <c r="P36" s="42" t="str">
        <f t="array" ref="P36">_xlfn.XLOOKUP(B36,'Up Max'!A:A,'Up Max'!D:D,)</f>
        <v/>
      </c>
      <c r="Q36" s="48" t="str">
        <f t="array" ref="Q36">_xlfn.XLOOKUP(B36,'Up Stats'!A:A,'Up Stats'!E:E,)</f>
        <v/>
      </c>
      <c r="R36" s="40" t="str">
        <f>IFERROR(__xludf.DUMMYFUNCTION("if(AND(S36=FALSE,T36=FALSE),,if(S36=T36,JOIN("""",""Static: "",S36),JOIN("""",""Min:  "",S36, CHAR(10),""Max: "",T36)))"),"")</f>
        <v/>
      </c>
      <c r="S36" s="42" t="str">
        <f t="array" ref="S36">_xlfn.XLOOKUP(B36,'Up Min'!A:A,'Up Min'!E:E,)</f>
        <v/>
      </c>
      <c r="T36" s="42" t="str">
        <f t="array" ref="T36">_xlfn.XLOOKUP(B36,'Up Max'!A:A,'Up Max'!E:E,)</f>
        <v/>
      </c>
      <c r="U36" s="48" t="str">
        <f t="array" ref="U36">_xlfn.XLOOKUP(B36,'Up Stats'!A:A,'Up Stats'!F:F,)</f>
        <v/>
      </c>
      <c r="V36" s="40" t="str">
        <f>IFERROR(__xludf.DUMMYFUNCTION("if(AND(W36=FALSE,X36=FALSE),,if(W36=X36,JOIN("""",""Static: "",W36),JOIN("""",""Min:  "",W36, CHAR(10),""Max: "",X36)))"),"")</f>
        <v/>
      </c>
      <c r="W36" s="42" t="str">
        <f t="array" ref="W36">_xlfn.XLOOKUP(B36,'Up Min'!A:A,'Up Min'!F:F,)</f>
        <v/>
      </c>
      <c r="X36" s="42" t="str">
        <f t="array" ref="X36">_xlfn.XLOOKUP(B36,'Up Max'!A:A,'Up Max'!F:F,)</f>
        <v/>
      </c>
      <c r="Y36" s="48" t="str">
        <f t="array" ref="Y36">_xlfn.XLOOKUP(B36,'Up Stats'!A:A,'Up Stats'!G:G,)</f>
        <v/>
      </c>
      <c r="Z36" s="40" t="str">
        <f>IFERROR(__xludf.DUMMYFUNCTION("if(AND(AA36=FALSE,AB36=FALSE),,if(AA36=AB36,JOIN("""",""Static: "",AA36),JOIN("""",""Min:  "",AA36, CHAR(10),""Max: "",AB36)))"),"")</f>
        <v/>
      </c>
      <c r="AA36" s="42" t="str">
        <f t="array" ref="AA36">_xlfn.XLOOKUP(B36,'Up Min'!A:A,'Up Min'!G:G,)</f>
        <v/>
      </c>
      <c r="AB36" s="42" t="str">
        <f t="array" ref="AB36">_xlfn.XLOOKUP(B36,'Up Max'!A:A,'Up Max'!G:G,)</f>
        <v/>
      </c>
      <c r="AC36" s="48" t="str">
        <f t="array" ref="AC36">_xlfn.XLOOKUP(B36,'Up Stats'!A:A,'Up Stats'!H:H,)</f>
        <v/>
      </c>
      <c r="AD36" s="40" t="str">
        <f>IFERROR(__xludf.DUMMYFUNCTION("if(AND(AE36=FALSE,AF36=FALSE),,if(AE36=AF36,JOIN("""",""Static: "",AE36),JOIN("""",""Min:  "",AE36, CHAR(10),""Max: "",AF36)))"),"")</f>
        <v/>
      </c>
      <c r="AE36" s="42" t="str">
        <f t="array" ref="AE36">_xlfn.XLOOKUP(B36,'Up Min'!A:A,'Up Min'!H:H,)</f>
        <v/>
      </c>
      <c r="AF36" s="42" t="str">
        <f t="array" ref="AF36">_xlfn.XLOOKUP(B36,'Up Max'!A:A,'Up Max'!H:H,)</f>
        <v/>
      </c>
      <c r="AG36" s="48" t="str">
        <f t="array" ref="AG36">_xlfn.XLOOKUP(B36,'Up Stats'!A:A,'Up Stats'!I:I,)</f>
        <v/>
      </c>
      <c r="AH36" s="40" t="str">
        <f>IFERROR(__xludf.DUMMYFUNCTION("if(AND(AI36=FALSE,AJ36=FALSE),,if(AI36=AJ36,JOIN("""",""Static: "",AI36),JOIN("""",""Min:  "",AI36, CHAR(10),""Max: "",AJ36)))"),"")</f>
        <v/>
      </c>
      <c r="AI36" s="42" t="str">
        <f t="array" ref="AI36">_xlfn.XLOOKUP(B36,'Up Min'!A:A,'Up Min'!I:I,)</f>
        <v/>
      </c>
      <c r="AJ36" s="42" t="str">
        <f t="array" ref="AJ36">_xlfn.XLOOKUP(B36,'Up Max'!A:A,'Up Max'!I:I,)</f>
        <v/>
      </c>
      <c r="AK36" s="48" t="str">
        <f t="array" ref="AK36">_xlfn.XLOOKUP(B36,'Up Stats'!A:A,'Up Stats'!J:J,)</f>
        <v/>
      </c>
      <c r="AL36" s="40" t="str">
        <f>IFERROR(__xludf.DUMMYFUNCTION("if(AND(AM36=FALSE,AN36=FALSE),,if(AM36=AN36,JOIN("""",""Static: "",AM36),JOIN("""",""Min:  "",AM36, CHAR(10),""Max: "",AN36)))"),"")</f>
        <v/>
      </c>
      <c r="AM36" s="42" t="str">
        <f t="array" ref="AM36">_xlfn.XLOOKUP(B36,'Up Min'!A:A,'Up Min'!J:J,)</f>
        <v/>
      </c>
      <c r="AN36" s="42" t="str">
        <f t="array" ref="AN36">_xlfn.XLOOKUP(B36,'Up Max'!A:A,'Up Max'!J:J,)</f>
        <v/>
      </c>
      <c r="AO36" s="34" t="str">
        <f t="array" ref="AO36">CONCATENATE(_xlfn.XLOOKUP(B36,'Up Cells'!A:A,'Up Cells'!B:B,))</f>
        <v/>
      </c>
      <c r="AP36" s="34" t="str">
        <f t="array" ref="AP36">CONCATENATE(_xlfn.XLOOKUP(B36,'Up Rarity'!A:A,'Up Rarity'!B:B,),CHAR(10),"-")</f>
        <v>
-</v>
      </c>
    </row>
    <row r="37">
      <c r="A37" s="86" t="str">
        <f t="array" ref="A37">_xlfn.XLOOKUP(B37,'Up Icon'!A:A,'Up Icon'!B:B,)</f>
        <v/>
      </c>
      <c r="B37" s="61" t="str">
        <f t="array" ref="B37">HYPERLINK(_xlfn.XLOOKUP('Up Names'!K37,'Up Wiki'!A:A,'Up Wiki'!B:B,),'Up Names'!K37)</f>
        <v/>
      </c>
      <c r="C37" s="52" t="str">
        <f t="array" ref="C37">_xlfn.XLOOKUP(B37,'Up Desc'!A:A,'Up Desc'!B:B,)</f>
        <v/>
      </c>
      <c r="D37" s="52" t="str">
        <f t="array" ref="D37">_xlfn.XLOOKUP(B37,'Up Turbo'!A:A,'Up Turbo'!B:B,)</f>
        <v/>
      </c>
      <c r="E37" s="53" t="str">
        <f t="array" ref="E37">_xlfn.XLOOKUP(B37,'Up Stats'!A:A,'Up Stats'!B:B,)</f>
        <v/>
      </c>
      <c r="F37" s="54" t="str">
        <f>IFERROR(__xludf.DUMMYFUNCTION("if(AND(G37=FALSE,H37=FALSE),,if(G37=H37,JOIN("""",""Static: "",G37),JOIN("""",""Min:  "",G37, CHAR(10),""Max: "",H37)))"),"")</f>
        <v/>
      </c>
      <c r="G37" s="55" t="str">
        <f t="array" ref="G37">_xlfn.XLOOKUP(B37,'Up Min'!A:A,'Up Min'!B:B,)</f>
        <v/>
      </c>
      <c r="H37" s="56" t="str">
        <f t="array" ref="H37">_xlfn.XLOOKUP(B37,'Up Max'!A:A,'Up Max'!B:B,)</f>
        <v/>
      </c>
      <c r="I37" s="53" t="str">
        <f t="array" ref="I37">_xlfn.XLOOKUP(B37,'Up Stats'!A:A,'Up Stats'!C:C,)</f>
        <v/>
      </c>
      <c r="J37" s="54" t="str">
        <f>IFERROR(__xludf.DUMMYFUNCTION("if(AND(K37=FALSE,L37=FALSE),,if(K37=L37,JOIN("""",""Static: "",K37),JOIN("""",""Min:  "",K37, CHAR(10),""Max: "",L37)))"),"")</f>
        <v/>
      </c>
      <c r="K37" s="55" t="str">
        <f t="array" ref="K37">_xlfn.XLOOKUP(B37,'Up Min'!A:A,'Up Min'!C:C,)</f>
        <v/>
      </c>
      <c r="L37" s="55" t="str">
        <f t="array" ref="L37">_xlfn.XLOOKUP(B37,'Up Max'!A:A,'Up Max'!C:C,)</f>
        <v/>
      </c>
      <c r="M37" s="57" t="str">
        <f t="array" ref="M37">_xlfn.XLOOKUP(B37,'Up Stats'!A:A,'Up Stats'!D:D,)</f>
        <v/>
      </c>
      <c r="N37" s="54" t="str">
        <f>IFERROR(__xludf.DUMMYFUNCTION("if(AND(O37=FALSE,P37=FALSE),,if(O37=P37,JOIN("""",""Static: "",O37),JOIN("""",""Min:  "",O37, CHAR(10),""Max: "",P37)))"),"")</f>
        <v/>
      </c>
      <c r="O37" s="55" t="str">
        <f t="array" ref="O37">_xlfn.XLOOKUP(B37,'Up Min'!A:A,'Up Min'!D:D,)</f>
        <v/>
      </c>
      <c r="P37" s="55" t="str">
        <f t="array" ref="P37">_xlfn.XLOOKUP(B37,'Up Max'!A:A,'Up Max'!D:D,)</f>
        <v/>
      </c>
      <c r="Q37" s="57" t="str">
        <f t="array" ref="Q37">_xlfn.XLOOKUP(B37,'Up Stats'!A:A,'Up Stats'!E:E,)</f>
        <v/>
      </c>
      <c r="R37" s="54" t="str">
        <f>IFERROR(__xludf.DUMMYFUNCTION("if(AND(S37=FALSE,T37=FALSE),,if(S37=T37,JOIN("""",""Static: "",S37),JOIN("""",""Min:  "",S37, CHAR(10),""Max: "",T37)))"),"")</f>
        <v/>
      </c>
      <c r="S37" s="55" t="str">
        <f t="array" ref="S37">_xlfn.XLOOKUP(B37,'Up Min'!A:A,'Up Min'!E:E,)</f>
        <v/>
      </c>
      <c r="T37" s="55" t="str">
        <f t="array" ref="T37">_xlfn.XLOOKUP(B37,'Up Max'!A:A,'Up Max'!E:E,)</f>
        <v/>
      </c>
      <c r="U37" s="57" t="str">
        <f t="array" ref="U37">_xlfn.XLOOKUP(B37,'Up Stats'!A:A,'Up Stats'!F:F,)</f>
        <v/>
      </c>
      <c r="V37" s="54" t="str">
        <f>IFERROR(__xludf.DUMMYFUNCTION("if(AND(W37=FALSE,X37=FALSE),,if(W37=X37,JOIN("""",""Static: "",W37),JOIN("""",""Min:  "",W37, CHAR(10),""Max: "",X37)))"),"")</f>
        <v/>
      </c>
      <c r="W37" s="55" t="str">
        <f t="array" ref="W37">_xlfn.XLOOKUP(B37,'Up Min'!A:A,'Up Min'!F:F,)</f>
        <v/>
      </c>
      <c r="X37" s="55" t="str">
        <f t="array" ref="X37">_xlfn.XLOOKUP(B37,'Up Max'!A:A,'Up Max'!F:F,)</f>
        <v/>
      </c>
      <c r="Y37" s="57" t="str">
        <f t="array" ref="Y37">_xlfn.XLOOKUP(B37,'Up Stats'!A:A,'Up Stats'!G:G,)</f>
        <v/>
      </c>
      <c r="Z37" s="54" t="str">
        <f>IFERROR(__xludf.DUMMYFUNCTION("if(AND(AA37=FALSE,AB37=FALSE),,if(AA37=AB37,JOIN("""",""Static: "",AA37),JOIN("""",""Min:  "",AA37, CHAR(10),""Max: "",AB37)))"),"")</f>
        <v/>
      </c>
      <c r="AA37" s="55" t="str">
        <f t="array" ref="AA37">_xlfn.XLOOKUP(B37,'Up Min'!A:A,'Up Min'!G:G,)</f>
        <v/>
      </c>
      <c r="AB37" s="55" t="str">
        <f t="array" ref="AB37">_xlfn.XLOOKUP(B37,'Up Max'!A:A,'Up Max'!G:G,)</f>
        <v/>
      </c>
      <c r="AC37" s="57" t="str">
        <f t="array" ref="AC37">_xlfn.XLOOKUP(B37,'Up Stats'!A:A,'Up Stats'!H:H,)</f>
        <v/>
      </c>
      <c r="AD37" s="54" t="str">
        <f>IFERROR(__xludf.DUMMYFUNCTION("if(AND(AE37=FALSE,AF37=FALSE),,if(AE37=AF37,JOIN("""",""Static: "",AE37),JOIN("""",""Min:  "",AE37, CHAR(10),""Max: "",AF37)))"),"")</f>
        <v/>
      </c>
      <c r="AE37" s="55" t="str">
        <f t="array" ref="AE37">_xlfn.XLOOKUP(B37,'Up Min'!A:A,'Up Min'!H:H,)</f>
        <v/>
      </c>
      <c r="AF37" s="55" t="str">
        <f t="array" ref="AF37">_xlfn.XLOOKUP(B37,'Up Max'!A:A,'Up Max'!H:H,)</f>
        <v/>
      </c>
      <c r="AG37" s="57" t="str">
        <f t="array" ref="AG37">_xlfn.XLOOKUP(B37,'Up Stats'!A:A,'Up Stats'!I:I,)</f>
        <v/>
      </c>
      <c r="AH37" s="54" t="str">
        <f>IFERROR(__xludf.DUMMYFUNCTION("if(AND(AI37=FALSE,AJ37=FALSE),,if(AI37=AJ37,JOIN("""",""Static: "",AI37),JOIN("""",""Min:  "",AI37, CHAR(10),""Max: "",AJ37)))"),"")</f>
        <v/>
      </c>
      <c r="AI37" s="55" t="str">
        <f t="array" ref="AI37">_xlfn.XLOOKUP(B37,'Up Min'!A:A,'Up Min'!I:I,)</f>
        <v/>
      </c>
      <c r="AJ37" s="55" t="str">
        <f t="array" ref="AJ37">_xlfn.XLOOKUP(B37,'Up Max'!A:A,'Up Max'!I:I,)</f>
        <v/>
      </c>
      <c r="AK37" s="57" t="str">
        <f t="array" ref="AK37">_xlfn.XLOOKUP(B37,'Up Stats'!A:A,'Up Stats'!J:J,)</f>
        <v/>
      </c>
      <c r="AL37" s="54" t="str">
        <f>IFERROR(__xludf.DUMMYFUNCTION("if(AND(AM37=FALSE,AN37=FALSE),,if(AM37=AN37,JOIN("""",""Static: "",AM37),JOIN("""",""Min:  "",AM37, CHAR(10),""Max: "",AN37)))"),"")</f>
        <v/>
      </c>
      <c r="AM37" s="55" t="str">
        <f t="array" ref="AM37">_xlfn.XLOOKUP(B37,'Up Min'!A:A,'Up Min'!J:J,)</f>
        <v/>
      </c>
      <c r="AN37" s="55" t="str">
        <f t="array" ref="AN37">_xlfn.XLOOKUP(B37,'Up Max'!A:A,'Up Max'!J:J,)</f>
        <v/>
      </c>
      <c r="AO37" s="51" t="str">
        <f t="array" ref="AO37">CONCATENATE(_xlfn.XLOOKUP(B37,'Up Cells'!A:A,'Up Cells'!B:B,))</f>
        <v/>
      </c>
      <c r="AP37" s="51" t="str">
        <f t="array" ref="AP37">CONCATENATE(_xlfn.XLOOKUP(B37,'Up Rarity'!A:A,'Up Rarity'!B:B,),CHAR(10),"-")</f>
        <v>
-</v>
      </c>
    </row>
    <row r="38">
      <c r="A38" s="87" t="str">
        <f t="array" ref="A38">_xlfn.XLOOKUP(B38,'Up Icon'!A:A,'Up Icon'!B:B,)</f>
        <v/>
      </c>
      <c r="B38" s="58" t="str">
        <f t="array" ref="B38">HYPERLINK(_xlfn.XLOOKUP('Up Names'!K38,'Up Wiki'!A:A,'Up Wiki'!B:B,),'Up Names'!K38)</f>
        <v/>
      </c>
      <c r="C38" s="37" t="str">
        <f t="array" ref="C38">_xlfn.XLOOKUP(B38,'Up Desc'!A:A,'Up Desc'!B:B,)</f>
        <v/>
      </c>
      <c r="D38" s="37" t="str">
        <f t="array" ref="D38">_xlfn.XLOOKUP(B38,'Up Turbo'!A:A,'Up Turbo'!B:B,)</f>
        <v/>
      </c>
      <c r="E38" s="39" t="str">
        <f t="array" ref="E38">_xlfn.XLOOKUP(B38,'Up Stats'!A:A,'Up Stats'!B:B,)</f>
        <v/>
      </c>
      <c r="F38" s="40" t="str">
        <f>IFERROR(__xludf.DUMMYFUNCTION("if(AND(G38=FALSE,H38=FALSE),,if(G38=H38,JOIN("""",""Static: "",G38),JOIN("""",""Min:  "",G38, CHAR(10),""Max: "",H38)))"),"")</f>
        <v/>
      </c>
      <c r="G38" s="42" t="str">
        <f t="array" ref="G38">_xlfn.XLOOKUP(B38,'Up Min'!A:A,'Up Min'!B:B,)</f>
        <v/>
      </c>
      <c r="H38" s="45" t="str">
        <f t="array" ref="H38">_xlfn.XLOOKUP(B38,'Up Max'!A:A,'Up Max'!B:B,)</f>
        <v/>
      </c>
      <c r="I38" s="39" t="str">
        <f t="array" ref="I38">_xlfn.XLOOKUP(B38,'Up Stats'!A:A,'Up Stats'!C:C,)</f>
        <v/>
      </c>
      <c r="J38" s="40" t="str">
        <f>IFERROR(__xludf.DUMMYFUNCTION("if(AND(K38=FALSE,L38=FALSE),,if(K38=L38,JOIN("""",""Static: "",K38),JOIN("""",""Min:  "",K38, CHAR(10),""Max: "",L38)))"),"")</f>
        <v/>
      </c>
      <c r="K38" s="42" t="str">
        <f t="array" ref="K38">_xlfn.XLOOKUP(B38,'Up Min'!A:A,'Up Min'!C:C,)</f>
        <v/>
      </c>
      <c r="L38" s="42" t="str">
        <f t="array" ref="L38">_xlfn.XLOOKUP(B38,'Up Max'!A:A,'Up Max'!C:C,)</f>
        <v/>
      </c>
      <c r="M38" s="48" t="str">
        <f t="array" ref="M38">_xlfn.XLOOKUP(B38,'Up Stats'!A:A,'Up Stats'!D:D,)</f>
        <v/>
      </c>
      <c r="N38" s="40" t="str">
        <f>IFERROR(__xludf.DUMMYFUNCTION("if(AND(O38=FALSE,P38=FALSE),,if(O38=P38,JOIN("""",""Static: "",O38),JOIN("""",""Min:  "",O38, CHAR(10),""Max: "",P38)))"),"")</f>
        <v/>
      </c>
      <c r="O38" s="42" t="str">
        <f t="array" ref="O38">_xlfn.XLOOKUP(B38,'Up Min'!A:A,'Up Min'!D:D,)</f>
        <v/>
      </c>
      <c r="P38" s="42" t="str">
        <f t="array" ref="P38">_xlfn.XLOOKUP(B38,'Up Max'!A:A,'Up Max'!D:D,)</f>
        <v/>
      </c>
      <c r="Q38" s="48" t="str">
        <f t="array" ref="Q38">_xlfn.XLOOKUP(B38,'Up Stats'!A:A,'Up Stats'!E:E,)</f>
        <v/>
      </c>
      <c r="R38" s="40" t="str">
        <f>IFERROR(__xludf.DUMMYFUNCTION("if(AND(S38=FALSE,T38=FALSE),,if(S38=T38,JOIN("""",""Static: "",S38),JOIN("""",""Min:  "",S38, CHAR(10),""Max: "",T38)))"),"")</f>
        <v/>
      </c>
      <c r="S38" s="42" t="str">
        <f t="array" ref="S38">_xlfn.XLOOKUP(B38,'Up Min'!A:A,'Up Min'!E:E,)</f>
        <v/>
      </c>
      <c r="T38" s="42" t="str">
        <f t="array" ref="T38">_xlfn.XLOOKUP(B38,'Up Max'!A:A,'Up Max'!E:E,)</f>
        <v/>
      </c>
      <c r="U38" s="48" t="str">
        <f t="array" ref="U38">_xlfn.XLOOKUP(B38,'Up Stats'!A:A,'Up Stats'!F:F,)</f>
        <v/>
      </c>
      <c r="V38" s="40" t="str">
        <f>IFERROR(__xludf.DUMMYFUNCTION("if(AND(W38=FALSE,X38=FALSE),,if(W38=X38,JOIN("""",""Static: "",W38),JOIN("""",""Min:  "",W38, CHAR(10),""Max: "",X38)))"),"")</f>
        <v/>
      </c>
      <c r="W38" s="42" t="str">
        <f t="array" ref="W38">_xlfn.XLOOKUP(B38,'Up Min'!A:A,'Up Min'!F:F,)</f>
        <v/>
      </c>
      <c r="X38" s="42" t="str">
        <f t="array" ref="X38">_xlfn.XLOOKUP(B38,'Up Max'!A:A,'Up Max'!F:F,)</f>
        <v/>
      </c>
      <c r="Y38" s="48" t="str">
        <f t="array" ref="Y38">_xlfn.XLOOKUP(B38,'Up Stats'!A:A,'Up Stats'!G:G,)</f>
        <v/>
      </c>
      <c r="Z38" s="40" t="str">
        <f>IFERROR(__xludf.DUMMYFUNCTION("if(AND(AA38=FALSE,AB38=FALSE),,if(AA38=AB38,JOIN("""",""Static: "",AA38),JOIN("""",""Min:  "",AA38, CHAR(10),""Max: "",AB38)))"),"")</f>
        <v/>
      </c>
      <c r="AA38" s="42" t="str">
        <f t="array" ref="AA38">_xlfn.XLOOKUP(B38,'Up Min'!A:A,'Up Min'!G:G,)</f>
        <v/>
      </c>
      <c r="AB38" s="42" t="str">
        <f t="array" ref="AB38">_xlfn.XLOOKUP(B38,'Up Max'!A:A,'Up Max'!G:G,)</f>
        <v/>
      </c>
      <c r="AC38" s="48" t="str">
        <f t="array" ref="AC38">_xlfn.XLOOKUP(B38,'Up Stats'!A:A,'Up Stats'!H:H,)</f>
        <v/>
      </c>
      <c r="AD38" s="40" t="str">
        <f>IFERROR(__xludf.DUMMYFUNCTION("if(AND(AE38=FALSE,AF38=FALSE),,if(AE38=AF38,JOIN("""",""Static: "",AE38),JOIN("""",""Min:  "",AE38, CHAR(10),""Max: "",AF38)))"),"")</f>
        <v/>
      </c>
      <c r="AE38" s="42" t="str">
        <f t="array" ref="AE38">_xlfn.XLOOKUP(B38,'Up Min'!A:A,'Up Min'!H:H,)</f>
        <v/>
      </c>
      <c r="AF38" s="42" t="str">
        <f t="array" ref="AF38">_xlfn.XLOOKUP(B38,'Up Max'!A:A,'Up Max'!H:H,)</f>
        <v/>
      </c>
      <c r="AG38" s="48" t="str">
        <f t="array" ref="AG38">_xlfn.XLOOKUP(B38,'Up Stats'!A:A,'Up Stats'!I:I,)</f>
        <v/>
      </c>
      <c r="AH38" s="40" t="str">
        <f>IFERROR(__xludf.DUMMYFUNCTION("if(AND(AI38=FALSE,AJ38=FALSE),,if(AI38=AJ38,JOIN("""",""Static: "",AI38),JOIN("""",""Min:  "",AI38, CHAR(10),""Max: "",AJ38)))"),"")</f>
        <v/>
      </c>
      <c r="AI38" s="42" t="str">
        <f t="array" ref="AI38">_xlfn.XLOOKUP(B38,'Up Min'!A:A,'Up Min'!I:I,)</f>
        <v/>
      </c>
      <c r="AJ38" s="42" t="str">
        <f t="array" ref="AJ38">_xlfn.XLOOKUP(B38,'Up Max'!A:A,'Up Max'!I:I,)</f>
        <v/>
      </c>
      <c r="AK38" s="48" t="str">
        <f t="array" ref="AK38">_xlfn.XLOOKUP(B38,'Up Stats'!A:A,'Up Stats'!J:J,)</f>
        <v/>
      </c>
      <c r="AL38" s="40" t="str">
        <f>IFERROR(__xludf.DUMMYFUNCTION("if(AND(AM38=FALSE,AN38=FALSE),,if(AM38=AN38,JOIN("""",""Static: "",AM38),JOIN("""",""Min:  "",AM38, CHAR(10),""Max: "",AN38)))"),"")</f>
        <v/>
      </c>
      <c r="AM38" s="42" t="str">
        <f t="array" ref="AM38">_xlfn.XLOOKUP(B38,'Up Min'!A:A,'Up Min'!J:J,)</f>
        <v/>
      </c>
      <c r="AN38" s="42" t="str">
        <f t="array" ref="AN38">_xlfn.XLOOKUP(B38,'Up Max'!A:A,'Up Max'!J:J,)</f>
        <v/>
      </c>
      <c r="AO38" s="34" t="str">
        <f t="array" ref="AO38">CONCATENATE(_xlfn.XLOOKUP(B38,'Up Cells'!A:A,'Up Cells'!B:B,))</f>
        <v/>
      </c>
      <c r="AP38" s="34" t="str">
        <f t="array" ref="AP38">CONCATENATE(_xlfn.XLOOKUP(B38,'Up Rarity'!A:A,'Up Rarity'!B:B,),CHAR(10),"-")</f>
        <v>
-</v>
      </c>
    </row>
    <row r="39">
      <c r="A39" s="86" t="str">
        <f t="array" ref="A39">_xlfn.XLOOKUP(B39,'Up Icon'!A:A,'Up Icon'!B:B,)</f>
        <v/>
      </c>
      <c r="B39" s="61" t="str">
        <f t="array" ref="B39">HYPERLINK(_xlfn.XLOOKUP('Up Names'!K39,'Up Wiki'!A:A,'Up Wiki'!B:B,),'Up Names'!K39)</f>
        <v/>
      </c>
      <c r="C39" s="52" t="str">
        <f t="array" ref="C39">_xlfn.XLOOKUP(B39,'Up Desc'!A:A,'Up Desc'!B:B,)</f>
        <v/>
      </c>
      <c r="D39" s="52" t="str">
        <f t="array" ref="D39">_xlfn.XLOOKUP(B39,'Up Turbo'!A:A,'Up Turbo'!B:B,)</f>
        <v/>
      </c>
      <c r="E39" s="53" t="str">
        <f t="array" ref="E39">_xlfn.XLOOKUP(B39,'Up Stats'!A:A,'Up Stats'!B:B,)</f>
        <v/>
      </c>
      <c r="F39" s="54" t="str">
        <f>IFERROR(__xludf.DUMMYFUNCTION("if(AND(G39=FALSE,H39=FALSE),,if(G39=H39,JOIN("""",""Static: "",G39),JOIN("""",""Min:  "",G39, CHAR(10),""Max: "",H39)))"),"")</f>
        <v/>
      </c>
      <c r="G39" s="55" t="str">
        <f t="array" ref="G39">_xlfn.XLOOKUP(B39,'Up Min'!A:A,'Up Min'!B:B,)</f>
        <v/>
      </c>
      <c r="H39" s="56" t="str">
        <f t="array" ref="H39">_xlfn.XLOOKUP(B39,'Up Max'!A:A,'Up Max'!B:B,)</f>
        <v/>
      </c>
      <c r="I39" s="53" t="str">
        <f t="array" ref="I39">_xlfn.XLOOKUP(B39,'Up Stats'!A:A,'Up Stats'!C:C,)</f>
        <v/>
      </c>
      <c r="J39" s="54" t="str">
        <f>IFERROR(__xludf.DUMMYFUNCTION("if(AND(K39=FALSE,L39=FALSE),,if(K39=L39,JOIN("""",""Static: "",K39),JOIN("""",""Min:  "",K39, CHAR(10),""Max: "",L39)))"),"")</f>
        <v/>
      </c>
      <c r="K39" s="55" t="str">
        <f t="array" ref="K39">_xlfn.XLOOKUP(B39,'Up Min'!A:A,'Up Min'!C:C,)</f>
        <v/>
      </c>
      <c r="L39" s="55" t="str">
        <f t="array" ref="L39">_xlfn.XLOOKUP(B39,'Up Max'!A:A,'Up Max'!C:C,)</f>
        <v/>
      </c>
      <c r="M39" s="57" t="str">
        <f t="array" ref="M39">_xlfn.XLOOKUP(B39,'Up Stats'!A:A,'Up Stats'!D:D,)</f>
        <v/>
      </c>
      <c r="N39" s="54" t="str">
        <f>IFERROR(__xludf.DUMMYFUNCTION("if(AND(O39=FALSE,P39=FALSE),,if(O39=P39,JOIN("""",""Static: "",O39),JOIN("""",""Min:  "",O39, CHAR(10),""Max: "",P39)))"),"")</f>
        <v/>
      </c>
      <c r="O39" s="55" t="str">
        <f t="array" ref="O39">_xlfn.XLOOKUP(B39,'Up Min'!A:A,'Up Min'!D:D,)</f>
        <v/>
      </c>
      <c r="P39" s="55" t="str">
        <f t="array" ref="P39">_xlfn.XLOOKUP(B39,'Up Max'!A:A,'Up Max'!D:D,)</f>
        <v/>
      </c>
      <c r="Q39" s="57" t="str">
        <f t="array" ref="Q39">_xlfn.XLOOKUP(B39,'Up Stats'!A:A,'Up Stats'!E:E,)</f>
        <v/>
      </c>
      <c r="R39" s="54" t="str">
        <f>IFERROR(__xludf.DUMMYFUNCTION("if(AND(S39=FALSE,T39=FALSE),,if(S39=T39,JOIN("""",""Static: "",S39),JOIN("""",""Min:  "",S39, CHAR(10),""Max: "",T39)))"),"")</f>
        <v/>
      </c>
      <c r="S39" s="55" t="str">
        <f t="array" ref="S39">_xlfn.XLOOKUP(B39,'Up Min'!A:A,'Up Min'!E:E,)</f>
        <v/>
      </c>
      <c r="T39" s="55" t="str">
        <f t="array" ref="T39">_xlfn.XLOOKUP(B39,'Up Max'!A:A,'Up Max'!E:E,)</f>
        <v/>
      </c>
      <c r="U39" s="57" t="str">
        <f t="array" ref="U39">_xlfn.XLOOKUP(B39,'Up Stats'!A:A,'Up Stats'!F:F,)</f>
        <v/>
      </c>
      <c r="V39" s="54" t="str">
        <f>IFERROR(__xludf.DUMMYFUNCTION("if(AND(W39=FALSE,X39=FALSE),,if(W39=X39,JOIN("""",""Static: "",W39),JOIN("""",""Min:  "",W39, CHAR(10),""Max: "",X39)))"),"")</f>
        <v/>
      </c>
      <c r="W39" s="55" t="str">
        <f t="array" ref="W39">_xlfn.XLOOKUP(B39,'Up Min'!A:A,'Up Min'!F:F,)</f>
        <v/>
      </c>
      <c r="X39" s="55" t="str">
        <f t="array" ref="X39">_xlfn.XLOOKUP(B39,'Up Max'!A:A,'Up Max'!F:F,)</f>
        <v/>
      </c>
      <c r="Y39" s="57" t="str">
        <f t="array" ref="Y39">_xlfn.XLOOKUP(B39,'Up Stats'!A:A,'Up Stats'!G:G,)</f>
        <v/>
      </c>
      <c r="Z39" s="54" t="str">
        <f>IFERROR(__xludf.DUMMYFUNCTION("if(AND(AA39=FALSE,AB39=FALSE),,if(AA39=AB39,JOIN("""",""Static: "",AA39),JOIN("""",""Min:  "",AA39, CHAR(10),""Max: "",AB39)))"),"")</f>
        <v/>
      </c>
      <c r="AA39" s="55" t="str">
        <f t="array" ref="AA39">_xlfn.XLOOKUP(B39,'Up Min'!A:A,'Up Min'!G:G,)</f>
        <v/>
      </c>
      <c r="AB39" s="55" t="str">
        <f t="array" ref="AB39">_xlfn.XLOOKUP(B39,'Up Max'!A:A,'Up Max'!G:G,)</f>
        <v/>
      </c>
      <c r="AC39" s="57" t="str">
        <f t="array" ref="AC39">_xlfn.XLOOKUP(B39,'Up Stats'!A:A,'Up Stats'!H:H,)</f>
        <v/>
      </c>
      <c r="AD39" s="54" t="str">
        <f>IFERROR(__xludf.DUMMYFUNCTION("if(AND(AE39=FALSE,AF39=FALSE),,if(AE39=AF39,JOIN("""",""Static: "",AE39),JOIN("""",""Min:  "",AE39, CHAR(10),""Max: "",AF39)))"),"")</f>
        <v/>
      </c>
      <c r="AE39" s="55" t="str">
        <f t="array" ref="AE39">_xlfn.XLOOKUP(B39,'Up Min'!A:A,'Up Min'!H:H,)</f>
        <v/>
      </c>
      <c r="AF39" s="55" t="str">
        <f t="array" ref="AF39">_xlfn.XLOOKUP(B39,'Up Max'!A:A,'Up Max'!H:H,)</f>
        <v/>
      </c>
      <c r="AG39" s="57" t="str">
        <f t="array" ref="AG39">_xlfn.XLOOKUP(B39,'Up Stats'!A:A,'Up Stats'!I:I,)</f>
        <v/>
      </c>
      <c r="AH39" s="54" t="str">
        <f>IFERROR(__xludf.DUMMYFUNCTION("if(AND(AI39=FALSE,AJ39=FALSE),,if(AI39=AJ39,JOIN("""",""Static: "",AI39),JOIN("""",""Min:  "",AI39, CHAR(10),""Max: "",AJ39)))"),"")</f>
        <v/>
      </c>
      <c r="AI39" s="55" t="str">
        <f t="array" ref="AI39">_xlfn.XLOOKUP(B39,'Up Min'!A:A,'Up Min'!I:I,)</f>
        <v/>
      </c>
      <c r="AJ39" s="55" t="str">
        <f t="array" ref="AJ39">_xlfn.XLOOKUP(B39,'Up Max'!A:A,'Up Max'!I:I,)</f>
        <v/>
      </c>
      <c r="AK39" s="57" t="str">
        <f t="array" ref="AK39">_xlfn.XLOOKUP(B39,'Up Stats'!A:A,'Up Stats'!J:J,)</f>
        <v/>
      </c>
      <c r="AL39" s="54" t="str">
        <f>IFERROR(__xludf.DUMMYFUNCTION("if(AND(AM39=FALSE,AN39=FALSE),,if(AM39=AN39,JOIN("""",""Static: "",AM39),JOIN("""",""Min:  "",AM39, CHAR(10),""Max: "",AN39)))"),"")</f>
        <v/>
      </c>
      <c r="AM39" s="55" t="str">
        <f t="array" ref="AM39">_xlfn.XLOOKUP(B39,'Up Min'!A:A,'Up Min'!J:J,)</f>
        <v/>
      </c>
      <c r="AN39" s="55" t="str">
        <f t="array" ref="AN39">_xlfn.XLOOKUP(B39,'Up Max'!A:A,'Up Max'!J:J,)</f>
        <v/>
      </c>
      <c r="AO39" s="51" t="str">
        <f t="array" ref="AO39">CONCATENATE(_xlfn.XLOOKUP(B39,'Up Cells'!A:A,'Up Cells'!B:B,))</f>
        <v/>
      </c>
      <c r="AP39" s="51" t="str">
        <f t="array" ref="AP39">CONCATENATE(_xlfn.XLOOKUP(B39,'Up Rarity'!A:A,'Up Rarity'!B:B,),CHAR(10),"-")</f>
        <v>
-</v>
      </c>
    </row>
    <row r="40">
      <c r="A40" s="87" t="str">
        <f t="array" ref="A40">_xlfn.XLOOKUP(B40,'Up Icon'!A:A,'Up Icon'!B:B,)</f>
        <v/>
      </c>
      <c r="B40" s="58" t="str">
        <f t="array" ref="B40">HYPERLINK(_xlfn.XLOOKUP('Up Names'!K40,'Up Wiki'!A:A,'Up Wiki'!B:B,),'Up Names'!K40)</f>
        <v/>
      </c>
      <c r="C40" s="37" t="str">
        <f t="array" ref="C40">_xlfn.XLOOKUP(B40,'Up Desc'!A:A,'Up Desc'!B:B,)</f>
        <v/>
      </c>
      <c r="D40" s="37" t="str">
        <f t="array" ref="D40">_xlfn.XLOOKUP(B40,'Up Turbo'!A:A,'Up Turbo'!B:B,)</f>
        <v/>
      </c>
      <c r="E40" s="39" t="str">
        <f t="array" ref="E40">_xlfn.XLOOKUP(B40,'Up Stats'!A:A,'Up Stats'!B:B,)</f>
        <v/>
      </c>
      <c r="F40" s="40" t="str">
        <f>IFERROR(__xludf.DUMMYFUNCTION("if(AND(G40=FALSE,H40=FALSE),,if(G40=H40,JOIN("""",""Static: "",G40),JOIN("""",""Min:  "",G40, CHAR(10),""Max: "",H40)))"),"")</f>
        <v/>
      </c>
      <c r="G40" s="42" t="str">
        <f t="array" ref="G40">_xlfn.XLOOKUP(B40,'Up Min'!A:A,'Up Min'!B:B,)</f>
        <v/>
      </c>
      <c r="H40" s="45" t="str">
        <f t="array" ref="H40">_xlfn.XLOOKUP(B40,'Up Max'!A:A,'Up Max'!B:B,)</f>
        <v/>
      </c>
      <c r="I40" s="39" t="str">
        <f t="array" ref="I40">_xlfn.XLOOKUP(B40,'Up Stats'!A:A,'Up Stats'!C:C,)</f>
        <v/>
      </c>
      <c r="J40" s="40" t="str">
        <f>IFERROR(__xludf.DUMMYFUNCTION("if(AND(K40=FALSE,L40=FALSE),,if(K40=L40,JOIN("""",""Static: "",K40),JOIN("""",""Min:  "",K40, CHAR(10),""Max: "",L40)))"),"")</f>
        <v/>
      </c>
      <c r="K40" s="42" t="str">
        <f t="array" ref="K40">_xlfn.XLOOKUP(B40,'Up Min'!A:A,'Up Min'!C:C,)</f>
        <v/>
      </c>
      <c r="L40" s="42" t="str">
        <f t="array" ref="L40">_xlfn.XLOOKUP(B40,'Up Max'!A:A,'Up Max'!C:C,)</f>
        <v/>
      </c>
      <c r="M40" s="48" t="str">
        <f t="array" ref="M40">_xlfn.XLOOKUP(B40,'Up Stats'!A:A,'Up Stats'!D:D,)</f>
        <v/>
      </c>
      <c r="N40" s="40" t="str">
        <f>IFERROR(__xludf.DUMMYFUNCTION("if(AND(O40=FALSE,P40=FALSE),,if(O40=P40,JOIN("""",""Static: "",O40),JOIN("""",""Min:  "",O40, CHAR(10),""Max: "",P40)))"),"")</f>
        <v/>
      </c>
      <c r="O40" s="42" t="str">
        <f t="array" ref="O40">_xlfn.XLOOKUP(B40,'Up Min'!A:A,'Up Min'!D:D,)</f>
        <v/>
      </c>
      <c r="P40" s="42" t="str">
        <f t="array" ref="P40">_xlfn.XLOOKUP(B40,'Up Max'!A:A,'Up Max'!D:D,)</f>
        <v/>
      </c>
      <c r="Q40" s="48" t="str">
        <f t="array" ref="Q40">_xlfn.XLOOKUP(B40,'Up Stats'!A:A,'Up Stats'!E:E,)</f>
        <v/>
      </c>
      <c r="R40" s="40" t="str">
        <f>IFERROR(__xludf.DUMMYFUNCTION("if(AND(S40=FALSE,T40=FALSE),,if(S40=T40,JOIN("""",""Static: "",S40),JOIN("""",""Min:  "",S40, CHAR(10),""Max: "",T40)))"),"")</f>
        <v/>
      </c>
      <c r="S40" s="42" t="str">
        <f t="array" ref="S40">_xlfn.XLOOKUP(B40,'Up Min'!A:A,'Up Min'!E:E,)</f>
        <v/>
      </c>
      <c r="T40" s="42" t="str">
        <f t="array" ref="T40">_xlfn.XLOOKUP(B40,'Up Max'!A:A,'Up Max'!E:E,)</f>
        <v/>
      </c>
      <c r="U40" s="48" t="str">
        <f t="array" ref="U40">_xlfn.XLOOKUP(B40,'Up Stats'!A:A,'Up Stats'!F:F,)</f>
        <v/>
      </c>
      <c r="V40" s="40" t="str">
        <f>IFERROR(__xludf.DUMMYFUNCTION("if(AND(W40=FALSE,X40=FALSE),,if(W40=X40,JOIN("""",""Static: "",W40),JOIN("""",""Min:  "",W40, CHAR(10),""Max: "",X40)))"),"")</f>
        <v/>
      </c>
      <c r="W40" s="42" t="str">
        <f t="array" ref="W40">_xlfn.XLOOKUP(B40,'Up Min'!A:A,'Up Min'!F:F,)</f>
        <v/>
      </c>
      <c r="X40" s="42" t="str">
        <f t="array" ref="X40">_xlfn.XLOOKUP(B40,'Up Max'!A:A,'Up Max'!F:F,)</f>
        <v/>
      </c>
      <c r="Y40" s="48" t="str">
        <f t="array" ref="Y40">_xlfn.XLOOKUP(B40,'Up Stats'!A:A,'Up Stats'!G:G,)</f>
        <v/>
      </c>
      <c r="Z40" s="40" t="str">
        <f>IFERROR(__xludf.DUMMYFUNCTION("if(AND(AA40=FALSE,AB40=FALSE),,if(AA40=AB40,JOIN("""",""Static: "",AA40),JOIN("""",""Min:  "",AA40, CHAR(10),""Max: "",AB40)))"),"")</f>
        <v/>
      </c>
      <c r="AA40" s="42" t="str">
        <f t="array" ref="AA40">_xlfn.XLOOKUP(B40,'Up Min'!A:A,'Up Min'!G:G,)</f>
        <v/>
      </c>
      <c r="AB40" s="42" t="str">
        <f t="array" ref="AB40">_xlfn.XLOOKUP(B40,'Up Max'!A:A,'Up Max'!G:G,)</f>
        <v/>
      </c>
      <c r="AC40" s="48" t="str">
        <f t="array" ref="AC40">_xlfn.XLOOKUP(B40,'Up Stats'!A:A,'Up Stats'!H:H,)</f>
        <v/>
      </c>
      <c r="AD40" s="40" t="str">
        <f>IFERROR(__xludf.DUMMYFUNCTION("if(AND(AE40=FALSE,AF40=FALSE),,if(AE40=AF40,JOIN("""",""Static: "",AE40),JOIN("""",""Min:  "",AE40, CHAR(10),""Max: "",AF40)))"),"")</f>
        <v/>
      </c>
      <c r="AE40" s="42" t="str">
        <f t="array" ref="AE40">_xlfn.XLOOKUP(B40,'Up Min'!A:A,'Up Min'!H:H,)</f>
        <v/>
      </c>
      <c r="AF40" s="42" t="str">
        <f t="array" ref="AF40">_xlfn.XLOOKUP(B40,'Up Max'!A:A,'Up Max'!H:H,)</f>
        <v/>
      </c>
      <c r="AG40" s="48" t="str">
        <f t="array" ref="AG40">_xlfn.XLOOKUP(B40,'Up Stats'!A:A,'Up Stats'!I:I,)</f>
        <v/>
      </c>
      <c r="AH40" s="40" t="str">
        <f>IFERROR(__xludf.DUMMYFUNCTION("if(AND(AI40=FALSE,AJ40=FALSE),,if(AI40=AJ40,JOIN("""",""Static: "",AI40),JOIN("""",""Min:  "",AI40, CHAR(10),""Max: "",AJ40)))"),"")</f>
        <v/>
      </c>
      <c r="AI40" s="42" t="str">
        <f t="array" ref="AI40">_xlfn.XLOOKUP(B40,'Up Min'!A:A,'Up Min'!I:I,)</f>
        <v/>
      </c>
      <c r="AJ40" s="42" t="str">
        <f t="array" ref="AJ40">_xlfn.XLOOKUP(B40,'Up Max'!A:A,'Up Max'!I:I,)</f>
        <v/>
      </c>
      <c r="AK40" s="48" t="str">
        <f t="array" ref="AK40">_xlfn.XLOOKUP(B40,'Up Stats'!A:A,'Up Stats'!J:J,)</f>
        <v/>
      </c>
      <c r="AL40" s="40" t="str">
        <f>IFERROR(__xludf.DUMMYFUNCTION("if(AND(AM40=FALSE,AN40=FALSE),,if(AM40=AN40,JOIN("""",""Static: "",AM40),JOIN("""",""Min:  "",AM40, CHAR(10),""Max: "",AN40)))"),"")</f>
        <v/>
      </c>
      <c r="AM40" s="42" t="str">
        <f t="array" ref="AM40">_xlfn.XLOOKUP(B40,'Up Min'!A:A,'Up Min'!J:J,)</f>
        <v/>
      </c>
      <c r="AN40" s="42" t="str">
        <f t="array" ref="AN40">_xlfn.XLOOKUP(B40,'Up Max'!A:A,'Up Max'!J:J,)</f>
        <v/>
      </c>
      <c r="AO40" s="34" t="str">
        <f t="array" ref="AO40">CONCATENATE(_xlfn.XLOOKUP(B40,'Up Cells'!A:A,'Up Cells'!B:B,))</f>
        <v/>
      </c>
      <c r="AP40" s="34" t="str">
        <f t="array" ref="AP40">CONCATENATE(_xlfn.XLOOKUP(B40,'Up Rarity'!A:A,'Up Rarity'!B:B,),CHAR(10),"-")</f>
        <v>
-</v>
      </c>
    </row>
    <row r="41">
      <c r="A41" s="86" t="str">
        <f t="array" ref="A41">_xlfn.XLOOKUP(B41,'Up Icon'!A:A,'Up Icon'!B:B,)</f>
        <v/>
      </c>
      <c r="B41" s="61" t="str">
        <f t="array" ref="B41">HYPERLINK(_xlfn.XLOOKUP('Up Names'!K41,'Up Wiki'!A:A,'Up Wiki'!B:B,),'Up Names'!K41)</f>
        <v/>
      </c>
      <c r="C41" s="52" t="str">
        <f t="array" ref="C41">_xlfn.XLOOKUP(B41,'Up Desc'!A:A,'Up Desc'!B:B,)</f>
        <v/>
      </c>
      <c r="D41" s="52" t="str">
        <f t="array" ref="D41">_xlfn.XLOOKUP(B41,'Up Turbo'!A:A,'Up Turbo'!B:B,)</f>
        <v/>
      </c>
      <c r="E41" s="53" t="str">
        <f t="array" ref="E41">_xlfn.XLOOKUP(B41,'Up Stats'!A:A,'Up Stats'!B:B,)</f>
        <v/>
      </c>
      <c r="F41" s="54" t="str">
        <f>IFERROR(__xludf.DUMMYFUNCTION("if(AND(G41=FALSE,H41=FALSE),,if(G41=H41,JOIN("""",""Static: "",G41),JOIN("""",""Min:  "",G41, CHAR(10),""Max: "",H41)))"),"")</f>
        <v/>
      </c>
      <c r="G41" s="55" t="str">
        <f t="array" ref="G41">_xlfn.XLOOKUP(B41,'Up Min'!A:A,'Up Min'!B:B,)</f>
        <v/>
      </c>
      <c r="H41" s="56" t="str">
        <f t="array" ref="H41">_xlfn.XLOOKUP(B41,'Up Max'!A:A,'Up Max'!B:B,)</f>
        <v/>
      </c>
      <c r="I41" s="53" t="str">
        <f t="array" ref="I41">_xlfn.XLOOKUP(B41,'Up Stats'!A:A,'Up Stats'!C:C,)</f>
        <v/>
      </c>
      <c r="J41" s="54" t="str">
        <f>IFERROR(__xludf.DUMMYFUNCTION("if(AND(K41=FALSE,L41=FALSE),,if(K41=L41,JOIN("""",""Static: "",K41),JOIN("""",""Min:  "",K41, CHAR(10),""Max: "",L41)))"),"")</f>
        <v/>
      </c>
      <c r="K41" s="55" t="str">
        <f t="array" ref="K41">_xlfn.XLOOKUP(B41,'Up Min'!A:A,'Up Min'!C:C,)</f>
        <v/>
      </c>
      <c r="L41" s="55" t="str">
        <f t="array" ref="L41">_xlfn.XLOOKUP(B41,'Up Max'!A:A,'Up Max'!C:C,)</f>
        <v/>
      </c>
      <c r="M41" s="57" t="str">
        <f t="array" ref="M41">_xlfn.XLOOKUP(B41,'Up Stats'!A:A,'Up Stats'!D:D,)</f>
        <v/>
      </c>
      <c r="N41" s="54" t="str">
        <f>IFERROR(__xludf.DUMMYFUNCTION("if(AND(O41=FALSE,P41=FALSE),,if(O41=P41,JOIN("""",""Static: "",O41),JOIN("""",""Min:  "",O41, CHAR(10),""Max: "",P41)))"),"")</f>
        <v/>
      </c>
      <c r="O41" s="55" t="str">
        <f t="array" ref="O41">_xlfn.XLOOKUP(B41,'Up Min'!A:A,'Up Min'!D:D,)</f>
        <v/>
      </c>
      <c r="P41" s="55" t="str">
        <f t="array" ref="P41">_xlfn.XLOOKUP(B41,'Up Max'!A:A,'Up Max'!D:D,)</f>
        <v/>
      </c>
      <c r="Q41" s="57" t="str">
        <f t="array" ref="Q41">_xlfn.XLOOKUP(B41,'Up Stats'!A:A,'Up Stats'!E:E,)</f>
        <v/>
      </c>
      <c r="R41" s="54" t="str">
        <f>IFERROR(__xludf.DUMMYFUNCTION("if(AND(S41=FALSE,T41=FALSE),,if(S41=T41,JOIN("""",""Static: "",S41),JOIN("""",""Min:  "",S41, CHAR(10),""Max: "",T41)))"),"")</f>
        <v/>
      </c>
      <c r="S41" s="55" t="str">
        <f t="array" ref="S41">_xlfn.XLOOKUP(B41,'Up Min'!A:A,'Up Min'!E:E,)</f>
        <v/>
      </c>
      <c r="T41" s="55" t="str">
        <f t="array" ref="T41">_xlfn.XLOOKUP(B41,'Up Max'!A:A,'Up Max'!E:E,)</f>
        <v/>
      </c>
      <c r="U41" s="57" t="str">
        <f t="array" ref="U41">_xlfn.XLOOKUP(B41,'Up Stats'!A:A,'Up Stats'!F:F,)</f>
        <v/>
      </c>
      <c r="V41" s="54" t="str">
        <f>IFERROR(__xludf.DUMMYFUNCTION("if(AND(W41=FALSE,X41=FALSE),,if(W41=X41,JOIN("""",""Static: "",W41),JOIN("""",""Min:  "",W41, CHAR(10),""Max: "",X41)))"),"")</f>
        <v/>
      </c>
      <c r="W41" s="55" t="str">
        <f t="array" ref="W41">_xlfn.XLOOKUP(B41,'Up Min'!A:A,'Up Min'!F:F,)</f>
        <v/>
      </c>
      <c r="X41" s="55" t="str">
        <f t="array" ref="X41">_xlfn.XLOOKUP(B41,'Up Max'!A:A,'Up Max'!F:F,)</f>
        <v/>
      </c>
      <c r="Y41" s="57" t="str">
        <f t="array" ref="Y41">_xlfn.XLOOKUP(B41,'Up Stats'!A:A,'Up Stats'!G:G,)</f>
        <v/>
      </c>
      <c r="Z41" s="54" t="str">
        <f>IFERROR(__xludf.DUMMYFUNCTION("if(AND(AA41=FALSE,AB41=FALSE),,if(AA41=AB41,JOIN("""",""Static: "",AA41),JOIN("""",""Min:  "",AA41, CHAR(10),""Max: "",AB41)))"),"")</f>
        <v/>
      </c>
      <c r="AA41" s="55" t="str">
        <f t="array" ref="AA41">_xlfn.XLOOKUP(B41,'Up Min'!A:A,'Up Min'!G:G,)</f>
        <v/>
      </c>
      <c r="AB41" s="55" t="str">
        <f t="array" ref="AB41">_xlfn.XLOOKUP(B41,'Up Max'!A:A,'Up Max'!G:G,)</f>
        <v/>
      </c>
      <c r="AC41" s="57" t="str">
        <f t="array" ref="AC41">_xlfn.XLOOKUP(B41,'Up Stats'!A:A,'Up Stats'!H:H,)</f>
        <v/>
      </c>
      <c r="AD41" s="54" t="str">
        <f>IFERROR(__xludf.DUMMYFUNCTION("if(AND(AE41=FALSE,AF41=FALSE),,if(AE41=AF41,JOIN("""",""Static: "",AE41),JOIN("""",""Min:  "",AE41, CHAR(10),""Max: "",AF41)))"),"")</f>
        <v/>
      </c>
      <c r="AE41" s="55" t="str">
        <f t="array" ref="AE41">_xlfn.XLOOKUP(B41,'Up Min'!A:A,'Up Min'!H:H,)</f>
        <v/>
      </c>
      <c r="AF41" s="55" t="str">
        <f t="array" ref="AF41">_xlfn.XLOOKUP(B41,'Up Max'!A:A,'Up Max'!H:H,)</f>
        <v/>
      </c>
      <c r="AG41" s="57" t="str">
        <f t="array" ref="AG41">_xlfn.XLOOKUP(B41,'Up Stats'!A:A,'Up Stats'!I:I,)</f>
        <v/>
      </c>
      <c r="AH41" s="54" t="str">
        <f>IFERROR(__xludf.DUMMYFUNCTION("if(AND(AI41=FALSE,AJ41=FALSE),,if(AI41=AJ41,JOIN("""",""Static: "",AI41),JOIN("""",""Min:  "",AI41, CHAR(10),""Max: "",AJ41)))"),"")</f>
        <v/>
      </c>
      <c r="AI41" s="55" t="str">
        <f t="array" ref="AI41">_xlfn.XLOOKUP(B41,'Up Min'!A:A,'Up Min'!I:I,)</f>
        <v/>
      </c>
      <c r="AJ41" s="55" t="str">
        <f t="array" ref="AJ41">_xlfn.XLOOKUP(B41,'Up Max'!A:A,'Up Max'!I:I,)</f>
        <v/>
      </c>
      <c r="AK41" s="57" t="str">
        <f t="array" ref="AK41">_xlfn.XLOOKUP(B41,'Up Stats'!A:A,'Up Stats'!J:J,)</f>
        <v/>
      </c>
      <c r="AL41" s="54" t="str">
        <f>IFERROR(__xludf.DUMMYFUNCTION("if(AND(AM41=FALSE,AN41=FALSE),,if(AM41=AN41,JOIN("""",""Static: "",AM41),JOIN("""",""Min:  "",AM41, CHAR(10),""Max: "",AN41)))"),"")</f>
        <v/>
      </c>
      <c r="AM41" s="55" t="str">
        <f t="array" ref="AM41">_xlfn.XLOOKUP(B41,'Up Min'!A:A,'Up Min'!J:J,)</f>
        <v/>
      </c>
      <c r="AN41" s="55" t="str">
        <f t="array" ref="AN41">_xlfn.XLOOKUP(B41,'Up Max'!A:A,'Up Max'!J:J,)</f>
        <v/>
      </c>
      <c r="AO41" s="51" t="str">
        <f t="array" ref="AO41">CONCATENATE(_xlfn.XLOOKUP(B41,'Up Cells'!A:A,'Up Cells'!B:B,))</f>
        <v/>
      </c>
      <c r="AP41" s="51" t="str">
        <f t="array" ref="AP41">CONCATENATE(_xlfn.XLOOKUP(B41,'Up Rarity'!A:A,'Up Rarity'!B:B,),CHAR(10),"-")</f>
        <v>
-</v>
      </c>
    </row>
    <row r="42">
      <c r="A42" s="87" t="str">
        <f t="array" ref="A42">_xlfn.XLOOKUP(B42,'Up Icon'!A:A,'Up Icon'!B:B,)</f>
        <v/>
      </c>
      <c r="B42" s="58" t="str">
        <f t="array" ref="B42">HYPERLINK(_xlfn.XLOOKUP('Up Names'!K42,'Up Wiki'!A:A,'Up Wiki'!B:B,),'Up Names'!K42)</f>
        <v/>
      </c>
      <c r="C42" s="37" t="str">
        <f t="array" ref="C42">_xlfn.XLOOKUP(B42,'Up Desc'!A:A,'Up Desc'!B:B,)</f>
        <v/>
      </c>
      <c r="D42" s="37" t="str">
        <f t="array" ref="D42">_xlfn.XLOOKUP(B42,'Up Turbo'!A:A,'Up Turbo'!B:B,)</f>
        <v/>
      </c>
      <c r="E42" s="39" t="str">
        <f t="array" ref="E42">_xlfn.XLOOKUP(B42,'Up Stats'!A:A,'Up Stats'!B:B,)</f>
        <v/>
      </c>
      <c r="F42" s="40" t="str">
        <f>IFERROR(__xludf.DUMMYFUNCTION("if(AND(G42=FALSE,H42=FALSE),,if(G42=H42,JOIN("""",""Static: "",G42),JOIN("""",""Min:  "",G42, CHAR(10),""Max: "",H42)))"),"")</f>
        <v/>
      </c>
      <c r="G42" s="42" t="str">
        <f t="array" ref="G42">_xlfn.XLOOKUP(B42,'Up Min'!A:A,'Up Min'!B:B,)</f>
        <v/>
      </c>
      <c r="H42" s="45" t="str">
        <f t="array" ref="H42">_xlfn.XLOOKUP(B42,'Up Max'!A:A,'Up Max'!B:B,)</f>
        <v/>
      </c>
      <c r="I42" s="39" t="str">
        <f t="array" ref="I42">_xlfn.XLOOKUP(B42,'Up Stats'!A:A,'Up Stats'!C:C,)</f>
        <v/>
      </c>
      <c r="J42" s="40" t="str">
        <f>IFERROR(__xludf.DUMMYFUNCTION("if(AND(K42=FALSE,L42=FALSE),,if(K42=L42,JOIN("""",""Static: "",K42),JOIN("""",""Min:  "",K42, CHAR(10),""Max: "",L42)))"),"")</f>
        <v/>
      </c>
      <c r="K42" s="42" t="str">
        <f t="array" ref="K42">_xlfn.XLOOKUP(B42,'Up Min'!A:A,'Up Min'!C:C,)</f>
        <v/>
      </c>
      <c r="L42" s="42" t="str">
        <f t="array" ref="L42">_xlfn.XLOOKUP(B42,'Up Max'!A:A,'Up Max'!C:C,)</f>
        <v/>
      </c>
      <c r="M42" s="48" t="str">
        <f t="array" ref="M42">_xlfn.XLOOKUP(B42,'Up Stats'!A:A,'Up Stats'!D:D,)</f>
        <v/>
      </c>
      <c r="N42" s="40" t="str">
        <f>IFERROR(__xludf.DUMMYFUNCTION("if(AND(O42=FALSE,P42=FALSE),,if(O42=P42,JOIN("""",""Static: "",O42),JOIN("""",""Min:  "",O42, CHAR(10),""Max: "",P42)))"),"")</f>
        <v/>
      </c>
      <c r="O42" s="42" t="str">
        <f t="array" ref="O42">_xlfn.XLOOKUP(B42,'Up Min'!A:A,'Up Min'!D:D,)</f>
        <v/>
      </c>
      <c r="P42" s="42" t="str">
        <f t="array" ref="P42">_xlfn.XLOOKUP(B42,'Up Max'!A:A,'Up Max'!D:D,)</f>
        <v/>
      </c>
      <c r="Q42" s="48" t="str">
        <f t="array" ref="Q42">_xlfn.XLOOKUP(B42,'Up Stats'!A:A,'Up Stats'!E:E,)</f>
        <v/>
      </c>
      <c r="R42" s="40" t="str">
        <f>IFERROR(__xludf.DUMMYFUNCTION("if(AND(S42=FALSE,T42=FALSE),,if(S42=T42,JOIN("""",""Static: "",S42),JOIN("""",""Min:  "",S42, CHAR(10),""Max: "",T42)))"),"")</f>
        <v/>
      </c>
      <c r="S42" s="42" t="str">
        <f t="array" ref="S42">_xlfn.XLOOKUP(B42,'Up Min'!A:A,'Up Min'!E:E,)</f>
        <v/>
      </c>
      <c r="T42" s="42" t="str">
        <f t="array" ref="T42">_xlfn.XLOOKUP(B42,'Up Max'!A:A,'Up Max'!E:E,)</f>
        <v/>
      </c>
      <c r="U42" s="48" t="str">
        <f t="array" ref="U42">_xlfn.XLOOKUP(B42,'Up Stats'!A:A,'Up Stats'!F:F,)</f>
        <v/>
      </c>
      <c r="V42" s="40" t="str">
        <f>IFERROR(__xludf.DUMMYFUNCTION("if(AND(W42=FALSE,X42=FALSE),,if(W42=X42,JOIN("""",""Static: "",W42),JOIN("""",""Min:  "",W42, CHAR(10),""Max: "",X42)))"),"")</f>
        <v/>
      </c>
      <c r="W42" s="42" t="str">
        <f t="array" ref="W42">_xlfn.XLOOKUP(B42,'Up Min'!A:A,'Up Min'!F:F,)</f>
        <v/>
      </c>
      <c r="X42" s="42" t="str">
        <f t="array" ref="X42">_xlfn.XLOOKUP(B42,'Up Max'!A:A,'Up Max'!F:F,)</f>
        <v/>
      </c>
      <c r="Y42" s="48" t="str">
        <f t="array" ref="Y42">_xlfn.XLOOKUP(B42,'Up Stats'!A:A,'Up Stats'!G:G,)</f>
        <v/>
      </c>
      <c r="Z42" s="40" t="str">
        <f>IFERROR(__xludf.DUMMYFUNCTION("if(AND(AA42=FALSE,AB42=FALSE),,if(AA42=AB42,JOIN("""",""Static: "",AA42),JOIN("""",""Min:  "",AA42, CHAR(10),""Max: "",AB42)))"),"")</f>
        <v/>
      </c>
      <c r="AA42" s="42" t="str">
        <f t="array" ref="AA42">_xlfn.XLOOKUP(B42,'Up Min'!A:A,'Up Min'!G:G,)</f>
        <v/>
      </c>
      <c r="AB42" s="42" t="str">
        <f t="array" ref="AB42">_xlfn.XLOOKUP(B42,'Up Max'!A:A,'Up Max'!G:G,)</f>
        <v/>
      </c>
      <c r="AC42" s="48" t="str">
        <f t="array" ref="AC42">_xlfn.XLOOKUP(B42,'Up Stats'!A:A,'Up Stats'!H:H,)</f>
        <v/>
      </c>
      <c r="AD42" s="40" t="str">
        <f>IFERROR(__xludf.DUMMYFUNCTION("if(AND(AE42=FALSE,AF42=FALSE),,if(AE42=AF42,JOIN("""",""Static: "",AE42),JOIN("""",""Min:  "",AE42, CHAR(10),""Max: "",AF42)))"),"")</f>
        <v/>
      </c>
      <c r="AE42" s="42" t="str">
        <f t="array" ref="AE42">_xlfn.XLOOKUP(B42,'Up Min'!A:A,'Up Min'!H:H,)</f>
        <v/>
      </c>
      <c r="AF42" s="42" t="str">
        <f t="array" ref="AF42">_xlfn.XLOOKUP(B42,'Up Max'!A:A,'Up Max'!H:H,)</f>
        <v/>
      </c>
      <c r="AG42" s="48" t="str">
        <f t="array" ref="AG42">_xlfn.XLOOKUP(B42,'Up Stats'!A:A,'Up Stats'!I:I,)</f>
        <v/>
      </c>
      <c r="AH42" s="40" t="str">
        <f>IFERROR(__xludf.DUMMYFUNCTION("if(AND(AI42=FALSE,AJ42=FALSE),,if(AI42=AJ42,JOIN("""",""Static: "",AI42),JOIN("""",""Min:  "",AI42, CHAR(10),""Max: "",AJ42)))"),"")</f>
        <v/>
      </c>
      <c r="AI42" s="42" t="str">
        <f t="array" ref="AI42">_xlfn.XLOOKUP(B42,'Up Min'!A:A,'Up Min'!I:I,)</f>
        <v/>
      </c>
      <c r="AJ42" s="42" t="str">
        <f t="array" ref="AJ42">_xlfn.XLOOKUP(B42,'Up Max'!A:A,'Up Max'!I:I,)</f>
        <v/>
      </c>
      <c r="AK42" s="48" t="str">
        <f t="array" ref="AK42">_xlfn.XLOOKUP(B42,'Up Stats'!A:A,'Up Stats'!J:J,)</f>
        <v/>
      </c>
      <c r="AL42" s="40" t="str">
        <f>IFERROR(__xludf.DUMMYFUNCTION("if(AND(AM42=FALSE,AN42=FALSE),,if(AM42=AN42,JOIN("""",""Static: "",AM42),JOIN("""",""Min:  "",AM42, CHAR(10),""Max: "",AN42)))"),"")</f>
        <v/>
      </c>
      <c r="AM42" s="42" t="str">
        <f t="array" ref="AM42">_xlfn.XLOOKUP(B42,'Up Min'!A:A,'Up Min'!J:J,)</f>
        <v/>
      </c>
      <c r="AN42" s="42" t="str">
        <f t="array" ref="AN42">_xlfn.XLOOKUP(B42,'Up Max'!A:A,'Up Max'!J:J,)</f>
        <v/>
      </c>
      <c r="AO42" s="34" t="str">
        <f t="array" ref="AO42">CONCATENATE(_xlfn.XLOOKUP(B42,'Up Cells'!A:A,'Up Cells'!B:B,))</f>
        <v/>
      </c>
      <c r="AP42" s="34" t="str">
        <f t="array" ref="AP42">CONCATENATE(_xlfn.XLOOKUP(B42,'Up Rarity'!A:A,'Up Rarity'!B:B,),CHAR(10),"-")</f>
        <v>
-</v>
      </c>
    </row>
    <row r="43">
      <c r="A43" s="86" t="str">
        <f t="array" ref="A43">_xlfn.XLOOKUP(B43,'Up Icon'!A:A,'Up Icon'!B:B,)</f>
        <v/>
      </c>
      <c r="B43" s="61" t="str">
        <f t="array" ref="B43">HYPERLINK(_xlfn.XLOOKUP('Up Names'!K43,'Up Wiki'!A:A,'Up Wiki'!B:B,),'Up Names'!K43)</f>
        <v/>
      </c>
      <c r="C43" s="52" t="str">
        <f t="array" ref="C43">_xlfn.XLOOKUP(B43,'Up Desc'!A:A,'Up Desc'!B:B,)</f>
        <v/>
      </c>
      <c r="D43" s="52" t="str">
        <f t="array" ref="D43">_xlfn.XLOOKUP(B43,'Up Turbo'!A:A,'Up Turbo'!B:B,)</f>
        <v/>
      </c>
      <c r="E43" s="53" t="str">
        <f t="array" ref="E43">_xlfn.XLOOKUP(B43,'Up Stats'!A:A,'Up Stats'!B:B,)</f>
        <v/>
      </c>
      <c r="F43" s="54" t="str">
        <f>IFERROR(__xludf.DUMMYFUNCTION("if(AND(G43=FALSE,H43=FALSE),,if(G43=H43,JOIN("""",""Static: "",G43),JOIN("""",""Min:  "",G43, CHAR(10),""Max: "",H43)))"),"")</f>
        <v/>
      </c>
      <c r="G43" s="55" t="str">
        <f t="array" ref="G43">_xlfn.XLOOKUP(B43,'Up Min'!A:A,'Up Min'!B:B,)</f>
        <v/>
      </c>
      <c r="H43" s="56" t="str">
        <f t="array" ref="H43">_xlfn.XLOOKUP(B43,'Up Max'!A:A,'Up Max'!B:B,)</f>
        <v/>
      </c>
      <c r="I43" s="53" t="str">
        <f t="array" ref="I43">_xlfn.XLOOKUP(B43,'Up Stats'!A:A,'Up Stats'!C:C,)</f>
        <v/>
      </c>
      <c r="J43" s="54" t="str">
        <f>IFERROR(__xludf.DUMMYFUNCTION("if(AND(K43=FALSE,L43=FALSE),,if(K43=L43,JOIN("""",""Static: "",K43),JOIN("""",""Min:  "",K43, CHAR(10),""Max: "",L43)))"),"")</f>
        <v/>
      </c>
      <c r="K43" s="55" t="str">
        <f t="array" ref="K43">_xlfn.XLOOKUP(B43,'Up Min'!A:A,'Up Min'!C:C,)</f>
        <v/>
      </c>
      <c r="L43" s="55" t="str">
        <f t="array" ref="L43">_xlfn.XLOOKUP(B43,'Up Max'!A:A,'Up Max'!C:C,)</f>
        <v/>
      </c>
      <c r="M43" s="57" t="str">
        <f t="array" ref="M43">_xlfn.XLOOKUP(B43,'Up Stats'!A:A,'Up Stats'!D:D,)</f>
        <v/>
      </c>
      <c r="N43" s="54" t="str">
        <f>IFERROR(__xludf.DUMMYFUNCTION("if(AND(O43=FALSE,P43=FALSE),,if(O43=P43,JOIN("""",""Static: "",O43),JOIN("""",""Min:  "",O43, CHAR(10),""Max: "",P43)))"),"")</f>
        <v/>
      </c>
      <c r="O43" s="55" t="str">
        <f t="array" ref="O43">_xlfn.XLOOKUP(B43,'Up Min'!A:A,'Up Min'!D:D,)</f>
        <v/>
      </c>
      <c r="P43" s="55" t="str">
        <f t="array" ref="P43">_xlfn.XLOOKUP(B43,'Up Max'!A:A,'Up Max'!D:D,)</f>
        <v/>
      </c>
      <c r="Q43" s="57" t="str">
        <f t="array" ref="Q43">_xlfn.XLOOKUP(B43,'Up Stats'!A:A,'Up Stats'!E:E,)</f>
        <v/>
      </c>
      <c r="R43" s="54" t="str">
        <f>IFERROR(__xludf.DUMMYFUNCTION("if(AND(S43=FALSE,T43=FALSE),,if(S43=T43,JOIN("""",""Static: "",S43),JOIN("""",""Min:  "",S43, CHAR(10),""Max: "",T43)))"),"")</f>
        <v/>
      </c>
      <c r="S43" s="55" t="str">
        <f t="array" ref="S43">_xlfn.XLOOKUP(B43,'Up Min'!A:A,'Up Min'!E:E,)</f>
        <v/>
      </c>
      <c r="T43" s="55" t="str">
        <f t="array" ref="T43">_xlfn.XLOOKUP(B43,'Up Max'!A:A,'Up Max'!E:E,)</f>
        <v/>
      </c>
      <c r="U43" s="57" t="str">
        <f t="array" ref="U43">_xlfn.XLOOKUP(B43,'Up Stats'!A:A,'Up Stats'!F:F,)</f>
        <v/>
      </c>
      <c r="V43" s="54" t="str">
        <f>IFERROR(__xludf.DUMMYFUNCTION("if(AND(W43=FALSE,X43=FALSE),,if(W43=X43,JOIN("""",""Static: "",W43),JOIN("""",""Min:  "",W43, CHAR(10),""Max: "",X43)))"),"")</f>
        <v/>
      </c>
      <c r="W43" s="55" t="str">
        <f t="array" ref="W43">_xlfn.XLOOKUP(B43,'Up Min'!A:A,'Up Min'!F:F,)</f>
        <v/>
      </c>
      <c r="X43" s="55" t="str">
        <f t="array" ref="X43">_xlfn.XLOOKUP(B43,'Up Max'!A:A,'Up Max'!F:F,)</f>
        <v/>
      </c>
      <c r="Y43" s="57" t="str">
        <f t="array" ref="Y43">_xlfn.XLOOKUP(B43,'Up Stats'!A:A,'Up Stats'!G:G,)</f>
        <v/>
      </c>
      <c r="Z43" s="54" t="str">
        <f>IFERROR(__xludf.DUMMYFUNCTION("if(AND(AA43=FALSE,AB43=FALSE),,if(AA43=AB43,JOIN("""",""Static: "",AA43),JOIN("""",""Min:  "",AA43, CHAR(10),""Max: "",AB43)))"),"")</f>
        <v/>
      </c>
      <c r="AA43" s="55" t="str">
        <f t="array" ref="AA43">_xlfn.XLOOKUP(B43,'Up Min'!A:A,'Up Min'!G:G,)</f>
        <v/>
      </c>
      <c r="AB43" s="55" t="str">
        <f t="array" ref="AB43">_xlfn.XLOOKUP(B43,'Up Max'!A:A,'Up Max'!G:G,)</f>
        <v/>
      </c>
      <c r="AC43" s="57" t="str">
        <f t="array" ref="AC43">_xlfn.XLOOKUP(B43,'Up Stats'!A:A,'Up Stats'!H:H,)</f>
        <v/>
      </c>
      <c r="AD43" s="54" t="str">
        <f>IFERROR(__xludf.DUMMYFUNCTION("if(AND(AE43=FALSE,AF43=FALSE),,if(AE43=AF43,JOIN("""",""Static: "",AE43),JOIN("""",""Min:  "",AE43, CHAR(10),""Max: "",AF43)))"),"")</f>
        <v/>
      </c>
      <c r="AE43" s="55" t="str">
        <f t="array" ref="AE43">_xlfn.XLOOKUP(B43,'Up Min'!A:A,'Up Min'!H:H,)</f>
        <v/>
      </c>
      <c r="AF43" s="55" t="str">
        <f t="array" ref="AF43">_xlfn.XLOOKUP(B43,'Up Max'!A:A,'Up Max'!H:H,)</f>
        <v/>
      </c>
      <c r="AG43" s="57" t="str">
        <f t="array" ref="AG43">_xlfn.XLOOKUP(B43,'Up Stats'!A:A,'Up Stats'!I:I,)</f>
        <v/>
      </c>
      <c r="AH43" s="54" t="str">
        <f>IFERROR(__xludf.DUMMYFUNCTION("if(AND(AI43=FALSE,AJ43=FALSE),,if(AI43=AJ43,JOIN("""",""Static: "",AI43),JOIN("""",""Min:  "",AI43, CHAR(10),""Max: "",AJ43)))"),"")</f>
        <v/>
      </c>
      <c r="AI43" s="55" t="str">
        <f t="array" ref="AI43">_xlfn.XLOOKUP(B43,'Up Min'!A:A,'Up Min'!I:I,)</f>
        <v/>
      </c>
      <c r="AJ43" s="55" t="str">
        <f t="array" ref="AJ43">_xlfn.XLOOKUP(B43,'Up Max'!A:A,'Up Max'!I:I,)</f>
        <v/>
      </c>
      <c r="AK43" s="57" t="str">
        <f t="array" ref="AK43">_xlfn.XLOOKUP(B43,'Up Stats'!A:A,'Up Stats'!J:J,)</f>
        <v/>
      </c>
      <c r="AL43" s="54" t="str">
        <f>IFERROR(__xludf.DUMMYFUNCTION("if(AND(AM43=FALSE,AN43=FALSE),,if(AM43=AN43,JOIN("""",""Static: "",AM43),JOIN("""",""Min:  "",AM43, CHAR(10),""Max: "",AN43)))"),"")</f>
        <v/>
      </c>
      <c r="AM43" s="55" t="str">
        <f t="array" ref="AM43">_xlfn.XLOOKUP(B43,'Up Min'!A:A,'Up Min'!J:J,)</f>
        <v/>
      </c>
      <c r="AN43" s="55" t="str">
        <f t="array" ref="AN43">_xlfn.XLOOKUP(B43,'Up Max'!A:A,'Up Max'!J:J,)</f>
        <v/>
      </c>
      <c r="AO43" s="51" t="str">
        <f t="array" ref="AO43">CONCATENATE(_xlfn.XLOOKUP(B43,'Up Cells'!A:A,'Up Cells'!B:B,))</f>
        <v/>
      </c>
      <c r="AP43" s="51" t="str">
        <f t="array" ref="AP43">CONCATENATE(_xlfn.XLOOKUP(B43,'Up Rarity'!A:A,'Up Rarity'!B:B,),CHAR(10),"-")</f>
        <v>
-</v>
      </c>
    </row>
    <row r="44">
      <c r="A44" s="87" t="str">
        <f t="array" ref="A44">_xlfn.XLOOKUP(B44,'Up Icon'!A:A,'Up Icon'!B:B,)</f>
        <v/>
      </c>
      <c r="B44" s="58" t="str">
        <f t="array" ref="B44">HYPERLINK(_xlfn.XLOOKUP('Up Names'!K44,'Up Wiki'!A:A,'Up Wiki'!B:B,),'Up Names'!K44)</f>
        <v/>
      </c>
      <c r="C44" s="37" t="str">
        <f t="array" ref="C44">_xlfn.XLOOKUP(B44,'Up Desc'!A:A,'Up Desc'!B:B,)</f>
        <v/>
      </c>
      <c r="D44" s="37" t="str">
        <f t="array" ref="D44">_xlfn.XLOOKUP(B44,'Up Turbo'!A:A,'Up Turbo'!B:B,)</f>
        <v/>
      </c>
      <c r="E44" s="39" t="str">
        <f t="array" ref="E44">_xlfn.XLOOKUP(B44,'Up Stats'!A:A,'Up Stats'!B:B,)</f>
        <v/>
      </c>
      <c r="F44" s="40" t="str">
        <f>IFERROR(__xludf.DUMMYFUNCTION("if(AND(G44=FALSE,H44=FALSE),,if(G44=H44,JOIN("""",""Static: "",G44),JOIN("""",""Min:  "",G44, CHAR(10),""Max: "",H44)))"),"")</f>
        <v/>
      </c>
      <c r="G44" s="42" t="str">
        <f t="array" ref="G44">_xlfn.XLOOKUP(B44,'Up Min'!A:A,'Up Min'!B:B,)</f>
        <v/>
      </c>
      <c r="H44" s="45" t="str">
        <f t="array" ref="H44">_xlfn.XLOOKUP(B44,'Up Max'!A:A,'Up Max'!B:B,)</f>
        <v/>
      </c>
      <c r="I44" s="39" t="str">
        <f t="array" ref="I44">_xlfn.XLOOKUP(B44,'Up Stats'!A:A,'Up Stats'!C:C,)</f>
        <v/>
      </c>
      <c r="J44" s="40" t="str">
        <f>IFERROR(__xludf.DUMMYFUNCTION("if(AND(K44=FALSE,L44=FALSE),,if(K44=L44,JOIN("""",""Static: "",K44),JOIN("""",""Min:  "",K44, CHAR(10),""Max: "",L44)))"),"")</f>
        <v/>
      </c>
      <c r="K44" s="42" t="str">
        <f t="array" ref="K44">_xlfn.XLOOKUP(B44,'Up Min'!A:A,'Up Min'!C:C,)</f>
        <v/>
      </c>
      <c r="L44" s="42" t="str">
        <f t="array" ref="L44">_xlfn.XLOOKUP(B44,'Up Max'!A:A,'Up Max'!C:C,)</f>
        <v/>
      </c>
      <c r="M44" s="48" t="str">
        <f t="array" ref="M44">_xlfn.XLOOKUP(B44,'Up Stats'!A:A,'Up Stats'!D:D,)</f>
        <v/>
      </c>
      <c r="N44" s="40" t="str">
        <f>IFERROR(__xludf.DUMMYFUNCTION("if(AND(O44=FALSE,P44=FALSE),,if(O44=P44,JOIN("""",""Static: "",O44),JOIN("""",""Min:  "",O44, CHAR(10),""Max: "",P44)))"),"")</f>
        <v/>
      </c>
      <c r="O44" s="42" t="str">
        <f t="array" ref="O44">_xlfn.XLOOKUP(B44,'Up Min'!A:A,'Up Min'!D:D,)</f>
        <v/>
      </c>
      <c r="P44" s="42" t="str">
        <f t="array" ref="P44">_xlfn.XLOOKUP(B44,'Up Max'!A:A,'Up Max'!D:D,)</f>
        <v/>
      </c>
      <c r="Q44" s="48" t="str">
        <f t="array" ref="Q44">_xlfn.XLOOKUP(B44,'Up Stats'!A:A,'Up Stats'!E:E,)</f>
        <v/>
      </c>
      <c r="R44" s="40" t="str">
        <f>IFERROR(__xludf.DUMMYFUNCTION("if(AND(S44=FALSE,T44=FALSE),,if(S44=T44,JOIN("""",""Static: "",S44),JOIN("""",""Min:  "",S44, CHAR(10),""Max: "",T44)))"),"")</f>
        <v/>
      </c>
      <c r="S44" s="42" t="str">
        <f t="array" ref="S44">_xlfn.XLOOKUP(B44,'Up Min'!A:A,'Up Min'!E:E,)</f>
        <v/>
      </c>
      <c r="T44" s="42" t="str">
        <f t="array" ref="T44">_xlfn.XLOOKUP(B44,'Up Max'!A:A,'Up Max'!E:E,)</f>
        <v/>
      </c>
      <c r="U44" s="48" t="str">
        <f t="array" ref="U44">_xlfn.XLOOKUP(B44,'Up Stats'!A:A,'Up Stats'!F:F,)</f>
        <v/>
      </c>
      <c r="V44" s="40" t="str">
        <f>IFERROR(__xludf.DUMMYFUNCTION("if(AND(W44=FALSE,X44=FALSE),,if(W44=X44,JOIN("""",""Static: "",W44),JOIN("""",""Min:  "",W44, CHAR(10),""Max: "",X44)))"),"")</f>
        <v/>
      </c>
      <c r="W44" s="42" t="str">
        <f t="array" ref="W44">_xlfn.XLOOKUP(B44,'Up Min'!A:A,'Up Min'!F:F,)</f>
        <v/>
      </c>
      <c r="X44" s="42" t="str">
        <f t="array" ref="X44">_xlfn.XLOOKUP(B44,'Up Max'!A:A,'Up Max'!F:F,)</f>
        <v/>
      </c>
      <c r="Y44" s="48" t="str">
        <f t="array" ref="Y44">_xlfn.XLOOKUP(B44,'Up Stats'!A:A,'Up Stats'!G:G,)</f>
        <v/>
      </c>
      <c r="Z44" s="40" t="str">
        <f>IFERROR(__xludf.DUMMYFUNCTION("if(AND(AA44=FALSE,AB44=FALSE),,if(AA44=AB44,JOIN("""",""Static: "",AA44),JOIN("""",""Min:  "",AA44, CHAR(10),""Max: "",AB44)))"),"")</f>
        <v/>
      </c>
      <c r="AA44" s="42" t="str">
        <f t="array" ref="AA44">_xlfn.XLOOKUP(B44,'Up Min'!A:A,'Up Min'!G:G,)</f>
        <v/>
      </c>
      <c r="AB44" s="42" t="str">
        <f t="array" ref="AB44">_xlfn.XLOOKUP(B44,'Up Max'!A:A,'Up Max'!G:G,)</f>
        <v/>
      </c>
      <c r="AC44" s="48" t="str">
        <f t="array" ref="AC44">_xlfn.XLOOKUP(B44,'Up Stats'!A:A,'Up Stats'!H:H,)</f>
        <v/>
      </c>
      <c r="AD44" s="40" t="str">
        <f>IFERROR(__xludf.DUMMYFUNCTION("if(AND(AE44=FALSE,AF44=FALSE),,if(AE44=AF44,JOIN("""",""Static: "",AE44),JOIN("""",""Min:  "",AE44, CHAR(10),""Max: "",AF44)))"),"")</f>
        <v/>
      </c>
      <c r="AE44" s="42" t="str">
        <f t="array" ref="AE44">_xlfn.XLOOKUP(B44,'Up Min'!A:A,'Up Min'!H:H,)</f>
        <v/>
      </c>
      <c r="AF44" s="42" t="str">
        <f t="array" ref="AF44">_xlfn.XLOOKUP(B44,'Up Max'!A:A,'Up Max'!H:H,)</f>
        <v/>
      </c>
      <c r="AG44" s="48" t="str">
        <f t="array" ref="AG44">_xlfn.XLOOKUP(B44,'Up Stats'!A:A,'Up Stats'!I:I,)</f>
        <v/>
      </c>
      <c r="AH44" s="40" t="str">
        <f>IFERROR(__xludf.DUMMYFUNCTION("if(AND(AI44=FALSE,AJ44=FALSE),,if(AI44=AJ44,JOIN("""",""Static: "",AI44),JOIN("""",""Min:  "",AI44, CHAR(10),""Max: "",AJ44)))"),"")</f>
        <v/>
      </c>
      <c r="AI44" s="42" t="str">
        <f t="array" ref="AI44">_xlfn.XLOOKUP(B44,'Up Min'!A:A,'Up Min'!I:I,)</f>
        <v/>
      </c>
      <c r="AJ44" s="42" t="str">
        <f t="array" ref="AJ44">_xlfn.XLOOKUP(B44,'Up Max'!A:A,'Up Max'!I:I,)</f>
        <v/>
      </c>
      <c r="AK44" s="48" t="str">
        <f t="array" ref="AK44">_xlfn.XLOOKUP(B44,'Up Stats'!A:A,'Up Stats'!J:J,)</f>
        <v/>
      </c>
      <c r="AL44" s="40" t="str">
        <f>IFERROR(__xludf.DUMMYFUNCTION("if(AND(AM44=FALSE,AN44=FALSE),,if(AM44=AN44,JOIN("""",""Static: "",AM44),JOIN("""",""Min:  "",AM44, CHAR(10),""Max: "",AN44)))"),"")</f>
        <v/>
      </c>
      <c r="AM44" s="42" t="str">
        <f t="array" ref="AM44">_xlfn.XLOOKUP(B44,'Up Min'!A:A,'Up Min'!J:J,)</f>
        <v/>
      </c>
      <c r="AN44" s="42" t="str">
        <f t="array" ref="AN44">_xlfn.XLOOKUP(B44,'Up Max'!A:A,'Up Max'!J:J,)</f>
        <v/>
      </c>
      <c r="AO44" s="34" t="str">
        <f t="array" ref="AO44">CONCATENATE(_xlfn.XLOOKUP(B44,'Up Cells'!A:A,'Up Cells'!B:B,))</f>
        <v/>
      </c>
      <c r="AP44" s="34" t="str">
        <f t="array" ref="AP44">CONCATENATE(_xlfn.XLOOKUP(B44,'Up Rarity'!A:A,'Up Rarity'!B:B,),CHAR(10),"-")</f>
        <v>
-</v>
      </c>
    </row>
    <row r="45">
      <c r="A45" s="86" t="str">
        <f t="array" ref="A45">_xlfn.XLOOKUP(B45,'Up Icon'!A:A,'Up Icon'!B:B,)</f>
        <v/>
      </c>
      <c r="B45" s="61" t="str">
        <f t="array" ref="B45">HYPERLINK(_xlfn.XLOOKUP('Up Names'!K45,'Up Wiki'!A:A,'Up Wiki'!B:B,),'Up Names'!K45)</f>
        <v/>
      </c>
      <c r="C45" s="52" t="str">
        <f t="array" ref="C45">_xlfn.XLOOKUP(B45,'Up Desc'!A:A,'Up Desc'!B:B,)</f>
        <v/>
      </c>
      <c r="D45" s="52" t="str">
        <f t="array" ref="D45">_xlfn.XLOOKUP(B45,'Up Turbo'!A:A,'Up Turbo'!B:B,)</f>
        <v/>
      </c>
      <c r="E45" s="53" t="str">
        <f t="array" ref="E45">_xlfn.XLOOKUP(B45,'Up Stats'!A:A,'Up Stats'!B:B,)</f>
        <v/>
      </c>
      <c r="F45" s="54" t="str">
        <f>IFERROR(__xludf.DUMMYFUNCTION("if(AND(G45=FALSE,H45=FALSE),,if(G45=H45,JOIN("""",""Static: "",G45),JOIN("""",""Min:  "",G45, CHAR(10),""Max: "",H45)))"),"")</f>
        <v/>
      </c>
      <c r="G45" s="55" t="str">
        <f t="array" ref="G45">_xlfn.XLOOKUP(B45,'Up Min'!A:A,'Up Min'!B:B,)</f>
        <v/>
      </c>
      <c r="H45" s="56" t="str">
        <f t="array" ref="H45">_xlfn.XLOOKUP(B45,'Up Max'!A:A,'Up Max'!B:B,)</f>
        <v/>
      </c>
      <c r="I45" s="53" t="str">
        <f t="array" ref="I45">_xlfn.XLOOKUP(B45,'Up Stats'!A:A,'Up Stats'!C:C,)</f>
        <v/>
      </c>
      <c r="J45" s="54" t="str">
        <f>IFERROR(__xludf.DUMMYFUNCTION("if(AND(K45=FALSE,L45=FALSE),,if(K45=L45,JOIN("""",""Static: "",K45),JOIN("""",""Min:  "",K45, CHAR(10),""Max: "",L45)))"),"")</f>
        <v/>
      </c>
      <c r="K45" s="55" t="str">
        <f t="array" ref="K45">_xlfn.XLOOKUP(B45,'Up Min'!A:A,'Up Min'!C:C,)</f>
        <v/>
      </c>
      <c r="L45" s="55" t="str">
        <f t="array" ref="L45">_xlfn.XLOOKUP(B45,'Up Max'!A:A,'Up Max'!C:C,)</f>
        <v/>
      </c>
      <c r="M45" s="57" t="str">
        <f t="array" ref="M45">_xlfn.XLOOKUP(B45,'Up Stats'!A:A,'Up Stats'!D:D,)</f>
        <v/>
      </c>
      <c r="N45" s="54" t="str">
        <f>IFERROR(__xludf.DUMMYFUNCTION("if(AND(O45=FALSE,P45=FALSE),,if(O45=P45,JOIN("""",""Static: "",O45),JOIN("""",""Min:  "",O45, CHAR(10),""Max: "",P45)))"),"")</f>
        <v/>
      </c>
      <c r="O45" s="55" t="str">
        <f t="array" ref="O45">_xlfn.XLOOKUP(B45,'Up Min'!A:A,'Up Min'!D:D,)</f>
        <v/>
      </c>
      <c r="P45" s="55" t="str">
        <f t="array" ref="P45">_xlfn.XLOOKUP(B45,'Up Max'!A:A,'Up Max'!D:D,)</f>
        <v/>
      </c>
      <c r="Q45" s="57" t="str">
        <f t="array" ref="Q45">_xlfn.XLOOKUP(B45,'Up Stats'!A:A,'Up Stats'!E:E,)</f>
        <v/>
      </c>
      <c r="R45" s="54" t="str">
        <f>IFERROR(__xludf.DUMMYFUNCTION("if(AND(S45=FALSE,T45=FALSE),,if(S45=T45,JOIN("""",""Static: "",S45),JOIN("""",""Min:  "",S45, CHAR(10),""Max: "",T45)))"),"")</f>
        <v/>
      </c>
      <c r="S45" s="55" t="str">
        <f t="array" ref="S45">_xlfn.XLOOKUP(B45,'Up Min'!A:A,'Up Min'!E:E,)</f>
        <v/>
      </c>
      <c r="T45" s="55" t="str">
        <f t="array" ref="T45">_xlfn.XLOOKUP(B45,'Up Max'!A:A,'Up Max'!E:E,)</f>
        <v/>
      </c>
      <c r="U45" s="57" t="str">
        <f t="array" ref="U45">_xlfn.XLOOKUP(B45,'Up Stats'!A:A,'Up Stats'!F:F,)</f>
        <v/>
      </c>
      <c r="V45" s="54" t="str">
        <f>IFERROR(__xludf.DUMMYFUNCTION("if(AND(W45=FALSE,X45=FALSE),,if(W45=X45,JOIN("""",""Static: "",W45),JOIN("""",""Min:  "",W45, CHAR(10),""Max: "",X45)))"),"")</f>
        <v/>
      </c>
      <c r="W45" s="55" t="str">
        <f t="array" ref="W45">_xlfn.XLOOKUP(B45,'Up Min'!A:A,'Up Min'!F:F,)</f>
        <v/>
      </c>
      <c r="X45" s="55" t="str">
        <f t="array" ref="X45">_xlfn.XLOOKUP(B45,'Up Max'!A:A,'Up Max'!F:F,)</f>
        <v/>
      </c>
      <c r="Y45" s="57" t="str">
        <f t="array" ref="Y45">_xlfn.XLOOKUP(B45,'Up Stats'!A:A,'Up Stats'!G:G,)</f>
        <v/>
      </c>
      <c r="Z45" s="54" t="str">
        <f>IFERROR(__xludf.DUMMYFUNCTION("if(AND(AA45=FALSE,AB45=FALSE),,if(AA45=AB45,JOIN("""",""Static: "",AA45),JOIN("""",""Min:  "",AA45, CHAR(10),""Max: "",AB45)))"),"")</f>
        <v/>
      </c>
      <c r="AA45" s="55" t="str">
        <f t="array" ref="AA45">_xlfn.XLOOKUP(B45,'Up Min'!A:A,'Up Min'!G:G,)</f>
        <v/>
      </c>
      <c r="AB45" s="55" t="str">
        <f t="array" ref="AB45">_xlfn.XLOOKUP(B45,'Up Max'!A:A,'Up Max'!G:G,)</f>
        <v/>
      </c>
      <c r="AC45" s="57" t="str">
        <f t="array" ref="AC45">_xlfn.XLOOKUP(B45,'Up Stats'!A:A,'Up Stats'!H:H,)</f>
        <v/>
      </c>
      <c r="AD45" s="54" t="str">
        <f>IFERROR(__xludf.DUMMYFUNCTION("if(AND(AE45=FALSE,AF45=FALSE),,if(AE45=AF45,JOIN("""",""Static: "",AE45),JOIN("""",""Min:  "",AE45, CHAR(10),""Max: "",AF45)))"),"")</f>
        <v/>
      </c>
      <c r="AE45" s="55" t="str">
        <f t="array" ref="AE45">_xlfn.XLOOKUP(B45,'Up Min'!A:A,'Up Min'!H:H,)</f>
        <v/>
      </c>
      <c r="AF45" s="55" t="str">
        <f t="array" ref="AF45">_xlfn.XLOOKUP(B45,'Up Max'!A:A,'Up Max'!H:H,)</f>
        <v/>
      </c>
      <c r="AG45" s="57" t="str">
        <f t="array" ref="AG45">_xlfn.XLOOKUP(B45,'Up Stats'!A:A,'Up Stats'!I:I,)</f>
        <v/>
      </c>
      <c r="AH45" s="54" t="str">
        <f>IFERROR(__xludf.DUMMYFUNCTION("if(AND(AI45=FALSE,AJ45=FALSE),,if(AI45=AJ45,JOIN("""",""Static: "",AI45),JOIN("""",""Min:  "",AI45, CHAR(10),""Max: "",AJ45)))"),"")</f>
        <v/>
      </c>
      <c r="AI45" s="55" t="str">
        <f t="array" ref="AI45">_xlfn.XLOOKUP(B45,'Up Min'!A:A,'Up Min'!I:I,)</f>
        <v/>
      </c>
      <c r="AJ45" s="55" t="str">
        <f t="array" ref="AJ45">_xlfn.XLOOKUP(B45,'Up Max'!A:A,'Up Max'!I:I,)</f>
        <v/>
      </c>
      <c r="AK45" s="57" t="str">
        <f t="array" ref="AK45">_xlfn.XLOOKUP(B45,'Up Stats'!A:A,'Up Stats'!J:J,)</f>
        <v/>
      </c>
      <c r="AL45" s="54" t="str">
        <f>IFERROR(__xludf.DUMMYFUNCTION("if(AND(AM45=FALSE,AN45=FALSE),,if(AM45=AN45,JOIN("""",""Static: "",AM45),JOIN("""",""Min:  "",AM45, CHAR(10),""Max: "",AN45)))"),"")</f>
        <v/>
      </c>
      <c r="AM45" s="55" t="str">
        <f t="array" ref="AM45">_xlfn.XLOOKUP(B45,'Up Min'!A:A,'Up Min'!J:J,)</f>
        <v/>
      </c>
      <c r="AN45" s="55" t="str">
        <f t="array" ref="AN45">_xlfn.XLOOKUP(B45,'Up Max'!A:A,'Up Max'!J:J,)</f>
        <v/>
      </c>
      <c r="AO45" s="51" t="str">
        <f t="array" ref="AO45">CONCATENATE(_xlfn.XLOOKUP(B45,'Up Cells'!A:A,'Up Cells'!B:B,))</f>
        <v/>
      </c>
      <c r="AP45" s="51" t="str">
        <f t="array" ref="AP45">CONCATENATE(_xlfn.XLOOKUP(B45,'Up Rarity'!A:A,'Up Rarity'!B:B,),CHAR(10),"-")</f>
        <v>
-</v>
      </c>
    </row>
    <row r="46">
      <c r="A46" s="87" t="str">
        <f t="array" ref="A46">_xlfn.XLOOKUP(B46,'Up Icon'!A:A,'Up Icon'!B:B,)</f>
        <v/>
      </c>
      <c r="B46" s="58" t="str">
        <f t="array" ref="B46">HYPERLINK(_xlfn.XLOOKUP('Up Names'!K46,'Up Wiki'!A:A,'Up Wiki'!B:B,),'Up Names'!K46)</f>
        <v/>
      </c>
      <c r="C46" s="37" t="str">
        <f t="array" ref="C46">_xlfn.XLOOKUP(B46,'Up Desc'!A:A,'Up Desc'!B:B,)</f>
        <v/>
      </c>
      <c r="D46" s="37" t="str">
        <f t="array" ref="D46">_xlfn.XLOOKUP(B46,'Up Turbo'!A:A,'Up Turbo'!B:B,)</f>
        <v/>
      </c>
      <c r="E46" s="39" t="str">
        <f t="array" ref="E46">_xlfn.XLOOKUP(B46,'Up Stats'!A:A,'Up Stats'!B:B,)</f>
        <v/>
      </c>
      <c r="F46" s="40" t="str">
        <f>IFERROR(__xludf.DUMMYFUNCTION("if(AND(G46=FALSE,H46=FALSE),,if(G46=H46,JOIN("""",""Static: "",G46),JOIN("""",""Min:  "",G46, CHAR(10),""Max: "",H46)))"),"")</f>
        <v/>
      </c>
      <c r="G46" s="42" t="str">
        <f t="array" ref="G46">_xlfn.XLOOKUP(B46,'Up Min'!A:A,'Up Min'!B:B,)</f>
        <v/>
      </c>
      <c r="H46" s="45" t="str">
        <f t="array" ref="H46">_xlfn.XLOOKUP(B46,'Up Max'!A:A,'Up Max'!B:B,)</f>
        <v/>
      </c>
      <c r="I46" s="39" t="str">
        <f t="array" ref="I46">_xlfn.XLOOKUP(B46,'Up Stats'!A:A,'Up Stats'!C:C,)</f>
        <v/>
      </c>
      <c r="J46" s="40" t="str">
        <f>IFERROR(__xludf.DUMMYFUNCTION("if(AND(K46=FALSE,L46=FALSE),,if(K46=L46,JOIN("""",""Static: "",K46),JOIN("""",""Min:  "",K46, CHAR(10),""Max: "",L46)))"),"")</f>
        <v/>
      </c>
      <c r="K46" s="42" t="str">
        <f t="array" ref="K46">_xlfn.XLOOKUP(B46,'Up Min'!A:A,'Up Min'!C:C,)</f>
        <v/>
      </c>
      <c r="L46" s="42" t="str">
        <f t="array" ref="L46">_xlfn.XLOOKUP(B46,'Up Max'!A:A,'Up Max'!C:C,)</f>
        <v/>
      </c>
      <c r="M46" s="48" t="str">
        <f t="array" ref="M46">_xlfn.XLOOKUP(B46,'Up Stats'!A:A,'Up Stats'!D:D,)</f>
        <v/>
      </c>
      <c r="N46" s="40" t="str">
        <f>IFERROR(__xludf.DUMMYFUNCTION("if(AND(O46=FALSE,P46=FALSE),,if(O46=P46,JOIN("""",""Static: "",O46),JOIN("""",""Min:  "",O46, CHAR(10),""Max: "",P46)))"),"")</f>
        <v/>
      </c>
      <c r="O46" s="42" t="str">
        <f t="array" ref="O46">_xlfn.XLOOKUP(B46,'Up Min'!A:A,'Up Min'!D:D,)</f>
        <v/>
      </c>
      <c r="P46" s="42" t="str">
        <f t="array" ref="P46">_xlfn.XLOOKUP(B46,'Up Max'!A:A,'Up Max'!D:D,)</f>
        <v/>
      </c>
      <c r="Q46" s="48" t="str">
        <f t="array" ref="Q46">_xlfn.XLOOKUP(B46,'Up Stats'!A:A,'Up Stats'!E:E,)</f>
        <v/>
      </c>
      <c r="R46" s="40" t="str">
        <f>IFERROR(__xludf.DUMMYFUNCTION("if(AND(S46=FALSE,T46=FALSE),,if(S46=T46,JOIN("""",""Static: "",S46),JOIN("""",""Min:  "",S46, CHAR(10),""Max: "",T46)))"),"")</f>
        <v/>
      </c>
      <c r="S46" s="42" t="str">
        <f t="array" ref="S46">_xlfn.XLOOKUP(B46,'Up Min'!A:A,'Up Min'!E:E,)</f>
        <v/>
      </c>
      <c r="T46" s="42" t="str">
        <f t="array" ref="T46">_xlfn.XLOOKUP(B46,'Up Max'!A:A,'Up Max'!E:E,)</f>
        <v/>
      </c>
      <c r="U46" s="48" t="str">
        <f t="array" ref="U46">_xlfn.XLOOKUP(B46,'Up Stats'!A:A,'Up Stats'!F:F,)</f>
        <v/>
      </c>
      <c r="V46" s="40" t="str">
        <f>IFERROR(__xludf.DUMMYFUNCTION("if(AND(W46=FALSE,X46=FALSE),,if(W46=X46,JOIN("""",""Static: "",W46),JOIN("""",""Min:  "",W46, CHAR(10),""Max: "",X46)))"),"")</f>
        <v/>
      </c>
      <c r="W46" s="42" t="str">
        <f t="array" ref="W46">_xlfn.XLOOKUP(B46,'Up Min'!A:A,'Up Min'!F:F,)</f>
        <v/>
      </c>
      <c r="X46" s="42" t="str">
        <f t="array" ref="X46">_xlfn.XLOOKUP(B46,'Up Max'!A:A,'Up Max'!F:F,)</f>
        <v/>
      </c>
      <c r="Y46" s="48" t="str">
        <f t="array" ref="Y46">_xlfn.XLOOKUP(B46,'Up Stats'!A:A,'Up Stats'!G:G,)</f>
        <v/>
      </c>
      <c r="Z46" s="40" t="str">
        <f>IFERROR(__xludf.DUMMYFUNCTION("if(AND(AA46=FALSE,AB46=FALSE),,if(AA46=AB46,JOIN("""",""Static: "",AA46),JOIN("""",""Min:  "",AA46, CHAR(10),""Max: "",AB46)))"),"")</f>
        <v/>
      </c>
      <c r="AA46" s="42" t="str">
        <f t="array" ref="AA46">_xlfn.XLOOKUP(B46,'Up Min'!A:A,'Up Min'!G:G,)</f>
        <v/>
      </c>
      <c r="AB46" s="42" t="str">
        <f t="array" ref="AB46">_xlfn.XLOOKUP(B46,'Up Max'!A:A,'Up Max'!G:G,)</f>
        <v/>
      </c>
      <c r="AC46" s="48" t="str">
        <f t="array" ref="AC46">_xlfn.XLOOKUP(B46,'Up Stats'!A:A,'Up Stats'!H:H,)</f>
        <v/>
      </c>
      <c r="AD46" s="40" t="str">
        <f>IFERROR(__xludf.DUMMYFUNCTION("if(AND(AE46=FALSE,AF46=FALSE),,if(AE46=AF46,JOIN("""",""Static: "",AE46),JOIN("""",""Min:  "",AE46, CHAR(10),""Max: "",AF46)))"),"")</f>
        <v/>
      </c>
      <c r="AE46" s="42" t="str">
        <f t="array" ref="AE46">_xlfn.XLOOKUP(B46,'Up Min'!A:A,'Up Min'!H:H,)</f>
        <v/>
      </c>
      <c r="AF46" s="42" t="str">
        <f t="array" ref="AF46">_xlfn.XLOOKUP(B46,'Up Max'!A:A,'Up Max'!H:H,)</f>
        <v/>
      </c>
      <c r="AG46" s="48" t="str">
        <f t="array" ref="AG46">_xlfn.XLOOKUP(B46,'Up Stats'!A:A,'Up Stats'!I:I,)</f>
        <v/>
      </c>
      <c r="AH46" s="40" t="str">
        <f>IFERROR(__xludf.DUMMYFUNCTION("if(AND(AI46=FALSE,AJ46=FALSE),,if(AI46=AJ46,JOIN("""",""Static: "",AI46),JOIN("""",""Min:  "",AI46, CHAR(10),""Max: "",AJ46)))"),"")</f>
        <v/>
      </c>
      <c r="AI46" s="42" t="str">
        <f t="array" ref="AI46">_xlfn.XLOOKUP(B46,'Up Min'!A:A,'Up Min'!I:I,)</f>
        <v/>
      </c>
      <c r="AJ46" s="42" t="str">
        <f t="array" ref="AJ46">_xlfn.XLOOKUP(B46,'Up Max'!A:A,'Up Max'!I:I,)</f>
        <v/>
      </c>
      <c r="AK46" s="48" t="str">
        <f t="array" ref="AK46">_xlfn.XLOOKUP(B46,'Up Stats'!A:A,'Up Stats'!J:J,)</f>
        <v/>
      </c>
      <c r="AL46" s="40" t="str">
        <f>IFERROR(__xludf.DUMMYFUNCTION("if(AND(AM46=FALSE,AN46=FALSE),,if(AM46=AN46,JOIN("""",""Static: "",AM46),JOIN("""",""Min:  "",AM46, CHAR(10),""Max: "",AN46)))"),"")</f>
        <v/>
      </c>
      <c r="AM46" s="42" t="str">
        <f t="array" ref="AM46">_xlfn.XLOOKUP(B46,'Up Min'!A:A,'Up Min'!J:J,)</f>
        <v/>
      </c>
      <c r="AN46" s="42" t="str">
        <f t="array" ref="AN46">_xlfn.XLOOKUP(B46,'Up Max'!A:A,'Up Max'!J:J,)</f>
        <v/>
      </c>
      <c r="AO46" s="34" t="str">
        <f t="array" ref="AO46">CONCATENATE(_xlfn.XLOOKUP(B46,'Up Cells'!A:A,'Up Cells'!B:B,))</f>
        <v/>
      </c>
      <c r="AP46" s="34" t="str">
        <f t="array" ref="AP46">CONCATENATE(_xlfn.XLOOKUP(B46,'Up Rarity'!A:A,'Up Rarity'!B:B,),CHAR(10),"-")</f>
        <v>
-</v>
      </c>
    </row>
    <row r="47">
      <c r="A47" s="86" t="str">
        <f t="array" ref="A47">_xlfn.XLOOKUP(B47,'Up Icon'!A:A,'Up Icon'!B:B,)</f>
        <v/>
      </c>
      <c r="B47" s="61" t="str">
        <f t="array" ref="B47">HYPERLINK(_xlfn.XLOOKUP('Up Names'!K47,'Up Wiki'!A:A,'Up Wiki'!B:B,),'Up Names'!K47)</f>
        <v/>
      </c>
      <c r="C47" s="52" t="str">
        <f t="array" ref="C47">_xlfn.XLOOKUP(B47,'Up Desc'!A:A,'Up Desc'!B:B,)</f>
        <v/>
      </c>
      <c r="D47" s="52" t="str">
        <f t="array" ref="D47">_xlfn.XLOOKUP(B47,'Up Turbo'!A:A,'Up Turbo'!B:B,)</f>
        <v/>
      </c>
      <c r="E47" s="53" t="str">
        <f t="array" ref="E47">_xlfn.XLOOKUP(B47,'Up Stats'!A:A,'Up Stats'!B:B,)</f>
        <v/>
      </c>
      <c r="F47" s="54" t="str">
        <f>IFERROR(__xludf.DUMMYFUNCTION("if(AND(G47=FALSE,H47=FALSE),,if(G47=H47,JOIN("""",""Static: "",G47),JOIN("""",""Min:  "",G47, CHAR(10),""Max: "",H47)))"),"")</f>
        <v/>
      </c>
      <c r="G47" s="55" t="str">
        <f t="array" ref="G47">_xlfn.XLOOKUP(B47,'Up Min'!A:A,'Up Min'!B:B,)</f>
        <v/>
      </c>
      <c r="H47" s="56" t="str">
        <f t="array" ref="H47">_xlfn.XLOOKUP(B47,'Up Max'!A:A,'Up Max'!B:B,)</f>
        <v/>
      </c>
      <c r="I47" s="53" t="str">
        <f t="array" ref="I47">_xlfn.XLOOKUP(B47,'Up Stats'!A:A,'Up Stats'!C:C,)</f>
        <v/>
      </c>
      <c r="J47" s="54" t="str">
        <f>IFERROR(__xludf.DUMMYFUNCTION("if(AND(K47=FALSE,L47=FALSE),,if(K47=L47,JOIN("""",""Static: "",K47),JOIN("""",""Min:  "",K47, CHAR(10),""Max: "",L47)))"),"")</f>
        <v/>
      </c>
      <c r="K47" s="55" t="str">
        <f t="array" ref="K47">_xlfn.XLOOKUP(B47,'Up Min'!A:A,'Up Min'!C:C,)</f>
        <v/>
      </c>
      <c r="L47" s="55" t="str">
        <f t="array" ref="L47">_xlfn.XLOOKUP(B47,'Up Max'!A:A,'Up Max'!C:C,)</f>
        <v/>
      </c>
      <c r="M47" s="57" t="str">
        <f t="array" ref="M47">_xlfn.XLOOKUP(B47,'Up Stats'!A:A,'Up Stats'!D:D,)</f>
        <v/>
      </c>
      <c r="N47" s="54" t="str">
        <f>IFERROR(__xludf.DUMMYFUNCTION("if(AND(O47=FALSE,P47=FALSE),,if(O47=P47,JOIN("""",""Static: "",O47),JOIN("""",""Min:  "",O47, CHAR(10),""Max: "",P47)))"),"")</f>
        <v/>
      </c>
      <c r="O47" s="55" t="str">
        <f t="array" ref="O47">_xlfn.XLOOKUP(B47,'Up Min'!A:A,'Up Min'!D:D,)</f>
        <v/>
      </c>
      <c r="P47" s="55" t="str">
        <f t="array" ref="P47">_xlfn.XLOOKUP(B47,'Up Max'!A:A,'Up Max'!D:D,)</f>
        <v/>
      </c>
      <c r="Q47" s="57" t="str">
        <f t="array" ref="Q47">_xlfn.XLOOKUP(B47,'Up Stats'!A:A,'Up Stats'!E:E,)</f>
        <v/>
      </c>
      <c r="R47" s="54" t="str">
        <f>IFERROR(__xludf.DUMMYFUNCTION("if(AND(S47=FALSE,T47=FALSE),,if(S47=T47,JOIN("""",""Static: "",S47),JOIN("""",""Min:  "",S47, CHAR(10),""Max: "",T47)))"),"")</f>
        <v/>
      </c>
      <c r="S47" s="55" t="str">
        <f t="array" ref="S47">_xlfn.XLOOKUP(B47,'Up Min'!A:A,'Up Min'!E:E,)</f>
        <v/>
      </c>
      <c r="T47" s="55" t="str">
        <f t="array" ref="T47">_xlfn.XLOOKUP(B47,'Up Max'!A:A,'Up Max'!E:E,)</f>
        <v/>
      </c>
      <c r="U47" s="57" t="str">
        <f t="array" ref="U47">_xlfn.XLOOKUP(B47,'Up Stats'!A:A,'Up Stats'!F:F,)</f>
        <v/>
      </c>
      <c r="V47" s="54" t="str">
        <f>IFERROR(__xludf.DUMMYFUNCTION("if(AND(W47=FALSE,X47=FALSE),,if(W47=X47,JOIN("""",""Static: "",W47),JOIN("""",""Min:  "",W47, CHAR(10),""Max: "",X47)))"),"")</f>
        <v/>
      </c>
      <c r="W47" s="55" t="str">
        <f t="array" ref="W47">_xlfn.XLOOKUP(B47,'Up Min'!A:A,'Up Min'!F:F,)</f>
        <v/>
      </c>
      <c r="X47" s="55" t="str">
        <f t="array" ref="X47">_xlfn.XLOOKUP(B47,'Up Max'!A:A,'Up Max'!F:F,)</f>
        <v/>
      </c>
      <c r="Y47" s="57" t="str">
        <f t="array" ref="Y47">_xlfn.XLOOKUP(B47,'Up Stats'!A:A,'Up Stats'!G:G,)</f>
        <v/>
      </c>
      <c r="Z47" s="54" t="str">
        <f>IFERROR(__xludf.DUMMYFUNCTION("if(AND(AA47=FALSE,AB47=FALSE),,if(AA47=AB47,JOIN("""",""Static: "",AA47),JOIN("""",""Min:  "",AA47, CHAR(10),""Max: "",AB47)))"),"")</f>
        <v/>
      </c>
      <c r="AA47" s="55" t="str">
        <f t="array" ref="AA47">_xlfn.XLOOKUP(B47,'Up Min'!A:A,'Up Min'!G:G,)</f>
        <v/>
      </c>
      <c r="AB47" s="55" t="str">
        <f t="array" ref="AB47">_xlfn.XLOOKUP(B47,'Up Max'!A:A,'Up Max'!G:G,)</f>
        <v/>
      </c>
      <c r="AC47" s="57" t="str">
        <f t="array" ref="AC47">_xlfn.XLOOKUP(B47,'Up Stats'!A:A,'Up Stats'!H:H,)</f>
        <v/>
      </c>
      <c r="AD47" s="54" t="str">
        <f>IFERROR(__xludf.DUMMYFUNCTION("if(AND(AE47=FALSE,AF47=FALSE),,if(AE47=AF47,JOIN("""",""Static: "",AE47),JOIN("""",""Min:  "",AE47, CHAR(10),""Max: "",AF47)))"),"")</f>
        <v/>
      </c>
      <c r="AE47" s="55" t="str">
        <f t="array" ref="AE47">_xlfn.XLOOKUP(B47,'Up Min'!A:A,'Up Min'!H:H,)</f>
        <v/>
      </c>
      <c r="AF47" s="55" t="str">
        <f t="array" ref="AF47">_xlfn.XLOOKUP(B47,'Up Max'!A:A,'Up Max'!H:H,)</f>
        <v/>
      </c>
      <c r="AG47" s="57" t="str">
        <f t="array" ref="AG47">_xlfn.XLOOKUP(B47,'Up Stats'!A:A,'Up Stats'!I:I,)</f>
        <v/>
      </c>
      <c r="AH47" s="54" t="str">
        <f>IFERROR(__xludf.DUMMYFUNCTION("if(AND(AI47=FALSE,AJ47=FALSE),,if(AI47=AJ47,JOIN("""",""Static: "",AI47),JOIN("""",""Min:  "",AI47, CHAR(10),""Max: "",AJ47)))"),"")</f>
        <v/>
      </c>
      <c r="AI47" s="55" t="str">
        <f t="array" ref="AI47">_xlfn.XLOOKUP(B47,'Up Min'!A:A,'Up Min'!I:I,)</f>
        <v/>
      </c>
      <c r="AJ47" s="55" t="str">
        <f t="array" ref="AJ47">_xlfn.XLOOKUP(B47,'Up Max'!A:A,'Up Max'!I:I,)</f>
        <v/>
      </c>
      <c r="AK47" s="57" t="str">
        <f t="array" ref="AK47">_xlfn.XLOOKUP(B47,'Up Stats'!A:A,'Up Stats'!J:J,)</f>
        <v/>
      </c>
      <c r="AL47" s="54" t="str">
        <f>IFERROR(__xludf.DUMMYFUNCTION("if(AND(AM47=FALSE,AN47=FALSE),,if(AM47=AN47,JOIN("""",""Static: "",AM47),JOIN("""",""Min:  "",AM47, CHAR(10),""Max: "",AN47)))"),"")</f>
        <v/>
      </c>
      <c r="AM47" s="55" t="str">
        <f t="array" ref="AM47">_xlfn.XLOOKUP(B47,'Up Min'!A:A,'Up Min'!J:J,)</f>
        <v/>
      </c>
      <c r="AN47" s="55" t="str">
        <f t="array" ref="AN47">_xlfn.XLOOKUP(B47,'Up Max'!A:A,'Up Max'!J:J,)</f>
        <v/>
      </c>
      <c r="AO47" s="51" t="str">
        <f t="array" ref="AO47">CONCATENATE(_xlfn.XLOOKUP(B47,'Up Cells'!A:A,'Up Cells'!B:B,))</f>
        <v/>
      </c>
      <c r="AP47" s="51" t="str">
        <f t="array" ref="AP47">CONCATENATE(_xlfn.XLOOKUP(B47,'Up Rarity'!A:A,'Up Rarity'!B:B,),CHAR(10),"-")</f>
        <v>
-</v>
      </c>
    </row>
  </sheetData>
  <autoFilter ref="$A$1:$AP$47">
    <sortState ref="A1:AP47">
      <sortCondition descending="1" sortBy="cellColor" ref="AP1:AP47" dxfId="2"/>
    </sortState>
  </autoFilter>
  <conditionalFormatting sqref="AO1:AP47">
    <cfRule type="containsText" dxfId="3" priority="1" operator="containsText" text="Oddity">
      <formula>NOT(ISERROR(SEARCH(("Oddity"),(AO1))))</formula>
    </cfRule>
  </conditionalFormatting>
  <conditionalFormatting sqref="AO1:AP47">
    <cfRule type="containsText" dxfId="4" priority="2" operator="containsText" text="Exotic">
      <formula>NOT(ISERROR(SEARCH(("Exotic"),(AO1))))</formula>
    </cfRule>
  </conditionalFormatting>
  <conditionalFormatting sqref="AO1:AP47">
    <cfRule type="containsText" dxfId="5" priority="3" operator="containsText" text="Epic">
      <formula>NOT(ISERROR(SEARCH(("Epic"),(AO1))))</formula>
    </cfRule>
  </conditionalFormatting>
  <conditionalFormatting sqref="AO1:AP47">
    <cfRule type="containsText" dxfId="6" priority="4" operator="containsText" text="Rare">
      <formula>NOT(ISERROR(SEARCH(("Rare"),(AO1))))</formula>
    </cfRule>
  </conditionalFormatting>
  <conditionalFormatting sqref="AO1:AP47">
    <cfRule type="containsText" dxfId="7" priority="5" operator="containsText" text="Standard">
      <formula>NOT(ISERROR(SEARCH(("Standard"),(AO1))))</formula>
    </cfRule>
  </conditionalFormatting>
  <conditionalFormatting sqref="AO1:AP47">
    <cfRule type="containsText" dxfId="8" priority="6" operator="containsText" text="Contraband">
      <formula>NOT(ISERROR(SEARCH(("Contraband"),(AO1))))</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12.63"/>
    <col customWidth="1" min="3" max="4" width="31.38"/>
    <col customWidth="1" min="5" max="6" width="12.63"/>
    <col customWidth="1" hidden="1" min="7" max="8" width="12.63"/>
    <col customWidth="1" min="9" max="10" width="12.63"/>
    <col customWidth="1" hidden="1" min="11" max="12" width="12.63"/>
    <col customWidth="1" min="13" max="14" width="12.63"/>
    <col customWidth="1" hidden="1" min="15" max="16" width="12.63"/>
    <col customWidth="1" min="17" max="18" width="12.63"/>
    <col customWidth="1" hidden="1" min="19" max="20" width="12.63"/>
    <col customWidth="1" min="21" max="22" width="12.63"/>
    <col customWidth="1" hidden="1" min="23" max="24" width="12.63"/>
    <col customWidth="1" min="25" max="26" width="12.63"/>
    <col customWidth="1" hidden="1" min="27" max="28" width="12.63"/>
    <col customWidth="1" min="29" max="30" width="12.63"/>
    <col customWidth="1" hidden="1" min="31" max="32" width="12.63"/>
    <col customWidth="1" min="33" max="34" width="12.63"/>
    <col customWidth="1" hidden="1" min="35" max="36" width="12.63"/>
    <col customWidth="1" min="37" max="38" width="12.63"/>
    <col customWidth="1" hidden="1" min="39" max="40" width="12.63"/>
    <col customWidth="1" min="41" max="42" width="8.25"/>
  </cols>
  <sheetData>
    <row r="1">
      <c r="A1" s="28" t="s">
        <v>1</v>
      </c>
      <c r="B1" s="9" t="s">
        <v>2</v>
      </c>
      <c r="C1" s="9" t="s">
        <v>3</v>
      </c>
      <c r="D1" s="11" t="s">
        <v>4</v>
      </c>
      <c r="E1" s="16" t="s">
        <v>6</v>
      </c>
      <c r="F1" s="19" t="s">
        <v>7</v>
      </c>
      <c r="G1" s="21" t="s">
        <v>8</v>
      </c>
      <c r="H1" s="25" t="s">
        <v>9</v>
      </c>
      <c r="I1" s="29" t="s">
        <v>6</v>
      </c>
      <c r="J1" s="19" t="s">
        <v>7</v>
      </c>
      <c r="K1" s="21" t="s">
        <v>8</v>
      </c>
      <c r="L1" s="21" t="s">
        <v>9</v>
      </c>
      <c r="M1" s="29" t="s">
        <v>6</v>
      </c>
      <c r="N1" s="19" t="s">
        <v>7</v>
      </c>
      <c r="O1" s="21" t="s">
        <v>8</v>
      </c>
      <c r="P1" s="21" t="s">
        <v>9</v>
      </c>
      <c r="Q1" s="16" t="s">
        <v>6</v>
      </c>
      <c r="R1" s="19" t="s">
        <v>7</v>
      </c>
      <c r="S1" s="21" t="s">
        <v>8</v>
      </c>
      <c r="T1" s="21" t="s">
        <v>9</v>
      </c>
      <c r="U1" s="16" t="s">
        <v>6</v>
      </c>
      <c r="V1" s="19" t="s">
        <v>7</v>
      </c>
      <c r="W1" s="21" t="s">
        <v>8</v>
      </c>
      <c r="X1" s="21" t="s">
        <v>9</v>
      </c>
      <c r="Y1" s="16" t="s">
        <v>6</v>
      </c>
      <c r="Z1" s="19" t="s">
        <v>7</v>
      </c>
      <c r="AA1" s="21" t="s">
        <v>8</v>
      </c>
      <c r="AB1" s="21" t="s">
        <v>9</v>
      </c>
      <c r="AC1" s="16" t="s">
        <v>6</v>
      </c>
      <c r="AD1" s="19" t="s">
        <v>7</v>
      </c>
      <c r="AE1" s="21" t="s">
        <v>8</v>
      </c>
      <c r="AF1" s="21" t="s">
        <v>9</v>
      </c>
      <c r="AG1" s="16" t="s">
        <v>6</v>
      </c>
      <c r="AH1" s="19" t="s">
        <v>7</v>
      </c>
      <c r="AI1" s="21" t="s">
        <v>8</v>
      </c>
      <c r="AJ1" s="21" t="s">
        <v>9</v>
      </c>
      <c r="AK1" s="16" t="s">
        <v>6</v>
      </c>
      <c r="AL1" s="19" t="s">
        <v>7</v>
      </c>
      <c r="AM1" s="21" t="s">
        <v>8</v>
      </c>
      <c r="AN1" s="21" t="s">
        <v>9</v>
      </c>
      <c r="AO1" s="11" t="s">
        <v>12</v>
      </c>
      <c r="AP1" s="22" t="s">
        <v>13</v>
      </c>
    </row>
    <row r="2">
      <c r="A2" s="31" t="str">
        <f t="array" ref="A2">_xlfn.XLOOKUP(B2,'Up Icon'!A:A,'Up Icon'!B:B,)</f>
        <v/>
      </c>
      <c r="B2" s="58" t="str">
        <f t="array" ref="B2">HYPERLINK(_xlfn.XLOOKUP('Up Names'!L33,'Up Wiki'!A:A,'Up Wiki'!B:B,),'Up Names'!L33)</f>
        <v>Edge Fault</v>
      </c>
      <c r="C2" s="37" t="str">
        <f t="array" ref="C2">_xlfn.XLOOKUP(B2,'Up Desc'!A:A,'Up Desc'!B:B,)</f>
        <v>Increases the size of your upgrade grid.</v>
      </c>
      <c r="D2" s="37" t="str">
        <f t="array" ref="D2">_xlfn.XLOOKUP(B2,'Up Turbo'!A:A,'Up Turbo'!B:B,)</f>
        <v>n/a</v>
      </c>
      <c r="E2" s="39" t="str">
        <f t="array" ref="E2">_xlfn.XLOOKUP(B2,'Up Stats'!A:A,'Up Stats'!B:B,)</f>
        <v/>
      </c>
      <c r="F2" s="40" t="str">
        <f>IFERROR(__xludf.DUMMYFUNCTION("if(AND(G2=FALSE,H2=FALSE),,if(G2=H2,JOIN("""",""Static: "",G2),JOIN("""",""Min:  "",G2, CHAR(10),""Max: "",H2)))"),"")</f>
        <v/>
      </c>
      <c r="G2" s="42" t="str">
        <f t="array" ref="G2">_xlfn.XLOOKUP(B2,'Up Min'!A:A,'Up Min'!B:B,)</f>
        <v/>
      </c>
      <c r="H2" s="45" t="str">
        <f t="array" ref="H2">_xlfn.XLOOKUP(B2,'Up Max'!A:A,'Up Max'!B:B,)</f>
        <v/>
      </c>
      <c r="I2" s="39" t="str">
        <f t="array" ref="I2">_xlfn.XLOOKUP(B2,'Up Stats'!A:A,'Up Stats'!C:C,)</f>
        <v/>
      </c>
      <c r="J2" s="40" t="str">
        <f>IFERROR(__xludf.DUMMYFUNCTION("if(AND(K2=FALSE,L2=FALSE),,if(K2=L2,JOIN("""",""Static: "",K2),JOIN("""",""Min:  "",K2, CHAR(10),""Max: "",L2)))"),"")</f>
        <v/>
      </c>
      <c r="K2" s="42" t="str">
        <f t="array" ref="K2">_xlfn.XLOOKUP(B2,'Up Min'!A:A,'Up Min'!C:C,)</f>
        <v/>
      </c>
      <c r="L2" s="42" t="str">
        <f t="array" ref="L2">_xlfn.XLOOKUP(B2,'Up Max'!A:A,'Up Max'!C:C,)</f>
        <v/>
      </c>
      <c r="M2" s="48" t="str">
        <f t="array" ref="M2">_xlfn.XLOOKUP(B2,'Up Stats'!A:A,'Up Stats'!D:D,)</f>
        <v/>
      </c>
      <c r="N2" s="40" t="str">
        <f>IFERROR(__xludf.DUMMYFUNCTION("if(AND(O2=FALSE,P2=FALSE),,if(O2=P2,JOIN("""",""Static: "",O2),JOIN("""",""Min:  "",O2, CHAR(10),""Max: "",P2)))"),"")</f>
        <v/>
      </c>
      <c r="O2" s="42" t="str">
        <f t="array" ref="O2">_xlfn.XLOOKUP(B2,'Up Min'!A:A,'Up Min'!D:D,)</f>
        <v/>
      </c>
      <c r="P2" s="42" t="str">
        <f t="array" ref="P2">_xlfn.XLOOKUP(B2,'Up Max'!A:A,'Up Max'!D:D,)</f>
        <v/>
      </c>
      <c r="Q2" s="48" t="str">
        <f t="array" ref="Q2">_xlfn.XLOOKUP(B2,'Up Stats'!A:A,'Up Stats'!E:E,)</f>
        <v/>
      </c>
      <c r="R2" s="40" t="str">
        <f>IFERROR(__xludf.DUMMYFUNCTION("if(AND(S2=FALSE,T2=FALSE),,if(S2=T2,JOIN("""",""Static: "",S2),JOIN("""",""Min:  "",S2, CHAR(10),""Max: "",T2)))"),"")</f>
        <v/>
      </c>
      <c r="S2" s="42" t="str">
        <f t="array" ref="S2">_xlfn.XLOOKUP(B2,'Up Min'!A:A,'Up Min'!E:E,)</f>
        <v/>
      </c>
      <c r="T2" s="42" t="str">
        <f t="array" ref="T2">_xlfn.XLOOKUP(B2,'Up Max'!A:A,'Up Max'!E:E,)</f>
        <v/>
      </c>
      <c r="U2" s="48" t="str">
        <f t="array" ref="U2">_xlfn.XLOOKUP(B2,'Up Stats'!A:A,'Up Stats'!F:F,)</f>
        <v/>
      </c>
      <c r="V2" s="40" t="str">
        <f>IFERROR(__xludf.DUMMYFUNCTION("if(AND(W2=FALSE,X2=FALSE),,if(W2=X2,JOIN("""",""Static: "",W2),JOIN("""",""Min:  "",W2, CHAR(10),""Max: "",X2)))"),"")</f>
        <v/>
      </c>
      <c r="W2" s="42" t="str">
        <f t="array" ref="W2">_xlfn.XLOOKUP(B2,'Up Min'!A:A,'Up Min'!F:F,)</f>
        <v/>
      </c>
      <c r="X2" s="42" t="str">
        <f t="array" ref="X2">_xlfn.XLOOKUP(B2,'Up Max'!A:A,'Up Max'!F:F,)</f>
        <v/>
      </c>
      <c r="Y2" s="48" t="str">
        <f t="array" ref="Y2">_xlfn.XLOOKUP(B2,'Up Stats'!A:A,'Up Stats'!G:G,)</f>
        <v/>
      </c>
      <c r="Z2" s="40" t="str">
        <f>IFERROR(__xludf.DUMMYFUNCTION("if(AND(AA2=FALSE,AB2=FALSE),,if(AA2=AB2,JOIN("""",""Static: "",AA2),JOIN("""",""Min:  "",AA2, CHAR(10),""Max: "",AB2)))"),"")</f>
        <v/>
      </c>
      <c r="AA2" s="42" t="str">
        <f t="array" ref="AA2">_xlfn.XLOOKUP(B2,'Up Min'!A:A,'Up Min'!G:G,)</f>
        <v/>
      </c>
      <c r="AB2" s="42" t="str">
        <f t="array" ref="AB2">_xlfn.XLOOKUP(B2,'Up Max'!A:A,'Up Max'!G:G,)</f>
        <v/>
      </c>
      <c r="AC2" s="48" t="str">
        <f t="array" ref="AC2">_xlfn.XLOOKUP(B2,'Up Stats'!A:A,'Up Stats'!H:H,)</f>
        <v/>
      </c>
      <c r="AD2" s="40" t="str">
        <f>IFERROR(__xludf.DUMMYFUNCTION("if(AND(AE2=FALSE,AF2=FALSE),,if(AE2=AF2,JOIN("""",""Static: "",AE2),JOIN("""",""Min:  "",AE2, CHAR(10),""Max: "",AF2)))"),"")</f>
        <v/>
      </c>
      <c r="AE2" s="42" t="str">
        <f t="array" ref="AE2">_xlfn.XLOOKUP(B2,'Up Min'!A:A,'Up Min'!H:H,)</f>
        <v/>
      </c>
      <c r="AF2" s="42" t="str">
        <f t="array" ref="AF2">_xlfn.XLOOKUP(B2,'Up Max'!A:A,'Up Max'!H:H,)</f>
        <v/>
      </c>
      <c r="AG2" s="48" t="str">
        <f t="array" ref="AG2">_xlfn.XLOOKUP(B2,'Up Stats'!A:A,'Up Stats'!I:I,)</f>
        <v/>
      </c>
      <c r="AH2" s="40" t="str">
        <f>IFERROR(__xludf.DUMMYFUNCTION("if(AND(AI2=FALSE,AJ2=FALSE),,if(AI2=AJ2,JOIN("""",""Static: "",AI2),JOIN("""",""Min:  "",AI2, CHAR(10),""Max: "",AJ2)))"),"")</f>
        <v/>
      </c>
      <c r="AI2" s="42" t="str">
        <f t="array" ref="AI2">_xlfn.XLOOKUP(B2,'Up Min'!A:A,'Up Min'!I:I,)</f>
        <v/>
      </c>
      <c r="AJ2" s="42" t="str">
        <f t="array" ref="AJ2">_xlfn.XLOOKUP(B2,'Up Max'!A:A,'Up Max'!I:I,)</f>
        <v/>
      </c>
      <c r="AK2" s="48" t="str">
        <f t="array" ref="AK2">_xlfn.XLOOKUP(B2,'Up Stats'!A:A,'Up Stats'!J:J,)</f>
        <v/>
      </c>
      <c r="AL2" s="40" t="str">
        <f>IFERROR(__xludf.DUMMYFUNCTION("if(AND(AM2=FALSE,AN2=FALSE),,if(AM2=AN2,JOIN("""",""Static: "",AM2),JOIN("""",""Min:  "",AM2, CHAR(10),""Max: "",AN2)))"),"")</f>
        <v/>
      </c>
      <c r="AM2" s="42" t="str">
        <f t="array" ref="AM2">_xlfn.XLOOKUP(B2,'Up Min'!A:A,'Up Min'!J:J,)</f>
        <v/>
      </c>
      <c r="AN2" s="42" t="str">
        <f t="array" ref="AN2">_xlfn.XLOOKUP(B2,'Up Max'!A:A,'Up Max'!J:J,)</f>
        <v/>
      </c>
      <c r="AO2" s="34" t="str">
        <f t="array" ref="AO2">CONCATENATE(_xlfn.XLOOKUP(B2,'Up Cells'!A:A,'Up Cells'!B:B,))</f>
        <v>1</v>
      </c>
      <c r="AP2" s="34" t="str">
        <f t="array" ref="AP2">CONCATENATE(_xlfn.XLOOKUP(B2,'Up Rarity'!A:A,'Up Rarity'!B:B,),CHAR(10),"-")</f>
        <v>Contraband
-</v>
      </c>
    </row>
    <row r="3">
      <c r="A3" s="31" t="str">
        <f t="array" ref="A3">_xlfn.XLOOKUP(B3,'Up Icon'!A:A,'Up Icon'!B:B,)</f>
        <v/>
      </c>
      <c r="B3" s="61" t="str">
        <f t="array" ref="B3">HYPERLINK(_xlfn.XLOOKUP('Up Names'!L34,'Up Wiki'!A:A,'Up Wiki'!B:B,),'Up Names'!L34)</f>
        <v>Multiversal Thievery</v>
      </c>
      <c r="C3" s="52" t="str">
        <f t="array" ref="C3">_xlfn.XLOOKUP(B3,'Up Desc'!A:A,'Up Desc'!B:B,)</f>
        <v>Commandeers 1 column from each of your other upgrade grids.</v>
      </c>
      <c r="D3" s="52" t="str">
        <f t="array" ref="D3">_xlfn.XLOOKUP(B3,'Up Turbo'!A:A,'Up Turbo'!B:B,)</f>
        <v>n/a</v>
      </c>
      <c r="E3" s="53" t="str">
        <f t="array" ref="E3">_xlfn.XLOOKUP(B3,'Up Stats'!A:A,'Up Stats'!B:B,)</f>
        <v/>
      </c>
      <c r="F3" s="54" t="str">
        <f>IFERROR(__xludf.DUMMYFUNCTION("if(AND(G3=FALSE,H3=FALSE),,if(G3=H3,JOIN("""",""Static: "",G3),JOIN("""",""Min:  "",G3, CHAR(10),""Max: "",H3)))"),"")</f>
        <v/>
      </c>
      <c r="G3" s="55" t="str">
        <f t="array" ref="G3">_xlfn.XLOOKUP(B3,'Up Min'!A:A,'Up Min'!B:B,)</f>
        <v/>
      </c>
      <c r="H3" s="56" t="str">
        <f t="array" ref="H3">_xlfn.XLOOKUP(B3,'Up Max'!A:A,'Up Max'!B:B,)</f>
        <v/>
      </c>
      <c r="I3" s="53" t="str">
        <f t="array" ref="I3">_xlfn.XLOOKUP(B3,'Up Stats'!A:A,'Up Stats'!C:C,)</f>
        <v/>
      </c>
      <c r="J3" s="54" t="str">
        <f>IFERROR(__xludf.DUMMYFUNCTION("if(AND(K3=FALSE,L3=FALSE),,if(K3=L3,JOIN("""",""Static: "",K3),JOIN("""",""Min:  "",K3, CHAR(10),""Max: "",L3)))"),"")</f>
        <v/>
      </c>
      <c r="K3" s="55" t="str">
        <f t="array" ref="K3">_xlfn.XLOOKUP(B3,'Up Min'!A:A,'Up Min'!C:C,)</f>
        <v/>
      </c>
      <c r="L3" s="55" t="str">
        <f t="array" ref="L3">_xlfn.XLOOKUP(B3,'Up Max'!A:A,'Up Max'!C:C,)</f>
        <v/>
      </c>
      <c r="M3" s="57" t="str">
        <f t="array" ref="M3">_xlfn.XLOOKUP(B3,'Up Stats'!A:A,'Up Stats'!D:D,)</f>
        <v/>
      </c>
      <c r="N3" s="54" t="str">
        <f>IFERROR(__xludf.DUMMYFUNCTION("if(AND(O3=FALSE,P3=FALSE),,if(O3=P3,JOIN("""",""Static: "",O3),JOIN("""",""Min:  "",O3, CHAR(10),""Max: "",P3)))"),"")</f>
        <v/>
      </c>
      <c r="O3" s="55" t="str">
        <f t="array" ref="O3">_xlfn.XLOOKUP(B3,'Up Min'!A:A,'Up Min'!D:D,)</f>
        <v/>
      </c>
      <c r="P3" s="55" t="str">
        <f t="array" ref="P3">_xlfn.XLOOKUP(B3,'Up Max'!A:A,'Up Max'!D:D,)</f>
        <v/>
      </c>
      <c r="Q3" s="57" t="str">
        <f t="array" ref="Q3">_xlfn.XLOOKUP(B3,'Up Stats'!A:A,'Up Stats'!E:E,)</f>
        <v/>
      </c>
      <c r="R3" s="54" t="str">
        <f>IFERROR(__xludf.DUMMYFUNCTION("if(AND(S3=FALSE,T3=FALSE),,if(S3=T3,JOIN("""",""Static: "",S3),JOIN("""",""Min:  "",S3, CHAR(10),""Max: "",T3)))"),"")</f>
        <v/>
      </c>
      <c r="S3" s="55" t="str">
        <f t="array" ref="S3">_xlfn.XLOOKUP(B3,'Up Min'!A:A,'Up Min'!E:E,)</f>
        <v/>
      </c>
      <c r="T3" s="55" t="str">
        <f t="array" ref="T3">_xlfn.XLOOKUP(B3,'Up Max'!A:A,'Up Max'!E:E,)</f>
        <v/>
      </c>
      <c r="U3" s="57" t="str">
        <f t="array" ref="U3">_xlfn.XLOOKUP(B3,'Up Stats'!A:A,'Up Stats'!F:F,)</f>
        <v/>
      </c>
      <c r="V3" s="54" t="str">
        <f>IFERROR(__xludf.DUMMYFUNCTION("if(AND(W3=FALSE,X3=FALSE),,if(W3=X3,JOIN("""",""Static: "",W3),JOIN("""",""Min:  "",W3, CHAR(10),""Max: "",X3)))"),"")</f>
        <v/>
      </c>
      <c r="W3" s="55" t="str">
        <f t="array" ref="W3">_xlfn.XLOOKUP(B3,'Up Min'!A:A,'Up Min'!F:F,)</f>
        <v/>
      </c>
      <c r="X3" s="55" t="str">
        <f t="array" ref="X3">_xlfn.XLOOKUP(B3,'Up Max'!A:A,'Up Max'!F:F,)</f>
        <v/>
      </c>
      <c r="Y3" s="57" t="str">
        <f t="array" ref="Y3">_xlfn.XLOOKUP(B3,'Up Stats'!A:A,'Up Stats'!G:G,)</f>
        <v/>
      </c>
      <c r="Z3" s="54" t="str">
        <f>IFERROR(__xludf.DUMMYFUNCTION("if(AND(AA3=FALSE,AB3=FALSE),,if(AA3=AB3,JOIN("""",""Static: "",AA3),JOIN("""",""Min:  "",AA3, CHAR(10),""Max: "",AB3)))"),"")</f>
        <v/>
      </c>
      <c r="AA3" s="55" t="str">
        <f t="array" ref="AA3">_xlfn.XLOOKUP(B3,'Up Min'!A:A,'Up Min'!G:G,)</f>
        <v/>
      </c>
      <c r="AB3" s="55" t="str">
        <f t="array" ref="AB3">_xlfn.XLOOKUP(B3,'Up Max'!A:A,'Up Max'!G:G,)</f>
        <v/>
      </c>
      <c r="AC3" s="57" t="str">
        <f t="array" ref="AC3">_xlfn.XLOOKUP(B3,'Up Stats'!A:A,'Up Stats'!H:H,)</f>
        <v/>
      </c>
      <c r="AD3" s="54" t="str">
        <f>IFERROR(__xludf.DUMMYFUNCTION("if(AND(AE3=FALSE,AF3=FALSE),,if(AE3=AF3,JOIN("""",""Static: "",AE3),JOIN("""",""Min:  "",AE3, CHAR(10),""Max: "",AF3)))"),"")</f>
        <v/>
      </c>
      <c r="AE3" s="55" t="str">
        <f t="array" ref="AE3">_xlfn.XLOOKUP(B3,'Up Min'!A:A,'Up Min'!H:H,)</f>
        <v/>
      </c>
      <c r="AF3" s="55" t="str">
        <f t="array" ref="AF3">_xlfn.XLOOKUP(B3,'Up Max'!A:A,'Up Max'!H:H,)</f>
        <v/>
      </c>
      <c r="AG3" s="57" t="str">
        <f t="array" ref="AG3">_xlfn.XLOOKUP(B3,'Up Stats'!A:A,'Up Stats'!I:I,)</f>
        <v/>
      </c>
      <c r="AH3" s="54" t="str">
        <f>IFERROR(__xludf.DUMMYFUNCTION("if(AND(AI3=FALSE,AJ3=FALSE),,if(AI3=AJ3,JOIN("""",""Static: "",AI3),JOIN("""",""Min:  "",AI3, CHAR(10),""Max: "",AJ3)))"),"")</f>
        <v/>
      </c>
      <c r="AI3" s="55" t="str">
        <f t="array" ref="AI3">_xlfn.XLOOKUP(B3,'Up Min'!A:A,'Up Min'!I:I,)</f>
        <v/>
      </c>
      <c r="AJ3" s="55" t="str">
        <f t="array" ref="AJ3">_xlfn.XLOOKUP(B3,'Up Max'!A:A,'Up Max'!I:I,)</f>
        <v/>
      </c>
      <c r="AK3" s="57" t="str">
        <f t="array" ref="AK3">_xlfn.XLOOKUP(B3,'Up Stats'!A:A,'Up Stats'!J:J,)</f>
        <v/>
      </c>
      <c r="AL3" s="54" t="str">
        <f>IFERROR(__xludf.DUMMYFUNCTION("if(AND(AM3=FALSE,AN3=FALSE),,if(AM3=AN3,JOIN("""",""Static: "",AM3),JOIN("""",""Min:  "",AM3, CHAR(10),""Max: "",AN3)))"),"")</f>
        <v/>
      </c>
      <c r="AM3" s="55" t="str">
        <f t="array" ref="AM3">_xlfn.XLOOKUP(B3,'Up Min'!A:A,'Up Min'!J:J,)</f>
        <v/>
      </c>
      <c r="AN3" s="55" t="str">
        <f t="array" ref="AN3">_xlfn.XLOOKUP(B3,'Up Max'!A:A,'Up Max'!J:J,)</f>
        <v/>
      </c>
      <c r="AO3" s="51" t="str">
        <f t="array" ref="AO3">CONCATENATE(_xlfn.XLOOKUP(B3,'Up Cells'!A:A,'Up Cells'!B:B,))</f>
        <v>1</v>
      </c>
      <c r="AP3" s="51" t="str">
        <f t="array" ref="AP3">CONCATENATE(_xlfn.XLOOKUP(B3,'Up Rarity'!A:A,'Up Rarity'!B:B,),CHAR(10),"-")</f>
        <v>Contraband
-</v>
      </c>
    </row>
    <row r="4">
      <c r="A4" s="60" t="str">
        <f t="array" ref="A4">_xlfn.XLOOKUP(B4,'Up Icon'!A:A,'Up Icon'!B:B,)</f>
        <v/>
      </c>
      <c r="B4" s="58" t="str">
        <f t="array" ref="B4">HYPERLINK(_xlfn.XLOOKUP('Up Names'!L35,'Up Wiki'!A:A,'Up Wiki'!B:B,),'Up Names'!L35)</f>
        <v>Boundary Incursion</v>
      </c>
      <c r="C4" s="37" t="str">
        <f t="array" ref="C4">_xlfn.XLOOKUP(B4,'Up Desc'!A:A,'Up Desc'!B:B,)</f>
        <v>Increases the size of your upgrade grid.</v>
      </c>
      <c r="D4" s="37" t="str">
        <f t="array" ref="D4">_xlfn.XLOOKUP(B4,'Up Turbo'!A:A,'Up Turbo'!B:B,)</f>
        <v>n/a</v>
      </c>
      <c r="E4" s="39" t="str">
        <f t="array" ref="E4">_xlfn.XLOOKUP(B4,'Up Stats'!A:A,'Up Stats'!B:B,)</f>
        <v/>
      </c>
      <c r="F4" s="40" t="str">
        <f>IFERROR(__xludf.DUMMYFUNCTION("if(AND(G4=FALSE,H4=FALSE),,if(G4=H4,JOIN("""",""Static: "",G4),JOIN("""",""Min:  "",G4, CHAR(10),""Max: "",H4)))"),"")</f>
        <v/>
      </c>
      <c r="G4" s="42" t="str">
        <f t="array" ref="G4">_xlfn.XLOOKUP(B4,'Up Min'!A:A,'Up Min'!B:B,)</f>
        <v/>
      </c>
      <c r="H4" s="45" t="str">
        <f t="array" ref="H4">_xlfn.XLOOKUP(B4,'Up Max'!A:A,'Up Max'!B:B,)</f>
        <v/>
      </c>
      <c r="I4" s="39" t="str">
        <f t="array" ref="I4">_xlfn.XLOOKUP(B4,'Up Stats'!A:A,'Up Stats'!C:C,)</f>
        <v/>
      </c>
      <c r="J4" s="40" t="str">
        <f>IFERROR(__xludf.DUMMYFUNCTION("if(AND(K4=FALSE,L4=FALSE),,if(K4=L4,JOIN("""",""Static: "",K4),JOIN("""",""Min:  "",K4, CHAR(10),""Max: "",L4)))"),"")</f>
        <v/>
      </c>
      <c r="K4" s="42" t="str">
        <f t="array" ref="K4">_xlfn.XLOOKUP(B4,'Up Min'!A:A,'Up Min'!C:C,)</f>
        <v/>
      </c>
      <c r="L4" s="42" t="str">
        <f t="array" ref="L4">_xlfn.XLOOKUP(B4,'Up Max'!A:A,'Up Max'!C:C,)</f>
        <v/>
      </c>
      <c r="M4" s="48" t="str">
        <f t="array" ref="M4">_xlfn.XLOOKUP(B4,'Up Stats'!A:A,'Up Stats'!D:D,)</f>
        <v/>
      </c>
      <c r="N4" s="40" t="str">
        <f>IFERROR(__xludf.DUMMYFUNCTION("if(AND(O4=FALSE,P4=FALSE),,if(O4=P4,JOIN("""",""Static: "",O4),JOIN("""",""Min:  "",O4, CHAR(10),""Max: "",P4)))"),"")</f>
        <v/>
      </c>
      <c r="O4" s="42" t="str">
        <f t="array" ref="O4">_xlfn.XLOOKUP(B4,'Up Min'!A:A,'Up Min'!D:D,)</f>
        <v/>
      </c>
      <c r="P4" s="42" t="str">
        <f t="array" ref="P4">_xlfn.XLOOKUP(B4,'Up Max'!A:A,'Up Max'!D:D,)</f>
        <v/>
      </c>
      <c r="Q4" s="48" t="str">
        <f t="array" ref="Q4">_xlfn.XLOOKUP(B4,'Up Stats'!A:A,'Up Stats'!E:E,)</f>
        <v/>
      </c>
      <c r="R4" s="40" t="str">
        <f>IFERROR(__xludf.DUMMYFUNCTION("if(AND(S4=FALSE,T4=FALSE),,if(S4=T4,JOIN("""",""Static: "",S4),JOIN("""",""Min:  "",S4, CHAR(10),""Max: "",T4)))"),"")</f>
        <v/>
      </c>
      <c r="S4" s="42" t="str">
        <f t="array" ref="S4">_xlfn.XLOOKUP(B4,'Up Min'!A:A,'Up Min'!E:E,)</f>
        <v/>
      </c>
      <c r="T4" s="42" t="str">
        <f t="array" ref="T4">_xlfn.XLOOKUP(B4,'Up Max'!A:A,'Up Max'!E:E,)</f>
        <v/>
      </c>
      <c r="U4" s="48" t="str">
        <f t="array" ref="U4">_xlfn.XLOOKUP(B4,'Up Stats'!A:A,'Up Stats'!F:F,)</f>
        <v/>
      </c>
      <c r="V4" s="40" t="str">
        <f>IFERROR(__xludf.DUMMYFUNCTION("if(AND(W4=FALSE,X4=FALSE),,if(W4=X4,JOIN("""",""Static: "",W4),JOIN("""",""Min:  "",W4, CHAR(10),""Max: "",X4)))"),"")</f>
        <v/>
      </c>
      <c r="W4" s="42" t="str">
        <f t="array" ref="W4">_xlfn.XLOOKUP(B4,'Up Min'!A:A,'Up Min'!F:F,)</f>
        <v/>
      </c>
      <c r="X4" s="42" t="str">
        <f t="array" ref="X4">_xlfn.XLOOKUP(B4,'Up Max'!A:A,'Up Max'!F:F,)</f>
        <v/>
      </c>
      <c r="Y4" s="48" t="str">
        <f t="array" ref="Y4">_xlfn.XLOOKUP(B4,'Up Stats'!A:A,'Up Stats'!G:G,)</f>
        <v/>
      </c>
      <c r="Z4" s="40" t="str">
        <f>IFERROR(__xludf.DUMMYFUNCTION("if(AND(AA4=FALSE,AB4=FALSE),,if(AA4=AB4,JOIN("""",""Static: "",AA4),JOIN("""",""Min:  "",AA4, CHAR(10),""Max: "",AB4)))"),"")</f>
        <v/>
      </c>
      <c r="AA4" s="42" t="str">
        <f t="array" ref="AA4">_xlfn.XLOOKUP(B4,'Up Min'!A:A,'Up Min'!G:G,)</f>
        <v/>
      </c>
      <c r="AB4" s="42" t="str">
        <f t="array" ref="AB4">_xlfn.XLOOKUP(B4,'Up Max'!A:A,'Up Max'!G:G,)</f>
        <v/>
      </c>
      <c r="AC4" s="48" t="str">
        <f t="array" ref="AC4">_xlfn.XLOOKUP(B4,'Up Stats'!A:A,'Up Stats'!H:H,)</f>
        <v/>
      </c>
      <c r="AD4" s="40" t="str">
        <f>IFERROR(__xludf.DUMMYFUNCTION("if(AND(AE4=FALSE,AF4=FALSE),,if(AE4=AF4,JOIN("""",""Static: "",AE4),JOIN("""",""Min:  "",AE4, CHAR(10),""Max: "",AF4)))"),"")</f>
        <v/>
      </c>
      <c r="AE4" s="42" t="str">
        <f t="array" ref="AE4">_xlfn.XLOOKUP(B4,'Up Min'!A:A,'Up Min'!H:H,)</f>
        <v/>
      </c>
      <c r="AF4" s="42" t="str">
        <f t="array" ref="AF4">_xlfn.XLOOKUP(B4,'Up Max'!A:A,'Up Max'!H:H,)</f>
        <v/>
      </c>
      <c r="AG4" s="48" t="str">
        <f t="array" ref="AG4">_xlfn.XLOOKUP(B4,'Up Stats'!A:A,'Up Stats'!I:I,)</f>
        <v/>
      </c>
      <c r="AH4" s="40" t="str">
        <f>IFERROR(__xludf.DUMMYFUNCTION("if(AND(AI4=FALSE,AJ4=FALSE),,if(AI4=AJ4,JOIN("""",""Static: "",AI4),JOIN("""",""Min:  "",AI4, CHAR(10),""Max: "",AJ4)))"),"")</f>
        <v/>
      </c>
      <c r="AI4" s="42" t="str">
        <f t="array" ref="AI4">_xlfn.XLOOKUP(B4,'Up Min'!A:A,'Up Min'!I:I,)</f>
        <v/>
      </c>
      <c r="AJ4" s="42" t="str">
        <f t="array" ref="AJ4">_xlfn.XLOOKUP(B4,'Up Max'!A:A,'Up Max'!I:I,)</f>
        <v/>
      </c>
      <c r="AK4" s="48" t="str">
        <f t="array" ref="AK4">_xlfn.XLOOKUP(B4,'Up Stats'!A:A,'Up Stats'!J:J,)</f>
        <v/>
      </c>
      <c r="AL4" s="40" t="str">
        <f>IFERROR(__xludf.DUMMYFUNCTION("if(AND(AM4=FALSE,AN4=FALSE),,if(AM4=AN4,JOIN("""",""Static: "",AM4),JOIN("""",""Min:  "",AM4, CHAR(10),""Max: "",AN4)))"),"")</f>
        <v/>
      </c>
      <c r="AM4" s="42" t="str">
        <f t="array" ref="AM4">_xlfn.XLOOKUP(B4,'Up Min'!A:A,'Up Min'!J:J,)</f>
        <v/>
      </c>
      <c r="AN4" s="42" t="str">
        <f t="array" ref="AN4">_xlfn.XLOOKUP(B4,'Up Max'!A:A,'Up Max'!J:J,)</f>
        <v/>
      </c>
      <c r="AO4" s="34" t="str">
        <f t="array" ref="AO4">CONCATENATE(_xlfn.XLOOKUP(B4,'Up Cells'!A:A,'Up Cells'!B:B,))</f>
        <v>1</v>
      </c>
      <c r="AP4" s="34" t="str">
        <f t="array" ref="AP4">CONCATENATE(_xlfn.XLOOKUP(B4,'Up Rarity'!A:A,'Up Rarity'!B:B,),CHAR(10),"-")</f>
        <v>Oddity
-</v>
      </c>
    </row>
    <row r="5">
      <c r="A5" s="62" t="str">
        <f t="array" ref="A5">_xlfn.XLOOKUP(B5,'Up Icon'!A:A,'Up Icon'!B:B,)</f>
        <v/>
      </c>
      <c r="B5" s="61" t="str">
        <f t="array" ref="B5">HYPERLINK(_xlfn.XLOOKUP('Up Names'!L2,'Up Wiki'!A:A,'Up Wiki'!B:B,),'Up Names'!L2)</f>
        <v>Explosive Bullets</v>
      </c>
      <c r="C5" s="70" t="str">
        <f t="array" ref="C5">_xlfn.XLOOKUP(B5,'Up Desc'!A:A,'Up Desc'!B:B,)</f>
        <v>Hold R to consume your grenade and convert the rest of your magazine into explosive bullets of that grenade's element.</v>
      </c>
      <c r="D5" s="52" t="str">
        <f t="array" ref="D5">_xlfn.XLOOKUP(B5,'Up Turbo'!A:A,'Up Turbo'!B:B,)</f>
        <v/>
      </c>
      <c r="E5" s="53" t="str">
        <f t="array" ref="E5">_xlfn.XLOOKUP(B5,'Up Stats'!A:A,'Up Stats'!B:B,)</f>
        <v>Explosion Size</v>
      </c>
      <c r="F5" s="54" t="str">
        <f>IFERROR(__xludf.DUMMYFUNCTION("if(AND(G5=FALSE,H5=FALSE),,if(G5=H5,JOIN("""",""Static: "",G5),JOIN("""",""Min:  "",G5, CHAR(10),""Max: "",H5)))"),"Min:  -81.50%
Max: -79.00%")</f>
        <v>Min:  -81.50%
Max: -79.00%</v>
      </c>
      <c r="G5" s="71">
        <f t="array" ref="G5">_xlfn.XLOOKUP(B5,'Up Min'!A:A,'Up Min'!B:B,)</f>
        <v>-0.815</v>
      </c>
      <c r="H5" s="71">
        <f t="array" ref="H5">_xlfn.XLOOKUP(B5,'Up Max'!A:A,'Up Max'!B:B,)</f>
        <v>-0.79</v>
      </c>
      <c r="I5" s="53" t="str">
        <f t="array" ref="I5">_xlfn.XLOOKUP(B5,'Up Stats'!A:A,'Up Stats'!C:C,)</f>
        <v/>
      </c>
      <c r="J5" s="54" t="str">
        <f>IFERROR(__xludf.DUMMYFUNCTION("if(AND(K5=FALSE,L5=FALSE),,if(K5=L5,JOIN("""",""Static: "",K5),JOIN("""",""Min:  "",K5, CHAR(10),""Max: "",L5)))"),"")</f>
        <v/>
      </c>
      <c r="K5" s="55" t="str">
        <f t="array" ref="K5">_xlfn.XLOOKUP(B5,'Up Min'!A:A,'Up Min'!C:C,)</f>
        <v/>
      </c>
      <c r="L5" s="55" t="str">
        <f t="array" ref="L5">_xlfn.XLOOKUP(B5,'Up Max'!A:A,'Up Max'!C:C,)</f>
        <v/>
      </c>
      <c r="M5" s="57" t="str">
        <f t="array" ref="M5">_xlfn.XLOOKUP(B5,'Up Stats'!A:A,'Up Stats'!D:D,)</f>
        <v/>
      </c>
      <c r="N5" s="54" t="str">
        <f>IFERROR(__xludf.DUMMYFUNCTION("if(AND(O5=FALSE,P5=FALSE),,if(O5=P5,JOIN("""",""Static: "",O5),JOIN("""",""Min:  "",O5, CHAR(10),""Max: "",P5)))"),"")</f>
        <v/>
      </c>
      <c r="O5" s="55" t="str">
        <f t="array" ref="O5">_xlfn.XLOOKUP(B5,'Up Min'!A:A,'Up Min'!D:D,)</f>
        <v/>
      </c>
      <c r="P5" s="55" t="str">
        <f t="array" ref="P5">_xlfn.XLOOKUP(B5,'Up Max'!A:A,'Up Max'!D:D,)</f>
        <v/>
      </c>
      <c r="Q5" s="57" t="str">
        <f t="array" ref="Q5">_xlfn.XLOOKUP(B5,'Up Stats'!A:A,'Up Stats'!E:E,)</f>
        <v/>
      </c>
      <c r="R5" s="54" t="str">
        <f>IFERROR(__xludf.DUMMYFUNCTION("if(AND(S5=FALSE,T5=FALSE),,if(S5=T5,JOIN("""",""Static: "",S5),JOIN("""",""Min:  "",S5, CHAR(10),""Max: "",T5)))"),"")</f>
        <v/>
      </c>
      <c r="S5" s="55" t="str">
        <f t="array" ref="S5">_xlfn.XLOOKUP(B5,'Up Min'!A:A,'Up Min'!E:E,)</f>
        <v/>
      </c>
      <c r="T5" s="55" t="str">
        <f t="array" ref="T5">_xlfn.XLOOKUP(B5,'Up Max'!A:A,'Up Max'!E:E,)</f>
        <v/>
      </c>
      <c r="U5" s="57" t="str">
        <f t="array" ref="U5">_xlfn.XLOOKUP(B5,'Up Stats'!A:A,'Up Stats'!F:F,)</f>
        <v/>
      </c>
      <c r="V5" s="54" t="str">
        <f>IFERROR(__xludf.DUMMYFUNCTION("if(AND(W5=FALSE,X5=FALSE),,if(W5=X5,JOIN("""",""Static: "",W5),JOIN("""",""Min:  "",W5, CHAR(10),""Max: "",X5)))"),"")</f>
        <v/>
      </c>
      <c r="W5" s="55" t="str">
        <f t="array" ref="W5">_xlfn.XLOOKUP(B5,'Up Min'!A:A,'Up Min'!F:F,)</f>
        <v/>
      </c>
      <c r="X5" s="55" t="str">
        <f t="array" ref="X5">_xlfn.XLOOKUP(B5,'Up Max'!A:A,'Up Max'!F:F,)</f>
        <v/>
      </c>
      <c r="Y5" s="57" t="str">
        <f t="array" ref="Y5">_xlfn.XLOOKUP(B5,'Up Stats'!A:A,'Up Stats'!G:G,)</f>
        <v/>
      </c>
      <c r="Z5" s="54" t="str">
        <f>IFERROR(__xludf.DUMMYFUNCTION("if(AND(AA5=FALSE,AB5=FALSE),,if(AA5=AB5,JOIN("""",""Static: "",AA5),JOIN("""",""Min:  "",AA5, CHAR(10),""Max: "",AB5)))"),"")</f>
        <v/>
      </c>
      <c r="AA5" s="55" t="str">
        <f t="array" ref="AA5">_xlfn.XLOOKUP(B5,'Up Min'!A:A,'Up Min'!G:G,)</f>
        <v/>
      </c>
      <c r="AB5" s="55" t="str">
        <f t="array" ref="AB5">_xlfn.XLOOKUP(B5,'Up Max'!A:A,'Up Max'!G:G,)</f>
        <v/>
      </c>
      <c r="AC5" s="57" t="str">
        <f t="array" ref="AC5">_xlfn.XLOOKUP(B5,'Up Stats'!A:A,'Up Stats'!H:H,)</f>
        <v/>
      </c>
      <c r="AD5" s="54" t="str">
        <f>IFERROR(__xludf.DUMMYFUNCTION("if(AND(AE5=FALSE,AF5=FALSE),,if(AE5=AF5,JOIN("""",""Static: "",AE5),JOIN("""",""Min:  "",AE5, CHAR(10),""Max: "",AF5)))"),"")</f>
        <v/>
      </c>
      <c r="AE5" s="55" t="str">
        <f t="array" ref="AE5">_xlfn.XLOOKUP(B5,'Up Min'!A:A,'Up Min'!H:H,)</f>
        <v/>
      </c>
      <c r="AF5" s="55" t="str">
        <f t="array" ref="AF5">_xlfn.XLOOKUP(B5,'Up Max'!A:A,'Up Max'!H:H,)</f>
        <v/>
      </c>
      <c r="AG5" s="57" t="str">
        <f t="array" ref="AG5">_xlfn.XLOOKUP(B5,'Up Stats'!A:A,'Up Stats'!I:I,)</f>
        <v/>
      </c>
      <c r="AH5" s="54" t="str">
        <f>IFERROR(__xludf.DUMMYFUNCTION("if(AND(AI5=FALSE,AJ5=FALSE),,if(AI5=AJ5,JOIN("""",""Static: "",AI5),JOIN("""",""Min:  "",AI5, CHAR(10),""Max: "",AJ5)))"),"")</f>
        <v/>
      </c>
      <c r="AI5" s="55" t="str">
        <f t="array" ref="AI5">_xlfn.XLOOKUP(B5,'Up Min'!A:A,'Up Min'!I:I,)</f>
        <v/>
      </c>
      <c r="AJ5" s="55" t="str">
        <f t="array" ref="AJ5">_xlfn.XLOOKUP(B5,'Up Max'!A:A,'Up Max'!I:I,)</f>
        <v/>
      </c>
      <c r="AK5" s="57" t="str">
        <f t="array" ref="AK5">_xlfn.XLOOKUP(B5,'Up Stats'!A:A,'Up Stats'!J:J,)</f>
        <v/>
      </c>
      <c r="AL5" s="54" t="str">
        <f>IFERROR(__xludf.DUMMYFUNCTION("if(AND(AM5=FALSE,AN5=FALSE),,if(AM5=AN5,JOIN("""",""Static: "",AM5),JOIN("""",""Min:  "",AM5, CHAR(10),""Max: "",AN5)))"),"")</f>
        <v/>
      </c>
      <c r="AM5" s="55" t="str">
        <f t="array" ref="AM5">_xlfn.XLOOKUP(B5,'Up Min'!A:A,'Up Min'!J:J,)</f>
        <v/>
      </c>
      <c r="AN5" s="55" t="str">
        <f t="array" ref="AN5">_xlfn.XLOOKUP(B5,'Up Max'!A:A,'Up Max'!J:J,)</f>
        <v/>
      </c>
      <c r="AO5" s="51" t="str">
        <f t="array" ref="AO5">CONCATENATE(_xlfn.XLOOKUP(B5,'Up Cells'!A:A,'Up Cells'!B:B,))</f>
        <v>4</v>
      </c>
      <c r="AP5" s="51" t="str">
        <f t="array" ref="AP5">CONCATENATE(_xlfn.XLOOKUP(B5,'Up Rarity'!A:A,'Up Rarity'!B:B,),CHAR(10),"-")</f>
        <v>Exotic
-</v>
      </c>
    </row>
    <row r="6">
      <c r="A6" s="62" t="str">
        <f t="array" ref="A6">_xlfn.XLOOKUP(B6,'Up Icon'!A:A,'Up Icon'!B:B,)</f>
        <v/>
      </c>
      <c r="B6" s="58" t="str">
        <f t="array" ref="B6">HYPERLINK(_xlfn.XLOOKUP('Up Names'!L3,'Up Wiki'!A:A,'Up Wiki'!B:B,),'Up Names'!L3)</f>
        <v>Miniaturized Warp Core</v>
      </c>
      <c r="C6" s="67" t="str">
        <f t="array" ref="C6">_xlfn.XLOOKUP(B6,'Up Desc'!A:A,'Up Desc'!B:B,)</f>
        <v>On reload, you warp back in time to a previous position, then gain a small speed boost and create an explosion.</v>
      </c>
      <c r="D6" s="37" t="str">
        <f t="array" ref="D6">_xlfn.XLOOKUP(B6,'Up Turbo'!A:A,'Up Turbo'!B:B,)</f>
        <v/>
      </c>
      <c r="E6" s="39" t="str">
        <f t="array" ref="E6">_xlfn.XLOOKUP(B6,'Up Stats'!A:A,'Up Stats'!B:B,)</f>
        <v>Distance</v>
      </c>
      <c r="F6" s="40" t="str">
        <f>IFERROR(__xludf.DUMMYFUNCTION("if(AND(G6=FALSE,H6=FALSE),,if(G6=H6,JOIN("""",""Static: "",G6),JOIN("""",""Min:  "",G6, CHAR(10),""Max: "",H6)))"),"Static: 3")</f>
        <v>Static: 3</v>
      </c>
      <c r="G6" s="69">
        <f t="array" ref="G6">_xlfn.XLOOKUP(B6,'Up Min'!A:A,'Up Min'!B:B,)</f>
        <v>3</v>
      </c>
      <c r="H6" s="68">
        <f t="array" ref="H6">_xlfn.XLOOKUP(B6,'Up Max'!A:A,'Up Max'!B:B,)</f>
        <v>3</v>
      </c>
      <c r="I6" s="39" t="str">
        <f t="array" ref="I6">_xlfn.XLOOKUP(B6,'Up Stats'!A:A,'Up Stats'!C:C,)</f>
        <v>Speed</v>
      </c>
      <c r="J6" s="40" t="str">
        <f>IFERROR(__xludf.DUMMYFUNCTION("if(AND(K6=FALSE,L6=FALSE),,if(K6=L6,JOIN("""",""Static: "",K6),JOIN("""",""Min:  "",K6, CHAR(10),""Max: "",L6)))"),"Static: 900%")</f>
        <v>Static: 900%</v>
      </c>
      <c r="K6" s="41">
        <f t="array" ref="K6">_xlfn.XLOOKUP(B6,'Up Min'!A:A,'Up Min'!C:C,)</f>
        <v>9</v>
      </c>
      <c r="L6" s="41">
        <f t="array" ref="L6">_xlfn.XLOOKUP(B6,'Up Max'!A:A,'Up Max'!C:C,)</f>
        <v>9</v>
      </c>
      <c r="M6" s="39" t="str">
        <f t="array" ref="M6">_xlfn.XLOOKUP(B6,'Up Stats'!A:A,'Up Stats'!D:D,)</f>
        <v>Explosion Size</v>
      </c>
      <c r="N6" s="40" t="str">
        <f>IFERROR(__xludf.DUMMYFUNCTION("if(AND(O6=FALSE,P6=FALSE),,if(O6=P6,JOIN("""",""Static: "",O6),JOIN("""",""Min:  "",O6, CHAR(10),""Max: "",P6)))"),"Min:  5
Max: 6")</f>
        <v>Min:  5
Max: 6</v>
      </c>
      <c r="O6" s="42">
        <f t="array" ref="O6">_xlfn.XLOOKUP(B6,'Up Min'!A:A,'Up Min'!D:D,)</f>
        <v>5</v>
      </c>
      <c r="P6" s="42">
        <f t="array" ref="P6">_xlfn.XLOOKUP(B6,'Up Max'!A:A,'Up Max'!D:D,)</f>
        <v>6</v>
      </c>
      <c r="Q6" s="48" t="str">
        <f t="array" ref="Q6">_xlfn.XLOOKUP(B6,'Up Stats'!A:A,'Up Stats'!E:E,)</f>
        <v/>
      </c>
      <c r="R6" s="40" t="str">
        <f>IFERROR(__xludf.DUMMYFUNCTION("if(AND(S6=FALSE,T6=FALSE),,if(S6=T6,JOIN("""",""Static: "",S6),JOIN("""",""Min:  "",S6, CHAR(10),""Max: "",T6)))"),"")</f>
        <v/>
      </c>
      <c r="S6" s="42" t="str">
        <f t="array" ref="S6">_xlfn.XLOOKUP(B6,'Up Min'!A:A,'Up Min'!E:E,)</f>
        <v/>
      </c>
      <c r="T6" s="42" t="str">
        <f t="array" ref="T6">_xlfn.XLOOKUP(B6,'Up Max'!A:A,'Up Max'!E:E,)</f>
        <v/>
      </c>
      <c r="U6" s="48" t="str">
        <f t="array" ref="U6">_xlfn.XLOOKUP(B6,'Up Stats'!A:A,'Up Stats'!F:F,)</f>
        <v/>
      </c>
      <c r="V6" s="40" t="str">
        <f>IFERROR(__xludf.DUMMYFUNCTION("if(AND(W6=FALSE,X6=FALSE),,if(W6=X6,JOIN("""",""Static: "",W6),JOIN("""",""Min:  "",W6, CHAR(10),""Max: "",X6)))"),"")</f>
        <v/>
      </c>
      <c r="W6" s="42" t="str">
        <f t="array" ref="W6">_xlfn.XLOOKUP(B6,'Up Min'!A:A,'Up Min'!F:F,)</f>
        <v/>
      </c>
      <c r="X6" s="42" t="str">
        <f t="array" ref="X6">_xlfn.XLOOKUP(B6,'Up Max'!A:A,'Up Max'!F:F,)</f>
        <v/>
      </c>
      <c r="Y6" s="48" t="str">
        <f t="array" ref="Y6">_xlfn.XLOOKUP(B6,'Up Stats'!A:A,'Up Stats'!G:G,)</f>
        <v/>
      </c>
      <c r="Z6" s="40" t="str">
        <f>IFERROR(__xludf.DUMMYFUNCTION("if(AND(AA6=FALSE,AB6=FALSE),,if(AA6=AB6,JOIN("""",""Static: "",AA6),JOIN("""",""Min:  "",AA6, CHAR(10),""Max: "",AB6)))"),"")</f>
        <v/>
      </c>
      <c r="AA6" s="42" t="str">
        <f t="array" ref="AA6">_xlfn.XLOOKUP(B6,'Up Min'!A:A,'Up Min'!G:G,)</f>
        <v/>
      </c>
      <c r="AB6" s="42" t="str">
        <f t="array" ref="AB6">_xlfn.XLOOKUP(B6,'Up Max'!A:A,'Up Max'!G:G,)</f>
        <v/>
      </c>
      <c r="AC6" s="48" t="str">
        <f t="array" ref="AC6">_xlfn.XLOOKUP(B6,'Up Stats'!A:A,'Up Stats'!H:H,)</f>
        <v/>
      </c>
      <c r="AD6" s="40" t="str">
        <f>IFERROR(__xludf.DUMMYFUNCTION("if(AND(AE6=FALSE,AF6=FALSE),,if(AE6=AF6,JOIN("""",""Static: "",AE6),JOIN("""",""Min:  "",AE6, CHAR(10),""Max: "",AF6)))"),"")</f>
        <v/>
      </c>
      <c r="AE6" s="42" t="str">
        <f t="array" ref="AE6">_xlfn.XLOOKUP(B6,'Up Min'!A:A,'Up Min'!H:H,)</f>
        <v/>
      </c>
      <c r="AF6" s="42" t="str">
        <f t="array" ref="AF6">_xlfn.XLOOKUP(B6,'Up Max'!A:A,'Up Max'!H:H,)</f>
        <v/>
      </c>
      <c r="AG6" s="48" t="str">
        <f t="array" ref="AG6">_xlfn.XLOOKUP(B6,'Up Stats'!A:A,'Up Stats'!I:I,)</f>
        <v/>
      </c>
      <c r="AH6" s="40" t="str">
        <f>IFERROR(__xludf.DUMMYFUNCTION("if(AND(AI6=FALSE,AJ6=FALSE),,if(AI6=AJ6,JOIN("""",""Static: "",AI6),JOIN("""",""Min:  "",AI6, CHAR(10),""Max: "",AJ6)))"),"")</f>
        <v/>
      </c>
      <c r="AI6" s="42" t="str">
        <f t="array" ref="AI6">_xlfn.XLOOKUP(B6,'Up Min'!A:A,'Up Min'!I:I,)</f>
        <v/>
      </c>
      <c r="AJ6" s="42" t="str">
        <f t="array" ref="AJ6">_xlfn.XLOOKUP(B6,'Up Max'!A:A,'Up Max'!I:I,)</f>
        <v/>
      </c>
      <c r="AK6" s="48" t="str">
        <f t="array" ref="AK6">_xlfn.XLOOKUP(B6,'Up Stats'!A:A,'Up Stats'!J:J,)</f>
        <v/>
      </c>
      <c r="AL6" s="40" t="str">
        <f>IFERROR(__xludf.DUMMYFUNCTION("if(AND(AM6=FALSE,AN6=FALSE),,if(AM6=AN6,JOIN("""",""Static: "",AM6),JOIN("""",""Min:  "",AM6, CHAR(10),""Max: "",AN6)))"),"")</f>
        <v/>
      </c>
      <c r="AM6" s="42" t="str">
        <f t="array" ref="AM6">_xlfn.XLOOKUP(B6,'Up Min'!A:A,'Up Min'!J:J,)</f>
        <v/>
      </c>
      <c r="AN6" s="42" t="str">
        <f t="array" ref="AN6">_xlfn.XLOOKUP(B6,'Up Max'!A:A,'Up Max'!J:J,)</f>
        <v/>
      </c>
      <c r="AO6" s="34" t="str">
        <f t="array" ref="AO6">CONCATENATE(_xlfn.XLOOKUP(B6,'Up Cells'!A:A,'Up Cells'!B:B,))</f>
        <v>3</v>
      </c>
      <c r="AP6" s="34" t="str">
        <f t="array" ref="AP6">CONCATENATE(_xlfn.XLOOKUP(B6,'Up Rarity'!A:A,'Up Rarity'!B:B,),CHAR(10),"-")</f>
        <v>Exotic
-</v>
      </c>
    </row>
    <row r="7">
      <c r="A7" s="62" t="str">
        <f t="array" ref="A7">_xlfn.XLOOKUP(B7,'Up Icon'!A:A,'Up Icon'!B:B,)</f>
        <v/>
      </c>
      <c r="B7" s="61" t="str">
        <f t="array" ref="B7">HYPERLINK(_xlfn.XLOOKUP('Up Names'!L4,'Up Wiki'!A:A,'Up Wiki'!B:B,),'Up Names'!L4)</f>
        <v>Payback</v>
      </c>
      <c r="C7" s="52" t="str">
        <f t="array" ref="C7">_xlfn.XLOOKUP(B7,'Up Desc'!A:A,'Up Desc'!B:B,)</f>
        <v>Upon taking damage, you have a chance to fire out a tracking missile.</v>
      </c>
      <c r="D7" s="52" t="str">
        <f t="array" ref="D7">_xlfn.XLOOKUP(B7,'Up Turbo'!A:A,'Up Turbo'!B:B,)</f>
        <v/>
      </c>
      <c r="E7" s="53" t="str">
        <f t="array" ref="E7">_xlfn.XLOOKUP(B7,'Up Stats'!A:A,'Up Stats'!B:B,)</f>
        <v>Chance</v>
      </c>
      <c r="F7" s="54" t="str">
        <f>IFERROR(__xludf.DUMMYFUNCTION("if(AND(G7=FALSE,H7=FALSE),,if(G7=H7,JOIN("""",""Static: "",G7),JOIN("""",""Min:  "",G7, CHAR(10),""Max: "",H7)))"),"Min:  45.50%
Max: 50.00%")</f>
        <v>Min:  45.50%
Max: 50.00%</v>
      </c>
      <c r="G7" s="71">
        <f t="array" ref="G7">_xlfn.XLOOKUP(B7,'Up Min'!A:A,'Up Min'!B:B,)</f>
        <v>0.455</v>
      </c>
      <c r="H7" s="71">
        <f t="array" ref="H7">_xlfn.XLOOKUP(B7,'Up Max'!A:A,'Up Max'!B:B,)</f>
        <v>0.5</v>
      </c>
      <c r="I7" s="53" t="str">
        <f t="array" ref="I7">_xlfn.XLOOKUP(B7,'Up Stats'!A:A,'Up Stats'!C:C,)</f>
        <v>Damage</v>
      </c>
      <c r="J7" s="54" t="str">
        <f>IFERROR(__xludf.DUMMYFUNCTION("if(AND(K7=FALSE,L7=FALSE),,if(K7=L7,JOIN("""",""Static: "",K7),JOIN("""",""Min:  "",K7, CHAR(10),""Max: "",L7)))"),"Min:  53
Max: 62")</f>
        <v>Min:  53
Max: 62</v>
      </c>
      <c r="K7" s="64">
        <f t="array" ref="K7">_xlfn.XLOOKUP(B7,'Up Min'!A:A,'Up Min'!C:C,)</f>
        <v>53</v>
      </c>
      <c r="L7" s="64">
        <f t="array" ref="L7">_xlfn.XLOOKUP(B7,'Up Max'!A:A,'Up Max'!C:C,)</f>
        <v>62</v>
      </c>
      <c r="M7" s="53" t="str">
        <f t="array" ref="M7">_xlfn.XLOOKUP(B7,'Up Stats'!A:A,'Up Stats'!D:D,)</f>
        <v>Explosion Size</v>
      </c>
      <c r="N7" s="54" t="str">
        <f>IFERROR(__xludf.DUMMYFUNCTION("if(AND(O7=FALSE,P7=FALSE),,if(O7=P7,JOIN("""",""Static: "",O7),JOIN("""",""Min:  "",O7, CHAR(10),""Max: "",P7)))"),"Min:  2.8
Max: 3.02")</f>
        <v>Min:  2.8
Max: 3.02</v>
      </c>
      <c r="O7" s="65">
        <f t="array" ref="O7">_xlfn.XLOOKUP(B7,'Up Min'!A:A,'Up Min'!D:D,)</f>
        <v>2.8</v>
      </c>
      <c r="P7" s="64">
        <f t="array" ref="P7">_xlfn.XLOOKUP(B7,'Up Max'!A:A,'Up Max'!D:D,)</f>
        <v>3.02</v>
      </c>
      <c r="Q7" s="57" t="str">
        <f t="array" ref="Q7">_xlfn.XLOOKUP(B7,'Up Stats'!A:A,'Up Stats'!E:E,)</f>
        <v>Tracking Radius</v>
      </c>
      <c r="R7" s="54" t="str">
        <f>IFERROR(__xludf.DUMMYFUNCTION("if(AND(S7=FALSE,T7=FALSE),,if(S7=T7,JOIN("""",""Static: "",S7),JOIN("""",""Min:  "",S7, CHAR(10),""Max: "",T7)))"),"Min:  18.00
Max: 20.00")</f>
        <v>Min:  18.00
Max: 20.00</v>
      </c>
      <c r="S7" s="90">
        <f t="array" ref="S7">_xlfn.XLOOKUP(B7,'Up Min'!A:A,'Up Min'!E:E,)</f>
        <v>18</v>
      </c>
      <c r="T7" s="90">
        <f t="array" ref="T7">_xlfn.XLOOKUP(B7,'Up Max'!A:A,'Up Max'!E:E,)</f>
        <v>20</v>
      </c>
      <c r="U7" s="57" t="str">
        <f t="array" ref="U7">_xlfn.XLOOKUP(B7,'Up Stats'!A:A,'Up Stats'!F:F,)</f>
        <v/>
      </c>
      <c r="V7" s="54" t="str">
        <f>IFERROR(__xludf.DUMMYFUNCTION("if(AND(W7=FALSE,X7=FALSE),,if(W7=X7,JOIN("""",""Static: "",W7),JOIN("""",""Min:  "",W7, CHAR(10),""Max: "",X7)))"),"")</f>
        <v/>
      </c>
      <c r="W7" s="55" t="str">
        <f t="array" ref="W7">_xlfn.XLOOKUP(B7,'Up Min'!A:A,'Up Min'!F:F,)</f>
        <v/>
      </c>
      <c r="X7" s="55" t="str">
        <f t="array" ref="X7">_xlfn.XLOOKUP(B7,'Up Max'!A:A,'Up Max'!F:F,)</f>
        <v/>
      </c>
      <c r="Y7" s="57" t="str">
        <f t="array" ref="Y7">_xlfn.XLOOKUP(B7,'Up Stats'!A:A,'Up Stats'!G:G,)</f>
        <v/>
      </c>
      <c r="Z7" s="54" t="str">
        <f>IFERROR(__xludf.DUMMYFUNCTION("if(AND(AA7=FALSE,AB7=FALSE),,if(AA7=AB7,JOIN("""",""Static: "",AA7),JOIN("""",""Min:  "",AA7, CHAR(10),""Max: "",AB7)))"),"")</f>
        <v/>
      </c>
      <c r="AA7" s="55" t="str">
        <f t="array" ref="AA7">_xlfn.XLOOKUP(B7,'Up Min'!A:A,'Up Min'!G:G,)</f>
        <v/>
      </c>
      <c r="AB7" s="55" t="str">
        <f t="array" ref="AB7">_xlfn.XLOOKUP(B7,'Up Max'!A:A,'Up Max'!G:G,)</f>
        <v/>
      </c>
      <c r="AC7" s="57" t="str">
        <f t="array" ref="AC7">_xlfn.XLOOKUP(B7,'Up Stats'!A:A,'Up Stats'!H:H,)</f>
        <v/>
      </c>
      <c r="AD7" s="54" t="str">
        <f>IFERROR(__xludf.DUMMYFUNCTION("if(AND(AE7=FALSE,AF7=FALSE),,if(AE7=AF7,JOIN("""",""Static: "",AE7),JOIN("""",""Min:  "",AE7, CHAR(10),""Max: "",AF7)))"),"")</f>
        <v/>
      </c>
      <c r="AE7" s="55" t="str">
        <f t="array" ref="AE7">_xlfn.XLOOKUP(B7,'Up Min'!A:A,'Up Min'!H:H,)</f>
        <v/>
      </c>
      <c r="AF7" s="55" t="str">
        <f t="array" ref="AF7">_xlfn.XLOOKUP(B7,'Up Max'!A:A,'Up Max'!H:H,)</f>
        <v/>
      </c>
      <c r="AG7" s="57" t="str">
        <f t="array" ref="AG7">_xlfn.XLOOKUP(B7,'Up Stats'!A:A,'Up Stats'!I:I,)</f>
        <v/>
      </c>
      <c r="AH7" s="54" t="str">
        <f>IFERROR(__xludf.DUMMYFUNCTION("if(AND(AI7=FALSE,AJ7=FALSE),,if(AI7=AJ7,JOIN("""",""Static: "",AI7),JOIN("""",""Min:  "",AI7, CHAR(10),""Max: "",AJ7)))"),"")</f>
        <v/>
      </c>
      <c r="AI7" s="55" t="str">
        <f t="array" ref="AI7">_xlfn.XLOOKUP(B7,'Up Min'!A:A,'Up Min'!I:I,)</f>
        <v/>
      </c>
      <c r="AJ7" s="55" t="str">
        <f t="array" ref="AJ7">_xlfn.XLOOKUP(B7,'Up Max'!A:A,'Up Max'!I:I,)</f>
        <v/>
      </c>
      <c r="AK7" s="57" t="str">
        <f t="array" ref="AK7">_xlfn.XLOOKUP(B7,'Up Stats'!A:A,'Up Stats'!J:J,)</f>
        <v/>
      </c>
      <c r="AL7" s="54" t="str">
        <f>IFERROR(__xludf.DUMMYFUNCTION("if(AND(AM7=FALSE,AN7=FALSE),,if(AM7=AN7,JOIN("""",""Static: "",AM7),JOIN("""",""Min:  "",AM7, CHAR(10),""Max: "",AN7)))"),"")</f>
        <v/>
      </c>
      <c r="AM7" s="55" t="str">
        <f t="array" ref="AM7">_xlfn.XLOOKUP(B7,'Up Min'!A:A,'Up Min'!J:J,)</f>
        <v/>
      </c>
      <c r="AN7" s="55" t="str">
        <f t="array" ref="AN7">_xlfn.XLOOKUP(B7,'Up Max'!A:A,'Up Max'!J:J,)</f>
        <v/>
      </c>
      <c r="AO7" s="51" t="str">
        <f t="array" ref="AO7">CONCATENATE(_xlfn.XLOOKUP(B7,'Up Cells'!A:A,'Up Cells'!B:B,))</f>
        <v>5</v>
      </c>
      <c r="AP7" s="51" t="str">
        <f t="array" ref="AP7">CONCATENATE(_xlfn.XLOOKUP(B7,'Up Rarity'!A:A,'Up Rarity'!B:B,),CHAR(10),"-")</f>
        <v>Exotic
-</v>
      </c>
    </row>
    <row r="8">
      <c r="A8" s="62" t="str">
        <f t="array" ref="A8">_xlfn.XLOOKUP(B8,'Up Icon'!A:A,'Up Icon'!B:B,)</f>
        <v/>
      </c>
      <c r="B8" s="58" t="str">
        <f t="array" ref="B8">HYPERLINK(_xlfn.XLOOKUP('Up Names'!L5,'Up Wiki'!A:A,'Up Wiki'!B:B,),'Up Names'!L5)</f>
        <v>Slipspace Bullet Transfer</v>
      </c>
      <c r="C8" s="67" t="str">
        <f t="array" ref="C8">_xlfn.XLOOKUP(B8,'Up Desc'!A:A,'Up Desc'!B:B,)</f>
        <v>Each stack of the Accelerator's element you apply to targets to before reloading increases the chance to refund your last burst. Some stacks are consumed upon refund.</v>
      </c>
      <c r="D8" s="37" t="str">
        <f t="array" ref="D8">_xlfn.XLOOKUP(B8,'Up Turbo'!A:A,'Up Turbo'!B:B,)</f>
        <v/>
      </c>
      <c r="E8" s="39" t="str">
        <f t="array" ref="E8">_xlfn.XLOOKUP(B8,'Up Stats'!A:A,'Up Stats'!B:B,)</f>
        <v>Efficiency</v>
      </c>
      <c r="F8" s="40" t="str">
        <f>IFERROR(__xludf.DUMMYFUNCTION("if(AND(G8=FALSE,H8=FALSE),,if(G8=H8,JOIN("""",""Static: "",G8),JOIN("""",""Min:  "",G8, CHAR(10),""Max: "",H8)))"),"Min:  13.0%
Max: 15.5%")</f>
        <v>Min:  13.0%
Max: 15.5%</v>
      </c>
      <c r="G8" s="91">
        <f t="array" ref="G8">_xlfn.XLOOKUP(B8,'Up Min'!A:A,'Up Min'!B:B,)</f>
        <v>0.13</v>
      </c>
      <c r="H8" s="91">
        <f t="array" ref="H8">_xlfn.XLOOKUP(B8,'Up Max'!A:A,'Up Max'!B:B,)</f>
        <v>0.155</v>
      </c>
      <c r="I8" s="39" t="str">
        <f t="array" ref="I8">_xlfn.XLOOKUP(B8,'Up Stats'!A:A,'Up Stats'!C:C,)</f>
        <v/>
      </c>
      <c r="J8" s="40" t="str">
        <f>IFERROR(__xludf.DUMMYFUNCTION("if(AND(K8=FALSE,L8=FALSE),,if(K8=L8,JOIN("""",""Static: "",K8),JOIN("""",""Min:  "",K8, CHAR(10),""Max: "",L8)))"),"")</f>
        <v/>
      </c>
      <c r="K8" s="68" t="str">
        <f t="array" ref="K8">_xlfn.XLOOKUP(B8,'Up Min'!A:A,'Up Min'!C:C,)</f>
        <v/>
      </c>
      <c r="L8" s="69" t="str">
        <f t="array" ref="L8">_xlfn.XLOOKUP(B8,'Up Max'!A:A,'Up Max'!C:C,)</f>
        <v/>
      </c>
      <c r="M8" s="39" t="str">
        <f t="array" ref="M8">_xlfn.XLOOKUP(B8,'Up Stats'!A:A,'Up Stats'!D:D,)</f>
        <v/>
      </c>
      <c r="N8" s="40" t="str">
        <f>IFERROR(__xludf.DUMMYFUNCTION("if(AND(O8=FALSE,P8=FALSE),,if(O8=P8,JOIN("""",""Static: "",O8),JOIN("""",""Min:  "",O8, CHAR(10),""Max: "",P8)))"),"")</f>
        <v/>
      </c>
      <c r="O8" s="42" t="str">
        <f t="array" ref="O8">_xlfn.XLOOKUP(B8,'Up Min'!A:A,'Up Min'!D:D,)</f>
        <v/>
      </c>
      <c r="P8" s="42" t="str">
        <f t="array" ref="P8">_xlfn.XLOOKUP(B8,'Up Max'!A:A,'Up Max'!D:D,)</f>
        <v/>
      </c>
      <c r="Q8" s="48" t="str">
        <f t="array" ref="Q8">_xlfn.XLOOKUP(B8,'Up Stats'!A:A,'Up Stats'!E:E,)</f>
        <v/>
      </c>
      <c r="R8" s="40" t="str">
        <f>IFERROR(__xludf.DUMMYFUNCTION("if(AND(S8=FALSE,T8=FALSE),,if(S8=T8,JOIN("""",""Static: "",S8),JOIN("""",""Min:  "",S8, CHAR(10),""Max: "",T8)))"),"")</f>
        <v/>
      </c>
      <c r="S8" s="42" t="str">
        <f t="array" ref="S8">_xlfn.XLOOKUP(B8,'Up Min'!A:A,'Up Min'!E:E,)</f>
        <v/>
      </c>
      <c r="T8" s="42" t="str">
        <f t="array" ref="T8">_xlfn.XLOOKUP(B8,'Up Max'!A:A,'Up Max'!E:E,)</f>
        <v/>
      </c>
      <c r="U8" s="48" t="str">
        <f t="array" ref="U8">_xlfn.XLOOKUP(B8,'Up Stats'!A:A,'Up Stats'!F:F,)</f>
        <v/>
      </c>
      <c r="V8" s="40" t="str">
        <f>IFERROR(__xludf.DUMMYFUNCTION("if(AND(W8=FALSE,X8=FALSE),,if(W8=X8,JOIN("""",""Static: "",W8),JOIN("""",""Min:  "",W8, CHAR(10),""Max: "",X8)))"),"")</f>
        <v/>
      </c>
      <c r="W8" s="42" t="str">
        <f t="array" ref="W8">_xlfn.XLOOKUP(B8,'Up Min'!A:A,'Up Min'!F:F,)</f>
        <v/>
      </c>
      <c r="X8" s="42" t="str">
        <f t="array" ref="X8">_xlfn.XLOOKUP(B8,'Up Max'!A:A,'Up Max'!F:F,)</f>
        <v/>
      </c>
      <c r="Y8" s="48" t="str">
        <f t="array" ref="Y8">_xlfn.XLOOKUP(B8,'Up Stats'!A:A,'Up Stats'!G:G,)</f>
        <v/>
      </c>
      <c r="Z8" s="40" t="str">
        <f>IFERROR(__xludf.DUMMYFUNCTION("if(AND(AA8=FALSE,AB8=FALSE),,if(AA8=AB8,JOIN("""",""Static: "",AA8),JOIN("""",""Min:  "",AA8, CHAR(10),""Max: "",AB8)))"),"")</f>
        <v/>
      </c>
      <c r="AA8" s="42" t="str">
        <f t="array" ref="AA8">_xlfn.XLOOKUP(B8,'Up Min'!A:A,'Up Min'!G:G,)</f>
        <v/>
      </c>
      <c r="AB8" s="42" t="str">
        <f t="array" ref="AB8">_xlfn.XLOOKUP(B8,'Up Max'!A:A,'Up Max'!G:G,)</f>
        <v/>
      </c>
      <c r="AC8" s="48" t="str">
        <f t="array" ref="AC8">_xlfn.XLOOKUP(B8,'Up Stats'!A:A,'Up Stats'!H:H,)</f>
        <v/>
      </c>
      <c r="AD8" s="40" t="str">
        <f>IFERROR(__xludf.DUMMYFUNCTION("if(AND(AE8=FALSE,AF8=FALSE),,if(AE8=AF8,JOIN("""",""Static: "",AE8),JOIN("""",""Min:  "",AE8, CHAR(10),""Max: "",AF8)))"),"")</f>
        <v/>
      </c>
      <c r="AE8" s="42" t="str">
        <f t="array" ref="AE8">_xlfn.XLOOKUP(B8,'Up Min'!A:A,'Up Min'!H:H,)</f>
        <v/>
      </c>
      <c r="AF8" s="42" t="str">
        <f t="array" ref="AF8">_xlfn.XLOOKUP(B8,'Up Max'!A:A,'Up Max'!H:H,)</f>
        <v/>
      </c>
      <c r="AG8" s="48" t="str">
        <f t="array" ref="AG8">_xlfn.XLOOKUP(B8,'Up Stats'!A:A,'Up Stats'!I:I,)</f>
        <v/>
      </c>
      <c r="AH8" s="40" t="str">
        <f>IFERROR(__xludf.DUMMYFUNCTION("if(AND(AI8=FALSE,AJ8=FALSE),,if(AI8=AJ8,JOIN("""",""Static: "",AI8),JOIN("""",""Min:  "",AI8, CHAR(10),""Max: "",AJ8)))"),"")</f>
        <v/>
      </c>
      <c r="AI8" s="42" t="str">
        <f t="array" ref="AI8">_xlfn.XLOOKUP(B8,'Up Min'!A:A,'Up Min'!I:I,)</f>
        <v/>
      </c>
      <c r="AJ8" s="42" t="str">
        <f t="array" ref="AJ8">_xlfn.XLOOKUP(B8,'Up Max'!A:A,'Up Max'!I:I,)</f>
        <v/>
      </c>
      <c r="AK8" s="48" t="str">
        <f t="array" ref="AK8">_xlfn.XLOOKUP(B8,'Up Stats'!A:A,'Up Stats'!J:J,)</f>
        <v/>
      </c>
      <c r="AL8" s="40" t="str">
        <f>IFERROR(__xludf.DUMMYFUNCTION("if(AND(AM8=FALSE,AN8=FALSE),,if(AM8=AN8,JOIN("""",""Static: "",AM8),JOIN("""",""Min:  "",AM8, CHAR(10),""Max: "",AN8)))"),"")</f>
        <v/>
      </c>
      <c r="AM8" s="42" t="str">
        <f t="array" ref="AM8">_xlfn.XLOOKUP(B8,'Up Min'!A:A,'Up Min'!J:J,)</f>
        <v/>
      </c>
      <c r="AN8" s="42" t="str">
        <f t="array" ref="AN8">_xlfn.XLOOKUP(B8,'Up Max'!A:A,'Up Max'!J:J,)</f>
        <v/>
      </c>
      <c r="AO8" s="34" t="str">
        <f t="array" ref="AO8">CONCATENATE(_xlfn.XLOOKUP(B8,'Up Cells'!A:A,'Up Cells'!B:B,))</f>
        <v>5</v>
      </c>
      <c r="AP8" s="34" t="str">
        <f t="array" ref="AP8">CONCATENATE(_xlfn.XLOOKUP(B8,'Up Rarity'!A:A,'Up Rarity'!B:B,),CHAR(10),"-")</f>
        <v>Exotic
-</v>
      </c>
    </row>
    <row r="9">
      <c r="A9" s="75" t="str">
        <f t="array" ref="A9">_xlfn.XLOOKUP(B9,'Up Icon'!A:A,'Up Icon'!B:B,)</f>
        <v/>
      </c>
      <c r="B9" s="61" t="str">
        <f t="array" ref="B9">HYPERLINK(_xlfn.XLOOKUP('Up Names'!L6,'Up Wiki'!A:A,'Up Wiki'!B:B,),'Up Names'!L6)</f>
        <v>Inertia Accelerant</v>
      </c>
      <c r="C9" s="70" t="str">
        <f t="array" ref="C9">_xlfn.XLOOKUP(B9,'Up Desc'!A:A,'Up Desc'!B:B,)</f>
        <v>Damage increases based on how fast you're moving. Base damage is decreased.</v>
      </c>
      <c r="D9" s="52" t="str">
        <f t="array" ref="D9">_xlfn.XLOOKUP(B9,'Up Turbo'!A:A,'Up Turbo'!B:B,)</f>
        <v>n/a</v>
      </c>
      <c r="E9" s="53" t="str">
        <f t="array" ref="E9">_xlfn.XLOOKUP(B9,'Up Stats'!A:A,'Up Stats'!B:B,)</f>
        <v>Damage Scaling</v>
      </c>
      <c r="F9" s="54" t="str">
        <f>IFERROR(__xludf.DUMMYFUNCTION("if(AND(G9=FALSE,H9=FALSE),,if(G9=H9,JOIN("""",""Static: "",G9),JOIN("""",""Min:  "",G9, CHAR(10),""Max: "",H9)))"),"Min:  2.90%
Max: 4.00%")</f>
        <v>Min:  2.90%
Max: 4.00%</v>
      </c>
      <c r="G9" s="71">
        <f t="array" ref="G9">_xlfn.XLOOKUP(B9,'Up Min'!A:A,'Up Min'!B:B,)</f>
        <v>0.029</v>
      </c>
      <c r="H9" s="71">
        <f t="array" ref="H9">_xlfn.XLOOKUP(B9,'Up Max'!A:A,'Up Max'!B:B,)</f>
        <v>0.04</v>
      </c>
      <c r="I9" s="53" t="str">
        <f t="array" ref="I9">_xlfn.XLOOKUP(B9,'Up Stats'!A:A,'Up Stats'!C:C,)</f>
        <v>Max Speed</v>
      </c>
      <c r="J9" s="54" t="str">
        <f>IFERROR(__xludf.DUMMYFUNCTION("if(AND(K9=FALSE,L9=FALSE),,if(K9=L9,JOIN("""",""Static: "",K9),JOIN("""",""Min:  "",K9, CHAR(10),""Max: "",L9)))"),"Min:  3500%
Max: 4150%")</f>
        <v>Min:  3500%
Max: 4150%</v>
      </c>
      <c r="K9" s="59">
        <f t="array" ref="K9">_xlfn.XLOOKUP(B9,'Up Min'!A:A,'Up Min'!C:C,)</f>
        <v>35</v>
      </c>
      <c r="L9" s="59">
        <f t="array" ref="L9">_xlfn.XLOOKUP(B9,'Up Max'!A:A,'Up Max'!C:C,)</f>
        <v>41.5</v>
      </c>
      <c r="M9" s="53" t="str">
        <f t="array" ref="M9">_xlfn.XLOOKUP(B9,'Up Stats'!A:A,'Up Stats'!D:D,)</f>
        <v>Damage</v>
      </c>
      <c r="N9" s="54" t="str">
        <f>IFERROR(__xludf.DUMMYFUNCTION("if(AND(O9=FALSE,P9=FALSE),,if(O9=P9,JOIN("""",""Static: "",O9),JOIN("""",""Min:  "",O9, CHAR(10),""Max: "",P9)))"),"Min:  -97.10%
Max: -96.00%")</f>
        <v>Min:  -97.10%
Max: -96.00%</v>
      </c>
      <c r="O9" s="73">
        <f t="array" ref="O9">_xlfn.XLOOKUP(B9,'Up Min'!A:A,'Up Min'!D:D,)</f>
        <v>-0.971</v>
      </c>
      <c r="P9" s="73">
        <f t="array" ref="P9">_xlfn.XLOOKUP(B9,'Up Max'!A:A,'Up Max'!D:D,)</f>
        <v>-0.96</v>
      </c>
      <c r="Q9" s="57" t="str">
        <f t="array" ref="Q9">_xlfn.XLOOKUP(B9,'Up Stats'!A:A,'Up Stats'!E:E,)</f>
        <v/>
      </c>
      <c r="R9" s="54" t="str">
        <f>IFERROR(__xludf.DUMMYFUNCTION("if(AND(S9=FALSE,T9=FALSE),,if(S9=T9,JOIN("""",""Static: "",S9),JOIN("""",""Min:  "",S9, CHAR(10),""Max: "",T9)))"),"")</f>
        <v/>
      </c>
      <c r="S9" s="55" t="str">
        <f t="array" ref="S9">_xlfn.XLOOKUP(B9,'Up Min'!A:A,'Up Min'!E:E,)</f>
        <v/>
      </c>
      <c r="T9" s="55" t="str">
        <f t="array" ref="T9">_xlfn.XLOOKUP(B9,'Up Max'!A:A,'Up Max'!E:E,)</f>
        <v/>
      </c>
      <c r="U9" s="57" t="str">
        <f t="array" ref="U9">_xlfn.XLOOKUP(B9,'Up Stats'!A:A,'Up Stats'!F:F,)</f>
        <v/>
      </c>
      <c r="V9" s="54" t="str">
        <f>IFERROR(__xludf.DUMMYFUNCTION("if(AND(W9=FALSE,X9=FALSE),,if(W9=X9,JOIN("""",""Static: "",W9),JOIN("""",""Min:  "",W9, CHAR(10),""Max: "",X9)))"),"")</f>
        <v/>
      </c>
      <c r="W9" s="55" t="str">
        <f t="array" ref="W9">_xlfn.XLOOKUP(B9,'Up Min'!A:A,'Up Min'!F:F,)</f>
        <v/>
      </c>
      <c r="X9" s="55" t="str">
        <f t="array" ref="X9">_xlfn.XLOOKUP(B9,'Up Max'!A:A,'Up Max'!F:F,)</f>
        <v/>
      </c>
      <c r="Y9" s="57" t="str">
        <f t="array" ref="Y9">_xlfn.XLOOKUP(B9,'Up Stats'!A:A,'Up Stats'!G:G,)</f>
        <v/>
      </c>
      <c r="Z9" s="54" t="str">
        <f>IFERROR(__xludf.DUMMYFUNCTION("if(AND(AA9=FALSE,AB9=FALSE),,if(AA9=AB9,JOIN("""",""Static: "",AA9),JOIN("""",""Min:  "",AA9, CHAR(10),""Max: "",AB9)))"),"")</f>
        <v/>
      </c>
      <c r="AA9" s="55" t="str">
        <f t="array" ref="AA9">_xlfn.XLOOKUP(B9,'Up Min'!A:A,'Up Min'!G:G,)</f>
        <v/>
      </c>
      <c r="AB9" s="55" t="str">
        <f t="array" ref="AB9">_xlfn.XLOOKUP(B9,'Up Max'!A:A,'Up Max'!G:G,)</f>
        <v/>
      </c>
      <c r="AC9" s="57" t="str">
        <f t="array" ref="AC9">_xlfn.XLOOKUP(B9,'Up Stats'!A:A,'Up Stats'!H:H,)</f>
        <v/>
      </c>
      <c r="AD9" s="54" t="str">
        <f>IFERROR(__xludf.DUMMYFUNCTION("if(AND(AE9=FALSE,AF9=FALSE),,if(AE9=AF9,JOIN("""",""Static: "",AE9),JOIN("""",""Min:  "",AE9, CHAR(10),""Max: "",AF9)))"),"")</f>
        <v/>
      </c>
      <c r="AE9" s="55" t="str">
        <f t="array" ref="AE9">_xlfn.XLOOKUP(B9,'Up Min'!A:A,'Up Min'!H:H,)</f>
        <v/>
      </c>
      <c r="AF9" s="55" t="str">
        <f t="array" ref="AF9">_xlfn.XLOOKUP(B9,'Up Max'!A:A,'Up Max'!H:H,)</f>
        <v/>
      </c>
      <c r="AG9" s="57" t="str">
        <f t="array" ref="AG9">_xlfn.XLOOKUP(B9,'Up Stats'!A:A,'Up Stats'!I:I,)</f>
        <v/>
      </c>
      <c r="AH9" s="54" t="str">
        <f>IFERROR(__xludf.DUMMYFUNCTION("if(AND(AI9=FALSE,AJ9=FALSE),,if(AI9=AJ9,JOIN("""",""Static: "",AI9),JOIN("""",""Min:  "",AI9, CHAR(10),""Max: "",AJ9)))"),"")</f>
        <v/>
      </c>
      <c r="AI9" s="55" t="str">
        <f t="array" ref="AI9">_xlfn.XLOOKUP(B9,'Up Min'!A:A,'Up Min'!I:I,)</f>
        <v/>
      </c>
      <c r="AJ9" s="55" t="str">
        <f t="array" ref="AJ9">_xlfn.XLOOKUP(B9,'Up Max'!A:A,'Up Max'!I:I,)</f>
        <v/>
      </c>
      <c r="AK9" s="57" t="str">
        <f t="array" ref="AK9">_xlfn.XLOOKUP(B9,'Up Stats'!A:A,'Up Stats'!J:J,)</f>
        <v/>
      </c>
      <c r="AL9" s="54" t="str">
        <f>IFERROR(__xludf.DUMMYFUNCTION("if(AND(AM9=FALSE,AN9=FALSE),,if(AM9=AN9,JOIN("""",""Static: "",AM9),JOIN("""",""Min:  "",AM9, CHAR(10),""Max: "",AN9)))"),"")</f>
        <v/>
      </c>
      <c r="AM9" s="55" t="str">
        <f t="array" ref="AM9">_xlfn.XLOOKUP(B9,'Up Min'!A:A,'Up Min'!J:J,)</f>
        <v/>
      </c>
      <c r="AN9" s="55" t="str">
        <f t="array" ref="AN9">_xlfn.XLOOKUP(B9,'Up Max'!A:A,'Up Max'!J:J,)</f>
        <v/>
      </c>
      <c r="AO9" s="51" t="str">
        <f t="array" ref="AO9">CONCATENATE(_xlfn.XLOOKUP(B9,'Up Cells'!A:A,'Up Cells'!B:B,))</f>
        <v>4</v>
      </c>
      <c r="AP9" s="51" t="str">
        <f t="array" ref="AP9">CONCATENATE(_xlfn.XLOOKUP(B9,'Up Rarity'!A:A,'Up Rarity'!B:B,),CHAR(10),"-")</f>
        <v>Epic
-</v>
      </c>
    </row>
    <row r="10">
      <c r="A10" s="75" t="str">
        <f t="array" ref="A10">_xlfn.XLOOKUP(B10,'Up Icon'!A:A,'Up Icon'!B:B,)</f>
        <v/>
      </c>
      <c r="B10" s="58" t="str">
        <f t="array" ref="B10">HYPERLINK(_xlfn.XLOOKUP('Up Names'!L7,'Up Wiki'!A:A,'Up Wiki'!B:B,),'Up Names'!L7)</f>
        <v>Oxythane's Promise</v>
      </c>
      <c r="C10" s="67" t="str">
        <f t="array" ref="C10">_xlfn.XLOOKUP(B10,'Up Desc'!A:A,'Up Desc'!B:B,)</f>
        <v>Fire a tracking missile at the end of each burst. The missile's damage and explosion size increase with burst size.</v>
      </c>
      <c r="D10" s="37" t="str">
        <f t="array" ref="D10">_xlfn.XLOOKUP(B10,'Up Turbo'!A:A,'Up Turbo'!B:B,)</f>
        <v>n/a</v>
      </c>
      <c r="E10" s="39" t="str">
        <f t="array" ref="E10">_xlfn.XLOOKUP(B10,'Up Stats'!A:A,'Up Stats'!B:B,)</f>
        <v>Max Damage</v>
      </c>
      <c r="F10" s="40" t="str">
        <f>IFERROR(__xludf.DUMMYFUNCTION("if(AND(G10=FALSE,H10=FALSE),,if(G10=H10,JOIN("""",""Static: "",G10),JOIN("""",""Min:  "",G10, CHAR(10),""Max: "",H10)))"),"Min:  90.0%
Max: 105.0%")</f>
        <v>Min:  90.0%
Max: 105.0%</v>
      </c>
      <c r="G10" s="91">
        <f t="array" ref="G10">_xlfn.XLOOKUP(B10,'Up Min'!A:A,'Up Min'!B:B,)</f>
        <v>0.9</v>
      </c>
      <c r="H10" s="91">
        <f t="array" ref="H10">_xlfn.XLOOKUP(B10,'Up Max'!A:A,'Up Max'!B:B,)</f>
        <v>1.05</v>
      </c>
      <c r="I10" s="39" t="str">
        <f t="array" ref="I10">_xlfn.XLOOKUP(B10,'Up Stats'!A:A,'Up Stats'!C:C,)</f>
        <v>Max Size</v>
      </c>
      <c r="J10" s="40" t="str">
        <f>IFERROR(__xludf.DUMMYFUNCTION("if(AND(K10=FALSE,L10=FALSE),,if(K10=L10,JOIN("""",""Static: "",K10),JOIN("""",""Min:  "",K10, CHAR(10),""Max: "",L10)))"),"Min:  3.70
Max: 4.03")</f>
        <v>Min:  3.70
Max: 4.03</v>
      </c>
      <c r="K10" s="92">
        <f t="array" ref="K10">_xlfn.XLOOKUP(B10,'Up Min'!A:A,'Up Min'!C:C,)</f>
        <v>3.7</v>
      </c>
      <c r="L10" s="92">
        <f t="array" ref="L10">_xlfn.XLOOKUP(B10,'Up Max'!A:A,'Up Max'!C:C,)</f>
        <v>4.03</v>
      </c>
      <c r="M10" s="48" t="str">
        <f t="array" ref="M10">_xlfn.XLOOKUP(B10,'Up Stats'!A:A,'Up Stats'!D:D,)</f>
        <v/>
      </c>
      <c r="N10" s="40" t="str">
        <f>IFERROR(__xludf.DUMMYFUNCTION("if(AND(O10=FALSE,P10=FALSE),,if(O10=P10,JOIN("""",""Static: "",O10),JOIN("""",""Min:  "",O10, CHAR(10),""Max: "",P10)))"),"")</f>
        <v/>
      </c>
      <c r="O10" s="42" t="str">
        <f t="array" ref="O10">_xlfn.XLOOKUP(B10,'Up Min'!A:A,'Up Min'!D:D,)</f>
        <v/>
      </c>
      <c r="P10" s="42" t="str">
        <f t="array" ref="P10">_xlfn.XLOOKUP(B10,'Up Max'!A:A,'Up Max'!D:D,)</f>
        <v/>
      </c>
      <c r="Q10" s="48" t="str">
        <f t="array" ref="Q10">_xlfn.XLOOKUP(B10,'Up Stats'!A:A,'Up Stats'!E:E,)</f>
        <v/>
      </c>
      <c r="R10" s="40" t="str">
        <f>IFERROR(__xludf.DUMMYFUNCTION("if(AND(S10=FALSE,T10=FALSE),,if(S10=T10,JOIN("""",""Static: "",S10),JOIN("""",""Min:  "",S10, CHAR(10),""Max: "",T10)))"),"")</f>
        <v/>
      </c>
      <c r="S10" s="42" t="str">
        <f t="array" ref="S10">_xlfn.XLOOKUP(B10,'Up Min'!A:A,'Up Min'!E:E,)</f>
        <v/>
      </c>
      <c r="T10" s="42" t="str">
        <f t="array" ref="T10">_xlfn.XLOOKUP(B10,'Up Max'!A:A,'Up Max'!E:E,)</f>
        <v/>
      </c>
      <c r="U10" s="48" t="str">
        <f t="array" ref="U10">_xlfn.XLOOKUP(B10,'Up Stats'!A:A,'Up Stats'!F:F,)</f>
        <v/>
      </c>
      <c r="V10" s="40" t="str">
        <f>IFERROR(__xludf.DUMMYFUNCTION("if(AND(W10=FALSE,X10=FALSE),,if(W10=X10,JOIN("""",""Static: "",W10),JOIN("""",""Min:  "",W10, CHAR(10),""Max: "",X10)))"),"")</f>
        <v/>
      </c>
      <c r="W10" s="42" t="str">
        <f t="array" ref="W10">_xlfn.XLOOKUP(B10,'Up Min'!A:A,'Up Min'!F:F,)</f>
        <v/>
      </c>
      <c r="X10" s="42" t="str">
        <f t="array" ref="X10">_xlfn.XLOOKUP(B10,'Up Max'!A:A,'Up Max'!F:F,)</f>
        <v/>
      </c>
      <c r="Y10" s="48" t="str">
        <f t="array" ref="Y10">_xlfn.XLOOKUP(B10,'Up Stats'!A:A,'Up Stats'!G:G,)</f>
        <v/>
      </c>
      <c r="Z10" s="40" t="str">
        <f>IFERROR(__xludf.DUMMYFUNCTION("if(AND(AA10=FALSE,AB10=FALSE),,if(AA10=AB10,JOIN("""",""Static: "",AA10),JOIN("""",""Min:  "",AA10, CHAR(10),""Max: "",AB10)))"),"")</f>
        <v/>
      </c>
      <c r="AA10" s="42" t="str">
        <f t="array" ref="AA10">_xlfn.XLOOKUP(B10,'Up Min'!A:A,'Up Min'!G:G,)</f>
        <v/>
      </c>
      <c r="AB10" s="42" t="str">
        <f t="array" ref="AB10">_xlfn.XLOOKUP(B10,'Up Max'!A:A,'Up Max'!G:G,)</f>
        <v/>
      </c>
      <c r="AC10" s="48" t="str">
        <f t="array" ref="AC10">_xlfn.XLOOKUP(B10,'Up Stats'!A:A,'Up Stats'!H:H,)</f>
        <v/>
      </c>
      <c r="AD10" s="40" t="str">
        <f>IFERROR(__xludf.DUMMYFUNCTION("if(AND(AE10=FALSE,AF10=FALSE),,if(AE10=AF10,JOIN("""",""Static: "",AE10),JOIN("""",""Min:  "",AE10, CHAR(10),""Max: "",AF10)))"),"")</f>
        <v/>
      </c>
      <c r="AE10" s="42" t="str">
        <f t="array" ref="AE10">_xlfn.XLOOKUP(B10,'Up Min'!A:A,'Up Min'!H:H,)</f>
        <v/>
      </c>
      <c r="AF10" s="42" t="str">
        <f t="array" ref="AF10">_xlfn.XLOOKUP(B10,'Up Max'!A:A,'Up Max'!H:H,)</f>
        <v/>
      </c>
      <c r="AG10" s="48" t="str">
        <f t="array" ref="AG10">_xlfn.XLOOKUP(B10,'Up Stats'!A:A,'Up Stats'!I:I,)</f>
        <v/>
      </c>
      <c r="AH10" s="40" t="str">
        <f>IFERROR(__xludf.DUMMYFUNCTION("if(AND(AI10=FALSE,AJ10=FALSE),,if(AI10=AJ10,JOIN("""",""Static: "",AI10),JOIN("""",""Min:  "",AI10, CHAR(10),""Max: "",AJ10)))"),"")</f>
        <v/>
      </c>
      <c r="AI10" s="42" t="str">
        <f t="array" ref="AI10">_xlfn.XLOOKUP(B10,'Up Min'!A:A,'Up Min'!I:I,)</f>
        <v/>
      </c>
      <c r="AJ10" s="42" t="str">
        <f t="array" ref="AJ10">_xlfn.XLOOKUP(B10,'Up Max'!A:A,'Up Max'!I:I,)</f>
        <v/>
      </c>
      <c r="AK10" s="48" t="str">
        <f t="array" ref="AK10">_xlfn.XLOOKUP(B10,'Up Stats'!A:A,'Up Stats'!J:J,)</f>
        <v/>
      </c>
      <c r="AL10" s="40" t="str">
        <f>IFERROR(__xludf.DUMMYFUNCTION("if(AND(AM10=FALSE,AN10=FALSE),,if(AM10=AN10,JOIN("""",""Static: "",AM10),JOIN("""",""Min:  "",AM10, CHAR(10),""Max: "",AN10)))"),"")</f>
        <v/>
      </c>
      <c r="AM10" s="42" t="str">
        <f t="array" ref="AM10">_xlfn.XLOOKUP(B10,'Up Min'!A:A,'Up Min'!J:J,)</f>
        <v/>
      </c>
      <c r="AN10" s="42" t="str">
        <f t="array" ref="AN10">_xlfn.XLOOKUP(B10,'Up Max'!A:A,'Up Max'!J:J,)</f>
        <v/>
      </c>
      <c r="AO10" s="34" t="str">
        <f t="array" ref="AO10">CONCATENATE(_xlfn.XLOOKUP(B10,'Up Cells'!A:A,'Up Cells'!B:B,))</f>
        <v>5</v>
      </c>
      <c r="AP10" s="34" t="str">
        <f t="array" ref="AP10">CONCATENATE(_xlfn.XLOOKUP(B10,'Up Rarity'!A:A,'Up Rarity'!B:B,),CHAR(10),"-")</f>
        <v>Epic
-</v>
      </c>
    </row>
    <row r="11">
      <c r="A11" s="75" t="str">
        <f t="array" ref="A11">_xlfn.XLOOKUP(B11,'Up Icon'!A:A,'Up Icon'!B:B,)</f>
        <v/>
      </c>
      <c r="B11" s="61" t="str">
        <f t="array" ref="B11">HYPERLINK(_xlfn.XLOOKUP('Up Names'!L8,'Up Wiki'!A:A,'Up Wiki'!B:B,),'Up Names'!L8)</f>
        <v>Remote Charging</v>
      </c>
      <c r="C11" s="70" t="str">
        <f t="array" ref="C11">_xlfn.XLOOKUP(B11,'Up Desc'!A:A,'Up Desc'!B:B,)</f>
        <v>Your magazine is refilled when you are electrocuted.</v>
      </c>
      <c r="D11" s="52" t="str">
        <f t="array" ref="D11">_xlfn.XLOOKUP(B11,'Up Turbo'!A:A,'Up Turbo'!B:B,)</f>
        <v>n/a</v>
      </c>
      <c r="E11" s="53" t="str">
        <f t="array" ref="E11">_xlfn.XLOOKUP(B11,'Up Stats'!A:A,'Up Stats'!B:B,)</f>
        <v/>
      </c>
      <c r="F11" s="54" t="str">
        <f>IFERROR(__xludf.DUMMYFUNCTION("if(AND(G11=FALSE,H11=FALSE),,if(G11=H11,JOIN("""",""Static: "",G11),JOIN("""",""Min:  "",G11, CHAR(10),""Max: "",H11)))"),"")</f>
        <v/>
      </c>
      <c r="G11" s="59" t="str">
        <f t="array" ref="G11">_xlfn.XLOOKUP(B11,'Up Min'!A:A,'Up Min'!B:B,)</f>
        <v/>
      </c>
      <c r="H11" s="59" t="str">
        <f t="array" ref="H11">_xlfn.XLOOKUP(B11,'Up Max'!A:A,'Up Max'!B:B,)</f>
        <v/>
      </c>
      <c r="I11" s="53" t="str">
        <f t="array" ref="I11">_xlfn.XLOOKUP(B11,'Up Stats'!A:A,'Up Stats'!C:C,)</f>
        <v/>
      </c>
      <c r="J11" s="54" t="str">
        <f>IFERROR(__xludf.DUMMYFUNCTION("if(AND(K11=FALSE,L11=FALSE),,if(K11=L11,JOIN("""",""Static: "",K11),JOIN("""",""Min:  "",K11, CHAR(10),""Max: "",L11)))"),"")</f>
        <v/>
      </c>
      <c r="K11" s="55" t="str">
        <f t="array" ref="K11">_xlfn.XLOOKUP(B11,'Up Min'!A:A,'Up Min'!C:C,)</f>
        <v/>
      </c>
      <c r="L11" s="55" t="str">
        <f t="array" ref="L11">_xlfn.XLOOKUP(B11,'Up Max'!A:A,'Up Max'!C:C,)</f>
        <v/>
      </c>
      <c r="M11" s="57" t="str">
        <f t="array" ref="M11">_xlfn.XLOOKUP(B11,'Up Stats'!A:A,'Up Stats'!D:D,)</f>
        <v/>
      </c>
      <c r="N11" s="54" t="str">
        <f>IFERROR(__xludf.DUMMYFUNCTION("if(AND(O11=FALSE,P11=FALSE),,if(O11=P11,JOIN("""",""Static: "",O11),JOIN("""",""Min:  "",O11, CHAR(10),""Max: "",P11)))"),"")</f>
        <v/>
      </c>
      <c r="O11" s="55" t="str">
        <f t="array" ref="O11">_xlfn.XLOOKUP(B11,'Up Min'!A:A,'Up Min'!D:D,)</f>
        <v/>
      </c>
      <c r="P11" s="55" t="str">
        <f t="array" ref="P11">_xlfn.XLOOKUP(B11,'Up Max'!A:A,'Up Max'!D:D,)</f>
        <v/>
      </c>
      <c r="Q11" s="57" t="str">
        <f t="array" ref="Q11">_xlfn.XLOOKUP(B11,'Up Stats'!A:A,'Up Stats'!E:E,)</f>
        <v/>
      </c>
      <c r="R11" s="54" t="str">
        <f>IFERROR(__xludf.DUMMYFUNCTION("if(AND(S11=FALSE,T11=FALSE),,if(S11=T11,JOIN("""",""Static: "",S11),JOIN("""",""Min:  "",S11, CHAR(10),""Max: "",T11)))"),"")</f>
        <v/>
      </c>
      <c r="S11" s="55" t="str">
        <f t="array" ref="S11">_xlfn.XLOOKUP(B11,'Up Min'!A:A,'Up Min'!E:E,)</f>
        <v/>
      </c>
      <c r="T11" s="55" t="str">
        <f t="array" ref="T11">_xlfn.XLOOKUP(B11,'Up Max'!A:A,'Up Max'!E:E,)</f>
        <v/>
      </c>
      <c r="U11" s="57" t="str">
        <f t="array" ref="U11">_xlfn.XLOOKUP(B11,'Up Stats'!A:A,'Up Stats'!F:F,)</f>
        <v/>
      </c>
      <c r="V11" s="54" t="str">
        <f>IFERROR(__xludf.DUMMYFUNCTION("if(AND(W11=FALSE,X11=FALSE),,if(W11=X11,JOIN("""",""Static: "",W11),JOIN("""",""Min:  "",W11, CHAR(10),""Max: "",X11)))"),"")</f>
        <v/>
      </c>
      <c r="W11" s="55" t="str">
        <f t="array" ref="W11">_xlfn.XLOOKUP(B11,'Up Min'!A:A,'Up Min'!F:F,)</f>
        <v/>
      </c>
      <c r="X11" s="55" t="str">
        <f t="array" ref="X11">_xlfn.XLOOKUP(B11,'Up Max'!A:A,'Up Max'!F:F,)</f>
        <v/>
      </c>
      <c r="Y11" s="57" t="str">
        <f t="array" ref="Y11">_xlfn.XLOOKUP(B11,'Up Stats'!A:A,'Up Stats'!G:G,)</f>
        <v/>
      </c>
      <c r="Z11" s="54" t="str">
        <f>IFERROR(__xludf.DUMMYFUNCTION("if(AND(AA11=FALSE,AB11=FALSE),,if(AA11=AB11,JOIN("""",""Static: "",AA11),JOIN("""",""Min:  "",AA11, CHAR(10),""Max: "",AB11)))"),"")</f>
        <v/>
      </c>
      <c r="AA11" s="55" t="str">
        <f t="array" ref="AA11">_xlfn.XLOOKUP(B11,'Up Min'!A:A,'Up Min'!G:G,)</f>
        <v/>
      </c>
      <c r="AB11" s="55" t="str">
        <f t="array" ref="AB11">_xlfn.XLOOKUP(B11,'Up Max'!A:A,'Up Max'!G:G,)</f>
        <v/>
      </c>
      <c r="AC11" s="57" t="str">
        <f t="array" ref="AC11">_xlfn.XLOOKUP(B11,'Up Stats'!A:A,'Up Stats'!H:H,)</f>
        <v/>
      </c>
      <c r="AD11" s="54" t="str">
        <f>IFERROR(__xludf.DUMMYFUNCTION("if(AND(AE11=FALSE,AF11=FALSE),,if(AE11=AF11,JOIN("""",""Static: "",AE11),JOIN("""",""Min:  "",AE11, CHAR(10),""Max: "",AF11)))"),"")</f>
        <v/>
      </c>
      <c r="AE11" s="55" t="str">
        <f t="array" ref="AE11">_xlfn.XLOOKUP(B11,'Up Min'!A:A,'Up Min'!H:H,)</f>
        <v/>
      </c>
      <c r="AF11" s="55" t="str">
        <f t="array" ref="AF11">_xlfn.XLOOKUP(B11,'Up Max'!A:A,'Up Max'!H:H,)</f>
        <v/>
      </c>
      <c r="AG11" s="57" t="str">
        <f t="array" ref="AG11">_xlfn.XLOOKUP(B11,'Up Stats'!A:A,'Up Stats'!I:I,)</f>
        <v/>
      </c>
      <c r="AH11" s="54" t="str">
        <f>IFERROR(__xludf.DUMMYFUNCTION("if(AND(AI11=FALSE,AJ11=FALSE),,if(AI11=AJ11,JOIN("""",""Static: "",AI11),JOIN("""",""Min:  "",AI11, CHAR(10),""Max: "",AJ11)))"),"")</f>
        <v/>
      </c>
      <c r="AI11" s="55" t="str">
        <f t="array" ref="AI11">_xlfn.XLOOKUP(B11,'Up Min'!A:A,'Up Min'!I:I,)</f>
        <v/>
      </c>
      <c r="AJ11" s="55" t="str">
        <f t="array" ref="AJ11">_xlfn.XLOOKUP(B11,'Up Max'!A:A,'Up Max'!I:I,)</f>
        <v/>
      </c>
      <c r="AK11" s="57" t="str">
        <f t="array" ref="AK11">_xlfn.XLOOKUP(B11,'Up Stats'!A:A,'Up Stats'!J:J,)</f>
        <v/>
      </c>
      <c r="AL11" s="54" t="str">
        <f>IFERROR(__xludf.DUMMYFUNCTION("if(AND(AM11=FALSE,AN11=FALSE),,if(AM11=AN11,JOIN("""",""Static: "",AM11),JOIN("""",""Min:  "",AM11, CHAR(10),""Max: "",AN11)))"),"")</f>
        <v/>
      </c>
      <c r="AM11" s="55" t="str">
        <f t="array" ref="AM11">_xlfn.XLOOKUP(B11,'Up Min'!A:A,'Up Min'!J:J,)</f>
        <v/>
      </c>
      <c r="AN11" s="55" t="str">
        <f t="array" ref="AN11">_xlfn.XLOOKUP(B11,'Up Max'!A:A,'Up Max'!J:J,)</f>
        <v/>
      </c>
      <c r="AO11" s="51" t="str">
        <f t="array" ref="AO11">CONCATENATE(_xlfn.XLOOKUP(B11,'Up Cells'!A:A,'Up Cells'!B:B,))</f>
        <v>4</v>
      </c>
      <c r="AP11" s="51" t="str">
        <f t="array" ref="AP11">CONCATENATE(_xlfn.XLOOKUP(B11,'Up Rarity'!A:A,'Up Rarity'!B:B,),CHAR(10),"-")</f>
        <v>Epic
-</v>
      </c>
    </row>
    <row r="12">
      <c r="A12" s="75" t="str">
        <f t="array" ref="A12">_xlfn.XLOOKUP(B12,'Up Icon'!A:A,'Up Icon'!B:B,)</f>
        <v/>
      </c>
      <c r="B12" s="58" t="str">
        <f t="array" ref="B12">HYPERLINK(_xlfn.XLOOKUP('Up Names'!L9,'Up Wiki'!A:A,'Up Wiki'!B:B,),'Up Names'!L9)</f>
        <v>Requeening</v>
      </c>
      <c r="C12" s="67" t="str">
        <f t="array" ref="C12">_xlfn.XLOOKUP(B12,'Up Desc'!A:A,'Up Desc'!B:B,)</f>
        <v>While you are swarmed by bees, the Accelerator deals increased damage. you move faster, and you fall slower.</v>
      </c>
      <c r="D12" s="37" t="str">
        <f t="array" ref="D12">_xlfn.XLOOKUP(B12,'Up Turbo'!A:A,'Up Turbo'!B:B,)</f>
        <v>n/a</v>
      </c>
      <c r="E12" s="39" t="str">
        <f t="array" ref="E12">_xlfn.XLOOKUP(B12,'Up Stats'!A:A,'Up Stats'!B:B,)</f>
        <v>Damage</v>
      </c>
      <c r="F12" s="40" t="str">
        <f>IFERROR(__xludf.DUMMYFUNCTION("if(AND(G12=FALSE,H12=FALSE),,if(G12=H12,JOIN("""",""Static: "",G12),JOIN("""",""Min:  "",G12, CHAR(10),""Max: "",H12)))"),"Min:  13.00%
Max: 15.00%")</f>
        <v>Min:  13.00%
Max: 15.00%</v>
      </c>
      <c r="G12" s="78">
        <f t="array" ref="G12">_xlfn.XLOOKUP(B12,'Up Min'!A:A,'Up Min'!B:B,)</f>
        <v>0.13</v>
      </c>
      <c r="H12" s="78">
        <f t="array" ref="H12">_xlfn.XLOOKUP(B12,'Up Max'!A:A,'Up Max'!B:B,)</f>
        <v>0.15</v>
      </c>
      <c r="I12" s="39" t="str">
        <f t="array" ref="I12">_xlfn.XLOOKUP(B12,'Up Stats'!A:A,'Up Stats'!C:C,)</f>
        <v>Speed</v>
      </c>
      <c r="J12" s="40" t="str">
        <f>IFERROR(__xludf.DUMMYFUNCTION("if(AND(K12=FALSE,L12=FALSE),,if(K12=L12,JOIN("""",""Static: "",K12),JOIN("""",""Min:  "",K12, CHAR(10),""Max: "",L12)))"),"Min:  3.8
Max: 4.1")</f>
        <v>Min:  3.8
Max: 4.1</v>
      </c>
      <c r="K12" s="42">
        <f t="array" ref="K12">_xlfn.XLOOKUP(B12,'Up Min'!A:A,'Up Min'!C:C,)</f>
        <v>3.8</v>
      </c>
      <c r="L12" s="42">
        <f t="array" ref="L12">_xlfn.XLOOKUP(B12,'Up Max'!A:A,'Up Max'!C:C,)</f>
        <v>4.1</v>
      </c>
      <c r="M12" s="48" t="str">
        <f t="array" ref="M12">_xlfn.XLOOKUP(B12,'Up Stats'!A:A,'Up Stats'!D:D,)</f>
        <v>Gravity</v>
      </c>
      <c r="N12" s="40" t="str">
        <f>IFERROR(__xludf.DUMMYFUNCTION("if(AND(O12=FALSE,P12=FALSE),,if(O12=P12,JOIN("""",""Static: "",O12),JOIN("""",""Min:  "",O12, CHAR(10),""Max: "",P12)))"),"Min:  -12.28%
Max: -13.79%")</f>
        <v>Min:  -12.28%
Max: -13.79%</v>
      </c>
      <c r="O12" s="85">
        <f t="array" ref="O12">_xlfn.XLOOKUP(B12,'Up Min'!A:A,'Up Min'!D:D,)</f>
        <v>-0.1228</v>
      </c>
      <c r="P12" s="85">
        <f t="array" ref="P12">_xlfn.XLOOKUP(B12,'Up Max'!A:A,'Up Max'!D:D,)</f>
        <v>-0.1379</v>
      </c>
      <c r="Q12" s="48" t="str">
        <f t="array" ref="Q12">_xlfn.XLOOKUP(B12,'Up Stats'!A:A,'Up Stats'!E:E,)</f>
        <v/>
      </c>
      <c r="R12" s="40" t="str">
        <f>IFERROR(__xludf.DUMMYFUNCTION("if(AND(S12=FALSE,T12=FALSE),,if(S12=T12,JOIN("""",""Static: "",S12),JOIN("""",""Min:  "",S12, CHAR(10),""Max: "",T12)))"),"")</f>
        <v/>
      </c>
      <c r="S12" s="42" t="str">
        <f t="array" ref="S12">_xlfn.XLOOKUP(B12,'Up Min'!A:A,'Up Min'!E:E,)</f>
        <v/>
      </c>
      <c r="T12" s="42" t="str">
        <f t="array" ref="T12">_xlfn.XLOOKUP(B12,'Up Max'!A:A,'Up Max'!E:E,)</f>
        <v/>
      </c>
      <c r="U12" s="48" t="str">
        <f t="array" ref="U12">_xlfn.XLOOKUP(B12,'Up Stats'!A:A,'Up Stats'!F:F,)</f>
        <v/>
      </c>
      <c r="V12" s="40" t="str">
        <f>IFERROR(__xludf.DUMMYFUNCTION("if(AND(W12=FALSE,X12=FALSE),,if(W12=X12,JOIN("""",""Static: "",W12),JOIN("""",""Min:  "",W12, CHAR(10),""Max: "",X12)))"),"")</f>
        <v/>
      </c>
      <c r="W12" s="42" t="str">
        <f t="array" ref="W12">_xlfn.XLOOKUP(B12,'Up Min'!A:A,'Up Min'!F:F,)</f>
        <v/>
      </c>
      <c r="X12" s="42" t="str">
        <f t="array" ref="X12">_xlfn.XLOOKUP(B12,'Up Max'!A:A,'Up Max'!F:F,)</f>
        <v/>
      </c>
      <c r="Y12" s="48" t="str">
        <f t="array" ref="Y12">_xlfn.XLOOKUP(B12,'Up Stats'!A:A,'Up Stats'!G:G,)</f>
        <v/>
      </c>
      <c r="Z12" s="40" t="str">
        <f>IFERROR(__xludf.DUMMYFUNCTION("if(AND(AA12=FALSE,AB12=FALSE),,if(AA12=AB12,JOIN("""",""Static: "",AA12),JOIN("""",""Min:  "",AA12, CHAR(10),""Max: "",AB12)))"),"")</f>
        <v/>
      </c>
      <c r="AA12" s="42" t="str">
        <f t="array" ref="AA12">_xlfn.XLOOKUP(B12,'Up Min'!A:A,'Up Min'!G:G,)</f>
        <v/>
      </c>
      <c r="AB12" s="42" t="str">
        <f t="array" ref="AB12">_xlfn.XLOOKUP(B12,'Up Max'!A:A,'Up Max'!G:G,)</f>
        <v/>
      </c>
      <c r="AC12" s="48" t="str">
        <f t="array" ref="AC12">_xlfn.XLOOKUP(B12,'Up Stats'!A:A,'Up Stats'!H:H,)</f>
        <v/>
      </c>
      <c r="AD12" s="40" t="str">
        <f>IFERROR(__xludf.DUMMYFUNCTION("if(AND(AE12=FALSE,AF12=FALSE),,if(AE12=AF12,JOIN("""",""Static: "",AE12),JOIN("""",""Min:  "",AE12, CHAR(10),""Max: "",AF12)))"),"")</f>
        <v/>
      </c>
      <c r="AE12" s="42" t="str">
        <f t="array" ref="AE12">_xlfn.XLOOKUP(B12,'Up Min'!A:A,'Up Min'!H:H,)</f>
        <v/>
      </c>
      <c r="AF12" s="42" t="str">
        <f t="array" ref="AF12">_xlfn.XLOOKUP(B12,'Up Max'!A:A,'Up Max'!H:H,)</f>
        <v/>
      </c>
      <c r="AG12" s="48" t="str">
        <f t="array" ref="AG12">_xlfn.XLOOKUP(B12,'Up Stats'!A:A,'Up Stats'!I:I,)</f>
        <v/>
      </c>
      <c r="AH12" s="40" t="str">
        <f>IFERROR(__xludf.DUMMYFUNCTION("if(AND(AI12=FALSE,AJ12=FALSE),,if(AI12=AJ12,JOIN("""",""Static: "",AI12),JOIN("""",""Min:  "",AI12, CHAR(10),""Max: "",AJ12)))"),"")</f>
        <v/>
      </c>
      <c r="AI12" s="42" t="str">
        <f t="array" ref="AI12">_xlfn.XLOOKUP(B12,'Up Min'!A:A,'Up Min'!I:I,)</f>
        <v/>
      </c>
      <c r="AJ12" s="42" t="str">
        <f t="array" ref="AJ12">_xlfn.XLOOKUP(B12,'Up Max'!A:A,'Up Max'!I:I,)</f>
        <v/>
      </c>
      <c r="AK12" s="48" t="str">
        <f t="array" ref="AK12">_xlfn.XLOOKUP(B12,'Up Stats'!A:A,'Up Stats'!J:J,)</f>
        <v/>
      </c>
      <c r="AL12" s="40" t="str">
        <f>IFERROR(__xludf.DUMMYFUNCTION("if(AND(AM12=FALSE,AN12=FALSE),,if(AM12=AN12,JOIN("""",""Static: "",AM12),JOIN("""",""Min:  "",AM12, CHAR(10),""Max: "",AN12)))"),"")</f>
        <v/>
      </c>
      <c r="AM12" s="42" t="str">
        <f t="array" ref="AM12">_xlfn.XLOOKUP(B12,'Up Min'!A:A,'Up Min'!J:J,)</f>
        <v/>
      </c>
      <c r="AN12" s="42" t="str">
        <f t="array" ref="AN12">_xlfn.XLOOKUP(B12,'Up Max'!A:A,'Up Max'!J:J,)</f>
        <v/>
      </c>
      <c r="AO12" s="34" t="str">
        <f t="array" ref="AO12">CONCATENATE(_xlfn.XLOOKUP(B12,'Up Cells'!A:A,'Up Cells'!B:B,))</f>
        <v>4</v>
      </c>
      <c r="AP12" s="34" t="str">
        <f t="array" ref="AP12">CONCATENATE(_xlfn.XLOOKUP(B12,'Up Rarity'!A:A,'Up Rarity'!B:B,),CHAR(10),"-")</f>
        <v>Epic
-</v>
      </c>
    </row>
    <row r="13">
      <c r="A13" s="75" t="str">
        <f t="array" ref="A13">_xlfn.XLOOKUP(B13,'Up Icon'!A:A,'Up Icon'!B:B,)</f>
        <v/>
      </c>
      <c r="B13" s="61" t="str">
        <f t="array" ref="B13">HYPERLINK(_xlfn.XLOOKUP('Up Names'!L10,'Up Wiki'!A:A,'Up Wiki'!B:B,),'Up Names'!L10)</f>
        <v>Ruptured Spleen</v>
      </c>
      <c r="C13" s="52" t="str">
        <f t="array" ref="C13">_xlfn.XLOOKUP(B13,'Up Desc'!A:A,'Up Desc'!B:B,)</f>
        <v>Fire one massive burst.</v>
      </c>
      <c r="D13" s="52" t="str">
        <f t="array" ref="D13">_xlfn.XLOOKUP(B13,'Up Turbo'!A:A,'Up Turbo'!B:B,)</f>
        <v>n/a</v>
      </c>
      <c r="E13" s="53" t="str">
        <f t="array" ref="E13">_xlfn.XLOOKUP(B13,'Up Stats'!A:A,'Up Stats'!B:B,)</f>
        <v/>
      </c>
      <c r="F13" s="54" t="str">
        <f>IFERROR(__xludf.DUMMYFUNCTION("if(AND(G13=FALSE,H13=FALSE),,if(G13=H13,JOIN("""",""Static: "",G13),JOIN("""",""Min:  "",G13, CHAR(10),""Max: "",H13)))"),"")</f>
        <v/>
      </c>
      <c r="G13" s="59" t="str">
        <f t="array" ref="G13">_xlfn.XLOOKUP(B13,'Up Min'!A:A,'Up Min'!B:B,)</f>
        <v/>
      </c>
      <c r="H13" s="59" t="str">
        <f t="array" ref="H13">_xlfn.XLOOKUP(B13,'Up Max'!A:A,'Up Max'!B:B,)</f>
        <v/>
      </c>
      <c r="I13" s="53" t="str">
        <f t="array" ref="I13">_xlfn.XLOOKUP(B13,'Up Stats'!A:A,'Up Stats'!C:C,)</f>
        <v/>
      </c>
      <c r="J13" s="54" t="str">
        <f>IFERROR(__xludf.DUMMYFUNCTION("if(AND(K13=FALSE,L13=FALSE),,if(K13=L13,JOIN("""",""Static: "",K13),JOIN("""",""Min:  "",K13, CHAR(10),""Max: "",L13)))"),"")</f>
        <v/>
      </c>
      <c r="K13" s="64" t="str">
        <f t="array" ref="K13">_xlfn.XLOOKUP(B13,'Up Min'!A:A,'Up Min'!C:C,)</f>
        <v/>
      </c>
      <c r="L13" s="64" t="str">
        <f t="array" ref="L13">_xlfn.XLOOKUP(B13,'Up Max'!A:A,'Up Max'!C:C,)</f>
        <v/>
      </c>
      <c r="M13" s="53" t="str">
        <f t="array" ref="M13">_xlfn.XLOOKUP(B13,'Up Stats'!A:A,'Up Stats'!D:D,)</f>
        <v/>
      </c>
      <c r="N13" s="54" t="str">
        <f>IFERROR(__xludf.DUMMYFUNCTION("if(AND(O13=FALSE,P13=FALSE),,if(O13=P13,JOIN("""",""Static: "",O13),JOIN("""",""Min:  "",O13, CHAR(10),""Max: "",P13)))"),"")</f>
        <v/>
      </c>
      <c r="O13" s="55" t="str">
        <f t="array" ref="O13">_xlfn.XLOOKUP(B13,'Up Min'!A:A,'Up Min'!D:D,)</f>
        <v/>
      </c>
      <c r="P13" s="55" t="str">
        <f t="array" ref="P13">_xlfn.XLOOKUP(B13,'Up Max'!A:A,'Up Max'!D:D,)</f>
        <v/>
      </c>
      <c r="Q13" s="57" t="str">
        <f t="array" ref="Q13">_xlfn.XLOOKUP(B13,'Up Stats'!A:A,'Up Stats'!E:E,)</f>
        <v/>
      </c>
      <c r="R13" s="54" t="str">
        <f>IFERROR(__xludf.DUMMYFUNCTION("if(AND(S13=FALSE,T13=FALSE),,if(S13=T13,JOIN("""",""Static: "",S13),JOIN("""",""Min:  "",S13, CHAR(10),""Max: "",T13)))"),"")</f>
        <v/>
      </c>
      <c r="S13" s="55" t="str">
        <f t="array" ref="S13">_xlfn.XLOOKUP(B13,'Up Min'!A:A,'Up Min'!E:E,)</f>
        <v/>
      </c>
      <c r="T13" s="55" t="str">
        <f t="array" ref="T13">_xlfn.XLOOKUP(B13,'Up Max'!A:A,'Up Max'!E:E,)</f>
        <v/>
      </c>
      <c r="U13" s="57" t="str">
        <f t="array" ref="U13">_xlfn.XLOOKUP(B13,'Up Stats'!A:A,'Up Stats'!F:F,)</f>
        <v/>
      </c>
      <c r="V13" s="54" t="str">
        <f>IFERROR(__xludf.DUMMYFUNCTION("if(AND(W13=FALSE,X13=FALSE),,if(W13=X13,JOIN("""",""Static: "",W13),JOIN("""",""Min:  "",W13, CHAR(10),""Max: "",X13)))"),"")</f>
        <v/>
      </c>
      <c r="W13" s="55" t="str">
        <f t="array" ref="W13">_xlfn.XLOOKUP(B13,'Up Min'!A:A,'Up Min'!F:F,)</f>
        <v/>
      </c>
      <c r="X13" s="55" t="str">
        <f t="array" ref="X13">_xlfn.XLOOKUP(B13,'Up Max'!A:A,'Up Max'!F:F,)</f>
        <v/>
      </c>
      <c r="Y13" s="57" t="str">
        <f t="array" ref="Y13">_xlfn.XLOOKUP(B13,'Up Stats'!A:A,'Up Stats'!G:G,)</f>
        <v/>
      </c>
      <c r="Z13" s="54" t="str">
        <f>IFERROR(__xludf.DUMMYFUNCTION("if(AND(AA13=FALSE,AB13=FALSE),,if(AA13=AB13,JOIN("""",""Static: "",AA13),JOIN("""",""Min:  "",AA13, CHAR(10),""Max: "",AB13)))"),"")</f>
        <v/>
      </c>
      <c r="AA13" s="55" t="str">
        <f t="array" ref="AA13">_xlfn.XLOOKUP(B13,'Up Min'!A:A,'Up Min'!G:G,)</f>
        <v/>
      </c>
      <c r="AB13" s="55" t="str">
        <f t="array" ref="AB13">_xlfn.XLOOKUP(B13,'Up Max'!A:A,'Up Max'!G:G,)</f>
        <v/>
      </c>
      <c r="AC13" s="57" t="str">
        <f t="array" ref="AC13">_xlfn.XLOOKUP(B13,'Up Stats'!A:A,'Up Stats'!H:H,)</f>
        <v/>
      </c>
      <c r="AD13" s="54" t="str">
        <f>IFERROR(__xludf.DUMMYFUNCTION("if(AND(AE13=FALSE,AF13=FALSE),,if(AE13=AF13,JOIN("""",""Static: "",AE13),JOIN("""",""Min:  "",AE13, CHAR(10),""Max: "",AF13)))"),"")</f>
        <v/>
      </c>
      <c r="AE13" s="55" t="str">
        <f t="array" ref="AE13">_xlfn.XLOOKUP(B13,'Up Min'!A:A,'Up Min'!H:H,)</f>
        <v/>
      </c>
      <c r="AF13" s="55" t="str">
        <f t="array" ref="AF13">_xlfn.XLOOKUP(B13,'Up Max'!A:A,'Up Max'!H:H,)</f>
        <v/>
      </c>
      <c r="AG13" s="57" t="str">
        <f t="array" ref="AG13">_xlfn.XLOOKUP(B13,'Up Stats'!A:A,'Up Stats'!I:I,)</f>
        <v/>
      </c>
      <c r="AH13" s="54" t="str">
        <f>IFERROR(__xludf.DUMMYFUNCTION("if(AND(AI13=FALSE,AJ13=FALSE),,if(AI13=AJ13,JOIN("""",""Static: "",AI13),JOIN("""",""Min:  "",AI13, CHAR(10),""Max: "",AJ13)))"),"")</f>
        <v/>
      </c>
      <c r="AI13" s="55" t="str">
        <f t="array" ref="AI13">_xlfn.XLOOKUP(B13,'Up Min'!A:A,'Up Min'!I:I,)</f>
        <v/>
      </c>
      <c r="AJ13" s="55" t="str">
        <f t="array" ref="AJ13">_xlfn.XLOOKUP(B13,'Up Max'!A:A,'Up Max'!I:I,)</f>
        <v/>
      </c>
      <c r="AK13" s="57" t="str">
        <f t="array" ref="AK13">_xlfn.XLOOKUP(B13,'Up Stats'!A:A,'Up Stats'!J:J,)</f>
        <v/>
      </c>
      <c r="AL13" s="54" t="str">
        <f>IFERROR(__xludf.DUMMYFUNCTION("if(AND(AM13=FALSE,AN13=FALSE),,if(AM13=AN13,JOIN("""",""Static: "",AM13),JOIN("""",""Min:  "",AM13, CHAR(10),""Max: "",AN13)))"),"")</f>
        <v/>
      </c>
      <c r="AM13" s="55" t="str">
        <f t="array" ref="AM13">_xlfn.XLOOKUP(B13,'Up Min'!A:A,'Up Min'!J:J,)</f>
        <v/>
      </c>
      <c r="AN13" s="55" t="str">
        <f t="array" ref="AN13">_xlfn.XLOOKUP(B13,'Up Max'!A:A,'Up Max'!J:J,)</f>
        <v/>
      </c>
      <c r="AO13" s="51" t="str">
        <f t="array" ref="AO13">CONCATENATE(_xlfn.XLOOKUP(B13,'Up Cells'!A:A,'Up Cells'!B:B,))</f>
        <v>6</v>
      </c>
      <c r="AP13" s="51" t="str">
        <f t="array" ref="AP13">CONCATENATE(_xlfn.XLOOKUP(B13,'Up Rarity'!A:A,'Up Rarity'!B:B,),CHAR(10),"-")</f>
        <v>Epic
-</v>
      </c>
    </row>
    <row r="14">
      <c r="A14" s="75" t="str">
        <f t="array" ref="A14">_xlfn.XLOOKUP(B14,'Up Icon'!A:A,'Up Icon'!B:B,)</f>
        <v/>
      </c>
      <c r="B14" s="58" t="str">
        <f t="array" ref="B14">HYPERLINK(_xlfn.XLOOKUP('Up Names'!L11,'Up Wiki'!A:A,'Up Wiki'!B:B,),'Up Names'!L11)</f>
        <v>Sweet Heavens</v>
      </c>
      <c r="C14" s="37" t="str">
        <f t="array" ref="C14">_xlfn.XLOOKUP(B14,'Up Desc'!A:A,'Up Desc'!B:B,)</f>
        <v>Create a healing swarm of bees when you reload. After a short duration, the bees begin to damage you.</v>
      </c>
      <c r="D14" s="37" t="str">
        <f t="array" ref="D14">_xlfn.XLOOKUP(B14,'Up Turbo'!A:A,'Up Turbo'!B:B,)</f>
        <v>n/a</v>
      </c>
      <c r="E14" s="39" t="str">
        <f t="array" ref="E14">_xlfn.XLOOKUP(B14,'Up Stats'!A:A,'Up Stats'!B:B,)</f>
        <v>Duration</v>
      </c>
      <c r="F14" s="40" t="str">
        <f>IFERROR(__xludf.DUMMYFUNCTION("if(AND(G14=FALSE,H14=FALSE),,if(G14=H14,JOIN("""",""Static: "",G14),JOIN("""",""Min:  "",G14, CHAR(10),""Max: "",H14)))"),"Min:  2.85
Max: 3.2")</f>
        <v>Min:  2.85
Max: 3.2</v>
      </c>
      <c r="G14" s="69">
        <f t="array" ref="G14">_xlfn.XLOOKUP(B14,'Up Min'!A:A,'Up Min'!B:B,)</f>
        <v>2.85</v>
      </c>
      <c r="H14" s="68">
        <f t="array" ref="H14">_xlfn.XLOOKUP(B14,'Up Max'!A:A,'Up Max'!B:B,)</f>
        <v>3.2</v>
      </c>
      <c r="I14" s="39" t="str">
        <f t="array" ref="I14">_xlfn.XLOOKUP(B14,'Up Stats'!A:A,'Up Stats'!C:C,)</f>
        <v>Size</v>
      </c>
      <c r="J14" s="40" t="str">
        <f>IFERROR(__xludf.DUMMYFUNCTION("if(AND(K14=FALSE,L14=FALSE),,if(K14=L14,JOIN("""",""Static: "",K14),JOIN("""",""Min:  "",K14, CHAR(10),""Max: "",L14)))"),"Min:  6.3
Max: 6.9")</f>
        <v>Min:  6.3
Max: 6.9</v>
      </c>
      <c r="K14" s="69">
        <f t="array" ref="K14">_xlfn.XLOOKUP(B14,'Up Min'!A:A,'Up Min'!C:C,)</f>
        <v>6.3</v>
      </c>
      <c r="L14" s="69">
        <f t="array" ref="L14">_xlfn.XLOOKUP(B14,'Up Max'!A:A,'Up Max'!C:C,)</f>
        <v>6.9</v>
      </c>
      <c r="M14" s="39" t="str">
        <f t="array" ref="M14">_xlfn.XLOOKUP(B14,'Up Stats'!A:A,'Up Stats'!D:D,)</f>
        <v>Healing</v>
      </c>
      <c r="N14" s="40" t="str">
        <f>IFERROR(__xludf.DUMMYFUNCTION("if(AND(O14=FALSE,P14=FALSE),,if(O14=P14,JOIN("""",""Static: "",O14),JOIN("""",""Min:  "",O14, CHAR(10),""Max: "",P14)))"),"Min:  5.5
Max: 6.1")</f>
        <v>Min:  5.5
Max: 6.1</v>
      </c>
      <c r="O14" s="68">
        <f t="array" ref="O14">_xlfn.XLOOKUP(B14,'Up Min'!A:A,'Up Min'!D:D,)</f>
        <v>5.5</v>
      </c>
      <c r="P14" s="68">
        <f t="array" ref="P14">_xlfn.XLOOKUP(B14,'Up Max'!A:A,'Up Max'!D:D,)</f>
        <v>6.1</v>
      </c>
      <c r="Q14" s="48" t="str">
        <f t="array" ref="Q14">_xlfn.XLOOKUP(B14,'Up Stats'!A:A,'Up Stats'!E:E,)</f>
        <v>Damage Taken</v>
      </c>
      <c r="R14" s="40" t="str">
        <f>IFERROR(__xludf.DUMMYFUNCTION("if(AND(S14=FALSE,T14=FALSE),,if(S14=T14,JOIN("""",""Static: "",S14),JOIN("""",""Min:  "",S14, CHAR(10),""Max: "",T14)))"),"Min:  2.9
Max: 3.1")</f>
        <v>Min:  2.9
Max: 3.1</v>
      </c>
      <c r="S14" s="42">
        <f t="array" ref="S14">_xlfn.XLOOKUP(B14,'Up Min'!A:A,'Up Min'!E:E,)</f>
        <v>2.9</v>
      </c>
      <c r="T14" s="42">
        <f t="array" ref="T14">_xlfn.XLOOKUP(B14,'Up Max'!A:A,'Up Max'!E:E,)</f>
        <v>3.1</v>
      </c>
      <c r="U14" s="48" t="str">
        <f t="array" ref="U14">_xlfn.XLOOKUP(B14,'Up Stats'!A:A,'Up Stats'!F:F,)</f>
        <v/>
      </c>
      <c r="V14" s="40" t="str">
        <f>IFERROR(__xludf.DUMMYFUNCTION("if(AND(W14=FALSE,X14=FALSE),,if(W14=X14,JOIN("""",""Static: "",W14),JOIN("""",""Min:  "",W14, CHAR(10),""Max: "",X14)))"),"")</f>
        <v/>
      </c>
      <c r="W14" s="42" t="str">
        <f t="array" ref="W14">_xlfn.XLOOKUP(B14,'Up Min'!A:A,'Up Min'!F:F,)</f>
        <v/>
      </c>
      <c r="X14" s="42" t="str">
        <f t="array" ref="X14">_xlfn.XLOOKUP(B14,'Up Max'!A:A,'Up Max'!F:F,)</f>
        <v/>
      </c>
      <c r="Y14" s="48" t="str">
        <f t="array" ref="Y14">_xlfn.XLOOKUP(B14,'Up Stats'!A:A,'Up Stats'!G:G,)</f>
        <v/>
      </c>
      <c r="Z14" s="40" t="str">
        <f>IFERROR(__xludf.DUMMYFUNCTION("if(AND(AA14=FALSE,AB14=FALSE),,if(AA14=AB14,JOIN("""",""Static: "",AA14),JOIN("""",""Min:  "",AA14, CHAR(10),""Max: "",AB14)))"),"")</f>
        <v/>
      </c>
      <c r="AA14" s="42" t="str">
        <f t="array" ref="AA14">_xlfn.XLOOKUP(B14,'Up Min'!A:A,'Up Min'!G:G,)</f>
        <v/>
      </c>
      <c r="AB14" s="42" t="str">
        <f t="array" ref="AB14">_xlfn.XLOOKUP(B14,'Up Max'!A:A,'Up Max'!G:G,)</f>
        <v/>
      </c>
      <c r="AC14" s="48" t="str">
        <f t="array" ref="AC14">_xlfn.XLOOKUP(B14,'Up Stats'!A:A,'Up Stats'!H:H,)</f>
        <v/>
      </c>
      <c r="AD14" s="40" t="str">
        <f>IFERROR(__xludf.DUMMYFUNCTION("if(AND(AE14=FALSE,AF14=FALSE),,if(AE14=AF14,JOIN("""",""Static: "",AE14),JOIN("""",""Min:  "",AE14, CHAR(10),""Max: "",AF14)))"),"")</f>
        <v/>
      </c>
      <c r="AE14" s="42" t="str">
        <f t="array" ref="AE14">_xlfn.XLOOKUP(B14,'Up Min'!A:A,'Up Min'!H:H,)</f>
        <v/>
      </c>
      <c r="AF14" s="42" t="str">
        <f t="array" ref="AF14">_xlfn.XLOOKUP(B14,'Up Max'!A:A,'Up Max'!H:H,)</f>
        <v/>
      </c>
      <c r="AG14" s="48" t="str">
        <f t="array" ref="AG14">_xlfn.XLOOKUP(B14,'Up Stats'!A:A,'Up Stats'!I:I,)</f>
        <v/>
      </c>
      <c r="AH14" s="40" t="str">
        <f>IFERROR(__xludf.DUMMYFUNCTION("if(AND(AI14=FALSE,AJ14=FALSE),,if(AI14=AJ14,JOIN("""",""Static: "",AI14),JOIN("""",""Min:  "",AI14, CHAR(10),""Max: "",AJ14)))"),"")</f>
        <v/>
      </c>
      <c r="AI14" s="42" t="str">
        <f t="array" ref="AI14">_xlfn.XLOOKUP(B14,'Up Min'!A:A,'Up Min'!I:I,)</f>
        <v/>
      </c>
      <c r="AJ14" s="42" t="str">
        <f t="array" ref="AJ14">_xlfn.XLOOKUP(B14,'Up Max'!A:A,'Up Max'!I:I,)</f>
        <v/>
      </c>
      <c r="AK14" s="48" t="str">
        <f t="array" ref="AK14">_xlfn.XLOOKUP(B14,'Up Stats'!A:A,'Up Stats'!J:J,)</f>
        <v/>
      </c>
      <c r="AL14" s="40" t="str">
        <f>IFERROR(__xludf.DUMMYFUNCTION("if(AND(AM14=FALSE,AN14=FALSE),,if(AM14=AN14,JOIN("""",""Static: "",AM14),JOIN("""",""Min:  "",AM14, CHAR(10),""Max: "",AN14)))"),"")</f>
        <v/>
      </c>
      <c r="AM14" s="42" t="str">
        <f t="array" ref="AM14">_xlfn.XLOOKUP(B14,'Up Min'!A:A,'Up Min'!J:J,)</f>
        <v/>
      </c>
      <c r="AN14" s="42" t="str">
        <f t="array" ref="AN14">_xlfn.XLOOKUP(B14,'Up Max'!A:A,'Up Max'!J:J,)</f>
        <v/>
      </c>
      <c r="AO14" s="34" t="str">
        <f t="array" ref="AO14">CONCATENATE(_xlfn.XLOOKUP(B14,'Up Cells'!A:A,'Up Cells'!B:B,))</f>
        <v>4</v>
      </c>
      <c r="AP14" s="34" t="str">
        <f t="array" ref="AP14">CONCATENATE(_xlfn.XLOOKUP(B14,'Up Rarity'!A:A,'Up Rarity'!B:B,),CHAR(10),"-")</f>
        <v>Epic
-</v>
      </c>
    </row>
    <row r="15">
      <c r="A15" s="75" t="str">
        <f t="array" ref="A15">_xlfn.XLOOKUP(B15,'Up Icon'!A:A,'Up Icon'!B:B,)</f>
        <v/>
      </c>
      <c r="B15" s="61" t="str">
        <f t="array" ref="B15">HYPERLINK(_xlfn.XLOOKUP('Up Names'!L12,'Up Wiki'!A:A,'Up Wiki'!B:B,),'Up Names'!L12)</f>
        <v>The Royal Jelly of Hazaran</v>
      </c>
      <c r="C15" s="70" t="str">
        <f t="array" ref="C15">_xlfn.XLOOKUP(B15,'Up Desc'!A:A,'Up Desc'!B:B,)</f>
        <v>While holding the Accelerator, you regenerate health more quickly the faster you're moving. Regen speed is further increased when the Accelerator's element is fully applied to you.</v>
      </c>
      <c r="D15" s="52" t="str">
        <f t="array" ref="D15">_xlfn.XLOOKUP(B15,'Up Turbo'!A:A,'Up Turbo'!B:B,)</f>
        <v>n/a</v>
      </c>
      <c r="E15" s="53" t="str">
        <f t="array" ref="E15">_xlfn.XLOOKUP(B15,'Up Stats'!A:A,'Up Stats'!B:B,)</f>
        <v>Max Health Regen</v>
      </c>
      <c r="F15" s="54" t="str">
        <f>IFERROR(__xludf.DUMMYFUNCTION("if(AND(G15=FALSE,H15=FALSE),,if(G15=H15,JOIN("""",""Static: "",G15),JOIN("""",""Min:  "",G15, CHAR(10),""Max: "",H15)))"),"Min:  38.50%
Max: 40.20%")</f>
        <v>Min:  38.50%
Max: 40.20%</v>
      </c>
      <c r="G15" s="73">
        <f t="array" ref="G15">_xlfn.XLOOKUP(B15,'Up Min'!A:A,'Up Min'!B:B,)</f>
        <v>0.385</v>
      </c>
      <c r="H15" s="73">
        <f t="array" ref="H15">_xlfn.XLOOKUP(B15,'Up Max'!A:A,'Up Max'!B:B,)</f>
        <v>0.402</v>
      </c>
      <c r="I15" s="53" t="str">
        <f t="array" ref="I15">_xlfn.XLOOKUP(B15,'Up Stats'!A:A,'Up Stats'!C:C,)</f>
        <v>Elemental Increase</v>
      </c>
      <c r="J15" s="54" t="str">
        <f>IFERROR(__xludf.DUMMYFUNCTION("if(AND(K15=FALSE,L15=FALSE),,if(K15=L15,JOIN("""",""Static: "",K15),JOIN("""",""Min:  "",K15, CHAR(10),""Max: "",L15)))"),"Min:  12.00%
Max: 13.10%")</f>
        <v>Min:  12.00%
Max: 13.10%</v>
      </c>
      <c r="K15" s="73">
        <f t="array" ref="K15">_xlfn.XLOOKUP(B15,'Up Min'!A:A,'Up Min'!C:C,)</f>
        <v>0.12</v>
      </c>
      <c r="L15" s="73">
        <f t="array" ref="L15">_xlfn.XLOOKUP(B15,'Up Max'!A:A,'Up Max'!C:C,)</f>
        <v>0.131</v>
      </c>
      <c r="M15" s="57" t="str">
        <f t="array" ref="M15">_xlfn.XLOOKUP(B15,'Up Stats'!A:A,'Up Stats'!D:D,)</f>
        <v>Duration</v>
      </c>
      <c r="N15" s="54" t="str">
        <f>IFERROR(__xludf.DUMMYFUNCTION("if(AND(O15=FALSE,P15=FALSE),,if(O15=P15,JOIN("""",""Static: "",O15),JOIN("""",""Min:  "",O15, CHAR(10),""Max: "",P15)))"),"Min:  6.20
Max: 6.53")</f>
        <v>Min:  6.20
Max: 6.53</v>
      </c>
      <c r="O15" s="90">
        <f t="array" ref="O15">_xlfn.XLOOKUP(B15,'Up Min'!A:A,'Up Min'!D:D,)</f>
        <v>6.2</v>
      </c>
      <c r="P15" s="90">
        <f t="array" ref="P15">_xlfn.XLOOKUP(B15,'Up Max'!A:A,'Up Max'!D:D,)</f>
        <v>6.53</v>
      </c>
      <c r="Q15" s="57" t="str">
        <f t="array" ref="Q15">_xlfn.XLOOKUP(B15,'Up Stats'!A:A,'Up Stats'!E:E,)</f>
        <v/>
      </c>
      <c r="R15" s="54" t="str">
        <f>IFERROR(__xludf.DUMMYFUNCTION("if(AND(S15=FALSE,T15=FALSE),,if(S15=T15,JOIN("""",""Static: "",S15),JOIN("""",""Min:  "",S15, CHAR(10),""Max: "",T15)))"),"")</f>
        <v/>
      </c>
      <c r="S15" s="55" t="str">
        <f t="array" ref="S15">_xlfn.XLOOKUP(B15,'Up Min'!A:A,'Up Min'!E:E,)</f>
        <v/>
      </c>
      <c r="T15" s="55" t="str">
        <f t="array" ref="T15">_xlfn.XLOOKUP(B15,'Up Max'!A:A,'Up Max'!E:E,)</f>
        <v/>
      </c>
      <c r="U15" s="57" t="str">
        <f t="array" ref="U15">_xlfn.XLOOKUP(B15,'Up Stats'!A:A,'Up Stats'!F:F,)</f>
        <v/>
      </c>
      <c r="V15" s="54" t="str">
        <f>IFERROR(__xludf.DUMMYFUNCTION("if(AND(W15=FALSE,X15=FALSE),,if(W15=X15,JOIN("""",""Static: "",W15),JOIN("""",""Min:  "",W15, CHAR(10),""Max: "",X15)))"),"")</f>
        <v/>
      </c>
      <c r="W15" s="55" t="str">
        <f t="array" ref="W15">_xlfn.XLOOKUP(B15,'Up Min'!A:A,'Up Min'!F:F,)</f>
        <v/>
      </c>
      <c r="X15" s="55" t="str">
        <f t="array" ref="X15">_xlfn.XLOOKUP(B15,'Up Max'!A:A,'Up Max'!F:F,)</f>
        <v/>
      </c>
      <c r="Y15" s="57" t="str">
        <f t="array" ref="Y15">_xlfn.XLOOKUP(B15,'Up Stats'!A:A,'Up Stats'!G:G,)</f>
        <v/>
      </c>
      <c r="Z15" s="54" t="str">
        <f>IFERROR(__xludf.DUMMYFUNCTION("if(AND(AA15=FALSE,AB15=FALSE),,if(AA15=AB15,JOIN("""",""Static: "",AA15),JOIN("""",""Min:  "",AA15, CHAR(10),""Max: "",AB15)))"),"")</f>
        <v/>
      </c>
      <c r="AA15" s="55" t="str">
        <f t="array" ref="AA15">_xlfn.XLOOKUP(B15,'Up Min'!A:A,'Up Min'!G:G,)</f>
        <v/>
      </c>
      <c r="AB15" s="55" t="str">
        <f t="array" ref="AB15">_xlfn.XLOOKUP(B15,'Up Max'!A:A,'Up Max'!G:G,)</f>
        <v/>
      </c>
      <c r="AC15" s="57" t="str">
        <f t="array" ref="AC15">_xlfn.XLOOKUP(B15,'Up Stats'!A:A,'Up Stats'!H:H,)</f>
        <v/>
      </c>
      <c r="AD15" s="54" t="str">
        <f>IFERROR(__xludf.DUMMYFUNCTION("if(AND(AE15=FALSE,AF15=FALSE),,if(AE15=AF15,JOIN("""",""Static: "",AE15),JOIN("""",""Min:  "",AE15, CHAR(10),""Max: "",AF15)))"),"")</f>
        <v/>
      </c>
      <c r="AE15" s="55" t="str">
        <f t="array" ref="AE15">_xlfn.XLOOKUP(B15,'Up Min'!A:A,'Up Min'!H:H,)</f>
        <v/>
      </c>
      <c r="AF15" s="55" t="str">
        <f t="array" ref="AF15">_xlfn.XLOOKUP(B15,'Up Max'!A:A,'Up Max'!H:H,)</f>
        <v/>
      </c>
      <c r="AG15" s="57" t="str">
        <f t="array" ref="AG15">_xlfn.XLOOKUP(B15,'Up Stats'!A:A,'Up Stats'!I:I,)</f>
        <v/>
      </c>
      <c r="AH15" s="54" t="str">
        <f>IFERROR(__xludf.DUMMYFUNCTION("if(AND(AI15=FALSE,AJ15=FALSE),,if(AI15=AJ15,JOIN("""",""Static: "",AI15),JOIN("""",""Min:  "",AI15, CHAR(10),""Max: "",AJ15)))"),"")</f>
        <v/>
      </c>
      <c r="AI15" s="55" t="str">
        <f t="array" ref="AI15">_xlfn.XLOOKUP(B15,'Up Min'!A:A,'Up Min'!I:I,)</f>
        <v/>
      </c>
      <c r="AJ15" s="55" t="str">
        <f t="array" ref="AJ15">_xlfn.XLOOKUP(B15,'Up Max'!A:A,'Up Max'!I:I,)</f>
        <v/>
      </c>
      <c r="AK15" s="57" t="str">
        <f t="array" ref="AK15">_xlfn.XLOOKUP(B15,'Up Stats'!A:A,'Up Stats'!J:J,)</f>
        <v/>
      </c>
      <c r="AL15" s="54" t="str">
        <f>IFERROR(__xludf.DUMMYFUNCTION("if(AND(AM15=FALSE,AN15=FALSE),,if(AM15=AN15,JOIN("""",""Static: "",AM15),JOIN("""",""Min:  "",AM15, CHAR(10),""Max: "",AN15)))"),"")</f>
        <v/>
      </c>
      <c r="AM15" s="55" t="str">
        <f t="array" ref="AM15">_xlfn.XLOOKUP(B15,'Up Min'!A:A,'Up Min'!J:J,)</f>
        <v/>
      </c>
      <c r="AN15" s="55" t="str">
        <f t="array" ref="AN15">_xlfn.XLOOKUP(B15,'Up Max'!A:A,'Up Max'!J:J,)</f>
        <v/>
      </c>
      <c r="AO15" s="51" t="str">
        <f t="array" ref="AO15">CONCATENATE(_xlfn.XLOOKUP(B15,'Up Cells'!A:A,'Up Cells'!B:B,))</f>
        <v>4</v>
      </c>
      <c r="AP15" s="51" t="str">
        <f t="array" ref="AP15">CONCATENATE(_xlfn.XLOOKUP(B15,'Up Rarity'!A:A,'Up Rarity'!B:B,),CHAR(10),"-")</f>
        <v>Epic
-</v>
      </c>
    </row>
    <row r="16">
      <c r="A16" s="75" t="str">
        <f t="array" ref="A16">_xlfn.XLOOKUP(B16,'Up Icon'!A:A,'Up Icon'!B:B,)</f>
        <v/>
      </c>
      <c r="B16" s="58" t="str">
        <f t="array" ref="B16">HYPERLINK(_xlfn.XLOOKUP('Up Names'!L13,'Up Wiki'!A:A,'Up Wiki'!B:B,),'Up Names'!L13)</f>
        <v>Three-In-One</v>
      </c>
      <c r="C16" s="67" t="str">
        <f t="array" ref="C16">_xlfn.XLOOKUP(B16,'Up Desc'!A:A,'Up Desc'!B:B,)</f>
        <v>Fire 3 pellets per shot with less accuracy.</v>
      </c>
      <c r="D16" s="37" t="str">
        <f t="array" ref="D16">_xlfn.XLOOKUP(B16,'Up Turbo'!A:A,'Up Turbo'!B:B,)</f>
        <v>n/a</v>
      </c>
      <c r="E16" s="39" t="str">
        <f t="array" ref="E16">_xlfn.XLOOKUP(B16,'Up Stats'!A:A,'Up Stats'!B:B,)</f>
        <v>Horizontal Spread</v>
      </c>
      <c r="F16" s="40" t="str">
        <f>IFERROR(__xludf.DUMMYFUNCTION("if(AND(G16=FALSE,H16=FALSE),,if(G16=H16,JOIN("""",""Static: "",G16),JOIN("""",""Min:  "",G16, CHAR(10),""Max: "",H16)))"),"Min:  390%
Max: 420%")</f>
        <v>Min:  390%
Max: 420%</v>
      </c>
      <c r="G16" s="41">
        <f t="array" ref="G16">_xlfn.XLOOKUP(B16,'Up Min'!A:A,'Up Min'!B:B,)</f>
        <v>3.9</v>
      </c>
      <c r="H16" s="41">
        <f t="array" ref="H16">_xlfn.XLOOKUP(B16,'Up Max'!A:A,'Up Max'!B:B,)</f>
        <v>4.2</v>
      </c>
      <c r="I16" s="39" t="str">
        <f t="array" ref="I16">_xlfn.XLOOKUP(B16,'Up Stats'!A:A,'Up Stats'!C:C,)</f>
        <v>Vertical Spread</v>
      </c>
      <c r="J16" s="40" t="str">
        <f>IFERROR(__xludf.DUMMYFUNCTION("if(AND(K16=FALSE,L16=FALSE),,if(K16=L16,JOIN("""",""Static: "",K16),JOIN("""",""Min:  "",K16, CHAR(10),""Max: "",L16)))"),"Min:  1.90
Max: 2.20")</f>
        <v>Min:  1.90
Max: 2.20</v>
      </c>
      <c r="K16" s="93">
        <f t="array" ref="K16">_xlfn.XLOOKUP(B16,'Up Min'!A:A,'Up Min'!C:C,)</f>
        <v>1.9</v>
      </c>
      <c r="L16" s="93">
        <f t="array" ref="L16">_xlfn.XLOOKUP(B16,'Up Max'!A:A,'Up Max'!C:C,)</f>
        <v>2.2</v>
      </c>
      <c r="M16" s="39" t="str">
        <f t="array" ref="M16">_xlfn.XLOOKUP(B16,'Up Stats'!A:A,'Up Stats'!D:D,)</f>
        <v>Bullets per Shot</v>
      </c>
      <c r="N16" s="40" t="str">
        <f>IFERROR(__xludf.DUMMYFUNCTION("if(AND(O16=FALSE,P16=FALSE),,if(O16=P16,JOIN("""",""Static: "",O16),JOIN("""",""Min:  "",O16, CHAR(10),""Max: "",P16)))"),"Static: 2")</f>
        <v>Static: 2</v>
      </c>
      <c r="O16" s="42">
        <f t="array" ref="O16">_xlfn.XLOOKUP(B16,'Up Min'!A:A,'Up Min'!D:D,)</f>
        <v>2</v>
      </c>
      <c r="P16" s="42">
        <f t="array" ref="P16">_xlfn.XLOOKUP(B16,'Up Max'!A:A,'Up Max'!D:D,)</f>
        <v>2</v>
      </c>
      <c r="Q16" s="48" t="str">
        <f t="array" ref="Q16">_xlfn.XLOOKUP(B16,'Up Stats'!A:A,'Up Stats'!E:E,)</f>
        <v>Fire Rate</v>
      </c>
      <c r="R16" s="40" t="str">
        <f>IFERROR(__xludf.DUMMYFUNCTION("if(AND(S16=FALSE,T16=FALSE),,if(S16=T16,JOIN("""",""Static: "",S16),JOIN("""",""Min:  "",S16, CHAR(10),""Max: "",T16)))"),"Min:  -28.06%
Max: -29.08%")</f>
        <v>Min:  -28.06%
Max: -29.08%</v>
      </c>
      <c r="S16" s="85">
        <f t="array" ref="S16">_xlfn.XLOOKUP(B16,'Up Min'!A:A,'Up Min'!E:E,)</f>
        <v>-0.2806</v>
      </c>
      <c r="T16" s="85">
        <f t="array" ref="T16">_xlfn.XLOOKUP(B16,'Up Max'!A:A,'Up Max'!E:E,)</f>
        <v>-0.2908</v>
      </c>
      <c r="U16" s="48" t="str">
        <f t="array" ref="U16">_xlfn.XLOOKUP(B16,'Up Stats'!A:A,'Up Stats'!F:F,)</f>
        <v>Damage</v>
      </c>
      <c r="V16" s="40" t="str">
        <f>IFERROR(__xludf.DUMMYFUNCTION("if(AND(W16=FALSE,X16=FALSE),,if(W16=X16,JOIN("""",""Static: "",W16),JOIN("""",""Min:  "",W16, CHAR(10),""Max: "",X16)))"),"Min:  -61.00%
Max: -59.00%")</f>
        <v>Min:  -61.00%
Max: -59.00%</v>
      </c>
      <c r="W16" s="85">
        <f t="array" ref="W16">_xlfn.XLOOKUP(B16,'Up Min'!A:A,'Up Min'!F:F,)</f>
        <v>-0.61</v>
      </c>
      <c r="X16" s="85">
        <f t="array" ref="X16">_xlfn.XLOOKUP(B16,'Up Max'!A:A,'Up Max'!F:F,)</f>
        <v>-0.59</v>
      </c>
      <c r="Y16" s="48" t="str">
        <f t="array" ref="Y16">_xlfn.XLOOKUP(B16,'Up Stats'!A:A,'Up Stats'!G:G,)</f>
        <v>Falloff Start</v>
      </c>
      <c r="Z16" s="40" t="str">
        <f>IFERROR(__xludf.DUMMYFUNCTION("if(AND(AA16=FALSE,AB16=FALSE),,if(AA16=AB16,JOIN("""",""Static: "",AA16),JOIN("""",""Min:  "",AA16, CHAR(10),""Max: "",AB16)))"),"Min:  -37.00%
Max: -29.00%")</f>
        <v>Min:  -37.00%
Max: -29.00%</v>
      </c>
      <c r="AA16" s="85">
        <f t="array" ref="AA16">_xlfn.XLOOKUP(B16,'Up Min'!A:A,'Up Min'!G:G,)</f>
        <v>-0.37</v>
      </c>
      <c r="AB16" s="85">
        <f t="array" ref="AB16">_xlfn.XLOOKUP(B16,'Up Max'!A:A,'Up Max'!G:G,)</f>
        <v>-0.29</v>
      </c>
      <c r="AC16" s="48" t="str">
        <f t="array" ref="AC16">_xlfn.XLOOKUP(B16,'Up Stats'!A:A,'Up Stats'!H:H,)</f>
        <v>Falloff End</v>
      </c>
      <c r="AD16" s="40" t="str">
        <f>IFERROR(__xludf.DUMMYFUNCTION("if(AND(AE16=FALSE,AF16=FALSE),,if(AE16=AF16,JOIN("""",""Static: "",AE16),JOIN("""",""Min:  "",AE16, CHAR(10),""Max: "",AF16)))"),"Min:  -47.0%
Max: -39.0%")</f>
        <v>Min:  -47.0%
Max: -39.0%</v>
      </c>
      <c r="AE16" s="94">
        <f t="array" ref="AE16">_xlfn.XLOOKUP(B16,'Up Min'!A:A,'Up Min'!H:H,)</f>
        <v>-0.47</v>
      </c>
      <c r="AF16" s="94">
        <f t="array" ref="AF16">_xlfn.XLOOKUP(B16,'Up Max'!A:A,'Up Max'!H:H,)</f>
        <v>-0.39</v>
      </c>
      <c r="AG16" s="48" t="str">
        <f t="array" ref="AG16">_xlfn.XLOOKUP(B16,'Up Stats'!A:A,'Up Stats'!I:I,)</f>
        <v/>
      </c>
      <c r="AH16" s="40" t="str">
        <f>IFERROR(__xludf.DUMMYFUNCTION("if(AND(AI16=FALSE,AJ16=FALSE),,if(AI16=AJ16,JOIN("""",""Static: "",AI16),JOIN("""",""Min:  "",AI16, CHAR(10),""Max: "",AJ16)))"),"")</f>
        <v/>
      </c>
      <c r="AI16" s="42" t="str">
        <f t="array" ref="AI16">_xlfn.XLOOKUP(B16,'Up Min'!A:A,'Up Min'!I:I,)</f>
        <v/>
      </c>
      <c r="AJ16" s="42" t="str">
        <f t="array" ref="AJ16">_xlfn.XLOOKUP(B16,'Up Max'!A:A,'Up Max'!I:I,)</f>
        <v/>
      </c>
      <c r="AK16" s="48" t="str">
        <f t="array" ref="AK16">_xlfn.XLOOKUP(B16,'Up Stats'!A:A,'Up Stats'!J:J,)</f>
        <v/>
      </c>
      <c r="AL16" s="40" t="str">
        <f>IFERROR(__xludf.DUMMYFUNCTION("if(AND(AM16=FALSE,AN16=FALSE),,if(AM16=AN16,JOIN("""",""Static: "",AM16),JOIN("""",""Min:  "",AM16, CHAR(10),""Max: "",AN16)))"),"")</f>
        <v/>
      </c>
      <c r="AM16" s="42" t="str">
        <f t="array" ref="AM16">_xlfn.XLOOKUP(B16,'Up Min'!A:A,'Up Min'!J:J,)</f>
        <v/>
      </c>
      <c r="AN16" s="42" t="str">
        <f t="array" ref="AN16">_xlfn.XLOOKUP(B16,'Up Max'!A:A,'Up Max'!J:J,)</f>
        <v/>
      </c>
      <c r="AO16" s="34" t="str">
        <f t="array" ref="AO16">CONCATENATE(_xlfn.XLOOKUP(B16,'Up Cells'!A:A,'Up Cells'!B:B,))</f>
        <v>4</v>
      </c>
      <c r="AP16" s="34" t="str">
        <f t="array" ref="AP16">CONCATENATE(_xlfn.XLOOKUP(B16,'Up Rarity'!A:A,'Up Rarity'!B:B,),CHAR(10),"-")</f>
        <v>Epic
-</v>
      </c>
    </row>
    <row r="17">
      <c r="A17" s="75" t="str">
        <f t="array" ref="A17">_xlfn.XLOOKUP(B17,'Up Icon'!A:A,'Up Icon'!B:B,)</f>
        <v/>
      </c>
      <c r="B17" s="61" t="str">
        <f t="array" ref="B17">HYPERLINK(_xlfn.XLOOKUP('Up Names'!L14,'Up Wiki'!A:A,'Up Wiki'!B:B,),'Up Names'!L14)</f>
        <v>Unstable Recursion</v>
      </c>
      <c r="C17" s="70" t="str">
        <f t="array" ref="C17">_xlfn.XLOOKUP(B17,'Up Desc'!A:A,'Up Desc'!B:B,)</f>
        <v>Unstable recursion leading to unstable recursion leading to unstable recursion leading to</v>
      </c>
      <c r="D17" s="52" t="str">
        <f t="array" ref="D17">_xlfn.XLOOKUP(B17,'Up Turbo'!A:A,'Up Turbo'!B:B,)</f>
        <v>n/a</v>
      </c>
      <c r="E17" s="53" t="str">
        <f t="array" ref="E17">_xlfn.XLOOKUP(B17,'Up Stats'!A:A,'Up Stats'!B:B,)</f>
        <v>Damage per Burst</v>
      </c>
      <c r="F17" s="54" t="str">
        <f>IFERROR(__xludf.DUMMYFUNCTION("if(AND(G17=FALSE,H17=FALSE),,if(G17=H17,JOIN("""",""Static: "",G17),JOIN("""",""Min:  "",G17, CHAR(10),""Max: "",H17)))"),"Min:  10.0%
Max: 11.0%")</f>
        <v>Min:  10.0%
Max: 11.0%</v>
      </c>
      <c r="G17" s="95">
        <f t="array" ref="G17">_xlfn.XLOOKUP(B17,'Up Min'!A:A,'Up Min'!B:B,)</f>
        <v>0.1</v>
      </c>
      <c r="H17" s="95">
        <f t="array" ref="H17">_xlfn.XLOOKUP(B17,'Up Max'!A:A,'Up Max'!B:B,)</f>
        <v>0.11</v>
      </c>
      <c r="I17" s="53" t="str">
        <f t="array" ref="I17">_xlfn.XLOOKUP(B17,'Up Stats'!A:A,'Up Stats'!C:C,)</f>
        <v>Spread per Burst</v>
      </c>
      <c r="J17" s="54" t="str">
        <f>IFERROR(__xludf.DUMMYFUNCTION("if(AND(K17=FALSE,L17=FALSE),,if(K17=L17,JOIN("""",""Static: "",K17),JOIN("""",""Min:  "",K17, CHAR(10),""Max: "",L17)))"),"Min:  3.9
Max: 4.2")</f>
        <v>Min:  3.9
Max: 4.2</v>
      </c>
      <c r="K17" s="65">
        <f t="array" ref="K17">_xlfn.XLOOKUP(B17,'Up Min'!A:A,'Up Min'!C:C,)</f>
        <v>3.9</v>
      </c>
      <c r="L17" s="64">
        <f t="array" ref="L17">_xlfn.XLOOKUP(B17,'Up Max'!A:A,'Up Max'!C:C,)</f>
        <v>4.2</v>
      </c>
      <c r="M17" s="53" t="str">
        <f t="array" ref="M17">_xlfn.XLOOKUP(B17,'Up Stats'!A:A,'Up Stats'!D:D,)</f>
        <v/>
      </c>
      <c r="N17" s="54" t="str">
        <f>IFERROR(__xludf.DUMMYFUNCTION("if(AND(O17=FALSE,P17=FALSE),,if(O17=P17,JOIN("""",""Static: "",O17),JOIN("""",""Min:  "",O17, CHAR(10),""Max: "",P17)))"),"")</f>
        <v/>
      </c>
      <c r="O17" s="55" t="str">
        <f t="array" ref="O17">_xlfn.XLOOKUP(B17,'Up Min'!A:A,'Up Min'!D:D,)</f>
        <v/>
      </c>
      <c r="P17" s="55" t="str">
        <f t="array" ref="P17">_xlfn.XLOOKUP(B17,'Up Max'!A:A,'Up Max'!D:D,)</f>
        <v/>
      </c>
      <c r="Q17" s="57" t="str">
        <f t="array" ref="Q17">_xlfn.XLOOKUP(B17,'Up Stats'!A:A,'Up Stats'!E:E,)</f>
        <v/>
      </c>
      <c r="R17" s="54" t="str">
        <f>IFERROR(__xludf.DUMMYFUNCTION("if(AND(S17=FALSE,T17=FALSE),,if(S17=T17,JOIN("""",""Static: "",S17),JOIN("""",""Min:  "",S17, CHAR(10),""Max: "",T17)))"),"")</f>
        <v/>
      </c>
      <c r="S17" s="55" t="str">
        <f t="array" ref="S17">_xlfn.XLOOKUP(B17,'Up Min'!A:A,'Up Min'!E:E,)</f>
        <v/>
      </c>
      <c r="T17" s="55" t="str">
        <f t="array" ref="T17">_xlfn.XLOOKUP(B17,'Up Max'!A:A,'Up Max'!E:E,)</f>
        <v/>
      </c>
      <c r="U17" s="57" t="str">
        <f t="array" ref="U17">_xlfn.XLOOKUP(B17,'Up Stats'!A:A,'Up Stats'!F:F,)</f>
        <v/>
      </c>
      <c r="V17" s="54" t="str">
        <f>IFERROR(__xludf.DUMMYFUNCTION("if(AND(W17=FALSE,X17=FALSE),,if(W17=X17,JOIN("""",""Static: "",W17),JOIN("""",""Min:  "",W17, CHAR(10),""Max: "",X17)))"),"")</f>
        <v/>
      </c>
      <c r="W17" s="55" t="str">
        <f t="array" ref="W17">_xlfn.XLOOKUP(B17,'Up Min'!A:A,'Up Min'!F:F,)</f>
        <v/>
      </c>
      <c r="X17" s="55" t="str">
        <f t="array" ref="X17">_xlfn.XLOOKUP(B17,'Up Max'!A:A,'Up Max'!F:F,)</f>
        <v/>
      </c>
      <c r="Y17" s="57" t="str">
        <f t="array" ref="Y17">_xlfn.XLOOKUP(B17,'Up Stats'!A:A,'Up Stats'!G:G,)</f>
        <v/>
      </c>
      <c r="Z17" s="54" t="str">
        <f>IFERROR(__xludf.DUMMYFUNCTION("if(AND(AA17=FALSE,AB17=FALSE),,if(AA17=AB17,JOIN("""",""Static: "",AA17),JOIN("""",""Min:  "",AA17, CHAR(10),""Max: "",AB17)))"),"")</f>
        <v/>
      </c>
      <c r="AA17" s="55" t="str">
        <f t="array" ref="AA17">_xlfn.XLOOKUP(B17,'Up Min'!A:A,'Up Min'!G:G,)</f>
        <v/>
      </c>
      <c r="AB17" s="55" t="str">
        <f t="array" ref="AB17">_xlfn.XLOOKUP(B17,'Up Max'!A:A,'Up Max'!G:G,)</f>
        <v/>
      </c>
      <c r="AC17" s="57" t="str">
        <f t="array" ref="AC17">_xlfn.XLOOKUP(B17,'Up Stats'!A:A,'Up Stats'!H:H,)</f>
        <v/>
      </c>
      <c r="AD17" s="54" t="str">
        <f>IFERROR(__xludf.DUMMYFUNCTION("if(AND(AE17=FALSE,AF17=FALSE),,if(AE17=AF17,JOIN("""",""Static: "",AE17),JOIN("""",""Min:  "",AE17, CHAR(10),""Max: "",AF17)))"),"")</f>
        <v/>
      </c>
      <c r="AE17" s="55" t="str">
        <f t="array" ref="AE17">_xlfn.XLOOKUP(B17,'Up Min'!A:A,'Up Min'!H:H,)</f>
        <v/>
      </c>
      <c r="AF17" s="55" t="str">
        <f t="array" ref="AF17">_xlfn.XLOOKUP(B17,'Up Max'!A:A,'Up Max'!H:H,)</f>
        <v/>
      </c>
      <c r="AG17" s="57" t="str">
        <f t="array" ref="AG17">_xlfn.XLOOKUP(B17,'Up Stats'!A:A,'Up Stats'!I:I,)</f>
        <v/>
      </c>
      <c r="AH17" s="54" t="str">
        <f>IFERROR(__xludf.DUMMYFUNCTION("if(AND(AI17=FALSE,AJ17=FALSE),,if(AI17=AJ17,JOIN("""",""Static: "",AI17),JOIN("""",""Min:  "",AI17, CHAR(10),""Max: "",AJ17)))"),"")</f>
        <v/>
      </c>
      <c r="AI17" s="55" t="str">
        <f t="array" ref="AI17">_xlfn.XLOOKUP(B17,'Up Min'!A:A,'Up Min'!I:I,)</f>
        <v/>
      </c>
      <c r="AJ17" s="55" t="str">
        <f t="array" ref="AJ17">_xlfn.XLOOKUP(B17,'Up Max'!A:A,'Up Max'!I:I,)</f>
        <v/>
      </c>
      <c r="AK17" s="57" t="str">
        <f t="array" ref="AK17">_xlfn.XLOOKUP(B17,'Up Stats'!A:A,'Up Stats'!J:J,)</f>
        <v/>
      </c>
      <c r="AL17" s="54" t="str">
        <f>IFERROR(__xludf.DUMMYFUNCTION("if(AND(AM17=FALSE,AN17=FALSE),,if(AM17=AN17,JOIN("""",""Static: "",AM17),JOIN("""",""Min:  "",AM17, CHAR(10),""Max: "",AN17)))"),"")</f>
        <v/>
      </c>
      <c r="AM17" s="55" t="str">
        <f t="array" ref="AM17">_xlfn.XLOOKUP(B17,'Up Min'!A:A,'Up Min'!J:J,)</f>
        <v/>
      </c>
      <c r="AN17" s="55" t="str">
        <f t="array" ref="AN17">_xlfn.XLOOKUP(B17,'Up Max'!A:A,'Up Max'!J:J,)</f>
        <v/>
      </c>
      <c r="AO17" s="51" t="str">
        <f t="array" ref="AO17">CONCATENATE(_xlfn.XLOOKUP(B17,'Up Cells'!A:A,'Up Cells'!B:B,))</f>
        <v>4</v>
      </c>
      <c r="AP17" s="51" t="str">
        <f t="array" ref="AP17">CONCATENATE(_xlfn.XLOOKUP(B17,'Up Rarity'!A:A,'Up Rarity'!B:B,),CHAR(10),"-")</f>
        <v>Epic
-</v>
      </c>
    </row>
    <row r="18">
      <c r="A18" s="83" t="str">
        <f t="array" ref="A18">_xlfn.XLOOKUP(B18,'Up Icon'!A:A,'Up Icon'!B:B,)</f>
        <v/>
      </c>
      <c r="B18" s="58" t="str">
        <f t="array" ref="B18">HYPERLINK(_xlfn.XLOOKUP('Up Names'!L15,'Up Wiki'!A:A,'Up Wiki'!B:B,),'Up Names'!L15)</f>
        <v>Wasp Gun</v>
      </c>
      <c r="C18" s="37" t="str">
        <f t="array" ref="C18">_xlfn.XLOOKUP(B18,'Up Desc'!A:A,'Up Desc'!B:B,)</f>
        <v>Appleid bees.</v>
      </c>
      <c r="D18" s="37" t="str">
        <f t="array" ref="D18">_xlfn.XLOOKUP(B18,'Up Turbo'!A:A,'Up Turbo'!B:B,)</f>
        <v>n/a</v>
      </c>
      <c r="E18" s="39" t="str">
        <f t="array" ref="E18">_xlfn.XLOOKUP(B18,'Up Stats'!A:A,'Up Stats'!B:B,)</f>
        <v/>
      </c>
      <c r="F18" s="40" t="str">
        <f>IFERROR(__xludf.DUMMYFUNCTION("if(AND(G18=FALSE,H18=FALSE),,if(G18=H18,JOIN("""",""Static: "",G18),JOIN("""",""Min:  "",G18, CHAR(10),""Max: "",H18)))"),"")</f>
        <v/>
      </c>
      <c r="G18" s="74" t="str">
        <f t="array" ref="G18">_xlfn.XLOOKUP(B18,'Up Min'!A:A,'Up Min'!B:B,)</f>
        <v/>
      </c>
      <c r="H18" s="74" t="str">
        <f t="array" ref="H18">_xlfn.XLOOKUP(B18,'Up Max'!A:A,'Up Max'!B:B,)</f>
        <v/>
      </c>
      <c r="I18" s="39" t="str">
        <f t="array" ref="I18">_xlfn.XLOOKUP(B18,'Up Stats'!A:A,'Up Stats'!C:C,)</f>
        <v/>
      </c>
      <c r="J18" s="40" t="str">
        <f>IFERROR(__xludf.DUMMYFUNCTION("if(AND(K18=FALSE,L18=FALSE),,if(K18=L18,JOIN("""",""Static: "",K18),JOIN("""",""Min:  "",K18, CHAR(10),""Max: "",L18)))"),"")</f>
        <v/>
      </c>
      <c r="K18" s="42" t="str">
        <f t="array" ref="K18">_xlfn.XLOOKUP(B18,'Up Min'!A:A,'Up Min'!C:C,)</f>
        <v/>
      </c>
      <c r="L18" s="42" t="str">
        <f t="array" ref="L18">_xlfn.XLOOKUP(B18,'Up Max'!A:A,'Up Max'!C:C,)</f>
        <v/>
      </c>
      <c r="M18" s="48" t="str">
        <f t="array" ref="M18">_xlfn.XLOOKUP(B18,'Up Stats'!A:A,'Up Stats'!D:D,)</f>
        <v/>
      </c>
      <c r="N18" s="40" t="str">
        <f>IFERROR(__xludf.DUMMYFUNCTION("if(AND(O18=FALSE,P18=FALSE),,if(O18=P18,JOIN("""",""Static: "",O18),JOIN("""",""Min:  "",O18, CHAR(10),""Max: "",P18)))"),"")</f>
        <v/>
      </c>
      <c r="O18" s="42" t="str">
        <f t="array" ref="O18">_xlfn.XLOOKUP(B18,'Up Min'!A:A,'Up Min'!D:D,)</f>
        <v/>
      </c>
      <c r="P18" s="42" t="str">
        <f t="array" ref="P18">_xlfn.XLOOKUP(B18,'Up Max'!A:A,'Up Max'!D:D,)</f>
        <v/>
      </c>
      <c r="Q18" s="48" t="str">
        <f t="array" ref="Q18">_xlfn.XLOOKUP(B18,'Up Stats'!A:A,'Up Stats'!E:E,)</f>
        <v/>
      </c>
      <c r="R18" s="40" t="str">
        <f>IFERROR(__xludf.DUMMYFUNCTION("if(AND(S18=FALSE,T18=FALSE),,if(S18=T18,JOIN("""",""Static: "",S18),JOIN("""",""Min:  "",S18, CHAR(10),""Max: "",T18)))"),"")</f>
        <v/>
      </c>
      <c r="S18" s="42" t="str">
        <f t="array" ref="S18">_xlfn.XLOOKUP(B18,'Up Min'!A:A,'Up Min'!E:E,)</f>
        <v/>
      </c>
      <c r="T18" s="42" t="str">
        <f t="array" ref="T18">_xlfn.XLOOKUP(B18,'Up Max'!A:A,'Up Max'!E:E,)</f>
        <v/>
      </c>
      <c r="U18" s="48" t="str">
        <f t="array" ref="U18">_xlfn.XLOOKUP(B18,'Up Stats'!A:A,'Up Stats'!F:F,)</f>
        <v/>
      </c>
      <c r="V18" s="40" t="str">
        <f>IFERROR(__xludf.DUMMYFUNCTION("if(AND(W18=FALSE,X18=FALSE),,if(W18=X18,JOIN("""",""Static: "",W18),JOIN("""",""Min:  "",W18, CHAR(10),""Max: "",X18)))"),"")</f>
        <v/>
      </c>
      <c r="W18" s="42" t="str">
        <f t="array" ref="W18">_xlfn.XLOOKUP(B18,'Up Min'!A:A,'Up Min'!F:F,)</f>
        <v/>
      </c>
      <c r="X18" s="42" t="str">
        <f t="array" ref="X18">_xlfn.XLOOKUP(B18,'Up Max'!A:A,'Up Max'!F:F,)</f>
        <v/>
      </c>
      <c r="Y18" s="48" t="str">
        <f t="array" ref="Y18">_xlfn.XLOOKUP(B18,'Up Stats'!A:A,'Up Stats'!G:G,)</f>
        <v/>
      </c>
      <c r="Z18" s="40" t="str">
        <f>IFERROR(__xludf.DUMMYFUNCTION("if(AND(AA18=FALSE,AB18=FALSE),,if(AA18=AB18,JOIN("""",""Static: "",AA18),JOIN("""",""Min:  "",AA18, CHAR(10),""Max: "",AB18)))"),"")</f>
        <v/>
      </c>
      <c r="AA18" s="42" t="str">
        <f t="array" ref="AA18">_xlfn.XLOOKUP(B18,'Up Min'!A:A,'Up Min'!G:G,)</f>
        <v/>
      </c>
      <c r="AB18" s="42" t="str">
        <f t="array" ref="AB18">_xlfn.XLOOKUP(B18,'Up Max'!A:A,'Up Max'!G:G,)</f>
        <v/>
      </c>
      <c r="AC18" s="48" t="str">
        <f t="array" ref="AC18">_xlfn.XLOOKUP(B18,'Up Stats'!A:A,'Up Stats'!H:H,)</f>
        <v/>
      </c>
      <c r="AD18" s="40" t="str">
        <f>IFERROR(__xludf.DUMMYFUNCTION("if(AND(AE18=FALSE,AF18=FALSE),,if(AE18=AF18,JOIN("""",""Static: "",AE18),JOIN("""",""Min:  "",AE18, CHAR(10),""Max: "",AF18)))"),"")</f>
        <v/>
      </c>
      <c r="AE18" s="42" t="str">
        <f t="array" ref="AE18">_xlfn.XLOOKUP(B18,'Up Min'!A:A,'Up Min'!H:H,)</f>
        <v/>
      </c>
      <c r="AF18" s="42" t="str">
        <f t="array" ref="AF18">_xlfn.XLOOKUP(B18,'Up Max'!A:A,'Up Max'!H:H,)</f>
        <v/>
      </c>
      <c r="AG18" s="48" t="str">
        <f t="array" ref="AG18">_xlfn.XLOOKUP(B18,'Up Stats'!A:A,'Up Stats'!I:I,)</f>
        <v/>
      </c>
      <c r="AH18" s="40" t="str">
        <f>IFERROR(__xludf.DUMMYFUNCTION("if(AND(AI18=FALSE,AJ18=FALSE),,if(AI18=AJ18,JOIN("""",""Static: "",AI18),JOIN("""",""Min:  "",AI18, CHAR(10),""Max: "",AJ18)))"),"")</f>
        <v/>
      </c>
      <c r="AI18" s="42" t="str">
        <f t="array" ref="AI18">_xlfn.XLOOKUP(B18,'Up Min'!A:A,'Up Min'!I:I,)</f>
        <v/>
      </c>
      <c r="AJ18" s="42" t="str">
        <f t="array" ref="AJ18">_xlfn.XLOOKUP(B18,'Up Max'!A:A,'Up Max'!I:I,)</f>
        <v/>
      </c>
      <c r="AK18" s="48" t="str">
        <f t="array" ref="AK18">_xlfn.XLOOKUP(B18,'Up Stats'!A:A,'Up Stats'!J:J,)</f>
        <v/>
      </c>
      <c r="AL18" s="40" t="str">
        <f>IFERROR(__xludf.DUMMYFUNCTION("if(AND(AM18=FALSE,AN18=FALSE),,if(AM18=AN18,JOIN("""",""Static: "",AM18),JOIN("""",""Min:  "",AM18, CHAR(10),""Max: "",AN18)))"),"")</f>
        <v/>
      </c>
      <c r="AM18" s="42" t="str">
        <f t="array" ref="AM18">_xlfn.XLOOKUP(B18,'Up Min'!A:A,'Up Min'!J:J,)</f>
        <v/>
      </c>
      <c r="AN18" s="42" t="str">
        <f t="array" ref="AN18">_xlfn.XLOOKUP(B18,'Up Max'!A:A,'Up Max'!J:J,)</f>
        <v/>
      </c>
      <c r="AO18" s="34" t="str">
        <f t="array" ref="AO18">CONCATENATE(_xlfn.XLOOKUP(B18,'Up Cells'!A:A,'Up Cells'!B:B,))</f>
        <v>4</v>
      </c>
      <c r="AP18" s="34" t="str">
        <f t="array" ref="AP18">CONCATENATE(_xlfn.XLOOKUP(B18,'Up Rarity'!A:A,'Up Rarity'!B:B,),CHAR(10),"-")</f>
        <v>Epic
-</v>
      </c>
    </row>
    <row r="19">
      <c r="A19" s="83" t="str">
        <f t="array" ref="A19">_xlfn.XLOOKUP(B19,'Up Icon'!A:A,'Up Icon'!B:B,)</f>
        <v/>
      </c>
      <c r="B19" s="61" t="str">
        <f t="array" ref="B19">HYPERLINK(_xlfn.XLOOKUP('Up Names'!L16,'Up Wiki'!A:A,'Up Wiki'!B:B,),'Up Names'!L16)</f>
        <v>Awaken The Hive</v>
      </c>
      <c r="C19" s="70" t="str">
        <f t="array" ref="C19">_xlfn.XLOOKUP(B19,'Up Desc'!A:A,'Up Desc'!B:B,)</f>
        <v>Create a bee explosion when you reload that damages you and nearby enemies. Explosion size and amount of bees increase for each burst fired before reloading.</v>
      </c>
      <c r="D19" s="52" t="str">
        <f t="array" ref="D19">_xlfn.XLOOKUP(B19,'Up Turbo'!A:A,'Up Turbo'!B:B,)</f>
        <v>n/a</v>
      </c>
      <c r="E19" s="53" t="str">
        <f t="array" ref="E19">_xlfn.XLOOKUP(B19,'Up Stats'!A:A,'Up Stats'!B:B,)</f>
        <v>Max Size</v>
      </c>
      <c r="F19" s="54" t="str">
        <f>IFERROR(__xludf.DUMMYFUNCTION("if(AND(G19=FALSE,H19=FALSE),,if(G19=H19,JOIN("""",""Static: "",G19),JOIN("""",""Min:  "",G19, CHAR(10),""Max: "",H19)))"),"Min:  400%
Max: 540.00%")</f>
        <v>Min:  400%
Max: 540.00%</v>
      </c>
      <c r="G19" s="59">
        <f t="array" ref="G19">_xlfn.XLOOKUP(B19,'Up Min'!A:A,'Up Min'!B:B,)</f>
        <v>4</v>
      </c>
      <c r="H19" s="71">
        <f t="array" ref="H19">_xlfn.XLOOKUP(B19,'Up Max'!A:A,'Up Max'!B:B,)</f>
        <v>5.4</v>
      </c>
      <c r="I19" s="53" t="str">
        <f t="array" ref="I19">_xlfn.XLOOKUP(B19,'Up Stats'!A:A,'Up Stats'!C:C,)</f>
        <v/>
      </c>
      <c r="J19" s="54" t="str">
        <f>IFERROR(__xludf.DUMMYFUNCTION("if(AND(K19=FALSE,L19=FALSE),,if(K19=L19,JOIN("""",""Static: "",K19),JOIN("""",""Min:  "",K19, CHAR(10),""Max: "",L19)))"),"")</f>
        <v/>
      </c>
      <c r="K19" s="55" t="str">
        <f t="array" ref="K19">_xlfn.XLOOKUP(B19,'Up Min'!A:A,'Up Min'!C:C,)</f>
        <v/>
      </c>
      <c r="L19" s="55" t="str">
        <f t="array" ref="L19">_xlfn.XLOOKUP(B19,'Up Max'!A:A,'Up Max'!C:C,)</f>
        <v/>
      </c>
      <c r="M19" s="57" t="str">
        <f t="array" ref="M19">_xlfn.XLOOKUP(B19,'Up Stats'!A:A,'Up Stats'!D:D,)</f>
        <v/>
      </c>
      <c r="N19" s="54" t="str">
        <f>IFERROR(__xludf.DUMMYFUNCTION("if(AND(O19=FALSE,P19=FALSE),,if(O19=P19,JOIN("""",""Static: "",O19),JOIN("""",""Min:  "",O19, CHAR(10),""Max: "",P19)))"),"")</f>
        <v/>
      </c>
      <c r="O19" s="55" t="str">
        <f t="array" ref="O19">_xlfn.XLOOKUP(B19,'Up Min'!A:A,'Up Min'!D:D,)</f>
        <v/>
      </c>
      <c r="P19" s="55" t="str">
        <f t="array" ref="P19">_xlfn.XLOOKUP(B19,'Up Max'!A:A,'Up Max'!D:D,)</f>
        <v/>
      </c>
      <c r="Q19" s="57" t="str">
        <f t="array" ref="Q19">_xlfn.XLOOKUP(B19,'Up Stats'!A:A,'Up Stats'!E:E,)</f>
        <v/>
      </c>
      <c r="R19" s="54" t="str">
        <f>IFERROR(__xludf.DUMMYFUNCTION("if(AND(S19=FALSE,T19=FALSE),,if(S19=T19,JOIN("""",""Static: "",S19),JOIN("""",""Min:  "",S19, CHAR(10),""Max: "",T19)))"),"")</f>
        <v/>
      </c>
      <c r="S19" s="55" t="str">
        <f t="array" ref="S19">_xlfn.XLOOKUP(B19,'Up Min'!A:A,'Up Min'!E:E,)</f>
        <v/>
      </c>
      <c r="T19" s="55" t="str">
        <f t="array" ref="T19">_xlfn.XLOOKUP(B19,'Up Max'!A:A,'Up Max'!E:E,)</f>
        <v/>
      </c>
      <c r="U19" s="57" t="str">
        <f t="array" ref="U19">_xlfn.XLOOKUP(B19,'Up Stats'!A:A,'Up Stats'!F:F,)</f>
        <v/>
      </c>
      <c r="V19" s="54" t="str">
        <f>IFERROR(__xludf.DUMMYFUNCTION("if(AND(W19=FALSE,X19=FALSE),,if(W19=X19,JOIN("""",""Static: "",W19),JOIN("""",""Min:  "",W19, CHAR(10),""Max: "",X19)))"),"")</f>
        <v/>
      </c>
      <c r="W19" s="55" t="str">
        <f t="array" ref="W19">_xlfn.XLOOKUP(B19,'Up Min'!A:A,'Up Min'!F:F,)</f>
        <v/>
      </c>
      <c r="X19" s="55" t="str">
        <f t="array" ref="X19">_xlfn.XLOOKUP(B19,'Up Max'!A:A,'Up Max'!F:F,)</f>
        <v/>
      </c>
      <c r="Y19" s="57" t="str">
        <f t="array" ref="Y19">_xlfn.XLOOKUP(B19,'Up Stats'!A:A,'Up Stats'!G:G,)</f>
        <v/>
      </c>
      <c r="Z19" s="54" t="str">
        <f>IFERROR(__xludf.DUMMYFUNCTION("if(AND(AA19=FALSE,AB19=FALSE),,if(AA19=AB19,JOIN("""",""Static: "",AA19),JOIN("""",""Min:  "",AA19, CHAR(10),""Max: "",AB19)))"),"")</f>
        <v/>
      </c>
      <c r="AA19" s="55" t="str">
        <f t="array" ref="AA19">_xlfn.XLOOKUP(B19,'Up Min'!A:A,'Up Min'!G:G,)</f>
        <v/>
      </c>
      <c r="AB19" s="55" t="str">
        <f t="array" ref="AB19">_xlfn.XLOOKUP(B19,'Up Max'!A:A,'Up Max'!G:G,)</f>
        <v/>
      </c>
      <c r="AC19" s="57" t="str">
        <f t="array" ref="AC19">_xlfn.XLOOKUP(B19,'Up Stats'!A:A,'Up Stats'!H:H,)</f>
        <v/>
      </c>
      <c r="AD19" s="54" t="str">
        <f>IFERROR(__xludf.DUMMYFUNCTION("if(AND(AE19=FALSE,AF19=FALSE),,if(AE19=AF19,JOIN("""",""Static: "",AE19),JOIN("""",""Min:  "",AE19, CHAR(10),""Max: "",AF19)))"),"")</f>
        <v/>
      </c>
      <c r="AE19" s="55" t="str">
        <f t="array" ref="AE19">_xlfn.XLOOKUP(B19,'Up Min'!A:A,'Up Min'!H:H,)</f>
        <v/>
      </c>
      <c r="AF19" s="55" t="str">
        <f t="array" ref="AF19">_xlfn.XLOOKUP(B19,'Up Max'!A:A,'Up Max'!H:H,)</f>
        <v/>
      </c>
      <c r="AG19" s="57" t="str">
        <f t="array" ref="AG19">_xlfn.XLOOKUP(B19,'Up Stats'!A:A,'Up Stats'!I:I,)</f>
        <v/>
      </c>
      <c r="AH19" s="54" t="str">
        <f>IFERROR(__xludf.DUMMYFUNCTION("if(AND(AI19=FALSE,AJ19=FALSE),,if(AI19=AJ19,JOIN("""",""Static: "",AI19),JOIN("""",""Min:  "",AI19, CHAR(10),""Max: "",AJ19)))"),"")</f>
        <v/>
      </c>
      <c r="AI19" s="55" t="str">
        <f t="array" ref="AI19">_xlfn.XLOOKUP(B19,'Up Min'!A:A,'Up Min'!I:I,)</f>
        <v/>
      </c>
      <c r="AJ19" s="55" t="str">
        <f t="array" ref="AJ19">_xlfn.XLOOKUP(B19,'Up Max'!A:A,'Up Max'!I:I,)</f>
        <v/>
      </c>
      <c r="AK19" s="57" t="str">
        <f t="array" ref="AK19">_xlfn.XLOOKUP(B19,'Up Stats'!A:A,'Up Stats'!J:J,)</f>
        <v/>
      </c>
      <c r="AL19" s="54" t="str">
        <f>IFERROR(__xludf.DUMMYFUNCTION("if(AND(AM19=FALSE,AN19=FALSE),,if(AM19=AN19,JOIN("""",""Static: "",AM19),JOIN("""",""Min:  "",AM19, CHAR(10),""Max: "",AN19)))"),"")</f>
        <v/>
      </c>
      <c r="AM19" s="55" t="str">
        <f t="array" ref="AM19">_xlfn.XLOOKUP(B19,'Up Min'!A:A,'Up Min'!J:J,)</f>
        <v/>
      </c>
      <c r="AN19" s="55" t="str">
        <f t="array" ref="AN19">_xlfn.XLOOKUP(B19,'Up Max'!A:A,'Up Max'!J:J,)</f>
        <v/>
      </c>
      <c r="AO19" s="51" t="str">
        <f t="array" ref="AO19">CONCATENATE(_xlfn.XLOOKUP(B19,'Up Cells'!A:A,'Up Cells'!B:B,))</f>
        <v>4</v>
      </c>
      <c r="AP19" s="51" t="str">
        <f t="array" ref="AP19">CONCATENATE(_xlfn.XLOOKUP(B19,'Up Rarity'!A:A,'Up Rarity'!B:B,),CHAR(10),"-")</f>
        <v>Rare
-</v>
      </c>
    </row>
    <row r="20">
      <c r="A20" s="83" t="str">
        <f t="array" ref="A20">_xlfn.XLOOKUP(B20,'Up Icon'!A:A,'Up Icon'!B:B,)</f>
        <v/>
      </c>
      <c r="B20" s="58" t="str">
        <f t="array" ref="B20">HYPERLINK(_xlfn.XLOOKUP('Up Names'!L17,'Up Wiki'!A:A,'Up Wiki'!B:B,),'Up Names'!L17)</f>
        <v>Feedback Loop</v>
      </c>
      <c r="C20" s="67" t="str">
        <f t="array" ref="C20">_xlfn.XLOOKUP(B20,'Up Desc'!A:A,'Up Desc'!B:B,)</f>
        <v>After firing a burst, gain a burst of speed for each bullet fired.</v>
      </c>
      <c r="D20" s="37" t="str">
        <f t="array" ref="D20">_xlfn.XLOOKUP(B20,'Up Turbo'!A:A,'Up Turbo'!B:B,)</f>
        <v>n/a</v>
      </c>
      <c r="E20" s="39" t="str">
        <f t="array" ref="E20">_xlfn.XLOOKUP(B20,'Up Stats'!A:A,'Up Stats'!B:B,)</f>
        <v>Speed</v>
      </c>
      <c r="F20" s="40" t="str">
        <f>IFERROR(__xludf.DUMMYFUNCTION("if(AND(G20=FALSE,H20=FALSE),,if(G20=H20,JOIN("""",""Static: "",G20),JOIN("""",""Min:  "",G20, CHAR(10),""Max: "",H20)))"),"Min:  0.38
Max: 0.4")</f>
        <v>Min:  0.38
Max: 0.4</v>
      </c>
      <c r="G20" s="69">
        <f t="array" ref="G20">_xlfn.XLOOKUP(B20,'Up Min'!A:A,'Up Min'!B:B,)</f>
        <v>0.38</v>
      </c>
      <c r="H20" s="68">
        <f t="array" ref="H20">_xlfn.XLOOKUP(B20,'Up Max'!A:A,'Up Max'!B:B,)</f>
        <v>0.4</v>
      </c>
      <c r="I20" s="39" t="str">
        <f t="array" ref="I20">_xlfn.XLOOKUP(B20,'Up Stats'!A:A,'Up Stats'!C:C,)</f>
        <v>Duration</v>
      </c>
      <c r="J20" s="40" t="str">
        <f>IFERROR(__xludf.DUMMYFUNCTION("if(AND(K20=FALSE,L20=FALSE),,if(K20=L20,JOIN("""",""Static: "",K20),JOIN("""",""Min:  "",K20, CHAR(10),""Max: "",L20)))"),"Min:  1.67
Max: 1.82")</f>
        <v>Min:  1.67
Max: 1.82</v>
      </c>
      <c r="K20" s="42">
        <f t="array" ref="K20">_xlfn.XLOOKUP(B20,'Up Min'!A:A,'Up Min'!C:C,)</f>
        <v>1.67</v>
      </c>
      <c r="L20" s="42">
        <f t="array" ref="L20">_xlfn.XLOOKUP(B20,'Up Max'!A:A,'Up Max'!C:C,)</f>
        <v>1.82</v>
      </c>
      <c r="M20" s="48" t="str">
        <f t="array" ref="M20">_xlfn.XLOOKUP(B20,'Up Stats'!A:A,'Up Stats'!D:D,)</f>
        <v/>
      </c>
      <c r="N20" s="40" t="str">
        <f>IFERROR(__xludf.DUMMYFUNCTION("if(AND(O20=FALSE,P20=FALSE),,if(O20=P20,JOIN("""",""Static: "",O20),JOIN("""",""Min:  "",O20, CHAR(10),""Max: "",P20)))"),"")</f>
        <v/>
      </c>
      <c r="O20" s="42" t="str">
        <f t="array" ref="O20">_xlfn.XLOOKUP(B20,'Up Min'!A:A,'Up Min'!D:D,)</f>
        <v/>
      </c>
      <c r="P20" s="42" t="str">
        <f t="array" ref="P20">_xlfn.XLOOKUP(B20,'Up Max'!A:A,'Up Max'!D:D,)</f>
        <v/>
      </c>
      <c r="Q20" s="48" t="str">
        <f t="array" ref="Q20">_xlfn.XLOOKUP(B20,'Up Stats'!A:A,'Up Stats'!E:E,)</f>
        <v/>
      </c>
      <c r="R20" s="40" t="str">
        <f>IFERROR(__xludf.DUMMYFUNCTION("if(AND(S20=FALSE,T20=FALSE),,if(S20=T20,JOIN("""",""Static: "",S20),JOIN("""",""Min:  "",S20, CHAR(10),""Max: "",T20)))"),"")</f>
        <v/>
      </c>
      <c r="S20" s="42" t="str">
        <f t="array" ref="S20">_xlfn.XLOOKUP(B20,'Up Min'!A:A,'Up Min'!E:E,)</f>
        <v/>
      </c>
      <c r="T20" s="42" t="str">
        <f t="array" ref="T20">_xlfn.XLOOKUP(B20,'Up Max'!A:A,'Up Max'!E:E,)</f>
        <v/>
      </c>
      <c r="U20" s="48" t="str">
        <f t="array" ref="U20">_xlfn.XLOOKUP(B20,'Up Stats'!A:A,'Up Stats'!F:F,)</f>
        <v/>
      </c>
      <c r="V20" s="40" t="str">
        <f>IFERROR(__xludf.DUMMYFUNCTION("if(AND(W20=FALSE,X20=FALSE),,if(W20=X20,JOIN("""",""Static: "",W20),JOIN("""",""Min:  "",W20, CHAR(10),""Max: "",X20)))"),"")</f>
        <v/>
      </c>
      <c r="W20" s="42" t="str">
        <f t="array" ref="W20">_xlfn.XLOOKUP(B20,'Up Min'!A:A,'Up Min'!F:F,)</f>
        <v/>
      </c>
      <c r="X20" s="42" t="str">
        <f t="array" ref="X20">_xlfn.XLOOKUP(B20,'Up Max'!A:A,'Up Max'!F:F,)</f>
        <v/>
      </c>
      <c r="Y20" s="48" t="str">
        <f t="array" ref="Y20">_xlfn.XLOOKUP(B20,'Up Stats'!A:A,'Up Stats'!G:G,)</f>
        <v/>
      </c>
      <c r="Z20" s="40" t="str">
        <f>IFERROR(__xludf.DUMMYFUNCTION("if(AND(AA20=FALSE,AB20=FALSE),,if(AA20=AB20,JOIN("""",""Static: "",AA20),JOIN("""",""Min:  "",AA20, CHAR(10),""Max: "",AB20)))"),"")</f>
        <v/>
      </c>
      <c r="AA20" s="42" t="str">
        <f t="array" ref="AA20">_xlfn.XLOOKUP(B20,'Up Min'!A:A,'Up Min'!G:G,)</f>
        <v/>
      </c>
      <c r="AB20" s="42" t="str">
        <f t="array" ref="AB20">_xlfn.XLOOKUP(B20,'Up Max'!A:A,'Up Max'!G:G,)</f>
        <v/>
      </c>
      <c r="AC20" s="48" t="str">
        <f t="array" ref="AC20">_xlfn.XLOOKUP(B20,'Up Stats'!A:A,'Up Stats'!H:H,)</f>
        <v/>
      </c>
      <c r="AD20" s="40" t="str">
        <f>IFERROR(__xludf.DUMMYFUNCTION("if(AND(AE20=FALSE,AF20=FALSE),,if(AE20=AF20,JOIN("""",""Static: "",AE20),JOIN("""",""Min:  "",AE20, CHAR(10),""Max: "",AF20)))"),"")</f>
        <v/>
      </c>
      <c r="AE20" s="42" t="str">
        <f t="array" ref="AE20">_xlfn.XLOOKUP(B20,'Up Min'!A:A,'Up Min'!H:H,)</f>
        <v/>
      </c>
      <c r="AF20" s="42" t="str">
        <f t="array" ref="AF20">_xlfn.XLOOKUP(B20,'Up Max'!A:A,'Up Max'!H:H,)</f>
        <v/>
      </c>
      <c r="AG20" s="48" t="str">
        <f t="array" ref="AG20">_xlfn.XLOOKUP(B20,'Up Stats'!A:A,'Up Stats'!I:I,)</f>
        <v/>
      </c>
      <c r="AH20" s="40" t="str">
        <f>IFERROR(__xludf.DUMMYFUNCTION("if(AND(AI20=FALSE,AJ20=FALSE),,if(AI20=AJ20,JOIN("""",""Static: "",AI20),JOIN("""",""Min:  "",AI20, CHAR(10),""Max: "",AJ20)))"),"")</f>
        <v/>
      </c>
      <c r="AI20" s="42" t="str">
        <f t="array" ref="AI20">_xlfn.XLOOKUP(B20,'Up Min'!A:A,'Up Min'!I:I,)</f>
        <v/>
      </c>
      <c r="AJ20" s="42" t="str">
        <f t="array" ref="AJ20">_xlfn.XLOOKUP(B20,'Up Max'!A:A,'Up Max'!I:I,)</f>
        <v/>
      </c>
      <c r="AK20" s="48" t="str">
        <f t="array" ref="AK20">_xlfn.XLOOKUP(B20,'Up Stats'!A:A,'Up Stats'!J:J,)</f>
        <v/>
      </c>
      <c r="AL20" s="40" t="str">
        <f>IFERROR(__xludf.DUMMYFUNCTION("if(AND(AM20=FALSE,AN20=FALSE),,if(AM20=AN20,JOIN("""",""Static: "",AM20),JOIN("""",""Min:  "",AM20, CHAR(10),""Max: "",AN20)))"),"")</f>
        <v/>
      </c>
      <c r="AM20" s="42" t="str">
        <f t="array" ref="AM20">_xlfn.XLOOKUP(B20,'Up Min'!A:A,'Up Min'!J:J,)</f>
        <v/>
      </c>
      <c r="AN20" s="42" t="str">
        <f t="array" ref="AN20">_xlfn.XLOOKUP(B20,'Up Max'!A:A,'Up Max'!J:J,)</f>
        <v/>
      </c>
      <c r="AO20" s="34" t="str">
        <f t="array" ref="AO20">CONCATENATE(_xlfn.XLOOKUP(B20,'Up Cells'!A:A,'Up Cells'!B:B,))</f>
        <v>4</v>
      </c>
      <c r="AP20" s="34" t="str">
        <f t="array" ref="AP20">CONCATENATE(_xlfn.XLOOKUP(B20,'Up Rarity'!A:A,'Up Rarity'!B:B,),CHAR(10),"-")</f>
        <v>Rare
-</v>
      </c>
    </row>
    <row r="21">
      <c r="A21" s="83" t="str">
        <f t="array" ref="A21">_xlfn.XLOOKUP(B21,'Up Icon'!A:A,'Up Icon'!B:B,)</f>
        <v/>
      </c>
      <c r="B21" s="61" t="str">
        <f t="array" ref="B21">HYPERLINK(_xlfn.XLOOKUP('Up Names'!L18,'Up Wiki'!A:A,'Up Wiki'!B:B,),'Up Names'!L18)</f>
        <v>Full-Auto Trigger</v>
      </c>
      <c r="C21" s="52" t="str">
        <f t="array" ref="C21">_xlfn.XLOOKUP(B21,'Up Desc'!A:A,'Up Desc'!B:B,)</f>
        <v>Enables full-auto firing. Burst interval is slightly increased.</v>
      </c>
      <c r="D21" s="52" t="str">
        <f t="array" ref="D21">_xlfn.XLOOKUP(B21,'Up Turbo'!A:A,'Up Turbo'!B:B,)</f>
        <v>n/a</v>
      </c>
      <c r="E21" s="53" t="str">
        <f t="array" ref="E21">_xlfn.XLOOKUP(B21,'Up Stats'!A:A,'Up Stats'!B:B,)</f>
        <v>Burst Interval</v>
      </c>
      <c r="F21" s="54" t="str">
        <f>IFERROR(__xludf.DUMMYFUNCTION("if(AND(G21=FALSE,H21=FALSE),,if(G21=H21,JOIN("""",""Static: "",G21),JOIN("""",""Min:  "",G21, CHAR(10),""Max: "",H21)))"),"Static: 0.04")</f>
        <v>Static: 0.04</v>
      </c>
      <c r="G21" s="64">
        <f t="array" ref="G21">_xlfn.XLOOKUP(B21,'Up Min'!A:A,'Up Min'!B:B,)</f>
        <v>0.04</v>
      </c>
      <c r="H21" s="65">
        <f t="array" ref="H21">_xlfn.XLOOKUP(B21,'Up Max'!A:A,'Up Max'!B:B,)</f>
        <v>0.04</v>
      </c>
      <c r="I21" s="53" t="str">
        <f t="array" ref="I21">_xlfn.XLOOKUP(B21,'Up Stats'!A:A,'Up Stats'!C:C,)</f>
        <v/>
      </c>
      <c r="J21" s="54" t="str">
        <f>IFERROR(__xludf.DUMMYFUNCTION("if(AND(K21=FALSE,L21=FALSE),,if(K21=L21,JOIN("""",""Static: "",K21),JOIN("""",""Min:  "",K21, CHAR(10),""Max: "",L21)))"),"")</f>
        <v/>
      </c>
      <c r="K21" s="64" t="str">
        <f t="array" ref="K21">_xlfn.XLOOKUP(B21,'Up Min'!A:A,'Up Min'!C:C,)</f>
        <v/>
      </c>
      <c r="L21" s="64" t="str">
        <f t="array" ref="L21">_xlfn.XLOOKUP(B21,'Up Max'!A:A,'Up Max'!C:C,)</f>
        <v/>
      </c>
      <c r="M21" s="53" t="str">
        <f t="array" ref="M21">_xlfn.XLOOKUP(B21,'Up Stats'!A:A,'Up Stats'!D:D,)</f>
        <v/>
      </c>
      <c r="N21" s="54" t="str">
        <f>IFERROR(__xludf.DUMMYFUNCTION("if(AND(O21=FALSE,P21=FALSE),,if(O21=P21,JOIN("""",""Static: "",O21),JOIN("""",""Min:  "",O21, CHAR(10),""Max: "",P21)))"),"")</f>
        <v/>
      </c>
      <c r="O21" s="55" t="str">
        <f t="array" ref="O21">_xlfn.XLOOKUP(B21,'Up Min'!A:A,'Up Min'!D:D,)</f>
        <v/>
      </c>
      <c r="P21" s="55" t="str">
        <f t="array" ref="P21">_xlfn.XLOOKUP(B21,'Up Max'!A:A,'Up Max'!D:D,)</f>
        <v/>
      </c>
      <c r="Q21" s="57" t="str">
        <f t="array" ref="Q21">_xlfn.XLOOKUP(B21,'Up Stats'!A:A,'Up Stats'!E:E,)</f>
        <v/>
      </c>
      <c r="R21" s="54" t="str">
        <f>IFERROR(__xludf.DUMMYFUNCTION("if(AND(S21=FALSE,T21=FALSE),,if(S21=T21,JOIN("""",""Static: "",S21),JOIN("""",""Min:  "",S21, CHAR(10),""Max: "",T21)))"),"")</f>
        <v/>
      </c>
      <c r="S21" s="55" t="str">
        <f t="array" ref="S21">_xlfn.XLOOKUP(B21,'Up Min'!A:A,'Up Min'!E:E,)</f>
        <v/>
      </c>
      <c r="T21" s="55" t="str">
        <f t="array" ref="T21">_xlfn.XLOOKUP(B21,'Up Max'!A:A,'Up Max'!E:E,)</f>
        <v/>
      </c>
      <c r="U21" s="57" t="str">
        <f t="array" ref="U21">_xlfn.XLOOKUP(B21,'Up Stats'!A:A,'Up Stats'!F:F,)</f>
        <v/>
      </c>
      <c r="V21" s="54" t="str">
        <f>IFERROR(__xludf.DUMMYFUNCTION("if(AND(W21=FALSE,X21=FALSE),,if(W21=X21,JOIN("""",""Static: "",W21),JOIN("""",""Min:  "",W21, CHAR(10),""Max: "",X21)))"),"")</f>
        <v/>
      </c>
      <c r="W21" s="55" t="str">
        <f t="array" ref="W21">_xlfn.XLOOKUP(B21,'Up Min'!A:A,'Up Min'!F:F,)</f>
        <v/>
      </c>
      <c r="X21" s="55" t="str">
        <f t="array" ref="X21">_xlfn.XLOOKUP(B21,'Up Max'!A:A,'Up Max'!F:F,)</f>
        <v/>
      </c>
      <c r="Y21" s="57" t="str">
        <f t="array" ref="Y21">_xlfn.XLOOKUP(B21,'Up Stats'!A:A,'Up Stats'!G:G,)</f>
        <v/>
      </c>
      <c r="Z21" s="54" t="str">
        <f>IFERROR(__xludf.DUMMYFUNCTION("if(AND(AA21=FALSE,AB21=FALSE),,if(AA21=AB21,JOIN("""",""Static: "",AA21),JOIN("""",""Min:  "",AA21, CHAR(10),""Max: "",AB21)))"),"")</f>
        <v/>
      </c>
      <c r="AA21" s="55" t="str">
        <f t="array" ref="AA21">_xlfn.XLOOKUP(B21,'Up Min'!A:A,'Up Min'!G:G,)</f>
        <v/>
      </c>
      <c r="AB21" s="55" t="str">
        <f t="array" ref="AB21">_xlfn.XLOOKUP(B21,'Up Max'!A:A,'Up Max'!G:G,)</f>
        <v/>
      </c>
      <c r="AC21" s="57" t="str">
        <f t="array" ref="AC21">_xlfn.XLOOKUP(B21,'Up Stats'!A:A,'Up Stats'!H:H,)</f>
        <v/>
      </c>
      <c r="AD21" s="54" t="str">
        <f>IFERROR(__xludf.DUMMYFUNCTION("if(AND(AE21=FALSE,AF21=FALSE),,if(AE21=AF21,JOIN("""",""Static: "",AE21),JOIN("""",""Min:  "",AE21, CHAR(10),""Max: "",AF21)))"),"")</f>
        <v/>
      </c>
      <c r="AE21" s="55" t="str">
        <f t="array" ref="AE21">_xlfn.XLOOKUP(B21,'Up Min'!A:A,'Up Min'!H:H,)</f>
        <v/>
      </c>
      <c r="AF21" s="55" t="str">
        <f t="array" ref="AF21">_xlfn.XLOOKUP(B21,'Up Max'!A:A,'Up Max'!H:H,)</f>
        <v/>
      </c>
      <c r="AG21" s="57" t="str">
        <f t="array" ref="AG21">_xlfn.XLOOKUP(B21,'Up Stats'!A:A,'Up Stats'!I:I,)</f>
        <v/>
      </c>
      <c r="AH21" s="54" t="str">
        <f>IFERROR(__xludf.DUMMYFUNCTION("if(AND(AI21=FALSE,AJ21=FALSE),,if(AI21=AJ21,JOIN("""",""Static: "",AI21),JOIN("""",""Min:  "",AI21, CHAR(10),""Max: "",AJ21)))"),"")</f>
        <v/>
      </c>
      <c r="AI21" s="55" t="str">
        <f t="array" ref="AI21">_xlfn.XLOOKUP(B21,'Up Min'!A:A,'Up Min'!I:I,)</f>
        <v/>
      </c>
      <c r="AJ21" s="55" t="str">
        <f t="array" ref="AJ21">_xlfn.XLOOKUP(B21,'Up Max'!A:A,'Up Max'!I:I,)</f>
        <v/>
      </c>
      <c r="AK21" s="57" t="str">
        <f t="array" ref="AK21">_xlfn.XLOOKUP(B21,'Up Stats'!A:A,'Up Stats'!J:J,)</f>
        <v/>
      </c>
      <c r="AL21" s="54" t="str">
        <f>IFERROR(__xludf.DUMMYFUNCTION("if(AND(AM21=FALSE,AN21=FALSE),,if(AM21=AN21,JOIN("""",""Static: "",AM21),JOIN("""",""Min:  "",AM21, CHAR(10),""Max: "",AN21)))"),"")</f>
        <v/>
      </c>
      <c r="AM21" s="55" t="str">
        <f t="array" ref="AM21">_xlfn.XLOOKUP(B21,'Up Min'!A:A,'Up Min'!J:J,)</f>
        <v/>
      </c>
      <c r="AN21" s="55" t="str">
        <f t="array" ref="AN21">_xlfn.XLOOKUP(B21,'Up Max'!A:A,'Up Max'!J:J,)</f>
        <v/>
      </c>
      <c r="AO21" s="51" t="str">
        <f t="array" ref="AO21">CONCATENATE(_xlfn.XLOOKUP(B21,'Up Cells'!A:A,'Up Cells'!B:B,))</f>
        <v>3</v>
      </c>
      <c r="AP21" s="51" t="str">
        <f t="array" ref="AP21">CONCATENATE(_xlfn.XLOOKUP(B21,'Up Rarity'!A:A,'Up Rarity'!B:B,),CHAR(10),"-")</f>
        <v>Rare
-</v>
      </c>
    </row>
    <row r="22">
      <c r="A22" s="83" t="str">
        <f t="array" ref="A22">_xlfn.XLOOKUP(B22,'Up Icon'!A:A,'Up Icon'!B:B,)</f>
        <v/>
      </c>
      <c r="B22" s="58" t="str">
        <f t="array" ref="B22">HYPERLINK(_xlfn.XLOOKUP('Up Names'!L19,'Up Wiki'!A:A,'Up Wiki'!B:B,),'Up Names'!L19)</f>
        <v>Hair Trigger</v>
      </c>
      <c r="C22" s="67" t="str">
        <f t="array" ref="C22">_xlfn.XLOOKUP(B22,'Up Desc'!A:A,'Up Desc'!B:B,)</f>
        <v>Killing a target grants a stacking bonus to fire rate and reload speed.</v>
      </c>
      <c r="D22" s="37" t="str">
        <f t="array" ref="D22">_xlfn.XLOOKUP(B22,'Up Turbo'!A:A,'Up Turbo'!B:B,)</f>
        <v>n/a</v>
      </c>
      <c r="E22" s="39" t="str">
        <f t="array" ref="E22">_xlfn.XLOOKUP(B22,'Up Stats'!A:A,'Up Stats'!B:B,)</f>
        <v>Fire Rate</v>
      </c>
      <c r="F22" s="40" t="str">
        <f>IFERROR(__xludf.DUMMYFUNCTION("if(AND(G22=FALSE,H22=FALSE),,if(G22=H22,JOIN("""",""Static: "",G22),JOIN("""",""Min:  "",G22, CHAR(10),""Max: "",H22)))"),"Min:  5%
Max: 6%")</f>
        <v>Min:  5%
Max: 6%</v>
      </c>
      <c r="G22" s="41">
        <f t="array" ref="G22">_xlfn.XLOOKUP(B22,'Up Min'!A:A,'Up Min'!B:B,)</f>
        <v>0.05</v>
      </c>
      <c r="H22" s="41">
        <f t="array" ref="H22">_xlfn.XLOOKUP(B22,'Up Max'!A:A,'Up Max'!B:B,)</f>
        <v>0.06</v>
      </c>
      <c r="I22" s="39" t="str">
        <f t="array" ref="I22">_xlfn.XLOOKUP(B22,'Up Stats'!A:A,'Up Stats'!C:C,)</f>
        <v>Reload Speed</v>
      </c>
      <c r="J22" s="40" t="str">
        <f>IFERROR(__xludf.DUMMYFUNCTION("if(AND(K22=FALSE,L22=FALSE),,if(K22=L22,JOIN("""",""Static: "",K22),JOIN("""",""Min:  "",K22, CHAR(10),""Max: "",L22)))"),"Min:  6%
Max: 9%")</f>
        <v>Min:  6%
Max: 9%</v>
      </c>
      <c r="K22" s="41">
        <f t="array" ref="K22">_xlfn.XLOOKUP(B22,'Up Min'!A:A,'Up Min'!C:C,)</f>
        <v>0.06</v>
      </c>
      <c r="L22" s="41">
        <f t="array" ref="L22">_xlfn.XLOOKUP(B22,'Up Max'!A:A,'Up Max'!C:C,)</f>
        <v>0.093</v>
      </c>
      <c r="M22" s="39" t="str">
        <f t="array" ref="M22">_xlfn.XLOOKUP(B22,'Up Stats'!A:A,'Up Stats'!D:D,)</f>
        <v>Duration</v>
      </c>
      <c r="N22" s="40" t="str">
        <f>IFERROR(__xludf.DUMMYFUNCTION("if(AND(O22=FALSE,P22=FALSE),,if(O22=P22,JOIN("""",""Static: "",O22),JOIN("""",""Min:  "",O22, CHAR(10),""Max: "",P22)))"),"Min:  290%
Max: 310%")</f>
        <v>Min:  290%
Max: 310%</v>
      </c>
      <c r="O22" s="41">
        <f t="array" ref="O22">_xlfn.XLOOKUP(B22,'Up Min'!A:A,'Up Min'!D:D,)</f>
        <v>2.9</v>
      </c>
      <c r="P22" s="41">
        <f t="array" ref="P22">_xlfn.XLOOKUP(B22,'Up Max'!A:A,'Up Max'!D:D,)</f>
        <v>3.1</v>
      </c>
      <c r="Q22" s="48" t="str">
        <f t="array" ref="Q22">_xlfn.XLOOKUP(B22,'Up Stats'!A:A,'Up Stats'!E:E,)</f>
        <v>Max Stacks</v>
      </c>
      <c r="R22" s="40" t="str">
        <f>IFERROR(__xludf.DUMMYFUNCTION("if(AND(S22=FALSE,T22=FALSE),,if(S22=T22,JOIN("""",""Static: "",S22),JOIN("""",""Min:  "",S22, CHAR(10),""Max: "",T22)))"),"Static: 4")</f>
        <v>Static: 4</v>
      </c>
      <c r="S22" s="42">
        <f t="array" ref="S22">_xlfn.XLOOKUP(B22,'Up Min'!A:A,'Up Min'!E:E,)</f>
        <v>4</v>
      </c>
      <c r="T22" s="42">
        <f t="array" ref="T22">_xlfn.XLOOKUP(B22,'Up Max'!A:A,'Up Max'!E:E,)</f>
        <v>4</v>
      </c>
      <c r="U22" s="48" t="str">
        <f t="array" ref="U22">_xlfn.XLOOKUP(B22,'Up Stats'!A:A,'Up Stats'!F:F,)</f>
        <v/>
      </c>
      <c r="V22" s="40" t="str">
        <f>IFERROR(__xludf.DUMMYFUNCTION("if(AND(W22=FALSE,X22=FALSE),,if(W22=X22,JOIN("""",""Static: "",W22),JOIN("""",""Min:  "",W22, CHAR(10),""Max: "",X22)))"),"")</f>
        <v/>
      </c>
      <c r="W22" s="42" t="str">
        <f t="array" ref="W22">_xlfn.XLOOKUP(B22,'Up Min'!A:A,'Up Min'!F:F,)</f>
        <v/>
      </c>
      <c r="X22" s="42" t="str">
        <f t="array" ref="X22">_xlfn.XLOOKUP(B22,'Up Max'!A:A,'Up Max'!F:F,)</f>
        <v/>
      </c>
      <c r="Y22" s="48" t="str">
        <f t="array" ref="Y22">_xlfn.XLOOKUP(B22,'Up Stats'!A:A,'Up Stats'!G:G,)</f>
        <v/>
      </c>
      <c r="Z22" s="40" t="str">
        <f>IFERROR(__xludf.DUMMYFUNCTION("if(AND(AA22=FALSE,AB22=FALSE),,if(AA22=AB22,JOIN("""",""Static: "",AA22),JOIN("""",""Min:  "",AA22, CHAR(10),""Max: "",AB22)))"),"")</f>
        <v/>
      </c>
      <c r="AA22" s="42" t="str">
        <f t="array" ref="AA22">_xlfn.XLOOKUP(B22,'Up Min'!A:A,'Up Min'!G:G,)</f>
        <v/>
      </c>
      <c r="AB22" s="42" t="str">
        <f t="array" ref="AB22">_xlfn.XLOOKUP(B22,'Up Max'!A:A,'Up Max'!G:G,)</f>
        <v/>
      </c>
      <c r="AC22" s="48" t="str">
        <f t="array" ref="AC22">_xlfn.XLOOKUP(B22,'Up Stats'!A:A,'Up Stats'!H:H,)</f>
        <v/>
      </c>
      <c r="AD22" s="40" t="str">
        <f>IFERROR(__xludf.DUMMYFUNCTION("if(AND(AE22=FALSE,AF22=FALSE),,if(AE22=AF22,JOIN("""",""Static: "",AE22),JOIN("""",""Min:  "",AE22, CHAR(10),""Max: "",AF22)))"),"")</f>
        <v/>
      </c>
      <c r="AE22" s="42" t="str">
        <f t="array" ref="AE22">_xlfn.XLOOKUP(B22,'Up Min'!A:A,'Up Min'!H:H,)</f>
        <v/>
      </c>
      <c r="AF22" s="42" t="str">
        <f t="array" ref="AF22">_xlfn.XLOOKUP(B22,'Up Max'!A:A,'Up Max'!H:H,)</f>
        <v/>
      </c>
      <c r="AG22" s="48" t="str">
        <f t="array" ref="AG22">_xlfn.XLOOKUP(B22,'Up Stats'!A:A,'Up Stats'!I:I,)</f>
        <v/>
      </c>
      <c r="AH22" s="40" t="str">
        <f>IFERROR(__xludf.DUMMYFUNCTION("if(AND(AI22=FALSE,AJ22=FALSE),,if(AI22=AJ22,JOIN("""",""Static: "",AI22),JOIN("""",""Min:  "",AI22, CHAR(10),""Max: "",AJ22)))"),"")</f>
        <v/>
      </c>
      <c r="AI22" s="42" t="str">
        <f t="array" ref="AI22">_xlfn.XLOOKUP(B22,'Up Min'!A:A,'Up Min'!I:I,)</f>
        <v/>
      </c>
      <c r="AJ22" s="42" t="str">
        <f t="array" ref="AJ22">_xlfn.XLOOKUP(B22,'Up Max'!A:A,'Up Max'!I:I,)</f>
        <v/>
      </c>
      <c r="AK22" s="48" t="str">
        <f t="array" ref="AK22">_xlfn.XLOOKUP(B22,'Up Stats'!A:A,'Up Stats'!J:J,)</f>
        <v/>
      </c>
      <c r="AL22" s="40" t="str">
        <f>IFERROR(__xludf.DUMMYFUNCTION("if(AND(AM22=FALSE,AN22=FALSE),,if(AM22=AN22,JOIN("""",""Static: "",AM22),JOIN("""",""Min:  "",AM22, CHAR(10),""Max: "",AN22)))"),"")</f>
        <v/>
      </c>
      <c r="AM22" s="42" t="str">
        <f t="array" ref="AM22">_xlfn.XLOOKUP(B22,'Up Min'!A:A,'Up Min'!J:J,)</f>
        <v/>
      </c>
      <c r="AN22" s="42" t="str">
        <f t="array" ref="AN22">_xlfn.XLOOKUP(B22,'Up Max'!A:A,'Up Max'!J:J,)</f>
        <v/>
      </c>
      <c r="AO22" s="34" t="str">
        <f t="array" ref="AO22">CONCATENATE(_xlfn.XLOOKUP(B22,'Up Cells'!A:A,'Up Cells'!B:B,))</f>
        <v>3</v>
      </c>
      <c r="AP22" s="34" t="str">
        <f t="array" ref="AP22">CONCATENATE(_xlfn.XLOOKUP(B22,'Up Rarity'!A:A,'Up Rarity'!B:B,),CHAR(10),"-")</f>
        <v>Rare
-</v>
      </c>
    </row>
    <row r="23">
      <c r="A23" s="83" t="str">
        <f t="array" ref="A23">_xlfn.XLOOKUP(B23,'Up Icon'!A:A,'Up Icon'!B:B,)</f>
        <v/>
      </c>
      <c r="B23" s="61" t="str">
        <f t="array" ref="B23">HYPERLINK(_xlfn.XLOOKUP('Up Names'!L20,'Up Wiki'!A:A,'Up Wiki'!B:B,),'Up Names'!L20)</f>
        <v>Honey Sweet</v>
      </c>
      <c r="C23" s="52" t="str">
        <f t="array" ref="C23">_xlfn.XLOOKUP(B23,'Up Desc'!A:A,'Up Desc'!B:B,)</f>
        <v>Shoot allies with bee bullets to heal them.</v>
      </c>
      <c r="D23" s="52" t="str">
        <f t="array" ref="D23">_xlfn.XLOOKUP(B23,'Up Turbo'!A:A,'Up Turbo'!B:B,)</f>
        <v>n/a</v>
      </c>
      <c r="E23" s="53" t="str">
        <f t="array" ref="E23">_xlfn.XLOOKUP(B23,'Up Stats'!A:A,'Up Stats'!B:B,)</f>
        <v>Healing</v>
      </c>
      <c r="F23" s="54" t="str">
        <f>IFERROR(__xludf.DUMMYFUNCTION("if(AND(G23=FALSE,H23=FALSE),,if(G23=H23,JOIN("""",""Static: "",G23),JOIN("""",""Min:  "",G23, CHAR(10),""Max: "",H23)))"),"Min:  1.20
Max: 1.30")</f>
        <v>Min:  1.20
Max: 1.30</v>
      </c>
      <c r="G23" s="96">
        <f t="array" ref="G23">_xlfn.XLOOKUP(B23,'Up Min'!A:A,'Up Min'!B:B,)</f>
        <v>1.2</v>
      </c>
      <c r="H23" s="96">
        <f t="array" ref="H23">_xlfn.XLOOKUP(B23,'Up Max'!A:A,'Up Max'!B:B,)</f>
        <v>1.3</v>
      </c>
      <c r="I23" s="53" t="str">
        <f t="array" ref="I23">_xlfn.XLOOKUP(B23,'Up Stats'!A:A,'Up Stats'!C:C,)</f>
        <v/>
      </c>
      <c r="J23" s="54" t="str">
        <f>IFERROR(__xludf.DUMMYFUNCTION("if(AND(K23=FALSE,L23=FALSE),,if(K23=L23,JOIN("""",""Static: "",K23),JOIN("""",""Min:  "",K23, CHAR(10),""Max: "",L23)))"),"")</f>
        <v/>
      </c>
      <c r="K23" s="55" t="str">
        <f t="array" ref="K23">_xlfn.XLOOKUP(B23,'Up Min'!A:A,'Up Min'!C:C,)</f>
        <v/>
      </c>
      <c r="L23" s="55" t="str">
        <f t="array" ref="L23">_xlfn.XLOOKUP(B23,'Up Max'!A:A,'Up Max'!C:C,)</f>
        <v/>
      </c>
      <c r="M23" s="57" t="str">
        <f t="array" ref="M23">_xlfn.XLOOKUP(B23,'Up Stats'!A:A,'Up Stats'!D:D,)</f>
        <v/>
      </c>
      <c r="N23" s="54" t="str">
        <f>IFERROR(__xludf.DUMMYFUNCTION("if(AND(O23=FALSE,P23=FALSE),,if(O23=P23,JOIN("""",""Static: "",O23),JOIN("""",""Min:  "",O23, CHAR(10),""Max: "",P23)))"),"")</f>
        <v/>
      </c>
      <c r="O23" s="55" t="str">
        <f t="array" ref="O23">_xlfn.XLOOKUP(B23,'Up Min'!A:A,'Up Min'!D:D,)</f>
        <v/>
      </c>
      <c r="P23" s="55" t="str">
        <f t="array" ref="P23">_xlfn.XLOOKUP(B23,'Up Max'!A:A,'Up Max'!D:D,)</f>
        <v/>
      </c>
      <c r="Q23" s="57" t="str">
        <f t="array" ref="Q23">_xlfn.XLOOKUP(B23,'Up Stats'!A:A,'Up Stats'!E:E,)</f>
        <v/>
      </c>
      <c r="R23" s="54" t="str">
        <f>IFERROR(__xludf.DUMMYFUNCTION("if(AND(S23=FALSE,T23=FALSE),,if(S23=T23,JOIN("""",""Static: "",S23),JOIN("""",""Min:  "",S23, CHAR(10),""Max: "",T23)))"),"")</f>
        <v/>
      </c>
      <c r="S23" s="55" t="str">
        <f t="array" ref="S23">_xlfn.XLOOKUP(B23,'Up Min'!A:A,'Up Min'!E:E,)</f>
        <v/>
      </c>
      <c r="T23" s="55" t="str">
        <f t="array" ref="T23">_xlfn.XLOOKUP(B23,'Up Max'!A:A,'Up Max'!E:E,)</f>
        <v/>
      </c>
      <c r="U23" s="57" t="str">
        <f t="array" ref="U23">_xlfn.XLOOKUP(B23,'Up Stats'!A:A,'Up Stats'!F:F,)</f>
        <v/>
      </c>
      <c r="V23" s="54" t="str">
        <f>IFERROR(__xludf.DUMMYFUNCTION("if(AND(W23=FALSE,X23=FALSE),,if(W23=X23,JOIN("""",""Static: "",W23),JOIN("""",""Min:  "",W23, CHAR(10),""Max: "",X23)))"),"")</f>
        <v/>
      </c>
      <c r="W23" s="55" t="str">
        <f t="array" ref="W23">_xlfn.XLOOKUP(B23,'Up Min'!A:A,'Up Min'!F:F,)</f>
        <v/>
      </c>
      <c r="X23" s="55" t="str">
        <f t="array" ref="X23">_xlfn.XLOOKUP(B23,'Up Max'!A:A,'Up Max'!F:F,)</f>
        <v/>
      </c>
      <c r="Y23" s="57" t="str">
        <f t="array" ref="Y23">_xlfn.XLOOKUP(B23,'Up Stats'!A:A,'Up Stats'!G:G,)</f>
        <v/>
      </c>
      <c r="Z23" s="54" t="str">
        <f>IFERROR(__xludf.DUMMYFUNCTION("if(AND(AA23=FALSE,AB23=FALSE),,if(AA23=AB23,JOIN("""",""Static: "",AA23),JOIN("""",""Min:  "",AA23, CHAR(10),""Max: "",AB23)))"),"")</f>
        <v/>
      </c>
      <c r="AA23" s="55" t="str">
        <f t="array" ref="AA23">_xlfn.XLOOKUP(B23,'Up Min'!A:A,'Up Min'!G:G,)</f>
        <v/>
      </c>
      <c r="AB23" s="55" t="str">
        <f t="array" ref="AB23">_xlfn.XLOOKUP(B23,'Up Max'!A:A,'Up Max'!G:G,)</f>
        <v/>
      </c>
      <c r="AC23" s="57" t="str">
        <f t="array" ref="AC23">_xlfn.XLOOKUP(B23,'Up Stats'!A:A,'Up Stats'!H:H,)</f>
        <v/>
      </c>
      <c r="AD23" s="54" t="str">
        <f>IFERROR(__xludf.DUMMYFUNCTION("if(AND(AE23=FALSE,AF23=FALSE),,if(AE23=AF23,JOIN("""",""Static: "",AE23),JOIN("""",""Min:  "",AE23, CHAR(10),""Max: "",AF23)))"),"")</f>
        <v/>
      </c>
      <c r="AE23" s="55" t="str">
        <f t="array" ref="AE23">_xlfn.XLOOKUP(B23,'Up Min'!A:A,'Up Min'!H:H,)</f>
        <v/>
      </c>
      <c r="AF23" s="55" t="str">
        <f t="array" ref="AF23">_xlfn.XLOOKUP(B23,'Up Max'!A:A,'Up Max'!H:H,)</f>
        <v/>
      </c>
      <c r="AG23" s="57" t="str">
        <f t="array" ref="AG23">_xlfn.XLOOKUP(B23,'Up Stats'!A:A,'Up Stats'!I:I,)</f>
        <v/>
      </c>
      <c r="AH23" s="54" t="str">
        <f>IFERROR(__xludf.DUMMYFUNCTION("if(AND(AI23=FALSE,AJ23=FALSE),,if(AI23=AJ23,JOIN("""",""Static: "",AI23),JOIN("""",""Min:  "",AI23, CHAR(10),""Max: "",AJ23)))"),"")</f>
        <v/>
      </c>
      <c r="AI23" s="55" t="str">
        <f t="array" ref="AI23">_xlfn.XLOOKUP(B23,'Up Min'!A:A,'Up Min'!I:I,)</f>
        <v/>
      </c>
      <c r="AJ23" s="55" t="str">
        <f t="array" ref="AJ23">_xlfn.XLOOKUP(B23,'Up Max'!A:A,'Up Max'!I:I,)</f>
        <v/>
      </c>
      <c r="AK23" s="57" t="str">
        <f t="array" ref="AK23">_xlfn.XLOOKUP(B23,'Up Stats'!A:A,'Up Stats'!J:J,)</f>
        <v/>
      </c>
      <c r="AL23" s="54" t="str">
        <f>IFERROR(__xludf.DUMMYFUNCTION("if(AND(AM23=FALSE,AN23=FALSE),,if(AM23=AN23,JOIN("""",""Static: "",AM23),JOIN("""",""Min:  "",AM23, CHAR(10),""Max: "",AN23)))"),"")</f>
        <v/>
      </c>
      <c r="AM23" s="55" t="str">
        <f t="array" ref="AM23">_xlfn.XLOOKUP(B23,'Up Min'!A:A,'Up Min'!J:J,)</f>
        <v/>
      </c>
      <c r="AN23" s="55" t="str">
        <f t="array" ref="AN23">_xlfn.XLOOKUP(B23,'Up Max'!A:A,'Up Max'!J:J,)</f>
        <v/>
      </c>
      <c r="AO23" s="51" t="str">
        <f t="array" ref="AO23">CONCATENATE(_xlfn.XLOOKUP(B23,'Up Cells'!A:A,'Up Cells'!B:B,))</f>
        <v>3</v>
      </c>
      <c r="AP23" s="51" t="str">
        <f t="array" ref="AP23">CONCATENATE(_xlfn.XLOOKUP(B23,'Up Rarity'!A:A,'Up Rarity'!B:B,),CHAR(10),"-")</f>
        <v>Rare
-</v>
      </c>
    </row>
    <row r="24">
      <c r="A24" s="83" t="str">
        <f t="array" ref="A24">_xlfn.XLOOKUP(B24,'Up Icon'!A:A,'Up Icon'!B:B,)</f>
        <v/>
      </c>
      <c r="B24" s="58" t="str">
        <f t="array" ref="B24">HYPERLINK(_xlfn.XLOOKUP('Up Names'!L21,'Up Wiki'!A:A,'Up Wiki'!B:B,),'Up Names'!L21)</f>
        <v>Momentum Impact</v>
      </c>
      <c r="C24" s="67" t="str">
        <f t="array" ref="C24">_xlfn.XLOOKUP(B24,'Up Desc'!A:A,'Up Desc'!B:B,)</f>
        <v>Direct hits deal increased damage while sprinting.</v>
      </c>
      <c r="D24" s="37" t="str">
        <f t="array" ref="D24">_xlfn.XLOOKUP(B24,'Up Turbo'!A:A,'Up Turbo'!B:B,)</f>
        <v>n/a</v>
      </c>
      <c r="E24" s="39" t="str">
        <f t="array" ref="E24">_xlfn.XLOOKUP(B24,'Up Stats'!A:A,'Up Stats'!B:B,)</f>
        <v>Damage</v>
      </c>
      <c r="F24" s="40" t="str">
        <f>IFERROR(__xludf.DUMMYFUNCTION("if(AND(G24=FALSE,H24=FALSE),,if(G24=H24,JOIN("""",""Static: "",G24),JOIN("""",""Min:  "",G24, CHAR(10),""Max: "",H24)))"),"Min:  1300%
Max: 1500%")</f>
        <v>Min:  1300%
Max: 1500%</v>
      </c>
      <c r="G24" s="41">
        <f t="array" ref="G24">_xlfn.XLOOKUP(B24,'Up Min'!A:A,'Up Min'!B:B,)</f>
        <v>13</v>
      </c>
      <c r="H24" s="41">
        <f t="array" ref="H24">_xlfn.XLOOKUP(B24,'Up Max'!A:A,'Up Max'!B:B,)</f>
        <v>15</v>
      </c>
      <c r="I24" s="39" t="str">
        <f t="array" ref="I24">_xlfn.XLOOKUP(B24,'Up Stats'!A:A,'Up Stats'!C:C,)</f>
        <v/>
      </c>
      <c r="J24" s="40" t="str">
        <f>IFERROR(__xludf.DUMMYFUNCTION("if(AND(K24=FALSE,L24=FALSE),,if(K24=L24,JOIN("""",""Static: "",K24),JOIN("""",""Min:  "",K24, CHAR(10),""Max: "",L24)))"),"")</f>
        <v/>
      </c>
      <c r="K24" s="41" t="str">
        <f t="array" ref="K24">_xlfn.XLOOKUP(B24,'Up Min'!A:A,'Up Min'!C:C,)</f>
        <v/>
      </c>
      <c r="L24" s="41" t="str">
        <f t="array" ref="L24">_xlfn.XLOOKUP(B24,'Up Max'!A:A,'Up Max'!C:C,)</f>
        <v/>
      </c>
      <c r="M24" s="39" t="str">
        <f t="array" ref="M24">_xlfn.XLOOKUP(B24,'Up Stats'!A:A,'Up Stats'!D:D,)</f>
        <v/>
      </c>
      <c r="N24" s="40" t="str">
        <f>IFERROR(__xludf.DUMMYFUNCTION("if(AND(O24=FALSE,P24=FALSE),,if(O24=P24,JOIN("""",""Static: "",O24),JOIN("""",""Min:  "",O24, CHAR(10),""Max: "",P24)))"),"")</f>
        <v/>
      </c>
      <c r="O24" s="42" t="str">
        <f t="array" ref="O24">_xlfn.XLOOKUP(B24,'Up Min'!A:A,'Up Min'!D:D,)</f>
        <v/>
      </c>
      <c r="P24" s="42" t="str">
        <f t="array" ref="P24">_xlfn.XLOOKUP(B24,'Up Max'!A:A,'Up Max'!D:D,)</f>
        <v/>
      </c>
      <c r="Q24" s="48" t="str">
        <f t="array" ref="Q24">_xlfn.XLOOKUP(B24,'Up Stats'!A:A,'Up Stats'!E:E,)</f>
        <v/>
      </c>
      <c r="R24" s="40" t="str">
        <f>IFERROR(__xludf.DUMMYFUNCTION("if(AND(S24=FALSE,T24=FALSE),,if(S24=T24,JOIN("""",""Static: "",S24),JOIN("""",""Min:  "",S24, CHAR(10),""Max: "",T24)))"),"")</f>
        <v/>
      </c>
      <c r="S24" s="42" t="str">
        <f t="array" ref="S24">_xlfn.XLOOKUP(B24,'Up Min'!A:A,'Up Min'!E:E,)</f>
        <v/>
      </c>
      <c r="T24" s="42" t="str">
        <f t="array" ref="T24">_xlfn.XLOOKUP(B24,'Up Max'!A:A,'Up Max'!E:E,)</f>
        <v/>
      </c>
      <c r="U24" s="48" t="str">
        <f t="array" ref="U24">_xlfn.XLOOKUP(B24,'Up Stats'!A:A,'Up Stats'!F:F,)</f>
        <v/>
      </c>
      <c r="V24" s="40" t="str">
        <f>IFERROR(__xludf.DUMMYFUNCTION("if(AND(W24=FALSE,X24=FALSE),,if(W24=X24,JOIN("""",""Static: "",W24),JOIN("""",""Min:  "",W24, CHAR(10),""Max: "",X24)))"),"")</f>
        <v/>
      </c>
      <c r="W24" s="42" t="str">
        <f t="array" ref="W24">_xlfn.XLOOKUP(B24,'Up Min'!A:A,'Up Min'!F:F,)</f>
        <v/>
      </c>
      <c r="X24" s="42" t="str">
        <f t="array" ref="X24">_xlfn.XLOOKUP(B24,'Up Max'!A:A,'Up Max'!F:F,)</f>
        <v/>
      </c>
      <c r="Y24" s="48" t="str">
        <f t="array" ref="Y24">_xlfn.XLOOKUP(B24,'Up Stats'!A:A,'Up Stats'!G:G,)</f>
        <v/>
      </c>
      <c r="Z24" s="40" t="str">
        <f>IFERROR(__xludf.DUMMYFUNCTION("if(AND(AA24=FALSE,AB24=FALSE),,if(AA24=AB24,JOIN("""",""Static: "",AA24),JOIN("""",""Min:  "",AA24, CHAR(10),""Max: "",AB24)))"),"")</f>
        <v/>
      </c>
      <c r="AA24" s="42" t="str">
        <f t="array" ref="AA24">_xlfn.XLOOKUP(B24,'Up Min'!A:A,'Up Min'!G:G,)</f>
        <v/>
      </c>
      <c r="AB24" s="42" t="str">
        <f t="array" ref="AB24">_xlfn.XLOOKUP(B24,'Up Max'!A:A,'Up Max'!G:G,)</f>
        <v/>
      </c>
      <c r="AC24" s="48" t="str">
        <f t="array" ref="AC24">_xlfn.XLOOKUP(B24,'Up Stats'!A:A,'Up Stats'!H:H,)</f>
        <v/>
      </c>
      <c r="AD24" s="40" t="str">
        <f>IFERROR(__xludf.DUMMYFUNCTION("if(AND(AE24=FALSE,AF24=FALSE),,if(AE24=AF24,JOIN("""",""Static: "",AE24),JOIN("""",""Min:  "",AE24, CHAR(10),""Max: "",AF24)))"),"")</f>
        <v/>
      </c>
      <c r="AE24" s="42" t="str">
        <f t="array" ref="AE24">_xlfn.XLOOKUP(B24,'Up Min'!A:A,'Up Min'!H:H,)</f>
        <v/>
      </c>
      <c r="AF24" s="42" t="str">
        <f t="array" ref="AF24">_xlfn.XLOOKUP(B24,'Up Max'!A:A,'Up Max'!H:H,)</f>
        <v/>
      </c>
      <c r="AG24" s="48" t="str">
        <f t="array" ref="AG24">_xlfn.XLOOKUP(B24,'Up Stats'!A:A,'Up Stats'!I:I,)</f>
        <v/>
      </c>
      <c r="AH24" s="40" t="str">
        <f>IFERROR(__xludf.DUMMYFUNCTION("if(AND(AI24=FALSE,AJ24=FALSE),,if(AI24=AJ24,JOIN("""",""Static: "",AI24),JOIN("""",""Min:  "",AI24, CHAR(10),""Max: "",AJ24)))"),"")</f>
        <v/>
      </c>
      <c r="AI24" s="42" t="str">
        <f t="array" ref="AI24">_xlfn.XLOOKUP(B24,'Up Min'!A:A,'Up Min'!I:I,)</f>
        <v/>
      </c>
      <c r="AJ24" s="42" t="str">
        <f t="array" ref="AJ24">_xlfn.XLOOKUP(B24,'Up Max'!A:A,'Up Max'!I:I,)</f>
        <v/>
      </c>
      <c r="AK24" s="48" t="str">
        <f t="array" ref="AK24">_xlfn.XLOOKUP(B24,'Up Stats'!A:A,'Up Stats'!J:J,)</f>
        <v/>
      </c>
      <c r="AL24" s="40" t="str">
        <f>IFERROR(__xludf.DUMMYFUNCTION("if(AND(AM24=FALSE,AN24=FALSE),,if(AM24=AN24,JOIN("""",""Static: "",AM24),JOIN("""",""Min:  "",AM24, CHAR(10),""Max: "",AN24)))"),"")</f>
        <v/>
      </c>
      <c r="AM24" s="42" t="str">
        <f t="array" ref="AM24">_xlfn.XLOOKUP(B24,'Up Min'!A:A,'Up Min'!J:J,)</f>
        <v/>
      </c>
      <c r="AN24" s="42" t="str">
        <f t="array" ref="AN24">_xlfn.XLOOKUP(B24,'Up Max'!A:A,'Up Max'!J:J,)</f>
        <v/>
      </c>
      <c r="AO24" s="34" t="str">
        <f t="array" ref="AO24">CONCATENATE(_xlfn.XLOOKUP(B24,'Up Cells'!A:A,'Up Cells'!B:B,))</f>
        <v>4</v>
      </c>
      <c r="AP24" s="34" t="str">
        <f t="array" ref="AP24">CONCATENATE(_xlfn.XLOOKUP(B24,'Up Rarity'!A:A,'Up Rarity'!B:B,),CHAR(10),"-")</f>
        <v>Rare
-</v>
      </c>
    </row>
    <row r="25">
      <c r="A25" s="83" t="str">
        <f t="array" ref="A25">_xlfn.XLOOKUP(B25,'Up Icon'!A:A,'Up Icon'!B:B,)</f>
        <v/>
      </c>
      <c r="B25" s="61" t="str">
        <f t="array" ref="B25">HYPERLINK(_xlfn.XLOOKUP('Up Names'!L22,'Up Wiki'!A:A,'Up Wiki'!B:B,),'Up Names'!L22)</f>
        <v>Number 5, To Go</v>
      </c>
      <c r="C25" s="52" t="str">
        <f t="array" ref="C25">_xlfn.XLOOKUP(B25,'Up Desc'!A:A,'Up Desc'!B:B,)</f>
        <v>Every burst fires 5 bullets.</v>
      </c>
      <c r="D25" s="52" t="str">
        <f t="array" ref="D25">_xlfn.XLOOKUP(B25,'Up Turbo'!A:A,'Up Turbo'!B:B,)</f>
        <v>n/a</v>
      </c>
      <c r="E25" s="53" t="str">
        <f t="array" ref="E25">_xlfn.XLOOKUP(B25,'Up Stats'!A:A,'Up Stats'!B:B,)</f>
        <v>Burst Size</v>
      </c>
      <c r="F25" s="54" t="str">
        <f>IFERROR(__xludf.DUMMYFUNCTION("if(AND(G25=FALSE,H25=FALSE),,if(G25=H25,JOIN("""",""Static: "",G25),JOIN("""",""Min:  "",G25, CHAR(10),""Max: "",H25)))"),"Static: 5")</f>
        <v>Static: 5</v>
      </c>
      <c r="G25" s="55">
        <f t="array" ref="G25">_xlfn.XLOOKUP(B25,'Up Min'!A:A,'Up Min'!B:B,)</f>
        <v>5</v>
      </c>
      <c r="H25" s="56">
        <f t="array" ref="H25">_xlfn.XLOOKUP(B25,'Up Max'!A:A,'Up Max'!B:B,)</f>
        <v>5</v>
      </c>
      <c r="I25" s="53" t="str">
        <f t="array" ref="I25">_xlfn.XLOOKUP(B25,'Up Stats'!A:A,'Up Stats'!C:C,)</f>
        <v>Burst Size Increase</v>
      </c>
      <c r="J25" s="54" t="str">
        <f>IFERROR(__xludf.DUMMYFUNCTION("if(AND(K25=FALSE,L25=FALSE),,if(K25=L25,JOIN("""",""Static: "",K25),JOIN("""",""Min:  "",K25, CHAR(10),""Max: "",L25)))"),"Static: 0")</f>
        <v>Static: 0</v>
      </c>
      <c r="K25" s="55">
        <f t="array" ref="K25">_xlfn.XLOOKUP(B25,'Up Min'!A:A,'Up Min'!C:C,)</f>
        <v>0</v>
      </c>
      <c r="L25" s="55">
        <f t="array" ref="L25">_xlfn.XLOOKUP(B25,'Up Max'!A:A,'Up Max'!C:C,)</f>
        <v>0</v>
      </c>
      <c r="M25" s="57" t="str">
        <f t="array" ref="M25">_xlfn.XLOOKUP(B25,'Up Stats'!A:A,'Up Stats'!D:D,)</f>
        <v/>
      </c>
      <c r="N25" s="54" t="str">
        <f>IFERROR(__xludf.DUMMYFUNCTION("if(AND(O25=FALSE,P25=FALSE),,if(O25=P25,JOIN("""",""Static: "",O25),JOIN("""",""Min:  "",O25, CHAR(10),""Max: "",P25)))"),"")</f>
        <v/>
      </c>
      <c r="O25" s="55" t="str">
        <f t="array" ref="O25">_xlfn.XLOOKUP(B25,'Up Min'!A:A,'Up Min'!D:D,)</f>
        <v/>
      </c>
      <c r="P25" s="55" t="str">
        <f t="array" ref="P25">_xlfn.XLOOKUP(B25,'Up Max'!A:A,'Up Max'!D:D,)</f>
        <v/>
      </c>
      <c r="Q25" s="57" t="str">
        <f t="array" ref="Q25">_xlfn.XLOOKUP(B25,'Up Stats'!A:A,'Up Stats'!E:E,)</f>
        <v/>
      </c>
      <c r="R25" s="54" t="str">
        <f>IFERROR(__xludf.DUMMYFUNCTION("if(AND(S25=FALSE,T25=FALSE),,if(S25=T25,JOIN("""",""Static: "",S25),JOIN("""",""Min:  "",S25, CHAR(10),""Max: "",T25)))"),"")</f>
        <v/>
      </c>
      <c r="S25" s="55" t="str">
        <f t="array" ref="S25">_xlfn.XLOOKUP(B25,'Up Min'!A:A,'Up Min'!E:E,)</f>
        <v/>
      </c>
      <c r="T25" s="55" t="str">
        <f t="array" ref="T25">_xlfn.XLOOKUP(B25,'Up Max'!A:A,'Up Max'!E:E,)</f>
        <v/>
      </c>
      <c r="U25" s="57" t="str">
        <f t="array" ref="U25">_xlfn.XLOOKUP(B25,'Up Stats'!A:A,'Up Stats'!F:F,)</f>
        <v/>
      </c>
      <c r="V25" s="54" t="str">
        <f>IFERROR(__xludf.DUMMYFUNCTION("if(AND(W25=FALSE,X25=FALSE),,if(W25=X25,JOIN("""",""Static: "",W25),JOIN("""",""Min:  "",W25, CHAR(10),""Max: "",X25)))"),"")</f>
        <v/>
      </c>
      <c r="W25" s="55" t="str">
        <f t="array" ref="W25">_xlfn.XLOOKUP(B25,'Up Min'!A:A,'Up Min'!F:F,)</f>
        <v/>
      </c>
      <c r="X25" s="55" t="str">
        <f t="array" ref="X25">_xlfn.XLOOKUP(B25,'Up Max'!A:A,'Up Max'!F:F,)</f>
        <v/>
      </c>
      <c r="Y25" s="57" t="str">
        <f t="array" ref="Y25">_xlfn.XLOOKUP(B25,'Up Stats'!A:A,'Up Stats'!G:G,)</f>
        <v/>
      </c>
      <c r="Z25" s="54" t="str">
        <f>IFERROR(__xludf.DUMMYFUNCTION("if(AND(AA25=FALSE,AB25=FALSE),,if(AA25=AB25,JOIN("""",""Static: "",AA25),JOIN("""",""Min:  "",AA25, CHAR(10),""Max: "",AB25)))"),"")</f>
        <v/>
      </c>
      <c r="AA25" s="55" t="str">
        <f t="array" ref="AA25">_xlfn.XLOOKUP(B25,'Up Min'!A:A,'Up Min'!G:G,)</f>
        <v/>
      </c>
      <c r="AB25" s="55" t="str">
        <f t="array" ref="AB25">_xlfn.XLOOKUP(B25,'Up Max'!A:A,'Up Max'!G:G,)</f>
        <v/>
      </c>
      <c r="AC25" s="57" t="str">
        <f t="array" ref="AC25">_xlfn.XLOOKUP(B25,'Up Stats'!A:A,'Up Stats'!H:H,)</f>
        <v/>
      </c>
      <c r="AD25" s="54" t="str">
        <f>IFERROR(__xludf.DUMMYFUNCTION("if(AND(AE25=FALSE,AF25=FALSE),,if(AE25=AF25,JOIN("""",""Static: "",AE25),JOIN("""",""Min:  "",AE25, CHAR(10),""Max: "",AF25)))"),"")</f>
        <v/>
      </c>
      <c r="AE25" s="55" t="str">
        <f t="array" ref="AE25">_xlfn.XLOOKUP(B25,'Up Min'!A:A,'Up Min'!H:H,)</f>
        <v/>
      </c>
      <c r="AF25" s="55" t="str">
        <f t="array" ref="AF25">_xlfn.XLOOKUP(B25,'Up Max'!A:A,'Up Max'!H:H,)</f>
        <v/>
      </c>
      <c r="AG25" s="57" t="str">
        <f t="array" ref="AG25">_xlfn.XLOOKUP(B25,'Up Stats'!A:A,'Up Stats'!I:I,)</f>
        <v/>
      </c>
      <c r="AH25" s="54" t="str">
        <f>IFERROR(__xludf.DUMMYFUNCTION("if(AND(AI25=FALSE,AJ25=FALSE),,if(AI25=AJ25,JOIN("""",""Static: "",AI25),JOIN("""",""Min:  "",AI25, CHAR(10),""Max: "",AJ25)))"),"")</f>
        <v/>
      </c>
      <c r="AI25" s="55" t="str">
        <f t="array" ref="AI25">_xlfn.XLOOKUP(B25,'Up Min'!A:A,'Up Min'!I:I,)</f>
        <v/>
      </c>
      <c r="AJ25" s="55" t="str">
        <f t="array" ref="AJ25">_xlfn.XLOOKUP(B25,'Up Max'!A:A,'Up Max'!I:I,)</f>
        <v/>
      </c>
      <c r="AK25" s="57" t="str">
        <f t="array" ref="AK25">_xlfn.XLOOKUP(B25,'Up Stats'!A:A,'Up Stats'!J:J,)</f>
        <v/>
      </c>
      <c r="AL25" s="54" t="str">
        <f>IFERROR(__xludf.DUMMYFUNCTION("if(AND(AM25=FALSE,AN25=FALSE),,if(AM25=AN25,JOIN("""",""Static: "",AM25),JOIN("""",""Min:  "",AM25, CHAR(10),""Max: "",AN25)))"),"")</f>
        <v/>
      </c>
      <c r="AM25" s="55" t="str">
        <f t="array" ref="AM25">_xlfn.XLOOKUP(B25,'Up Min'!A:A,'Up Min'!J:J,)</f>
        <v/>
      </c>
      <c r="AN25" s="55" t="str">
        <f t="array" ref="AN25">_xlfn.XLOOKUP(B25,'Up Max'!A:A,'Up Max'!J:J,)</f>
        <v/>
      </c>
      <c r="AO25" s="51" t="str">
        <f t="array" ref="AO25">CONCATENATE(_xlfn.XLOOKUP(B25,'Up Cells'!A:A,'Up Cells'!B:B,))</f>
        <v>3</v>
      </c>
      <c r="AP25" s="51" t="str">
        <f t="array" ref="AP25">CONCATENATE(_xlfn.XLOOKUP(B25,'Up Rarity'!A:A,'Up Rarity'!B:B,),CHAR(10),"-")</f>
        <v>Rare
-</v>
      </c>
    </row>
    <row r="26">
      <c r="A26" s="83" t="str">
        <f t="array" ref="A26">_xlfn.XLOOKUP(B26,'Up Icon'!A:A,'Up Icon'!B:B,)</f>
        <v/>
      </c>
      <c r="B26" s="58" t="str">
        <f t="array" ref="B26">HYPERLINK(_xlfn.XLOOKUP('Up Names'!L23,'Up Wiki'!A:A,'Up Wiki'!B:B,),'Up Names'!L23)</f>
        <v>Queen's Cannons</v>
      </c>
      <c r="C26" s="67" t="str">
        <f t="array" ref="C26">_xlfn.XLOOKUP(B26,'Up Desc'!A:A,'Up Desc'!B:B,)</f>
        <v>Bullets have a small chance to explode on impact.</v>
      </c>
      <c r="D26" s="37" t="str">
        <f t="array" ref="D26">_xlfn.XLOOKUP(B26,'Up Turbo'!A:A,'Up Turbo'!B:B,)</f>
        <v>n/a</v>
      </c>
      <c r="E26" s="39" t="str">
        <f t="array" ref="E26">_xlfn.XLOOKUP(B26,'Up Stats'!A:A,'Up Stats'!B:B,)</f>
        <v>Chance</v>
      </c>
      <c r="F26" s="40" t="str">
        <f>IFERROR(__xludf.DUMMYFUNCTION("if(AND(G26=FALSE,H26=FALSE),,if(G26=H26,JOIN("""",""Static: "",G26),JOIN("""",""Min:  "",G26, CHAR(10),""Max: "",H26)))"),"Min:  17%
Max: 22%")</f>
        <v>Min:  17%
Max: 22%</v>
      </c>
      <c r="G26" s="41">
        <f t="array" ref="G26">_xlfn.XLOOKUP(B26,'Up Min'!A:A,'Up Min'!B:B,)</f>
        <v>0.17</v>
      </c>
      <c r="H26" s="41">
        <f t="array" ref="H26">_xlfn.XLOOKUP(B26,'Up Max'!A:A,'Up Max'!B:B,)</f>
        <v>0.22</v>
      </c>
      <c r="I26" s="39" t="str">
        <f t="array" ref="I26">_xlfn.XLOOKUP(B26,'Up Stats'!A:A,'Up Stats'!C:C,)</f>
        <v>Explosion Size</v>
      </c>
      <c r="J26" s="40" t="str">
        <f>IFERROR(__xludf.DUMMYFUNCTION("if(AND(K26=FALSE,L26=FALSE),,if(K26=L26,JOIN("""",""Static: "",K26),JOIN("""",""Min:  "",K26, CHAR(10),""Max: "",L26)))"),"Min:  0.90
Max: 1.10")</f>
        <v>Min:  0.90
Max: 1.10</v>
      </c>
      <c r="K26" s="92">
        <f t="array" ref="K26">_xlfn.XLOOKUP(B26,'Up Min'!A:A,'Up Min'!C:C,)</f>
        <v>0.9</v>
      </c>
      <c r="L26" s="92">
        <f t="array" ref="L26">_xlfn.XLOOKUP(B26,'Up Max'!A:A,'Up Max'!C:C,)</f>
        <v>1.1</v>
      </c>
      <c r="M26" s="48" t="str">
        <f t="array" ref="M26">_xlfn.XLOOKUP(B26,'Up Stats'!A:A,'Up Stats'!D:D,)</f>
        <v/>
      </c>
      <c r="N26" s="40" t="str">
        <f>IFERROR(__xludf.DUMMYFUNCTION("if(AND(O26=FALSE,P26=FALSE),,if(O26=P26,JOIN("""",""Static: "",O26),JOIN("""",""Min:  "",O26, CHAR(10),""Max: "",P26)))"),"")</f>
        <v/>
      </c>
      <c r="O26" s="42" t="str">
        <f t="array" ref="O26">_xlfn.XLOOKUP(B26,'Up Min'!A:A,'Up Min'!D:D,)</f>
        <v/>
      </c>
      <c r="P26" s="42" t="str">
        <f t="array" ref="P26">_xlfn.XLOOKUP(B26,'Up Max'!A:A,'Up Max'!D:D,)</f>
        <v/>
      </c>
      <c r="Q26" s="48" t="str">
        <f t="array" ref="Q26">_xlfn.XLOOKUP(B26,'Up Stats'!A:A,'Up Stats'!E:E,)</f>
        <v/>
      </c>
      <c r="R26" s="40" t="str">
        <f>IFERROR(__xludf.DUMMYFUNCTION("if(AND(S26=FALSE,T26=FALSE),,if(S26=T26,JOIN("""",""Static: "",S26),JOIN("""",""Min:  "",S26, CHAR(10),""Max: "",T26)))"),"")</f>
        <v/>
      </c>
      <c r="S26" s="42" t="str">
        <f t="array" ref="S26">_xlfn.XLOOKUP(B26,'Up Min'!A:A,'Up Min'!E:E,)</f>
        <v/>
      </c>
      <c r="T26" s="42" t="str">
        <f t="array" ref="T26">_xlfn.XLOOKUP(B26,'Up Max'!A:A,'Up Max'!E:E,)</f>
        <v/>
      </c>
      <c r="U26" s="48" t="str">
        <f t="array" ref="U26">_xlfn.XLOOKUP(B26,'Up Stats'!A:A,'Up Stats'!F:F,)</f>
        <v/>
      </c>
      <c r="V26" s="40" t="str">
        <f>IFERROR(__xludf.DUMMYFUNCTION("if(AND(W26=FALSE,X26=FALSE),,if(W26=X26,JOIN("""",""Static: "",W26),JOIN("""",""Min:  "",W26, CHAR(10),""Max: "",X26)))"),"")</f>
        <v/>
      </c>
      <c r="W26" s="42" t="str">
        <f t="array" ref="W26">_xlfn.XLOOKUP(B26,'Up Min'!A:A,'Up Min'!F:F,)</f>
        <v/>
      </c>
      <c r="X26" s="42" t="str">
        <f t="array" ref="X26">_xlfn.XLOOKUP(B26,'Up Max'!A:A,'Up Max'!F:F,)</f>
        <v/>
      </c>
      <c r="Y26" s="48" t="str">
        <f t="array" ref="Y26">_xlfn.XLOOKUP(B26,'Up Stats'!A:A,'Up Stats'!G:G,)</f>
        <v/>
      </c>
      <c r="Z26" s="40" t="str">
        <f>IFERROR(__xludf.DUMMYFUNCTION("if(AND(AA26=FALSE,AB26=FALSE),,if(AA26=AB26,JOIN("""",""Static: "",AA26),JOIN("""",""Min:  "",AA26, CHAR(10),""Max: "",AB26)))"),"")</f>
        <v/>
      </c>
      <c r="AA26" s="42" t="str">
        <f t="array" ref="AA26">_xlfn.XLOOKUP(B26,'Up Min'!A:A,'Up Min'!G:G,)</f>
        <v/>
      </c>
      <c r="AB26" s="42" t="str">
        <f t="array" ref="AB26">_xlfn.XLOOKUP(B26,'Up Max'!A:A,'Up Max'!G:G,)</f>
        <v/>
      </c>
      <c r="AC26" s="48" t="str">
        <f t="array" ref="AC26">_xlfn.XLOOKUP(B26,'Up Stats'!A:A,'Up Stats'!H:H,)</f>
        <v/>
      </c>
      <c r="AD26" s="40" t="str">
        <f>IFERROR(__xludf.DUMMYFUNCTION("if(AND(AE26=FALSE,AF26=FALSE),,if(AE26=AF26,JOIN("""",""Static: "",AE26),JOIN("""",""Min:  "",AE26, CHAR(10),""Max: "",AF26)))"),"")</f>
        <v/>
      </c>
      <c r="AE26" s="42" t="str">
        <f t="array" ref="AE26">_xlfn.XLOOKUP(B26,'Up Min'!A:A,'Up Min'!H:H,)</f>
        <v/>
      </c>
      <c r="AF26" s="42" t="str">
        <f t="array" ref="AF26">_xlfn.XLOOKUP(B26,'Up Max'!A:A,'Up Max'!H:H,)</f>
        <v/>
      </c>
      <c r="AG26" s="48" t="str">
        <f t="array" ref="AG26">_xlfn.XLOOKUP(B26,'Up Stats'!A:A,'Up Stats'!I:I,)</f>
        <v/>
      </c>
      <c r="AH26" s="40" t="str">
        <f>IFERROR(__xludf.DUMMYFUNCTION("if(AND(AI26=FALSE,AJ26=FALSE),,if(AI26=AJ26,JOIN("""",""Static: "",AI26),JOIN("""",""Min:  "",AI26, CHAR(10),""Max: "",AJ26)))"),"")</f>
        <v/>
      </c>
      <c r="AI26" s="42" t="str">
        <f t="array" ref="AI26">_xlfn.XLOOKUP(B26,'Up Min'!A:A,'Up Min'!I:I,)</f>
        <v/>
      </c>
      <c r="AJ26" s="42" t="str">
        <f t="array" ref="AJ26">_xlfn.XLOOKUP(B26,'Up Max'!A:A,'Up Max'!I:I,)</f>
        <v/>
      </c>
      <c r="AK26" s="48" t="str">
        <f t="array" ref="AK26">_xlfn.XLOOKUP(B26,'Up Stats'!A:A,'Up Stats'!J:J,)</f>
        <v/>
      </c>
      <c r="AL26" s="40" t="str">
        <f>IFERROR(__xludf.DUMMYFUNCTION("if(AND(AM26=FALSE,AN26=FALSE),,if(AM26=AN26,JOIN("""",""Static: "",AM26),JOIN("""",""Min:  "",AM26, CHAR(10),""Max: "",AN26)))"),"")</f>
        <v/>
      </c>
      <c r="AM26" s="42" t="str">
        <f t="array" ref="AM26">_xlfn.XLOOKUP(B26,'Up Min'!A:A,'Up Min'!J:J,)</f>
        <v/>
      </c>
      <c r="AN26" s="42" t="str">
        <f t="array" ref="AN26">_xlfn.XLOOKUP(B26,'Up Max'!A:A,'Up Max'!J:J,)</f>
        <v/>
      </c>
      <c r="AO26" s="34" t="str">
        <f t="array" ref="AO26">CONCATENATE(_xlfn.XLOOKUP(B26,'Up Cells'!A:A,'Up Cells'!B:B,))</f>
        <v>3</v>
      </c>
      <c r="AP26" s="34" t="str">
        <f t="array" ref="AP26">CONCATENATE(_xlfn.XLOOKUP(B26,'Up Rarity'!A:A,'Up Rarity'!B:B,),CHAR(10),"-")</f>
        <v>Rare
-</v>
      </c>
    </row>
    <row r="27">
      <c r="A27" s="83" t="str">
        <f t="array" ref="A27">_xlfn.XLOOKUP(B27,'Up Icon'!A:A,'Up Icon'!B:B,)</f>
        <v/>
      </c>
      <c r="B27" s="61" t="str">
        <f t="array" ref="B27">HYPERLINK(_xlfn.XLOOKUP('Up Names'!L24,'Up Wiki'!A:A,'Up Wiki'!B:B,),'Up Names'!L24)</f>
        <v>Quick Reset</v>
      </c>
      <c r="C27" s="52" t="str">
        <f t="array" ref="C27">_xlfn.XLOOKUP(B27,'Up Desc'!A:A,'Up Desc'!B:B,)</f>
        <v>Gain a burst of speed when reloading with an empty magazine.</v>
      </c>
      <c r="D27" s="52" t="str">
        <f t="array" ref="D27">_xlfn.XLOOKUP(B27,'Up Turbo'!A:A,'Up Turbo'!B:B,)</f>
        <v>n/a</v>
      </c>
      <c r="E27" s="53" t="str">
        <f t="array" ref="E27">_xlfn.XLOOKUP(B27,'Up Stats'!A:A,'Up Stats'!B:B,)</f>
        <v>Speed</v>
      </c>
      <c r="F27" s="54" t="str">
        <f>IFERROR(__xludf.DUMMYFUNCTION("if(AND(G27=FALSE,H27=FALSE),,if(G27=H27,JOIN("""",""Static: "",G27),JOIN("""",""Min:  "",G27, CHAR(10),""Max: "",H27)))"),"Min:  560%
Max: 610%")</f>
        <v>Min:  560%
Max: 610%</v>
      </c>
      <c r="G27" s="59">
        <f t="array" ref="G27">_xlfn.XLOOKUP(B27,'Up Min'!A:A,'Up Min'!B:B,)</f>
        <v>5.6</v>
      </c>
      <c r="H27" s="59">
        <f t="array" ref="H27">_xlfn.XLOOKUP(B27,'Up Max'!A:A,'Up Max'!B:B,)</f>
        <v>6.1</v>
      </c>
      <c r="I27" s="53" t="str">
        <f t="array" ref="I27">_xlfn.XLOOKUP(B27,'Up Stats'!A:A,'Up Stats'!C:C,)</f>
        <v>Duration</v>
      </c>
      <c r="J27" s="54" t="str">
        <f>IFERROR(__xludf.DUMMYFUNCTION("if(AND(K27=FALSE,L27=FALSE),,if(K27=L27,JOIN("""",""Static: "",K27),JOIN("""",""Min:  "",K27, CHAR(10),""Max: "",L27)))"),"Min:  2.90
Max: 3.10")</f>
        <v>Min:  2.90
Max: 3.10</v>
      </c>
      <c r="K27" s="90">
        <f t="array" ref="K27">_xlfn.XLOOKUP(B27,'Up Min'!A:A,'Up Min'!C:C,)</f>
        <v>2.9</v>
      </c>
      <c r="L27" s="90">
        <f t="array" ref="L27">_xlfn.XLOOKUP(B27,'Up Max'!A:A,'Up Max'!C:C,)</f>
        <v>3.1</v>
      </c>
      <c r="M27" s="57" t="str">
        <f t="array" ref="M27">_xlfn.XLOOKUP(B27,'Up Stats'!A:A,'Up Stats'!D:D,)</f>
        <v/>
      </c>
      <c r="N27" s="54" t="str">
        <f>IFERROR(__xludf.DUMMYFUNCTION("if(AND(O27=FALSE,P27=FALSE),,if(O27=P27,JOIN("""",""Static: "",O27),JOIN("""",""Min:  "",O27, CHAR(10),""Max: "",P27)))"),"")</f>
        <v/>
      </c>
      <c r="O27" s="55" t="str">
        <f t="array" ref="O27">_xlfn.XLOOKUP(B27,'Up Min'!A:A,'Up Min'!D:D,)</f>
        <v/>
      </c>
      <c r="P27" s="55" t="str">
        <f t="array" ref="P27">_xlfn.XLOOKUP(B27,'Up Max'!A:A,'Up Max'!D:D,)</f>
        <v/>
      </c>
      <c r="Q27" s="57" t="str">
        <f t="array" ref="Q27">_xlfn.XLOOKUP(B27,'Up Stats'!A:A,'Up Stats'!E:E,)</f>
        <v/>
      </c>
      <c r="R27" s="54" t="str">
        <f>IFERROR(__xludf.DUMMYFUNCTION("if(AND(S27=FALSE,T27=FALSE),,if(S27=T27,JOIN("""",""Static: "",S27),JOIN("""",""Min:  "",S27, CHAR(10),""Max: "",T27)))"),"")</f>
        <v/>
      </c>
      <c r="S27" s="55" t="str">
        <f t="array" ref="S27">_xlfn.XLOOKUP(B27,'Up Min'!A:A,'Up Min'!E:E,)</f>
        <v/>
      </c>
      <c r="T27" s="55" t="str">
        <f t="array" ref="T27">_xlfn.XLOOKUP(B27,'Up Max'!A:A,'Up Max'!E:E,)</f>
        <v/>
      </c>
      <c r="U27" s="57" t="str">
        <f t="array" ref="U27">_xlfn.XLOOKUP(B27,'Up Stats'!A:A,'Up Stats'!F:F,)</f>
        <v/>
      </c>
      <c r="V27" s="54" t="str">
        <f>IFERROR(__xludf.DUMMYFUNCTION("if(AND(W27=FALSE,X27=FALSE),,if(W27=X27,JOIN("""",""Static: "",W27),JOIN("""",""Min:  "",W27, CHAR(10),""Max: "",X27)))"),"")</f>
        <v/>
      </c>
      <c r="W27" s="55" t="str">
        <f t="array" ref="W27">_xlfn.XLOOKUP(B27,'Up Min'!A:A,'Up Min'!F:F,)</f>
        <v/>
      </c>
      <c r="X27" s="55" t="str">
        <f t="array" ref="X27">_xlfn.XLOOKUP(B27,'Up Max'!A:A,'Up Max'!F:F,)</f>
        <v/>
      </c>
      <c r="Y27" s="57" t="str">
        <f t="array" ref="Y27">_xlfn.XLOOKUP(B27,'Up Stats'!A:A,'Up Stats'!G:G,)</f>
        <v/>
      </c>
      <c r="Z27" s="54" t="str">
        <f>IFERROR(__xludf.DUMMYFUNCTION("if(AND(AA27=FALSE,AB27=FALSE),,if(AA27=AB27,JOIN("""",""Static: "",AA27),JOIN("""",""Min:  "",AA27, CHAR(10),""Max: "",AB27)))"),"")</f>
        <v/>
      </c>
      <c r="AA27" s="55" t="str">
        <f t="array" ref="AA27">_xlfn.XLOOKUP(B27,'Up Min'!A:A,'Up Min'!G:G,)</f>
        <v/>
      </c>
      <c r="AB27" s="55" t="str">
        <f t="array" ref="AB27">_xlfn.XLOOKUP(B27,'Up Max'!A:A,'Up Max'!G:G,)</f>
        <v/>
      </c>
      <c r="AC27" s="57" t="str">
        <f t="array" ref="AC27">_xlfn.XLOOKUP(B27,'Up Stats'!A:A,'Up Stats'!H:H,)</f>
        <v/>
      </c>
      <c r="AD27" s="54" t="str">
        <f>IFERROR(__xludf.DUMMYFUNCTION("if(AND(AE27=FALSE,AF27=FALSE),,if(AE27=AF27,JOIN("""",""Static: "",AE27),JOIN("""",""Min:  "",AE27, CHAR(10),""Max: "",AF27)))"),"")</f>
        <v/>
      </c>
      <c r="AE27" s="55" t="str">
        <f t="array" ref="AE27">_xlfn.XLOOKUP(B27,'Up Min'!A:A,'Up Min'!H:H,)</f>
        <v/>
      </c>
      <c r="AF27" s="55" t="str">
        <f t="array" ref="AF27">_xlfn.XLOOKUP(B27,'Up Max'!A:A,'Up Max'!H:H,)</f>
        <v/>
      </c>
      <c r="AG27" s="57" t="str">
        <f t="array" ref="AG27">_xlfn.XLOOKUP(B27,'Up Stats'!A:A,'Up Stats'!I:I,)</f>
        <v/>
      </c>
      <c r="AH27" s="54" t="str">
        <f>IFERROR(__xludf.DUMMYFUNCTION("if(AND(AI27=FALSE,AJ27=FALSE),,if(AI27=AJ27,JOIN("""",""Static: "",AI27),JOIN("""",""Min:  "",AI27, CHAR(10),""Max: "",AJ27)))"),"")</f>
        <v/>
      </c>
      <c r="AI27" s="55" t="str">
        <f t="array" ref="AI27">_xlfn.XLOOKUP(B27,'Up Min'!A:A,'Up Min'!I:I,)</f>
        <v/>
      </c>
      <c r="AJ27" s="55" t="str">
        <f t="array" ref="AJ27">_xlfn.XLOOKUP(B27,'Up Max'!A:A,'Up Max'!I:I,)</f>
        <v/>
      </c>
      <c r="AK27" s="57" t="str">
        <f t="array" ref="AK27">_xlfn.XLOOKUP(B27,'Up Stats'!A:A,'Up Stats'!J:J,)</f>
        <v/>
      </c>
      <c r="AL27" s="54" t="str">
        <f>IFERROR(__xludf.DUMMYFUNCTION("if(AND(AM27=FALSE,AN27=FALSE),,if(AM27=AN27,JOIN("""",""Static: "",AM27),JOIN("""",""Min:  "",AM27, CHAR(10),""Max: "",AN27)))"),"")</f>
        <v/>
      </c>
      <c r="AM27" s="55" t="str">
        <f t="array" ref="AM27">_xlfn.XLOOKUP(B27,'Up Min'!A:A,'Up Min'!J:J,)</f>
        <v/>
      </c>
      <c r="AN27" s="55" t="str">
        <f t="array" ref="AN27">_xlfn.XLOOKUP(B27,'Up Max'!A:A,'Up Max'!J:J,)</f>
        <v/>
      </c>
      <c r="AO27" s="51" t="str">
        <f t="array" ref="AO27">CONCATENATE(_xlfn.XLOOKUP(B27,'Up Cells'!A:A,'Up Cells'!B:B,))</f>
        <v>4</v>
      </c>
      <c r="AP27" s="51" t="str">
        <f t="array" ref="AP27">CONCATENATE(_xlfn.XLOOKUP(B27,'Up Rarity'!A:A,'Up Rarity'!B:B,),CHAR(10),"-")</f>
        <v>Rare
-</v>
      </c>
    </row>
    <row r="28">
      <c r="A28" s="83" t="str">
        <f t="array" ref="A28">_xlfn.XLOOKUP(B28,'Up Icon'!A:A,'Up Icon'!B:B,)</f>
        <v/>
      </c>
      <c r="B28" s="58" t="str">
        <f t="array" ref="B28">HYPERLINK(_xlfn.XLOOKUP('Up Names'!L25,'Up Wiki'!A:A,'Up Wiki'!B:B,),'Up Names'!L25)</f>
        <v>Shake The Nest</v>
      </c>
      <c r="C28" s="67" t="str">
        <f t="array" ref="C28">_xlfn.XLOOKUP(B28,'Up Desc'!A:A,'Up Desc'!B:B,)</f>
        <v>Generate ammo over time while sprinting. If bees are applied to your bullets, your ammo regenerates faster while airborne.</v>
      </c>
      <c r="D28" s="37" t="str">
        <f t="array" ref="D28">_xlfn.XLOOKUP(B28,'Up Turbo'!A:A,'Up Turbo'!B:B,)</f>
        <v>n/a</v>
      </c>
      <c r="E28" s="39" t="str">
        <f t="array" ref="E28">_xlfn.XLOOKUP(B28,'Up Stats'!A:A,'Up Stats'!B:B,)</f>
        <v>Ammo per Second</v>
      </c>
      <c r="F28" s="40" t="str">
        <f>IFERROR(__xludf.DUMMYFUNCTION("if(AND(G28=FALSE,H28=FALSE),,if(G28=H28,JOIN("""",""Static: "",G28),JOIN("""",""Min:  "",G28, CHAR(10),""Max: "",H28)))"),"Min:  9.0
Max: 11.0")</f>
        <v>Min:  9.0
Max: 11.0</v>
      </c>
      <c r="G28" s="97">
        <f t="array" ref="G28">_xlfn.XLOOKUP(B28,'Up Min'!A:A,'Up Min'!B:B,)</f>
        <v>9</v>
      </c>
      <c r="H28" s="97">
        <f t="array" ref="H28">_xlfn.XLOOKUP(B28,'Up Max'!A:A,'Up Max'!B:B,)</f>
        <v>11</v>
      </c>
      <c r="I28" s="39" t="str">
        <f t="array" ref="I28">_xlfn.XLOOKUP(B28,'Up Stats'!A:A,'Up Stats'!C:C,)</f>
        <v/>
      </c>
      <c r="J28" s="40" t="str">
        <f>IFERROR(__xludf.DUMMYFUNCTION("if(AND(K28=FALSE,L28=FALSE),,if(K28=L28,JOIN("""",""Static: "",K28),JOIN("""",""Min:  "",K28, CHAR(10),""Max: "",L28)))"),"")</f>
        <v/>
      </c>
      <c r="K28" s="42" t="str">
        <f t="array" ref="K28">_xlfn.XLOOKUP(B28,'Up Min'!A:A,'Up Min'!C:C,)</f>
        <v/>
      </c>
      <c r="L28" s="42" t="str">
        <f t="array" ref="L28">_xlfn.XLOOKUP(B28,'Up Max'!A:A,'Up Max'!C:C,)</f>
        <v/>
      </c>
      <c r="M28" s="48" t="str">
        <f t="array" ref="M28">_xlfn.XLOOKUP(B28,'Up Stats'!A:A,'Up Stats'!D:D,)</f>
        <v/>
      </c>
      <c r="N28" s="40" t="str">
        <f>IFERROR(__xludf.DUMMYFUNCTION("if(AND(O28=FALSE,P28=FALSE),,if(O28=P28,JOIN("""",""Static: "",O28),JOIN("""",""Min:  "",O28, CHAR(10),""Max: "",P28)))"),"")</f>
        <v/>
      </c>
      <c r="O28" s="42" t="str">
        <f t="array" ref="O28">_xlfn.XLOOKUP(B28,'Up Min'!A:A,'Up Min'!D:D,)</f>
        <v/>
      </c>
      <c r="P28" s="42" t="str">
        <f t="array" ref="P28">_xlfn.XLOOKUP(B28,'Up Max'!A:A,'Up Max'!D:D,)</f>
        <v/>
      </c>
      <c r="Q28" s="48" t="str">
        <f t="array" ref="Q28">_xlfn.XLOOKUP(B28,'Up Stats'!A:A,'Up Stats'!E:E,)</f>
        <v/>
      </c>
      <c r="R28" s="40" t="str">
        <f>IFERROR(__xludf.DUMMYFUNCTION("if(AND(S28=FALSE,T28=FALSE),,if(S28=T28,JOIN("""",""Static: "",S28),JOIN("""",""Min:  "",S28, CHAR(10),""Max: "",T28)))"),"")</f>
        <v/>
      </c>
      <c r="S28" s="42" t="str">
        <f t="array" ref="S28">_xlfn.XLOOKUP(B28,'Up Min'!A:A,'Up Min'!E:E,)</f>
        <v/>
      </c>
      <c r="T28" s="42" t="str">
        <f t="array" ref="T28">_xlfn.XLOOKUP(B28,'Up Max'!A:A,'Up Max'!E:E,)</f>
        <v/>
      </c>
      <c r="U28" s="48" t="str">
        <f t="array" ref="U28">_xlfn.XLOOKUP(B28,'Up Stats'!A:A,'Up Stats'!F:F,)</f>
        <v/>
      </c>
      <c r="V28" s="40" t="str">
        <f>IFERROR(__xludf.DUMMYFUNCTION("if(AND(W28=FALSE,X28=FALSE),,if(W28=X28,JOIN("""",""Static: "",W28),JOIN("""",""Min:  "",W28, CHAR(10),""Max: "",X28)))"),"")</f>
        <v/>
      </c>
      <c r="W28" s="42" t="str">
        <f t="array" ref="W28">_xlfn.XLOOKUP(B28,'Up Min'!A:A,'Up Min'!F:F,)</f>
        <v/>
      </c>
      <c r="X28" s="42" t="str">
        <f t="array" ref="X28">_xlfn.XLOOKUP(B28,'Up Max'!A:A,'Up Max'!F:F,)</f>
        <v/>
      </c>
      <c r="Y28" s="48" t="str">
        <f t="array" ref="Y28">_xlfn.XLOOKUP(B28,'Up Stats'!A:A,'Up Stats'!G:G,)</f>
        <v/>
      </c>
      <c r="Z28" s="40" t="str">
        <f>IFERROR(__xludf.DUMMYFUNCTION("if(AND(AA28=FALSE,AB28=FALSE),,if(AA28=AB28,JOIN("""",""Static: "",AA28),JOIN("""",""Min:  "",AA28, CHAR(10),""Max: "",AB28)))"),"")</f>
        <v/>
      </c>
      <c r="AA28" s="42" t="str">
        <f t="array" ref="AA28">_xlfn.XLOOKUP(B28,'Up Min'!A:A,'Up Min'!G:G,)</f>
        <v/>
      </c>
      <c r="AB28" s="42" t="str">
        <f t="array" ref="AB28">_xlfn.XLOOKUP(B28,'Up Max'!A:A,'Up Max'!G:G,)</f>
        <v/>
      </c>
      <c r="AC28" s="48" t="str">
        <f t="array" ref="AC28">_xlfn.XLOOKUP(B28,'Up Stats'!A:A,'Up Stats'!H:H,)</f>
        <v/>
      </c>
      <c r="AD28" s="40" t="str">
        <f>IFERROR(__xludf.DUMMYFUNCTION("if(AND(AE28=FALSE,AF28=FALSE),,if(AE28=AF28,JOIN("""",""Static: "",AE28),JOIN("""",""Min:  "",AE28, CHAR(10),""Max: "",AF28)))"),"")</f>
        <v/>
      </c>
      <c r="AE28" s="42" t="str">
        <f t="array" ref="AE28">_xlfn.XLOOKUP(B28,'Up Min'!A:A,'Up Min'!H:H,)</f>
        <v/>
      </c>
      <c r="AF28" s="42" t="str">
        <f t="array" ref="AF28">_xlfn.XLOOKUP(B28,'Up Max'!A:A,'Up Max'!H:H,)</f>
        <v/>
      </c>
      <c r="AG28" s="48" t="str">
        <f t="array" ref="AG28">_xlfn.XLOOKUP(B28,'Up Stats'!A:A,'Up Stats'!I:I,)</f>
        <v/>
      </c>
      <c r="AH28" s="40" t="str">
        <f>IFERROR(__xludf.DUMMYFUNCTION("if(AND(AI28=FALSE,AJ28=FALSE),,if(AI28=AJ28,JOIN("""",""Static: "",AI28),JOIN("""",""Min:  "",AI28, CHAR(10),""Max: "",AJ28)))"),"")</f>
        <v/>
      </c>
      <c r="AI28" s="42" t="str">
        <f t="array" ref="AI28">_xlfn.XLOOKUP(B28,'Up Min'!A:A,'Up Min'!I:I,)</f>
        <v/>
      </c>
      <c r="AJ28" s="42" t="str">
        <f t="array" ref="AJ28">_xlfn.XLOOKUP(B28,'Up Max'!A:A,'Up Max'!I:I,)</f>
        <v/>
      </c>
      <c r="AK28" s="48" t="str">
        <f t="array" ref="AK28">_xlfn.XLOOKUP(B28,'Up Stats'!A:A,'Up Stats'!J:J,)</f>
        <v/>
      </c>
      <c r="AL28" s="40" t="str">
        <f>IFERROR(__xludf.DUMMYFUNCTION("if(AND(AM28=FALSE,AN28=FALSE),,if(AM28=AN28,JOIN("""",""Static: "",AM28),JOIN("""",""Min:  "",AM28, CHAR(10),""Max: "",AN28)))"),"")</f>
        <v/>
      </c>
      <c r="AM28" s="42" t="str">
        <f t="array" ref="AM28">_xlfn.XLOOKUP(B28,'Up Min'!A:A,'Up Min'!J:J,)</f>
        <v/>
      </c>
      <c r="AN28" s="42" t="str">
        <f t="array" ref="AN28">_xlfn.XLOOKUP(B28,'Up Max'!A:A,'Up Max'!J:J,)</f>
        <v/>
      </c>
      <c r="AO28" s="34" t="str">
        <f t="array" ref="AO28">CONCATENATE(_xlfn.XLOOKUP(B28,'Up Cells'!A:A,'Up Cells'!B:B,))</f>
        <v>4</v>
      </c>
      <c r="AP28" s="34" t="str">
        <f t="array" ref="AP28">CONCATENATE(_xlfn.XLOOKUP(B28,'Up Rarity'!A:A,'Up Rarity'!B:B,),CHAR(10),"-")</f>
        <v>Rare
-</v>
      </c>
    </row>
    <row r="29">
      <c r="A29" s="83" t="str">
        <f t="array" ref="A29">_xlfn.XLOOKUP(B29,'Up Icon'!A:A,'Up Icon'!B:B,)</f>
        <v/>
      </c>
      <c r="B29" s="61" t="str">
        <f t="array" ref="B29">HYPERLINK(_xlfn.XLOOKUP('Up Names'!L26,'Up Wiki'!A:A,'Up Wiki'!B:B,),'Up Names'!L26)</f>
        <v>Shocker</v>
      </c>
      <c r="C29" s="70" t="str">
        <f t="array" ref="C29">_xlfn.XLOOKUP(B29,'Up Desc'!A:A,'Up Desc'!B:B,)</f>
        <v>Killing a target grants a stacking move speed bonus.</v>
      </c>
      <c r="D29" s="52" t="str">
        <f t="array" ref="D29">_xlfn.XLOOKUP(B29,'Up Turbo'!A:A,'Up Turbo'!B:B,)</f>
        <v>n/a</v>
      </c>
      <c r="E29" s="53" t="str">
        <f t="array" ref="E29">_xlfn.XLOOKUP(B29,'Up Stats'!A:A,'Up Stats'!B:B,)</f>
        <v>Speed</v>
      </c>
      <c r="F29" s="54" t="str">
        <f>IFERROR(__xludf.DUMMYFUNCTION("if(AND(G29=FALSE,H29=FALSE),,if(G29=H29,JOIN("""",""Static: "",G29),JOIN("""",""Min:  "",G29, CHAR(10),""Max: "",H29)))"),"Min:  180%
Max: 210%")</f>
        <v>Min:  180%
Max: 210%</v>
      </c>
      <c r="G29" s="59">
        <f t="array" ref="G29">_xlfn.XLOOKUP(B29,'Up Min'!A:A,'Up Min'!B:B,)</f>
        <v>1.8</v>
      </c>
      <c r="H29" s="59">
        <f t="array" ref="H29">_xlfn.XLOOKUP(B29,'Up Max'!A:A,'Up Max'!B:B,)</f>
        <v>2.1</v>
      </c>
      <c r="I29" s="53" t="str">
        <f t="array" ref="I29">_xlfn.XLOOKUP(B29,'Up Stats'!A:A,'Up Stats'!C:C,)</f>
        <v>Duration</v>
      </c>
      <c r="J29" s="54" t="str">
        <f>IFERROR(__xludf.DUMMYFUNCTION("if(AND(K29=FALSE,L29=FALSE),,if(K29=L29,JOIN("""",""Static: "",K29),JOIN("""",""Min:  "",K29, CHAR(10),""Max: "",L29)))"),"Min:  2.40
Max: 2.60")</f>
        <v>Min:  2.40
Max: 2.60</v>
      </c>
      <c r="K29" s="90">
        <f t="array" ref="K29">_xlfn.XLOOKUP(B29,'Up Min'!A:A,'Up Min'!C:C,)</f>
        <v>2.4</v>
      </c>
      <c r="L29" s="90">
        <f t="array" ref="L29">_xlfn.XLOOKUP(B29,'Up Max'!A:A,'Up Max'!C:C,)</f>
        <v>2.6</v>
      </c>
      <c r="M29" s="53" t="str">
        <f t="array" ref="M29">_xlfn.XLOOKUP(B29,'Up Stats'!A:A,'Up Stats'!D:D,)</f>
        <v>Max Stacks</v>
      </c>
      <c r="N29" s="54" t="str">
        <f>IFERROR(__xludf.DUMMYFUNCTION("if(AND(O29=FALSE,P29=FALSE),,if(O29=P29,JOIN("""",""Static: "",O29),JOIN("""",""Min:  "",O29, CHAR(10),""Max: "",P29)))"),"Static: 5")</f>
        <v>Static: 5</v>
      </c>
      <c r="O29" s="55">
        <f t="array" ref="O29">_xlfn.XLOOKUP(B29,'Up Min'!A:A,'Up Min'!D:D,)</f>
        <v>5</v>
      </c>
      <c r="P29" s="55">
        <f t="array" ref="P29">_xlfn.XLOOKUP(B29,'Up Max'!A:A,'Up Max'!D:D,)</f>
        <v>5</v>
      </c>
      <c r="Q29" s="57" t="str">
        <f t="array" ref="Q29">_xlfn.XLOOKUP(B29,'Up Stats'!A:A,'Up Stats'!E:E,)</f>
        <v/>
      </c>
      <c r="R29" s="54" t="str">
        <f>IFERROR(__xludf.DUMMYFUNCTION("if(AND(S29=FALSE,T29=FALSE),,if(S29=T29,JOIN("""",""Static: "",S29),JOIN("""",""Min:  "",S29, CHAR(10),""Max: "",T29)))"),"")</f>
        <v/>
      </c>
      <c r="S29" s="55" t="str">
        <f t="array" ref="S29">_xlfn.XLOOKUP(B29,'Up Min'!A:A,'Up Min'!E:E,)</f>
        <v/>
      </c>
      <c r="T29" s="55" t="str">
        <f t="array" ref="T29">_xlfn.XLOOKUP(B29,'Up Max'!A:A,'Up Max'!E:E,)</f>
        <v/>
      </c>
      <c r="U29" s="57" t="str">
        <f t="array" ref="U29">_xlfn.XLOOKUP(B29,'Up Stats'!A:A,'Up Stats'!F:F,)</f>
        <v/>
      </c>
      <c r="V29" s="54" t="str">
        <f>IFERROR(__xludf.DUMMYFUNCTION("if(AND(W29=FALSE,X29=FALSE),,if(W29=X29,JOIN("""",""Static: "",W29),JOIN("""",""Min:  "",W29, CHAR(10),""Max: "",X29)))"),"")</f>
        <v/>
      </c>
      <c r="W29" s="55" t="str">
        <f t="array" ref="W29">_xlfn.XLOOKUP(B29,'Up Min'!A:A,'Up Min'!F:F,)</f>
        <v/>
      </c>
      <c r="X29" s="55" t="str">
        <f t="array" ref="X29">_xlfn.XLOOKUP(B29,'Up Max'!A:A,'Up Max'!F:F,)</f>
        <v/>
      </c>
      <c r="Y29" s="57" t="str">
        <f t="array" ref="Y29">_xlfn.XLOOKUP(B29,'Up Stats'!A:A,'Up Stats'!G:G,)</f>
        <v/>
      </c>
      <c r="Z29" s="54" t="str">
        <f>IFERROR(__xludf.DUMMYFUNCTION("if(AND(AA29=FALSE,AB29=FALSE),,if(AA29=AB29,JOIN("""",""Static: "",AA29),JOIN("""",""Min:  "",AA29, CHAR(10),""Max: "",AB29)))"),"")</f>
        <v/>
      </c>
      <c r="AA29" s="55" t="str">
        <f t="array" ref="AA29">_xlfn.XLOOKUP(B29,'Up Min'!A:A,'Up Min'!G:G,)</f>
        <v/>
      </c>
      <c r="AB29" s="55" t="str">
        <f t="array" ref="AB29">_xlfn.XLOOKUP(B29,'Up Max'!A:A,'Up Max'!G:G,)</f>
        <v/>
      </c>
      <c r="AC29" s="57" t="str">
        <f t="array" ref="AC29">_xlfn.XLOOKUP(B29,'Up Stats'!A:A,'Up Stats'!H:H,)</f>
        <v/>
      </c>
      <c r="AD29" s="54" t="str">
        <f>IFERROR(__xludf.DUMMYFUNCTION("if(AND(AE29=FALSE,AF29=FALSE),,if(AE29=AF29,JOIN("""",""Static: "",AE29),JOIN("""",""Min:  "",AE29, CHAR(10),""Max: "",AF29)))"),"")</f>
        <v/>
      </c>
      <c r="AE29" s="55" t="str">
        <f t="array" ref="AE29">_xlfn.XLOOKUP(B29,'Up Min'!A:A,'Up Min'!H:H,)</f>
        <v/>
      </c>
      <c r="AF29" s="55" t="str">
        <f t="array" ref="AF29">_xlfn.XLOOKUP(B29,'Up Max'!A:A,'Up Max'!H:H,)</f>
        <v/>
      </c>
      <c r="AG29" s="57" t="str">
        <f t="array" ref="AG29">_xlfn.XLOOKUP(B29,'Up Stats'!A:A,'Up Stats'!I:I,)</f>
        <v/>
      </c>
      <c r="AH29" s="54" t="str">
        <f>IFERROR(__xludf.DUMMYFUNCTION("if(AND(AI29=FALSE,AJ29=FALSE),,if(AI29=AJ29,JOIN("""",""Static: "",AI29),JOIN("""",""Min:  "",AI29, CHAR(10),""Max: "",AJ29)))"),"")</f>
        <v/>
      </c>
      <c r="AI29" s="55" t="str">
        <f t="array" ref="AI29">_xlfn.XLOOKUP(B29,'Up Min'!A:A,'Up Min'!I:I,)</f>
        <v/>
      </c>
      <c r="AJ29" s="55" t="str">
        <f t="array" ref="AJ29">_xlfn.XLOOKUP(B29,'Up Max'!A:A,'Up Max'!I:I,)</f>
        <v/>
      </c>
      <c r="AK29" s="57" t="str">
        <f t="array" ref="AK29">_xlfn.XLOOKUP(B29,'Up Stats'!A:A,'Up Stats'!J:J,)</f>
        <v/>
      </c>
      <c r="AL29" s="54" t="str">
        <f>IFERROR(__xludf.DUMMYFUNCTION("if(AND(AM29=FALSE,AN29=FALSE),,if(AM29=AN29,JOIN("""",""Static: "",AM29),JOIN("""",""Min:  "",AM29, CHAR(10),""Max: "",AN29)))"),"")</f>
        <v/>
      </c>
      <c r="AM29" s="55" t="str">
        <f t="array" ref="AM29">_xlfn.XLOOKUP(B29,'Up Min'!A:A,'Up Min'!J:J,)</f>
        <v/>
      </c>
      <c r="AN29" s="55" t="str">
        <f t="array" ref="AN29">_xlfn.XLOOKUP(B29,'Up Max'!A:A,'Up Max'!J:J,)</f>
        <v/>
      </c>
      <c r="AO29" s="51" t="str">
        <f t="array" ref="AO29">CONCATENATE(_xlfn.XLOOKUP(B29,'Up Cells'!A:A,'Up Cells'!B:B,))</f>
        <v>4</v>
      </c>
      <c r="AP29" s="51" t="str">
        <f t="array" ref="AP29">CONCATENATE(_xlfn.XLOOKUP(B29,'Up Rarity'!A:A,'Up Rarity'!B:B,),CHAR(10),"-")</f>
        <v>Rare
-</v>
      </c>
    </row>
    <row r="30">
      <c r="A30" s="84" t="str">
        <f t="array" ref="A30">_xlfn.XLOOKUP(B30,'Up Icon'!A:A,'Up Icon'!B:B,)</f>
        <v/>
      </c>
      <c r="B30" s="58" t="str">
        <f t="array" ref="B30">HYPERLINK(_xlfn.XLOOKUP('Up Names'!L27,'Up Wiki'!A:A,'Up Wiki'!B:B,),'Up Names'!L27)</f>
        <v>Size Them Up</v>
      </c>
      <c r="C30" s="67" t="str">
        <f t="array" ref="C30">_xlfn.XLOOKUP(B30,'Up Desc'!A:A,'Up Desc'!B:B,)</f>
        <v>Bullet size is increased while sprinting.</v>
      </c>
      <c r="D30" s="37" t="str">
        <f t="array" ref="D30">_xlfn.XLOOKUP(B30,'Up Turbo'!A:A,'Up Turbo'!B:B,)</f>
        <v>n/a</v>
      </c>
      <c r="E30" s="39" t="str">
        <f t="array" ref="E30">_xlfn.XLOOKUP(B30,'Up Stats'!A:A,'Up Stats'!B:B,)</f>
        <v>Bullet Size</v>
      </c>
      <c r="F30" s="40" t="str">
        <f>IFERROR(__xludf.DUMMYFUNCTION("if(AND(G30=FALSE,H30=FALSE),,if(G30=H30,JOIN("""",""Static: "",G30),JOIN("""",""Min:  "",G30, CHAR(10),""Max: "",H30)))"),"Min:  87%
Max: 103%")</f>
        <v>Min:  87%
Max: 103%</v>
      </c>
      <c r="G30" s="41">
        <f t="array" ref="G30">_xlfn.XLOOKUP(B30,'Up Min'!A:A,'Up Min'!B:B,)</f>
        <v>0.87</v>
      </c>
      <c r="H30" s="41">
        <f t="array" ref="H30">_xlfn.XLOOKUP(B30,'Up Max'!A:A,'Up Max'!B:B,)</f>
        <v>1.03</v>
      </c>
      <c r="I30" s="39" t="str">
        <f t="array" ref="I30">_xlfn.XLOOKUP(B30,'Up Stats'!A:A,'Up Stats'!C:C,)</f>
        <v/>
      </c>
      <c r="J30" s="40" t="str">
        <f>IFERROR(__xludf.DUMMYFUNCTION("if(AND(K30=FALSE,L30=FALSE),,if(K30=L30,JOIN("""",""Static: "",K30),JOIN("""",""Min:  "",K30, CHAR(10),""Max: "",L30)))"),"")</f>
        <v/>
      </c>
      <c r="K30" s="42" t="str">
        <f t="array" ref="K30">_xlfn.XLOOKUP(B30,'Up Min'!A:A,'Up Min'!C:C,)</f>
        <v/>
      </c>
      <c r="L30" s="42" t="str">
        <f t="array" ref="L30">_xlfn.XLOOKUP(B30,'Up Max'!A:A,'Up Max'!C:C,)</f>
        <v/>
      </c>
      <c r="M30" s="48" t="str">
        <f t="array" ref="M30">_xlfn.XLOOKUP(B30,'Up Stats'!A:A,'Up Stats'!D:D,)</f>
        <v/>
      </c>
      <c r="N30" s="40" t="str">
        <f>IFERROR(__xludf.DUMMYFUNCTION("if(AND(O30=FALSE,P30=FALSE),,if(O30=P30,JOIN("""",""Static: "",O30),JOIN("""",""Min:  "",O30, CHAR(10),""Max: "",P30)))"),"")</f>
        <v/>
      </c>
      <c r="O30" s="42" t="str">
        <f t="array" ref="O30">_xlfn.XLOOKUP(B30,'Up Min'!A:A,'Up Min'!D:D,)</f>
        <v/>
      </c>
      <c r="P30" s="42" t="str">
        <f t="array" ref="P30">_xlfn.XLOOKUP(B30,'Up Max'!A:A,'Up Max'!D:D,)</f>
        <v/>
      </c>
      <c r="Q30" s="48" t="str">
        <f t="array" ref="Q30">_xlfn.XLOOKUP(B30,'Up Stats'!A:A,'Up Stats'!E:E,)</f>
        <v/>
      </c>
      <c r="R30" s="40" t="str">
        <f>IFERROR(__xludf.DUMMYFUNCTION("if(AND(S30=FALSE,T30=FALSE),,if(S30=T30,JOIN("""",""Static: "",S30),JOIN("""",""Min:  "",S30, CHAR(10),""Max: "",T30)))"),"")</f>
        <v/>
      </c>
      <c r="S30" s="42" t="str">
        <f t="array" ref="S30">_xlfn.XLOOKUP(B30,'Up Min'!A:A,'Up Min'!E:E,)</f>
        <v/>
      </c>
      <c r="T30" s="42" t="str">
        <f t="array" ref="T30">_xlfn.XLOOKUP(B30,'Up Max'!A:A,'Up Max'!E:E,)</f>
        <v/>
      </c>
      <c r="U30" s="48" t="str">
        <f t="array" ref="U30">_xlfn.XLOOKUP(B30,'Up Stats'!A:A,'Up Stats'!F:F,)</f>
        <v/>
      </c>
      <c r="V30" s="40" t="str">
        <f>IFERROR(__xludf.DUMMYFUNCTION("if(AND(W30=FALSE,X30=FALSE),,if(W30=X30,JOIN("""",""Static: "",W30),JOIN("""",""Min:  "",W30, CHAR(10),""Max: "",X30)))"),"")</f>
        <v/>
      </c>
      <c r="W30" s="42" t="str">
        <f t="array" ref="W30">_xlfn.XLOOKUP(B30,'Up Min'!A:A,'Up Min'!F:F,)</f>
        <v/>
      </c>
      <c r="X30" s="42" t="str">
        <f t="array" ref="X30">_xlfn.XLOOKUP(B30,'Up Max'!A:A,'Up Max'!F:F,)</f>
        <v/>
      </c>
      <c r="Y30" s="48" t="str">
        <f t="array" ref="Y30">_xlfn.XLOOKUP(B30,'Up Stats'!A:A,'Up Stats'!G:G,)</f>
        <v/>
      </c>
      <c r="Z30" s="40" t="str">
        <f>IFERROR(__xludf.DUMMYFUNCTION("if(AND(AA30=FALSE,AB30=FALSE),,if(AA30=AB30,JOIN("""",""Static: "",AA30),JOIN("""",""Min:  "",AA30, CHAR(10),""Max: "",AB30)))"),"")</f>
        <v/>
      </c>
      <c r="AA30" s="42" t="str">
        <f t="array" ref="AA30">_xlfn.XLOOKUP(B30,'Up Min'!A:A,'Up Min'!G:G,)</f>
        <v/>
      </c>
      <c r="AB30" s="42" t="str">
        <f t="array" ref="AB30">_xlfn.XLOOKUP(B30,'Up Max'!A:A,'Up Max'!G:G,)</f>
        <v/>
      </c>
      <c r="AC30" s="48" t="str">
        <f t="array" ref="AC30">_xlfn.XLOOKUP(B30,'Up Stats'!A:A,'Up Stats'!H:H,)</f>
        <v/>
      </c>
      <c r="AD30" s="40" t="str">
        <f>IFERROR(__xludf.DUMMYFUNCTION("if(AND(AE30=FALSE,AF30=FALSE),,if(AE30=AF30,JOIN("""",""Static: "",AE30),JOIN("""",""Min:  "",AE30, CHAR(10),""Max: "",AF30)))"),"")</f>
        <v/>
      </c>
      <c r="AE30" s="42" t="str">
        <f t="array" ref="AE30">_xlfn.XLOOKUP(B30,'Up Min'!A:A,'Up Min'!H:H,)</f>
        <v/>
      </c>
      <c r="AF30" s="42" t="str">
        <f t="array" ref="AF30">_xlfn.XLOOKUP(B30,'Up Max'!A:A,'Up Max'!H:H,)</f>
        <v/>
      </c>
      <c r="AG30" s="48" t="str">
        <f t="array" ref="AG30">_xlfn.XLOOKUP(B30,'Up Stats'!A:A,'Up Stats'!I:I,)</f>
        <v/>
      </c>
      <c r="AH30" s="40" t="str">
        <f>IFERROR(__xludf.DUMMYFUNCTION("if(AND(AI30=FALSE,AJ30=FALSE),,if(AI30=AJ30,JOIN("""",""Static: "",AI30),JOIN("""",""Min:  "",AI30, CHAR(10),""Max: "",AJ30)))"),"")</f>
        <v/>
      </c>
      <c r="AI30" s="42" t="str">
        <f t="array" ref="AI30">_xlfn.XLOOKUP(B30,'Up Min'!A:A,'Up Min'!I:I,)</f>
        <v/>
      </c>
      <c r="AJ30" s="42" t="str">
        <f t="array" ref="AJ30">_xlfn.XLOOKUP(B30,'Up Max'!A:A,'Up Max'!I:I,)</f>
        <v/>
      </c>
      <c r="AK30" s="48" t="str">
        <f t="array" ref="AK30">_xlfn.XLOOKUP(B30,'Up Stats'!A:A,'Up Stats'!J:J,)</f>
        <v/>
      </c>
      <c r="AL30" s="40" t="str">
        <f>IFERROR(__xludf.DUMMYFUNCTION("if(AND(AM30=FALSE,AN30=FALSE),,if(AM30=AN30,JOIN("""",""Static: "",AM30),JOIN("""",""Min:  "",AM30, CHAR(10),""Max: "",AN30)))"),"")</f>
        <v/>
      </c>
      <c r="AM30" s="42" t="str">
        <f t="array" ref="AM30">_xlfn.XLOOKUP(B30,'Up Min'!A:A,'Up Min'!J:J,)</f>
        <v/>
      </c>
      <c r="AN30" s="42" t="str">
        <f t="array" ref="AN30">_xlfn.XLOOKUP(B30,'Up Max'!A:A,'Up Max'!J:J,)</f>
        <v/>
      </c>
      <c r="AO30" s="34" t="str">
        <f t="array" ref="AO30">CONCATENATE(_xlfn.XLOOKUP(B30,'Up Cells'!A:A,'Up Cells'!B:B,))</f>
        <v>3</v>
      </c>
      <c r="AP30" s="34" t="str">
        <f t="array" ref="AP30">CONCATENATE(_xlfn.XLOOKUP(B30,'Up Rarity'!A:A,'Up Rarity'!B:B,),CHAR(10),"-")</f>
        <v>Rare
-</v>
      </c>
    </row>
    <row r="31">
      <c r="A31" s="84" t="str">
        <f t="array" ref="A31">_xlfn.XLOOKUP(B31,'Up Icon'!A:A,'Up Icon'!B:B,)</f>
        <v/>
      </c>
      <c r="B31" s="61" t="str">
        <f t="array" ref="B31">HYPERLINK(_xlfn.XLOOKUP('Up Names'!L28,'Up Wiki'!A:A,'Up Wiki'!B:B,),'Up Names'!L28)</f>
        <v>Energy Cohesion</v>
      </c>
      <c r="C31" s="52" t="str">
        <f t="array" ref="C31">_xlfn.XLOOKUP(B31,'Up Desc'!A:A,'Up Desc'!B:B,)</f>
        <v>Range is increased.</v>
      </c>
      <c r="D31" s="52" t="str">
        <f t="array" ref="D31">_xlfn.XLOOKUP(B31,'Up Turbo'!A:A,'Up Turbo'!B:B,)</f>
        <v>n/a</v>
      </c>
      <c r="E31" s="53" t="str">
        <f t="array" ref="E31">_xlfn.XLOOKUP(B31,'Up Stats'!A:A,'Up Stats'!B:B,)</f>
        <v>Range</v>
      </c>
      <c r="F31" s="54" t="str">
        <f>IFERROR(__xludf.DUMMYFUNCTION("if(AND(G31=FALSE,H31=FALSE),,if(G31=H31,JOIN("""",""Static: "",G31),JOIN("""",""Min:  "",G31, CHAR(10),""Max: "",H31)))"),"Min:  700%
Max: 1040%")</f>
        <v>Min:  700%
Max: 1040%</v>
      </c>
      <c r="G31" s="59">
        <f t="array" ref="G31">_xlfn.XLOOKUP(B31,'Up Min'!A:A,'Up Min'!B:B,)</f>
        <v>7</v>
      </c>
      <c r="H31" s="59">
        <f t="array" ref="H31">_xlfn.XLOOKUP(B31,'Up Max'!A:A,'Up Max'!B:B,)</f>
        <v>10.4</v>
      </c>
      <c r="I31" s="53" t="str">
        <f t="array" ref="I31">_xlfn.XLOOKUP(B31,'Up Stats'!A:A,'Up Stats'!C:C,)</f>
        <v/>
      </c>
      <c r="J31" s="54" t="str">
        <f>IFERROR(__xludf.DUMMYFUNCTION("if(AND(K31=FALSE,L31=FALSE),,if(K31=L31,JOIN("""",""Static: "",K31),JOIN("""",""Min:  "",K31, CHAR(10),""Max: "",L31)))"),"")</f>
        <v/>
      </c>
      <c r="K31" s="55" t="str">
        <f t="array" ref="K31">_xlfn.XLOOKUP(B31,'Up Min'!A:A,'Up Min'!C:C,)</f>
        <v/>
      </c>
      <c r="L31" s="55" t="str">
        <f t="array" ref="L31">_xlfn.XLOOKUP(B31,'Up Max'!A:A,'Up Max'!C:C,)</f>
        <v/>
      </c>
      <c r="M31" s="57" t="str">
        <f t="array" ref="M31">_xlfn.XLOOKUP(B31,'Up Stats'!A:A,'Up Stats'!D:D,)</f>
        <v/>
      </c>
      <c r="N31" s="54" t="str">
        <f>IFERROR(__xludf.DUMMYFUNCTION("if(AND(O31=FALSE,P31=FALSE),,if(O31=P31,JOIN("""",""Static: "",O31),JOIN("""",""Min:  "",O31, CHAR(10),""Max: "",P31)))"),"")</f>
        <v/>
      </c>
      <c r="O31" s="55" t="str">
        <f t="array" ref="O31">_xlfn.XLOOKUP(B31,'Up Min'!A:A,'Up Min'!D:D,)</f>
        <v/>
      </c>
      <c r="P31" s="55" t="str">
        <f t="array" ref="P31">_xlfn.XLOOKUP(B31,'Up Max'!A:A,'Up Max'!D:D,)</f>
        <v/>
      </c>
      <c r="Q31" s="57" t="str">
        <f t="array" ref="Q31">_xlfn.XLOOKUP(B31,'Up Stats'!A:A,'Up Stats'!E:E,)</f>
        <v/>
      </c>
      <c r="R31" s="54" t="str">
        <f>IFERROR(__xludf.DUMMYFUNCTION("if(AND(S31=FALSE,T31=FALSE),,if(S31=T31,JOIN("""",""Static: "",S31),JOIN("""",""Min:  "",S31, CHAR(10),""Max: "",T31)))"),"")</f>
        <v/>
      </c>
      <c r="S31" s="55" t="str">
        <f t="array" ref="S31">_xlfn.XLOOKUP(B31,'Up Min'!A:A,'Up Min'!E:E,)</f>
        <v/>
      </c>
      <c r="T31" s="55" t="str">
        <f t="array" ref="T31">_xlfn.XLOOKUP(B31,'Up Max'!A:A,'Up Max'!E:E,)</f>
        <v/>
      </c>
      <c r="U31" s="57" t="str">
        <f t="array" ref="U31">_xlfn.XLOOKUP(B31,'Up Stats'!A:A,'Up Stats'!F:F,)</f>
        <v/>
      </c>
      <c r="V31" s="54" t="str">
        <f>IFERROR(__xludf.DUMMYFUNCTION("if(AND(W31=FALSE,X31=FALSE),,if(W31=X31,JOIN("""",""Static: "",W31),JOIN("""",""Min:  "",W31, CHAR(10),""Max: "",X31)))"),"")</f>
        <v/>
      </c>
      <c r="W31" s="55" t="str">
        <f t="array" ref="W31">_xlfn.XLOOKUP(B31,'Up Min'!A:A,'Up Min'!F:F,)</f>
        <v/>
      </c>
      <c r="X31" s="55" t="str">
        <f t="array" ref="X31">_xlfn.XLOOKUP(B31,'Up Max'!A:A,'Up Max'!F:F,)</f>
        <v/>
      </c>
      <c r="Y31" s="57" t="str">
        <f t="array" ref="Y31">_xlfn.XLOOKUP(B31,'Up Stats'!A:A,'Up Stats'!G:G,)</f>
        <v/>
      </c>
      <c r="Z31" s="54" t="str">
        <f>IFERROR(__xludf.DUMMYFUNCTION("if(AND(AA31=FALSE,AB31=FALSE),,if(AA31=AB31,JOIN("""",""Static: "",AA31),JOIN("""",""Min:  "",AA31, CHAR(10),""Max: "",AB31)))"),"")</f>
        <v/>
      </c>
      <c r="AA31" s="55" t="str">
        <f t="array" ref="AA31">_xlfn.XLOOKUP(B31,'Up Min'!A:A,'Up Min'!G:G,)</f>
        <v/>
      </c>
      <c r="AB31" s="55" t="str">
        <f t="array" ref="AB31">_xlfn.XLOOKUP(B31,'Up Max'!A:A,'Up Max'!G:G,)</f>
        <v/>
      </c>
      <c r="AC31" s="57" t="str">
        <f t="array" ref="AC31">_xlfn.XLOOKUP(B31,'Up Stats'!A:A,'Up Stats'!H:H,)</f>
        <v/>
      </c>
      <c r="AD31" s="54" t="str">
        <f>IFERROR(__xludf.DUMMYFUNCTION("if(AND(AE31=FALSE,AF31=FALSE),,if(AE31=AF31,JOIN("""",""Static: "",AE31),JOIN("""",""Min:  "",AE31, CHAR(10),""Max: "",AF31)))"),"")</f>
        <v/>
      </c>
      <c r="AE31" s="55" t="str">
        <f t="array" ref="AE31">_xlfn.XLOOKUP(B31,'Up Min'!A:A,'Up Min'!H:H,)</f>
        <v/>
      </c>
      <c r="AF31" s="55" t="str">
        <f t="array" ref="AF31">_xlfn.XLOOKUP(B31,'Up Max'!A:A,'Up Max'!H:H,)</f>
        <v/>
      </c>
      <c r="AG31" s="57" t="str">
        <f t="array" ref="AG31">_xlfn.XLOOKUP(B31,'Up Stats'!A:A,'Up Stats'!I:I,)</f>
        <v/>
      </c>
      <c r="AH31" s="54" t="str">
        <f>IFERROR(__xludf.DUMMYFUNCTION("if(AND(AI31=FALSE,AJ31=FALSE),,if(AI31=AJ31,JOIN("""",""Static: "",AI31),JOIN("""",""Min:  "",AI31, CHAR(10),""Max: "",AJ31)))"),"")</f>
        <v/>
      </c>
      <c r="AI31" s="55" t="str">
        <f t="array" ref="AI31">_xlfn.XLOOKUP(B31,'Up Min'!A:A,'Up Min'!I:I,)</f>
        <v/>
      </c>
      <c r="AJ31" s="55" t="str">
        <f t="array" ref="AJ31">_xlfn.XLOOKUP(B31,'Up Max'!A:A,'Up Max'!I:I,)</f>
        <v/>
      </c>
      <c r="AK31" s="57" t="str">
        <f t="array" ref="AK31">_xlfn.XLOOKUP(B31,'Up Stats'!A:A,'Up Stats'!J:J,)</f>
        <v/>
      </c>
      <c r="AL31" s="54" t="str">
        <f>IFERROR(__xludf.DUMMYFUNCTION("if(AND(AM31=FALSE,AN31=FALSE),,if(AM31=AN31,JOIN("""",""Static: "",AM31),JOIN("""",""Min:  "",AM31, CHAR(10),""Max: "",AN31)))"),"")</f>
        <v/>
      </c>
      <c r="AM31" s="55" t="str">
        <f t="array" ref="AM31">_xlfn.XLOOKUP(B31,'Up Min'!A:A,'Up Min'!J:J,)</f>
        <v/>
      </c>
      <c r="AN31" s="55" t="str">
        <f t="array" ref="AN31">_xlfn.XLOOKUP(B31,'Up Max'!A:A,'Up Max'!J:J,)</f>
        <v/>
      </c>
      <c r="AO31" s="51" t="str">
        <f t="array" ref="AO31">CONCATENATE(_xlfn.XLOOKUP(B31,'Up Cells'!A:A,'Up Cells'!B:B,))</f>
        <v>3</v>
      </c>
      <c r="AP31" s="51" t="str">
        <f t="array" ref="AP31">CONCATENATE(_xlfn.XLOOKUP(B31,'Up Rarity'!A:A,'Up Rarity'!B:B,),CHAR(10),"-")</f>
        <v>Standard
-</v>
      </c>
    </row>
    <row r="32">
      <c r="A32" s="84" t="str">
        <f t="array" ref="A32">_xlfn.XLOOKUP(B32,'Up Icon'!A:A,'Up Icon'!B:B,)</f>
        <v/>
      </c>
      <c r="B32" s="58" t="str">
        <f t="array" ref="B32">HYPERLINK(_xlfn.XLOOKUP('Up Names'!L29,'Up Wiki'!A:A,'Up Wiki'!B:B,),'Up Names'!L29)</f>
        <v>Flash Charge</v>
      </c>
      <c r="C32" s="37" t="str">
        <f t="array" ref="C32">_xlfn.XLOOKUP(B32,'Up Desc'!A:A,'Up Desc'!B:B,)</f>
        <v>Reload speed is increased.</v>
      </c>
      <c r="D32" s="37" t="str">
        <f t="array" ref="D32">_xlfn.XLOOKUP(B32,'Up Turbo'!A:A,'Up Turbo'!B:B,)</f>
        <v>n/a</v>
      </c>
      <c r="E32" s="39" t="str">
        <f t="array" ref="E32">_xlfn.XLOOKUP(B32,'Up Stats'!A:A,'Up Stats'!B:B,)</f>
        <v>Reload Speed</v>
      </c>
      <c r="F32" s="40" t="str">
        <f>IFERROR(__xludf.DUMMYFUNCTION("if(AND(G32=FALSE,H32=FALSE),,if(G32=H32,JOIN("""",""Static: "",G32),JOIN("""",""Min:  "",G32, CHAR(10),""Max: "",H32)))"),"Min:  11.11%
Max: 7.53%")</f>
        <v>Min:  11.11%
Max: 7.53%</v>
      </c>
      <c r="G32" s="85">
        <f t="array" ref="G32">_xlfn.XLOOKUP(B32,'Up Min'!A:A,'Up Min'!B:B,)</f>
        <v>0.1111</v>
      </c>
      <c r="H32" s="85">
        <f t="array" ref="H32">_xlfn.XLOOKUP(B32,'Up Max'!A:A,'Up Max'!B:B,)</f>
        <v>0.0753</v>
      </c>
      <c r="I32" s="39" t="str">
        <f t="array" ref="I32">_xlfn.XLOOKUP(B32,'Up Stats'!A:A,'Up Stats'!C:C,)</f>
        <v/>
      </c>
      <c r="J32" s="40" t="str">
        <f>IFERROR(__xludf.DUMMYFUNCTION("if(AND(K32=FALSE,L32=FALSE),,if(K32=L32,JOIN("""",""Static: "",K32),JOIN("""",""Min:  "",K32, CHAR(10),""Max: "",L32)))"),"")</f>
        <v/>
      </c>
      <c r="K32" s="42" t="str">
        <f t="array" ref="K32">_xlfn.XLOOKUP(B32,'Up Min'!A:A,'Up Min'!C:C,)</f>
        <v/>
      </c>
      <c r="L32" s="42" t="str">
        <f t="array" ref="L32">_xlfn.XLOOKUP(B32,'Up Max'!A:A,'Up Max'!C:C,)</f>
        <v/>
      </c>
      <c r="M32" s="48" t="str">
        <f t="array" ref="M32">_xlfn.XLOOKUP(B32,'Up Stats'!A:A,'Up Stats'!D:D,)</f>
        <v/>
      </c>
      <c r="N32" s="40" t="str">
        <f>IFERROR(__xludf.DUMMYFUNCTION("if(AND(O32=FALSE,P32=FALSE),,if(O32=P32,JOIN("""",""Static: "",O32),JOIN("""",""Min:  "",O32, CHAR(10),""Max: "",P32)))"),"")</f>
        <v/>
      </c>
      <c r="O32" s="42" t="str">
        <f t="array" ref="O32">_xlfn.XLOOKUP(B32,'Up Min'!A:A,'Up Min'!D:D,)</f>
        <v/>
      </c>
      <c r="P32" s="42" t="str">
        <f t="array" ref="P32">_xlfn.XLOOKUP(B32,'Up Max'!A:A,'Up Max'!D:D,)</f>
        <v/>
      </c>
      <c r="Q32" s="48" t="str">
        <f t="array" ref="Q32">_xlfn.XLOOKUP(B32,'Up Stats'!A:A,'Up Stats'!E:E,)</f>
        <v/>
      </c>
      <c r="R32" s="40" t="str">
        <f>IFERROR(__xludf.DUMMYFUNCTION("if(AND(S32=FALSE,T32=FALSE),,if(S32=T32,JOIN("""",""Static: "",S32),JOIN("""",""Min:  "",S32, CHAR(10),""Max: "",T32)))"),"")</f>
        <v/>
      </c>
      <c r="S32" s="42" t="str">
        <f t="array" ref="S32">_xlfn.XLOOKUP(B32,'Up Min'!A:A,'Up Min'!E:E,)</f>
        <v/>
      </c>
      <c r="T32" s="42" t="str">
        <f t="array" ref="T32">_xlfn.XLOOKUP(B32,'Up Max'!A:A,'Up Max'!E:E,)</f>
        <v/>
      </c>
      <c r="U32" s="48" t="str">
        <f t="array" ref="U32">_xlfn.XLOOKUP(B32,'Up Stats'!A:A,'Up Stats'!F:F,)</f>
        <v/>
      </c>
      <c r="V32" s="40" t="str">
        <f>IFERROR(__xludf.DUMMYFUNCTION("if(AND(W32=FALSE,X32=FALSE),,if(W32=X32,JOIN("""",""Static: "",W32),JOIN("""",""Min:  "",W32, CHAR(10),""Max: "",X32)))"),"")</f>
        <v/>
      </c>
      <c r="W32" s="42" t="str">
        <f t="array" ref="W32">_xlfn.XLOOKUP(B32,'Up Min'!A:A,'Up Min'!F:F,)</f>
        <v/>
      </c>
      <c r="X32" s="42" t="str">
        <f t="array" ref="X32">_xlfn.XLOOKUP(B32,'Up Max'!A:A,'Up Max'!F:F,)</f>
        <v/>
      </c>
      <c r="Y32" s="48" t="str">
        <f t="array" ref="Y32">_xlfn.XLOOKUP(B32,'Up Stats'!A:A,'Up Stats'!G:G,)</f>
        <v/>
      </c>
      <c r="Z32" s="40" t="str">
        <f>IFERROR(__xludf.DUMMYFUNCTION("if(AND(AA32=FALSE,AB32=FALSE),,if(AA32=AB32,JOIN("""",""Static: "",AA32),JOIN("""",""Min:  "",AA32, CHAR(10),""Max: "",AB32)))"),"")</f>
        <v/>
      </c>
      <c r="AA32" s="42" t="str">
        <f t="array" ref="AA32">_xlfn.XLOOKUP(B32,'Up Min'!A:A,'Up Min'!G:G,)</f>
        <v/>
      </c>
      <c r="AB32" s="42" t="str">
        <f t="array" ref="AB32">_xlfn.XLOOKUP(B32,'Up Max'!A:A,'Up Max'!G:G,)</f>
        <v/>
      </c>
      <c r="AC32" s="48" t="str">
        <f t="array" ref="AC32">_xlfn.XLOOKUP(B32,'Up Stats'!A:A,'Up Stats'!H:H,)</f>
        <v/>
      </c>
      <c r="AD32" s="40" t="str">
        <f>IFERROR(__xludf.DUMMYFUNCTION("if(AND(AE32=FALSE,AF32=FALSE),,if(AE32=AF32,JOIN("""",""Static: "",AE32),JOIN("""",""Min:  "",AE32, CHAR(10),""Max: "",AF32)))"),"")</f>
        <v/>
      </c>
      <c r="AE32" s="42" t="str">
        <f t="array" ref="AE32">_xlfn.XLOOKUP(B32,'Up Min'!A:A,'Up Min'!H:H,)</f>
        <v/>
      </c>
      <c r="AF32" s="42" t="str">
        <f t="array" ref="AF32">_xlfn.XLOOKUP(B32,'Up Max'!A:A,'Up Max'!H:H,)</f>
        <v/>
      </c>
      <c r="AG32" s="48" t="str">
        <f t="array" ref="AG32">_xlfn.XLOOKUP(B32,'Up Stats'!A:A,'Up Stats'!I:I,)</f>
        <v/>
      </c>
      <c r="AH32" s="40" t="str">
        <f>IFERROR(__xludf.DUMMYFUNCTION("if(AND(AI32=FALSE,AJ32=FALSE),,if(AI32=AJ32,JOIN("""",""Static: "",AI32),JOIN("""",""Min:  "",AI32, CHAR(10),""Max: "",AJ32)))"),"")</f>
        <v/>
      </c>
      <c r="AI32" s="42" t="str">
        <f t="array" ref="AI32">_xlfn.XLOOKUP(B32,'Up Min'!A:A,'Up Min'!I:I,)</f>
        <v/>
      </c>
      <c r="AJ32" s="42" t="str">
        <f t="array" ref="AJ32">_xlfn.XLOOKUP(B32,'Up Max'!A:A,'Up Max'!I:I,)</f>
        <v/>
      </c>
      <c r="AK32" s="48" t="str">
        <f t="array" ref="AK32">_xlfn.XLOOKUP(B32,'Up Stats'!A:A,'Up Stats'!J:J,)</f>
        <v/>
      </c>
      <c r="AL32" s="40" t="str">
        <f>IFERROR(__xludf.DUMMYFUNCTION("if(AND(AM32=FALSE,AN32=FALSE),,if(AM32=AN32,JOIN("""",""Static: "",AM32),JOIN("""",""Min:  "",AM32, CHAR(10),""Max: "",AN32)))"),"")</f>
        <v/>
      </c>
      <c r="AM32" s="42" t="str">
        <f t="array" ref="AM32">_xlfn.XLOOKUP(B32,'Up Min'!A:A,'Up Min'!J:J,)</f>
        <v/>
      </c>
      <c r="AN32" s="42" t="str">
        <f t="array" ref="AN32">_xlfn.XLOOKUP(B32,'Up Max'!A:A,'Up Max'!J:J,)</f>
        <v/>
      </c>
      <c r="AO32" s="34" t="str">
        <f t="array" ref="AO32">CONCATENATE(_xlfn.XLOOKUP(B32,'Up Cells'!A:A,'Up Cells'!B:B,))</f>
        <v>3</v>
      </c>
      <c r="AP32" s="34" t="str">
        <f t="array" ref="AP32">CONCATENATE(_xlfn.XLOOKUP(B32,'Up Rarity'!A:A,'Up Rarity'!B:B,),CHAR(10),"-")</f>
        <v>Standard
-</v>
      </c>
    </row>
    <row r="33">
      <c r="A33" s="84" t="str">
        <f t="array" ref="A33">_xlfn.XLOOKUP(B33,'Up Icon'!A:A,'Up Icon'!B:B,)</f>
        <v/>
      </c>
      <c r="B33" s="61" t="str">
        <f t="array" ref="B33">HYPERLINK(_xlfn.XLOOKUP('Up Names'!L30,'Up Wiki'!A:A,'Up Wiki'!B:B,),'Up Names'!L30)</f>
        <v>Kinetic Optimization</v>
      </c>
      <c r="C33" s="52" t="str">
        <f t="array" ref="C33">_xlfn.XLOOKUP(B33,'Up Desc'!A:A,'Up Desc'!B:B,)</f>
        <v>Deal more damage but apply less shock.</v>
      </c>
      <c r="D33" s="52" t="str">
        <f t="array" ref="D33">_xlfn.XLOOKUP(B33,'Up Turbo'!A:A,'Up Turbo'!B:B,)</f>
        <v>n/a</v>
      </c>
      <c r="E33" s="53" t="str">
        <f t="array" ref="E33">_xlfn.XLOOKUP(B33,'Up Stats'!A:A,'Up Stats'!B:B,)</f>
        <v>Damage</v>
      </c>
      <c r="F33" s="54" t="str">
        <f>IFERROR(__xludf.DUMMYFUNCTION("if(AND(G33=FALSE,H33=FALSE),,if(G33=H33,JOIN("""",""Static: "",G33),JOIN("""",""Min:  "",G33, CHAR(10),""Max: "",H33)))"),"Min:  13.00%
Max: 16.00%")</f>
        <v>Min:  13.00%
Max: 16.00%</v>
      </c>
      <c r="G33" s="73">
        <f t="array" ref="G33">_xlfn.XLOOKUP(B33,'Up Min'!A:A,'Up Min'!B:B,)</f>
        <v>0.13</v>
      </c>
      <c r="H33" s="73">
        <f t="array" ref="H33">_xlfn.XLOOKUP(B33,'Up Max'!A:A,'Up Max'!B:B,)</f>
        <v>0.16</v>
      </c>
      <c r="I33" s="53" t="str">
        <f t="array" ref="I33">_xlfn.XLOOKUP(B33,'Up Stats'!A:A,'Up Stats'!C:C,)</f>
        <v>Element</v>
      </c>
      <c r="J33" s="54" t="str">
        <f>IFERROR(__xludf.DUMMYFUNCTION("if(AND(K33=FALSE,L33=FALSE),,if(K33=L33,JOIN("""",""Static: "",K33),JOIN("""",""Min:  "",K33, CHAR(10),""Max: "",L33)))"),"Min:  -54.00%
Max: -48.50%")</f>
        <v>Min:  -54.00%
Max: -48.50%</v>
      </c>
      <c r="K33" s="73">
        <f t="array" ref="K33">_xlfn.XLOOKUP(B33,'Up Min'!A:A,'Up Min'!C:C,)</f>
        <v>-0.54</v>
      </c>
      <c r="L33" s="73">
        <f t="array" ref="L33">_xlfn.XLOOKUP(B33,'Up Max'!A:A,'Up Max'!C:C,)</f>
        <v>-0.485</v>
      </c>
      <c r="M33" s="57" t="str">
        <f t="array" ref="M33">_xlfn.XLOOKUP(B33,'Up Stats'!A:A,'Up Stats'!D:D,)</f>
        <v/>
      </c>
      <c r="N33" s="54" t="str">
        <f>IFERROR(__xludf.DUMMYFUNCTION("if(AND(O33=FALSE,P33=FALSE),,if(O33=P33,JOIN("""",""Static: "",O33),JOIN("""",""Min:  "",O33, CHAR(10),""Max: "",P33)))"),"")</f>
        <v/>
      </c>
      <c r="O33" s="55" t="str">
        <f t="array" ref="O33">_xlfn.XLOOKUP(B33,'Up Min'!A:A,'Up Min'!D:D,)</f>
        <v/>
      </c>
      <c r="P33" s="55" t="str">
        <f t="array" ref="P33">_xlfn.XLOOKUP(B33,'Up Max'!A:A,'Up Max'!D:D,)</f>
        <v/>
      </c>
      <c r="Q33" s="57" t="str">
        <f t="array" ref="Q33">_xlfn.XLOOKUP(B33,'Up Stats'!A:A,'Up Stats'!E:E,)</f>
        <v/>
      </c>
      <c r="R33" s="54" t="str">
        <f>IFERROR(__xludf.DUMMYFUNCTION("if(AND(S33=FALSE,T33=FALSE),,if(S33=T33,JOIN("""",""Static: "",S33),JOIN("""",""Min:  "",S33, CHAR(10),""Max: "",T33)))"),"")</f>
        <v/>
      </c>
      <c r="S33" s="55" t="str">
        <f t="array" ref="S33">_xlfn.XLOOKUP(B33,'Up Min'!A:A,'Up Min'!E:E,)</f>
        <v/>
      </c>
      <c r="T33" s="55" t="str">
        <f t="array" ref="T33">_xlfn.XLOOKUP(B33,'Up Max'!A:A,'Up Max'!E:E,)</f>
        <v/>
      </c>
      <c r="U33" s="57" t="str">
        <f t="array" ref="U33">_xlfn.XLOOKUP(B33,'Up Stats'!A:A,'Up Stats'!F:F,)</f>
        <v/>
      </c>
      <c r="V33" s="54" t="str">
        <f>IFERROR(__xludf.DUMMYFUNCTION("if(AND(W33=FALSE,X33=FALSE),,if(W33=X33,JOIN("""",""Static: "",W33),JOIN("""",""Min:  "",W33, CHAR(10),""Max: "",X33)))"),"")</f>
        <v/>
      </c>
      <c r="W33" s="55" t="str">
        <f t="array" ref="W33">_xlfn.XLOOKUP(B33,'Up Min'!A:A,'Up Min'!F:F,)</f>
        <v/>
      </c>
      <c r="X33" s="55" t="str">
        <f t="array" ref="X33">_xlfn.XLOOKUP(B33,'Up Max'!A:A,'Up Max'!F:F,)</f>
        <v/>
      </c>
      <c r="Y33" s="57" t="str">
        <f t="array" ref="Y33">_xlfn.XLOOKUP(B33,'Up Stats'!A:A,'Up Stats'!G:G,)</f>
        <v/>
      </c>
      <c r="Z33" s="54" t="str">
        <f>IFERROR(__xludf.DUMMYFUNCTION("if(AND(AA33=FALSE,AB33=FALSE),,if(AA33=AB33,JOIN("""",""Static: "",AA33),JOIN("""",""Min:  "",AA33, CHAR(10),""Max: "",AB33)))"),"")</f>
        <v/>
      </c>
      <c r="AA33" s="55" t="str">
        <f t="array" ref="AA33">_xlfn.XLOOKUP(B33,'Up Min'!A:A,'Up Min'!G:G,)</f>
        <v/>
      </c>
      <c r="AB33" s="55" t="str">
        <f t="array" ref="AB33">_xlfn.XLOOKUP(B33,'Up Max'!A:A,'Up Max'!G:G,)</f>
        <v/>
      </c>
      <c r="AC33" s="57" t="str">
        <f t="array" ref="AC33">_xlfn.XLOOKUP(B33,'Up Stats'!A:A,'Up Stats'!H:H,)</f>
        <v/>
      </c>
      <c r="AD33" s="54" t="str">
        <f>IFERROR(__xludf.DUMMYFUNCTION("if(AND(AE33=FALSE,AF33=FALSE),,if(AE33=AF33,JOIN("""",""Static: "",AE33),JOIN("""",""Min:  "",AE33, CHAR(10),""Max: "",AF33)))"),"")</f>
        <v/>
      </c>
      <c r="AE33" s="55" t="str">
        <f t="array" ref="AE33">_xlfn.XLOOKUP(B33,'Up Min'!A:A,'Up Min'!H:H,)</f>
        <v/>
      </c>
      <c r="AF33" s="55" t="str">
        <f t="array" ref="AF33">_xlfn.XLOOKUP(B33,'Up Max'!A:A,'Up Max'!H:H,)</f>
        <v/>
      </c>
      <c r="AG33" s="57" t="str">
        <f t="array" ref="AG33">_xlfn.XLOOKUP(B33,'Up Stats'!A:A,'Up Stats'!I:I,)</f>
        <v/>
      </c>
      <c r="AH33" s="54" t="str">
        <f>IFERROR(__xludf.DUMMYFUNCTION("if(AND(AI33=FALSE,AJ33=FALSE),,if(AI33=AJ33,JOIN("""",""Static: "",AI33),JOIN("""",""Min:  "",AI33, CHAR(10),""Max: "",AJ33)))"),"")</f>
        <v/>
      </c>
      <c r="AI33" s="55" t="str">
        <f t="array" ref="AI33">_xlfn.XLOOKUP(B33,'Up Min'!A:A,'Up Min'!I:I,)</f>
        <v/>
      </c>
      <c r="AJ33" s="55" t="str">
        <f t="array" ref="AJ33">_xlfn.XLOOKUP(B33,'Up Max'!A:A,'Up Max'!I:I,)</f>
        <v/>
      </c>
      <c r="AK33" s="57" t="str">
        <f t="array" ref="AK33">_xlfn.XLOOKUP(B33,'Up Stats'!A:A,'Up Stats'!J:J,)</f>
        <v/>
      </c>
      <c r="AL33" s="54" t="str">
        <f>IFERROR(__xludf.DUMMYFUNCTION("if(AND(AM33=FALSE,AN33=FALSE),,if(AM33=AN33,JOIN("""",""Static: "",AM33),JOIN("""",""Min:  "",AM33, CHAR(10),""Max: "",AN33)))"),"")</f>
        <v/>
      </c>
      <c r="AM33" s="55" t="str">
        <f t="array" ref="AM33">_xlfn.XLOOKUP(B33,'Up Min'!A:A,'Up Min'!J:J,)</f>
        <v/>
      </c>
      <c r="AN33" s="55" t="str">
        <f t="array" ref="AN33">_xlfn.XLOOKUP(B33,'Up Max'!A:A,'Up Max'!J:J,)</f>
        <v/>
      </c>
      <c r="AO33" s="51" t="str">
        <f t="array" ref="AO33">CONCATENATE(_xlfn.XLOOKUP(B33,'Up Cells'!A:A,'Up Cells'!B:B,))</f>
        <v>3</v>
      </c>
      <c r="AP33" s="51" t="str">
        <f t="array" ref="AP33">CONCATENATE(_xlfn.XLOOKUP(B33,'Up Rarity'!A:A,'Up Rarity'!B:B,),CHAR(10),"-")</f>
        <v>Standard
-</v>
      </c>
    </row>
    <row r="34">
      <c r="A34" s="84" t="str">
        <f t="array" ref="A34">_xlfn.XLOOKUP(B34,'Up Icon'!A:A,'Up Icon'!B:B,)</f>
        <v/>
      </c>
      <c r="B34" s="58" t="str">
        <f t="array" ref="B34">HYPERLINK(_xlfn.XLOOKUP('Up Names'!L31,'Up Wiki'!A:A,'Up Wiki'!B:B,),'Up Names'!L31)</f>
        <v>Payload Amplifier</v>
      </c>
      <c r="C34" s="37" t="str">
        <f t="array" ref="C34">_xlfn.XLOOKUP(B34,'Up Desc'!A:A,'Up Desc'!B:B,)</f>
        <v>Bullets apply more of the elemental effect.</v>
      </c>
      <c r="D34" s="37" t="str">
        <f t="array" ref="D34">_xlfn.XLOOKUP(B34,'Up Turbo'!A:A,'Up Turbo'!B:B,)</f>
        <v>n/a</v>
      </c>
      <c r="E34" s="39" t="str">
        <f t="array" ref="E34">_xlfn.XLOOKUP(B34,'Up Stats'!A:A,'Up Stats'!B:B,)</f>
        <v>Element</v>
      </c>
      <c r="F34" s="40" t="str">
        <f>IFERROR(__xludf.DUMMYFUNCTION("if(AND(G34=FALSE,H34=FALSE),,if(G34=H34,JOIN("""",""Static: "",G34),JOIN("""",""Min:  "",G34, CHAR(10),""Max: "",H34)))"),"Min:  12.00%
Max: 14.00%")</f>
        <v>Min:  12.00%
Max: 14.00%</v>
      </c>
      <c r="G34" s="85">
        <f t="array" ref="G34">_xlfn.XLOOKUP(B34,'Up Min'!A:A,'Up Min'!B:B,)</f>
        <v>0.12</v>
      </c>
      <c r="H34" s="85">
        <f t="array" ref="H34">_xlfn.XLOOKUP(B34,'Up Max'!A:A,'Up Max'!B:B,)</f>
        <v>0.14</v>
      </c>
      <c r="I34" s="39" t="str">
        <f t="array" ref="I34">_xlfn.XLOOKUP(B34,'Up Stats'!A:A,'Up Stats'!C:C,)</f>
        <v/>
      </c>
      <c r="J34" s="40" t="str">
        <f>IFERROR(__xludf.DUMMYFUNCTION("if(AND(K34=FALSE,L34=FALSE),,if(K34=L34,JOIN("""",""Static: "",K34),JOIN("""",""Min:  "",K34, CHAR(10),""Max: "",L34)))"),"")</f>
        <v/>
      </c>
      <c r="K34" s="42" t="str">
        <f t="array" ref="K34">_xlfn.XLOOKUP(B34,'Up Min'!A:A,'Up Min'!C:C,)</f>
        <v/>
      </c>
      <c r="L34" s="42" t="str">
        <f t="array" ref="L34">_xlfn.XLOOKUP(B34,'Up Max'!A:A,'Up Max'!C:C,)</f>
        <v/>
      </c>
      <c r="M34" s="48" t="str">
        <f t="array" ref="M34">_xlfn.XLOOKUP(B34,'Up Stats'!A:A,'Up Stats'!D:D,)</f>
        <v/>
      </c>
      <c r="N34" s="40" t="str">
        <f>IFERROR(__xludf.DUMMYFUNCTION("if(AND(O34=FALSE,P34=FALSE),,if(O34=P34,JOIN("""",""Static: "",O34),JOIN("""",""Min:  "",O34, CHAR(10),""Max: "",P34)))"),"")</f>
        <v/>
      </c>
      <c r="O34" s="42" t="str">
        <f t="array" ref="O34">_xlfn.XLOOKUP(B34,'Up Min'!A:A,'Up Min'!D:D,)</f>
        <v/>
      </c>
      <c r="P34" s="42" t="str">
        <f t="array" ref="P34">_xlfn.XLOOKUP(B34,'Up Max'!A:A,'Up Max'!D:D,)</f>
        <v/>
      </c>
      <c r="Q34" s="48" t="str">
        <f t="array" ref="Q34">_xlfn.XLOOKUP(B34,'Up Stats'!A:A,'Up Stats'!E:E,)</f>
        <v/>
      </c>
      <c r="R34" s="40" t="str">
        <f>IFERROR(__xludf.DUMMYFUNCTION("if(AND(S34=FALSE,T34=FALSE),,if(S34=T34,JOIN("""",""Static: "",S34),JOIN("""",""Min:  "",S34, CHAR(10),""Max: "",T34)))"),"")</f>
        <v/>
      </c>
      <c r="S34" s="42" t="str">
        <f t="array" ref="S34">_xlfn.XLOOKUP(B34,'Up Min'!A:A,'Up Min'!E:E,)</f>
        <v/>
      </c>
      <c r="T34" s="42" t="str">
        <f t="array" ref="T34">_xlfn.XLOOKUP(B34,'Up Max'!A:A,'Up Max'!E:E,)</f>
        <v/>
      </c>
      <c r="U34" s="48" t="str">
        <f t="array" ref="U34">_xlfn.XLOOKUP(B34,'Up Stats'!A:A,'Up Stats'!F:F,)</f>
        <v/>
      </c>
      <c r="V34" s="40" t="str">
        <f>IFERROR(__xludf.DUMMYFUNCTION("if(AND(W34=FALSE,X34=FALSE),,if(W34=X34,JOIN("""",""Static: "",W34),JOIN("""",""Min:  "",W34, CHAR(10),""Max: "",X34)))"),"")</f>
        <v/>
      </c>
      <c r="W34" s="42" t="str">
        <f t="array" ref="W34">_xlfn.XLOOKUP(B34,'Up Min'!A:A,'Up Min'!F:F,)</f>
        <v/>
      </c>
      <c r="X34" s="42" t="str">
        <f t="array" ref="X34">_xlfn.XLOOKUP(B34,'Up Max'!A:A,'Up Max'!F:F,)</f>
        <v/>
      </c>
      <c r="Y34" s="48" t="str">
        <f t="array" ref="Y34">_xlfn.XLOOKUP(B34,'Up Stats'!A:A,'Up Stats'!G:G,)</f>
        <v/>
      </c>
      <c r="Z34" s="40" t="str">
        <f>IFERROR(__xludf.DUMMYFUNCTION("if(AND(AA34=FALSE,AB34=FALSE),,if(AA34=AB34,JOIN("""",""Static: "",AA34),JOIN("""",""Min:  "",AA34, CHAR(10),""Max: "",AB34)))"),"")</f>
        <v/>
      </c>
      <c r="AA34" s="42" t="str">
        <f t="array" ref="AA34">_xlfn.XLOOKUP(B34,'Up Min'!A:A,'Up Min'!G:G,)</f>
        <v/>
      </c>
      <c r="AB34" s="42" t="str">
        <f t="array" ref="AB34">_xlfn.XLOOKUP(B34,'Up Max'!A:A,'Up Max'!G:G,)</f>
        <v/>
      </c>
      <c r="AC34" s="48" t="str">
        <f t="array" ref="AC34">_xlfn.XLOOKUP(B34,'Up Stats'!A:A,'Up Stats'!H:H,)</f>
        <v/>
      </c>
      <c r="AD34" s="40" t="str">
        <f>IFERROR(__xludf.DUMMYFUNCTION("if(AND(AE34=FALSE,AF34=FALSE),,if(AE34=AF34,JOIN("""",""Static: "",AE34),JOIN("""",""Min:  "",AE34, CHAR(10),""Max: "",AF34)))"),"")</f>
        <v/>
      </c>
      <c r="AE34" s="42" t="str">
        <f t="array" ref="AE34">_xlfn.XLOOKUP(B34,'Up Min'!A:A,'Up Min'!H:H,)</f>
        <v/>
      </c>
      <c r="AF34" s="42" t="str">
        <f t="array" ref="AF34">_xlfn.XLOOKUP(B34,'Up Max'!A:A,'Up Max'!H:H,)</f>
        <v/>
      </c>
      <c r="AG34" s="48" t="str">
        <f t="array" ref="AG34">_xlfn.XLOOKUP(B34,'Up Stats'!A:A,'Up Stats'!I:I,)</f>
        <v/>
      </c>
      <c r="AH34" s="40" t="str">
        <f>IFERROR(__xludf.DUMMYFUNCTION("if(AND(AI34=FALSE,AJ34=FALSE),,if(AI34=AJ34,JOIN("""",""Static: "",AI34),JOIN("""",""Min:  "",AI34, CHAR(10),""Max: "",AJ34)))"),"")</f>
        <v/>
      </c>
      <c r="AI34" s="42" t="str">
        <f t="array" ref="AI34">_xlfn.XLOOKUP(B34,'Up Min'!A:A,'Up Min'!I:I,)</f>
        <v/>
      </c>
      <c r="AJ34" s="42" t="str">
        <f t="array" ref="AJ34">_xlfn.XLOOKUP(B34,'Up Max'!A:A,'Up Max'!I:I,)</f>
        <v/>
      </c>
      <c r="AK34" s="48" t="str">
        <f t="array" ref="AK34">_xlfn.XLOOKUP(B34,'Up Stats'!A:A,'Up Stats'!J:J,)</f>
        <v/>
      </c>
      <c r="AL34" s="40" t="str">
        <f>IFERROR(__xludf.DUMMYFUNCTION("if(AND(AM34=FALSE,AN34=FALSE),,if(AM34=AN34,JOIN("""",""Static: "",AM34),JOIN("""",""Min:  "",AM34, CHAR(10),""Max: "",AN34)))"),"")</f>
        <v/>
      </c>
      <c r="AM34" s="42" t="str">
        <f t="array" ref="AM34">_xlfn.XLOOKUP(B34,'Up Min'!A:A,'Up Min'!J:J,)</f>
        <v/>
      </c>
      <c r="AN34" s="42" t="str">
        <f t="array" ref="AN34">_xlfn.XLOOKUP(B34,'Up Max'!A:A,'Up Max'!J:J,)</f>
        <v/>
      </c>
      <c r="AO34" s="34" t="str">
        <f t="array" ref="AO34">CONCATENATE(_xlfn.XLOOKUP(B34,'Up Cells'!A:A,'Up Cells'!B:B,))</f>
        <v>3</v>
      </c>
      <c r="AP34" s="34" t="str">
        <f t="array" ref="AP34">CONCATENATE(_xlfn.XLOOKUP(B34,'Up Rarity'!A:A,'Up Rarity'!B:B,),CHAR(10),"-")</f>
        <v>Standard
-</v>
      </c>
    </row>
    <row r="35">
      <c r="A35" s="84" t="str">
        <f t="array" ref="A35">_xlfn.XLOOKUP(B35,'Up Icon'!A:A,'Up Icon'!B:B,)</f>
        <v/>
      </c>
      <c r="B35" s="61" t="str">
        <f t="array" ref="B35">HYPERLINK(_xlfn.XLOOKUP('Up Names'!L32,'Up Wiki'!A:A,'Up Wiki'!B:B,),'Up Names'!L32)</f>
        <v>Shaved Projectiles</v>
      </c>
      <c r="C35" s="52" t="str">
        <f t="array" ref="C35">_xlfn.XLOOKUP(B35,'Up Desc'!A:A,'Up Desc'!B:B,)</f>
        <v>Magazine size is increased.</v>
      </c>
      <c r="D35" s="52" t="str">
        <f t="array" ref="D35">_xlfn.XLOOKUP(B35,'Up Turbo'!A:A,'Up Turbo'!B:B,)</f>
        <v>n/a</v>
      </c>
      <c r="E35" s="53" t="str">
        <f t="array" ref="E35">_xlfn.XLOOKUP(B35,'Up Stats'!A:A,'Up Stats'!B:B,)</f>
        <v>Magazine Size</v>
      </c>
      <c r="F35" s="54" t="str">
        <f>IFERROR(__xludf.DUMMYFUNCTION("if(AND(G35=FALSE,H35=FALSE),,if(G35=H35,JOIN("""",""Static: "",G35),JOIN("""",""Min:  "",G35, CHAR(10),""Max: "",H35)))"),"Static: 8")</f>
        <v>Static: 8</v>
      </c>
      <c r="G35" s="55">
        <f t="array" ref="G35">_xlfn.XLOOKUP(B35,'Up Min'!A:A,'Up Min'!B:B,)</f>
        <v>8</v>
      </c>
      <c r="H35" s="56">
        <f t="array" ref="H35">_xlfn.XLOOKUP(B35,'Up Max'!A:A,'Up Max'!B:B,)</f>
        <v>8</v>
      </c>
      <c r="I35" s="53" t="str">
        <f t="array" ref="I35">_xlfn.XLOOKUP(B35,'Up Stats'!A:A,'Up Stats'!C:C,)</f>
        <v/>
      </c>
      <c r="J35" s="54" t="str">
        <f>IFERROR(__xludf.DUMMYFUNCTION("if(AND(K35=FALSE,L35=FALSE),,if(K35=L35,JOIN("""",""Static: "",K35),JOIN("""",""Min:  "",K35, CHAR(10),""Max: "",L35)))"),"")</f>
        <v/>
      </c>
      <c r="K35" s="55" t="str">
        <f t="array" ref="K35">_xlfn.XLOOKUP(B35,'Up Min'!A:A,'Up Min'!C:C,)</f>
        <v/>
      </c>
      <c r="L35" s="55" t="str">
        <f t="array" ref="L35">_xlfn.XLOOKUP(B35,'Up Max'!A:A,'Up Max'!C:C,)</f>
        <v/>
      </c>
      <c r="M35" s="57" t="str">
        <f t="array" ref="M35">_xlfn.XLOOKUP(B35,'Up Stats'!A:A,'Up Stats'!D:D,)</f>
        <v/>
      </c>
      <c r="N35" s="54" t="str">
        <f>IFERROR(__xludf.DUMMYFUNCTION("if(AND(O35=FALSE,P35=FALSE),,if(O35=P35,JOIN("""",""Static: "",O35),JOIN("""",""Min:  "",O35, CHAR(10),""Max: "",P35)))"),"")</f>
        <v/>
      </c>
      <c r="O35" s="55" t="str">
        <f t="array" ref="O35">_xlfn.XLOOKUP(B35,'Up Min'!A:A,'Up Min'!D:D,)</f>
        <v/>
      </c>
      <c r="P35" s="55" t="str">
        <f t="array" ref="P35">_xlfn.XLOOKUP(B35,'Up Max'!A:A,'Up Max'!D:D,)</f>
        <v/>
      </c>
      <c r="Q35" s="57" t="str">
        <f t="array" ref="Q35">_xlfn.XLOOKUP(B35,'Up Stats'!A:A,'Up Stats'!E:E,)</f>
        <v/>
      </c>
      <c r="R35" s="54" t="str">
        <f>IFERROR(__xludf.DUMMYFUNCTION("if(AND(S35=FALSE,T35=FALSE),,if(S35=T35,JOIN("""",""Static: "",S35),JOIN("""",""Min:  "",S35, CHAR(10),""Max: "",T35)))"),"")</f>
        <v/>
      </c>
      <c r="S35" s="55" t="str">
        <f t="array" ref="S35">_xlfn.XLOOKUP(B35,'Up Min'!A:A,'Up Min'!E:E,)</f>
        <v/>
      </c>
      <c r="T35" s="55" t="str">
        <f t="array" ref="T35">_xlfn.XLOOKUP(B35,'Up Max'!A:A,'Up Max'!E:E,)</f>
        <v/>
      </c>
      <c r="U35" s="57" t="str">
        <f t="array" ref="U35">_xlfn.XLOOKUP(B35,'Up Stats'!A:A,'Up Stats'!F:F,)</f>
        <v/>
      </c>
      <c r="V35" s="54" t="str">
        <f>IFERROR(__xludf.DUMMYFUNCTION("if(AND(W35=FALSE,X35=FALSE),,if(W35=X35,JOIN("""",""Static: "",W35),JOIN("""",""Min:  "",W35, CHAR(10),""Max: "",X35)))"),"")</f>
        <v/>
      </c>
      <c r="W35" s="55" t="str">
        <f t="array" ref="W35">_xlfn.XLOOKUP(B35,'Up Min'!A:A,'Up Min'!F:F,)</f>
        <v/>
      </c>
      <c r="X35" s="55" t="str">
        <f t="array" ref="X35">_xlfn.XLOOKUP(B35,'Up Max'!A:A,'Up Max'!F:F,)</f>
        <v/>
      </c>
      <c r="Y35" s="57" t="str">
        <f t="array" ref="Y35">_xlfn.XLOOKUP(B35,'Up Stats'!A:A,'Up Stats'!G:G,)</f>
        <v/>
      </c>
      <c r="Z35" s="54" t="str">
        <f>IFERROR(__xludf.DUMMYFUNCTION("if(AND(AA35=FALSE,AB35=FALSE),,if(AA35=AB35,JOIN("""",""Static: "",AA35),JOIN("""",""Min:  "",AA35, CHAR(10),""Max: "",AB35)))"),"")</f>
        <v/>
      </c>
      <c r="AA35" s="55" t="str">
        <f t="array" ref="AA35">_xlfn.XLOOKUP(B35,'Up Min'!A:A,'Up Min'!G:G,)</f>
        <v/>
      </c>
      <c r="AB35" s="55" t="str">
        <f t="array" ref="AB35">_xlfn.XLOOKUP(B35,'Up Max'!A:A,'Up Max'!G:G,)</f>
        <v/>
      </c>
      <c r="AC35" s="57" t="str">
        <f t="array" ref="AC35">_xlfn.XLOOKUP(B35,'Up Stats'!A:A,'Up Stats'!H:H,)</f>
        <v/>
      </c>
      <c r="AD35" s="54" t="str">
        <f>IFERROR(__xludf.DUMMYFUNCTION("if(AND(AE35=FALSE,AF35=FALSE),,if(AE35=AF35,JOIN("""",""Static: "",AE35),JOIN("""",""Min:  "",AE35, CHAR(10),""Max: "",AF35)))"),"")</f>
        <v/>
      </c>
      <c r="AE35" s="55" t="str">
        <f t="array" ref="AE35">_xlfn.XLOOKUP(B35,'Up Min'!A:A,'Up Min'!H:H,)</f>
        <v/>
      </c>
      <c r="AF35" s="55" t="str">
        <f t="array" ref="AF35">_xlfn.XLOOKUP(B35,'Up Max'!A:A,'Up Max'!H:H,)</f>
        <v/>
      </c>
      <c r="AG35" s="57" t="str">
        <f t="array" ref="AG35">_xlfn.XLOOKUP(B35,'Up Stats'!A:A,'Up Stats'!I:I,)</f>
        <v/>
      </c>
      <c r="AH35" s="54" t="str">
        <f>IFERROR(__xludf.DUMMYFUNCTION("if(AND(AI35=FALSE,AJ35=FALSE),,if(AI35=AJ35,JOIN("""",""Static: "",AI35),JOIN("""",""Min:  "",AI35, CHAR(10),""Max: "",AJ35)))"),"")</f>
        <v/>
      </c>
      <c r="AI35" s="55" t="str">
        <f t="array" ref="AI35">_xlfn.XLOOKUP(B35,'Up Min'!A:A,'Up Min'!I:I,)</f>
        <v/>
      </c>
      <c r="AJ35" s="55" t="str">
        <f t="array" ref="AJ35">_xlfn.XLOOKUP(B35,'Up Max'!A:A,'Up Max'!I:I,)</f>
        <v/>
      </c>
      <c r="AK35" s="57" t="str">
        <f t="array" ref="AK35">_xlfn.XLOOKUP(B35,'Up Stats'!A:A,'Up Stats'!J:J,)</f>
        <v/>
      </c>
      <c r="AL35" s="54" t="str">
        <f>IFERROR(__xludf.DUMMYFUNCTION("if(AND(AM35=FALSE,AN35=FALSE),,if(AM35=AN35,JOIN("""",""Static: "",AM35),JOIN("""",""Min:  "",AM35, CHAR(10),""Max: "",AN35)))"),"")</f>
        <v/>
      </c>
      <c r="AM35" s="55" t="str">
        <f t="array" ref="AM35">_xlfn.XLOOKUP(B35,'Up Min'!A:A,'Up Min'!J:J,)</f>
        <v/>
      </c>
      <c r="AN35" s="55" t="str">
        <f t="array" ref="AN35">_xlfn.XLOOKUP(B35,'Up Max'!A:A,'Up Max'!J:J,)</f>
        <v/>
      </c>
      <c r="AO35" s="51" t="str">
        <f t="array" ref="AO35">CONCATENATE(_xlfn.XLOOKUP(B35,'Up Cells'!A:A,'Up Cells'!B:B,))</f>
        <v>3</v>
      </c>
      <c r="AP35" s="51" t="str">
        <f t="array" ref="AP35">CONCATENATE(_xlfn.XLOOKUP(B35,'Up Rarity'!A:A,'Up Rarity'!B:B,),CHAR(10),"-")</f>
        <v>Standard
-</v>
      </c>
    </row>
    <row r="36">
      <c r="A36" s="87" t="str">
        <f t="array" ref="A36">_xlfn.XLOOKUP(B36,'Up Icon'!A:A,'Up Icon'!B:B,)</f>
        <v/>
      </c>
      <c r="B36" s="58" t="str">
        <f t="array" ref="B36">HYPERLINK(_xlfn.XLOOKUP('Up Names'!L36,'Up Wiki'!A:A,'Up Wiki'!B:B,),'Up Names'!L36)</f>
        <v/>
      </c>
      <c r="C36" s="37" t="str">
        <f t="array" ref="C36">_xlfn.XLOOKUP(B36,'Up Desc'!A:A,'Up Desc'!B:B,)</f>
        <v/>
      </c>
      <c r="D36" s="37" t="str">
        <f t="array" ref="D36">_xlfn.XLOOKUP(B36,'Up Turbo'!A:A,'Up Turbo'!B:B,)</f>
        <v/>
      </c>
      <c r="E36" s="39" t="str">
        <f t="array" ref="E36">_xlfn.XLOOKUP(B36,'Up Stats'!A:A,'Up Stats'!B:B,)</f>
        <v/>
      </c>
      <c r="F36" s="40" t="str">
        <f>IFERROR(__xludf.DUMMYFUNCTION("if(AND(G36=FALSE,H36=FALSE),,if(G36=H36,JOIN("""",""Static: "",G36),JOIN("""",""Min:  "",G36, CHAR(10),""Max: "",H36)))"),"")</f>
        <v/>
      </c>
      <c r="G36" s="42" t="str">
        <f t="array" ref="G36">_xlfn.XLOOKUP(B36,'Up Min'!A:A,'Up Min'!B:B,)</f>
        <v/>
      </c>
      <c r="H36" s="45" t="str">
        <f t="array" ref="H36">_xlfn.XLOOKUP(B36,'Up Max'!A:A,'Up Max'!B:B,)</f>
        <v/>
      </c>
      <c r="I36" s="39" t="str">
        <f t="array" ref="I36">_xlfn.XLOOKUP(B36,'Up Stats'!A:A,'Up Stats'!C:C,)</f>
        <v/>
      </c>
      <c r="J36" s="40" t="str">
        <f>IFERROR(__xludf.DUMMYFUNCTION("if(AND(K36=FALSE,L36=FALSE),,if(K36=L36,JOIN("""",""Static: "",K36),JOIN("""",""Min:  "",K36, CHAR(10),""Max: "",L36)))"),"")</f>
        <v/>
      </c>
      <c r="K36" s="42" t="str">
        <f t="array" ref="K36">_xlfn.XLOOKUP(B36,'Up Min'!A:A,'Up Min'!C:C,)</f>
        <v/>
      </c>
      <c r="L36" s="42" t="str">
        <f t="array" ref="L36">_xlfn.XLOOKUP(B36,'Up Max'!A:A,'Up Max'!C:C,)</f>
        <v/>
      </c>
      <c r="M36" s="48" t="str">
        <f t="array" ref="M36">_xlfn.XLOOKUP(B36,'Up Stats'!A:A,'Up Stats'!D:D,)</f>
        <v/>
      </c>
      <c r="N36" s="40" t="str">
        <f>IFERROR(__xludf.DUMMYFUNCTION("if(AND(O36=FALSE,P36=FALSE),,if(O36=P36,JOIN("""",""Static: "",O36),JOIN("""",""Min:  "",O36, CHAR(10),""Max: "",P36)))"),"")</f>
        <v/>
      </c>
      <c r="O36" s="42" t="str">
        <f t="array" ref="O36">_xlfn.XLOOKUP(B36,'Up Min'!A:A,'Up Min'!D:D,)</f>
        <v/>
      </c>
      <c r="P36" s="42" t="str">
        <f t="array" ref="P36">_xlfn.XLOOKUP(B36,'Up Max'!A:A,'Up Max'!D:D,)</f>
        <v/>
      </c>
      <c r="Q36" s="48" t="str">
        <f t="array" ref="Q36">_xlfn.XLOOKUP(B36,'Up Stats'!A:A,'Up Stats'!E:E,)</f>
        <v/>
      </c>
      <c r="R36" s="40" t="str">
        <f>IFERROR(__xludf.DUMMYFUNCTION("if(AND(S36=FALSE,T36=FALSE),,if(S36=T36,JOIN("""",""Static: "",S36),JOIN("""",""Min:  "",S36, CHAR(10),""Max: "",T36)))"),"")</f>
        <v/>
      </c>
      <c r="S36" s="42" t="str">
        <f t="array" ref="S36">_xlfn.XLOOKUP(B36,'Up Min'!A:A,'Up Min'!E:E,)</f>
        <v/>
      </c>
      <c r="T36" s="42" t="str">
        <f t="array" ref="T36">_xlfn.XLOOKUP(B36,'Up Max'!A:A,'Up Max'!E:E,)</f>
        <v/>
      </c>
      <c r="U36" s="48" t="str">
        <f t="array" ref="U36">_xlfn.XLOOKUP(B36,'Up Stats'!A:A,'Up Stats'!F:F,)</f>
        <v/>
      </c>
      <c r="V36" s="40" t="str">
        <f>IFERROR(__xludf.DUMMYFUNCTION("if(AND(W36=FALSE,X36=FALSE),,if(W36=X36,JOIN("""",""Static: "",W36),JOIN("""",""Min:  "",W36, CHAR(10),""Max: "",X36)))"),"")</f>
        <v/>
      </c>
      <c r="W36" s="42" t="str">
        <f t="array" ref="W36">_xlfn.XLOOKUP(B36,'Up Min'!A:A,'Up Min'!F:F,)</f>
        <v/>
      </c>
      <c r="X36" s="42" t="str">
        <f t="array" ref="X36">_xlfn.XLOOKUP(B36,'Up Max'!A:A,'Up Max'!F:F,)</f>
        <v/>
      </c>
      <c r="Y36" s="48" t="str">
        <f t="array" ref="Y36">_xlfn.XLOOKUP(B36,'Up Stats'!A:A,'Up Stats'!G:G,)</f>
        <v/>
      </c>
      <c r="Z36" s="40" t="str">
        <f>IFERROR(__xludf.DUMMYFUNCTION("if(AND(AA36=FALSE,AB36=FALSE),,if(AA36=AB36,JOIN("""",""Static: "",AA36),JOIN("""",""Min:  "",AA36, CHAR(10),""Max: "",AB36)))"),"")</f>
        <v/>
      </c>
      <c r="AA36" s="42" t="str">
        <f t="array" ref="AA36">_xlfn.XLOOKUP(B36,'Up Min'!A:A,'Up Min'!G:G,)</f>
        <v/>
      </c>
      <c r="AB36" s="42" t="str">
        <f t="array" ref="AB36">_xlfn.XLOOKUP(B36,'Up Max'!A:A,'Up Max'!G:G,)</f>
        <v/>
      </c>
      <c r="AC36" s="48" t="str">
        <f t="array" ref="AC36">_xlfn.XLOOKUP(B36,'Up Stats'!A:A,'Up Stats'!H:H,)</f>
        <v/>
      </c>
      <c r="AD36" s="40" t="str">
        <f>IFERROR(__xludf.DUMMYFUNCTION("if(AND(AE36=FALSE,AF36=FALSE),,if(AE36=AF36,JOIN("""",""Static: "",AE36),JOIN("""",""Min:  "",AE36, CHAR(10),""Max: "",AF36)))"),"")</f>
        <v/>
      </c>
      <c r="AE36" s="42" t="str">
        <f t="array" ref="AE36">_xlfn.XLOOKUP(B36,'Up Min'!A:A,'Up Min'!H:H,)</f>
        <v/>
      </c>
      <c r="AF36" s="42" t="str">
        <f t="array" ref="AF36">_xlfn.XLOOKUP(B36,'Up Max'!A:A,'Up Max'!H:H,)</f>
        <v/>
      </c>
      <c r="AG36" s="48" t="str">
        <f t="array" ref="AG36">_xlfn.XLOOKUP(B36,'Up Stats'!A:A,'Up Stats'!I:I,)</f>
        <v/>
      </c>
      <c r="AH36" s="40" t="str">
        <f>IFERROR(__xludf.DUMMYFUNCTION("if(AND(AI36=FALSE,AJ36=FALSE),,if(AI36=AJ36,JOIN("""",""Static: "",AI36),JOIN("""",""Min:  "",AI36, CHAR(10),""Max: "",AJ36)))"),"")</f>
        <v/>
      </c>
      <c r="AI36" s="42" t="str">
        <f t="array" ref="AI36">_xlfn.XLOOKUP(B36,'Up Min'!A:A,'Up Min'!I:I,)</f>
        <v/>
      </c>
      <c r="AJ36" s="42" t="str">
        <f t="array" ref="AJ36">_xlfn.XLOOKUP(B36,'Up Max'!A:A,'Up Max'!I:I,)</f>
        <v/>
      </c>
      <c r="AK36" s="48" t="str">
        <f t="array" ref="AK36">_xlfn.XLOOKUP(B36,'Up Stats'!A:A,'Up Stats'!J:J,)</f>
        <v/>
      </c>
      <c r="AL36" s="40" t="str">
        <f>IFERROR(__xludf.DUMMYFUNCTION("if(AND(AM36=FALSE,AN36=FALSE),,if(AM36=AN36,JOIN("""",""Static: "",AM36),JOIN("""",""Min:  "",AM36, CHAR(10),""Max: "",AN36)))"),"")</f>
        <v/>
      </c>
      <c r="AM36" s="42" t="str">
        <f t="array" ref="AM36">_xlfn.XLOOKUP(B36,'Up Min'!A:A,'Up Min'!J:J,)</f>
        <v/>
      </c>
      <c r="AN36" s="42" t="str">
        <f t="array" ref="AN36">_xlfn.XLOOKUP(B36,'Up Max'!A:A,'Up Max'!J:J,)</f>
        <v/>
      </c>
      <c r="AO36" s="34" t="str">
        <f t="array" ref="AO36">CONCATENATE(_xlfn.XLOOKUP(B36,'Up Cells'!A:A,'Up Cells'!B:B,))</f>
        <v/>
      </c>
      <c r="AP36" s="34" t="str">
        <f t="array" ref="AP36">CONCATENATE(_xlfn.XLOOKUP(B36,'Up Rarity'!A:A,'Up Rarity'!B:B,),CHAR(10),"-")</f>
        <v>
-</v>
      </c>
    </row>
    <row r="37">
      <c r="A37" s="86" t="str">
        <f t="array" ref="A37">_xlfn.XLOOKUP(B37,'Up Icon'!A:A,'Up Icon'!B:B,)</f>
        <v/>
      </c>
      <c r="B37" s="61" t="str">
        <f t="array" ref="B37">HYPERLINK(_xlfn.XLOOKUP('Up Names'!L37,'Up Wiki'!A:A,'Up Wiki'!B:B,),'Up Names'!L37)</f>
        <v/>
      </c>
      <c r="C37" s="52" t="str">
        <f t="array" ref="C37">_xlfn.XLOOKUP(B37,'Up Desc'!A:A,'Up Desc'!B:B,)</f>
        <v/>
      </c>
      <c r="D37" s="52" t="str">
        <f t="array" ref="D37">_xlfn.XLOOKUP(B37,'Up Turbo'!A:A,'Up Turbo'!B:B,)</f>
        <v/>
      </c>
      <c r="E37" s="53" t="str">
        <f t="array" ref="E37">_xlfn.XLOOKUP(B37,'Up Stats'!A:A,'Up Stats'!B:B,)</f>
        <v/>
      </c>
      <c r="F37" s="54" t="str">
        <f>IFERROR(__xludf.DUMMYFUNCTION("if(AND(G37=FALSE,H37=FALSE),,if(G37=H37,JOIN("""",""Static: "",G37),JOIN("""",""Min:  "",G37, CHAR(10),""Max: "",H37)))"),"")</f>
        <v/>
      </c>
      <c r="G37" s="55" t="str">
        <f t="array" ref="G37">_xlfn.XLOOKUP(B37,'Up Min'!A:A,'Up Min'!B:B,)</f>
        <v/>
      </c>
      <c r="H37" s="56" t="str">
        <f t="array" ref="H37">_xlfn.XLOOKUP(B37,'Up Max'!A:A,'Up Max'!B:B,)</f>
        <v/>
      </c>
      <c r="I37" s="53" t="str">
        <f t="array" ref="I37">_xlfn.XLOOKUP(B37,'Up Stats'!A:A,'Up Stats'!C:C,)</f>
        <v/>
      </c>
      <c r="J37" s="54" t="str">
        <f>IFERROR(__xludf.DUMMYFUNCTION("if(AND(K37=FALSE,L37=FALSE),,if(K37=L37,JOIN("""",""Static: "",K37),JOIN("""",""Min:  "",K37, CHAR(10),""Max: "",L37)))"),"")</f>
        <v/>
      </c>
      <c r="K37" s="55" t="str">
        <f t="array" ref="K37">_xlfn.XLOOKUP(B37,'Up Min'!A:A,'Up Min'!C:C,)</f>
        <v/>
      </c>
      <c r="L37" s="55" t="str">
        <f t="array" ref="L37">_xlfn.XLOOKUP(B37,'Up Max'!A:A,'Up Max'!C:C,)</f>
        <v/>
      </c>
      <c r="M37" s="57" t="str">
        <f t="array" ref="M37">_xlfn.XLOOKUP(B37,'Up Stats'!A:A,'Up Stats'!D:D,)</f>
        <v/>
      </c>
      <c r="N37" s="54" t="str">
        <f>IFERROR(__xludf.DUMMYFUNCTION("if(AND(O37=FALSE,P37=FALSE),,if(O37=P37,JOIN("""",""Static: "",O37),JOIN("""",""Min:  "",O37, CHAR(10),""Max: "",P37)))"),"")</f>
        <v/>
      </c>
      <c r="O37" s="55" t="str">
        <f t="array" ref="O37">_xlfn.XLOOKUP(B37,'Up Min'!A:A,'Up Min'!D:D,)</f>
        <v/>
      </c>
      <c r="P37" s="55" t="str">
        <f t="array" ref="P37">_xlfn.XLOOKUP(B37,'Up Max'!A:A,'Up Max'!D:D,)</f>
        <v/>
      </c>
      <c r="Q37" s="57" t="str">
        <f t="array" ref="Q37">_xlfn.XLOOKUP(B37,'Up Stats'!A:A,'Up Stats'!E:E,)</f>
        <v/>
      </c>
      <c r="R37" s="54" t="str">
        <f>IFERROR(__xludf.DUMMYFUNCTION("if(AND(S37=FALSE,T37=FALSE),,if(S37=T37,JOIN("""",""Static: "",S37),JOIN("""",""Min:  "",S37, CHAR(10),""Max: "",T37)))"),"")</f>
        <v/>
      </c>
      <c r="S37" s="55" t="str">
        <f t="array" ref="S37">_xlfn.XLOOKUP(B37,'Up Min'!A:A,'Up Min'!E:E,)</f>
        <v/>
      </c>
      <c r="T37" s="55" t="str">
        <f t="array" ref="T37">_xlfn.XLOOKUP(B37,'Up Max'!A:A,'Up Max'!E:E,)</f>
        <v/>
      </c>
      <c r="U37" s="57" t="str">
        <f t="array" ref="U37">_xlfn.XLOOKUP(B37,'Up Stats'!A:A,'Up Stats'!F:F,)</f>
        <v/>
      </c>
      <c r="V37" s="54" t="str">
        <f>IFERROR(__xludf.DUMMYFUNCTION("if(AND(W37=FALSE,X37=FALSE),,if(W37=X37,JOIN("""",""Static: "",W37),JOIN("""",""Min:  "",W37, CHAR(10),""Max: "",X37)))"),"")</f>
        <v/>
      </c>
      <c r="W37" s="55" t="str">
        <f t="array" ref="W37">_xlfn.XLOOKUP(B37,'Up Min'!A:A,'Up Min'!F:F,)</f>
        <v/>
      </c>
      <c r="X37" s="55" t="str">
        <f t="array" ref="X37">_xlfn.XLOOKUP(B37,'Up Max'!A:A,'Up Max'!F:F,)</f>
        <v/>
      </c>
      <c r="Y37" s="57" t="str">
        <f t="array" ref="Y37">_xlfn.XLOOKUP(B37,'Up Stats'!A:A,'Up Stats'!G:G,)</f>
        <v/>
      </c>
      <c r="Z37" s="54" t="str">
        <f>IFERROR(__xludf.DUMMYFUNCTION("if(AND(AA37=FALSE,AB37=FALSE),,if(AA37=AB37,JOIN("""",""Static: "",AA37),JOIN("""",""Min:  "",AA37, CHAR(10),""Max: "",AB37)))"),"")</f>
        <v/>
      </c>
      <c r="AA37" s="55" t="str">
        <f t="array" ref="AA37">_xlfn.XLOOKUP(B37,'Up Min'!A:A,'Up Min'!G:G,)</f>
        <v/>
      </c>
      <c r="AB37" s="55" t="str">
        <f t="array" ref="AB37">_xlfn.XLOOKUP(B37,'Up Max'!A:A,'Up Max'!G:G,)</f>
        <v/>
      </c>
      <c r="AC37" s="57" t="str">
        <f t="array" ref="AC37">_xlfn.XLOOKUP(B37,'Up Stats'!A:A,'Up Stats'!H:H,)</f>
        <v/>
      </c>
      <c r="AD37" s="54" t="str">
        <f>IFERROR(__xludf.DUMMYFUNCTION("if(AND(AE37=FALSE,AF37=FALSE),,if(AE37=AF37,JOIN("""",""Static: "",AE37),JOIN("""",""Min:  "",AE37, CHAR(10),""Max: "",AF37)))"),"")</f>
        <v/>
      </c>
      <c r="AE37" s="55" t="str">
        <f t="array" ref="AE37">_xlfn.XLOOKUP(B37,'Up Min'!A:A,'Up Min'!H:H,)</f>
        <v/>
      </c>
      <c r="AF37" s="55" t="str">
        <f t="array" ref="AF37">_xlfn.XLOOKUP(B37,'Up Max'!A:A,'Up Max'!H:H,)</f>
        <v/>
      </c>
      <c r="AG37" s="57" t="str">
        <f t="array" ref="AG37">_xlfn.XLOOKUP(B37,'Up Stats'!A:A,'Up Stats'!I:I,)</f>
        <v/>
      </c>
      <c r="AH37" s="54" t="str">
        <f>IFERROR(__xludf.DUMMYFUNCTION("if(AND(AI37=FALSE,AJ37=FALSE),,if(AI37=AJ37,JOIN("""",""Static: "",AI37),JOIN("""",""Min:  "",AI37, CHAR(10),""Max: "",AJ37)))"),"")</f>
        <v/>
      </c>
      <c r="AI37" s="55" t="str">
        <f t="array" ref="AI37">_xlfn.XLOOKUP(B37,'Up Min'!A:A,'Up Min'!I:I,)</f>
        <v/>
      </c>
      <c r="AJ37" s="55" t="str">
        <f t="array" ref="AJ37">_xlfn.XLOOKUP(B37,'Up Max'!A:A,'Up Max'!I:I,)</f>
        <v/>
      </c>
      <c r="AK37" s="57" t="str">
        <f t="array" ref="AK37">_xlfn.XLOOKUP(B37,'Up Stats'!A:A,'Up Stats'!J:J,)</f>
        <v/>
      </c>
      <c r="AL37" s="54" t="str">
        <f>IFERROR(__xludf.DUMMYFUNCTION("if(AND(AM37=FALSE,AN37=FALSE),,if(AM37=AN37,JOIN("""",""Static: "",AM37),JOIN("""",""Min:  "",AM37, CHAR(10),""Max: "",AN37)))"),"")</f>
        <v/>
      </c>
      <c r="AM37" s="55" t="str">
        <f t="array" ref="AM37">_xlfn.XLOOKUP(B37,'Up Min'!A:A,'Up Min'!J:J,)</f>
        <v/>
      </c>
      <c r="AN37" s="55" t="str">
        <f t="array" ref="AN37">_xlfn.XLOOKUP(B37,'Up Max'!A:A,'Up Max'!J:J,)</f>
        <v/>
      </c>
      <c r="AO37" s="51" t="str">
        <f t="array" ref="AO37">CONCATENATE(_xlfn.XLOOKUP(B37,'Up Cells'!A:A,'Up Cells'!B:B,))</f>
        <v/>
      </c>
      <c r="AP37" s="51" t="str">
        <f t="array" ref="AP37">CONCATENATE(_xlfn.XLOOKUP(B37,'Up Rarity'!A:A,'Up Rarity'!B:B,),CHAR(10),"-")</f>
        <v>
-</v>
      </c>
    </row>
    <row r="38">
      <c r="A38" s="87" t="str">
        <f t="array" ref="A38">_xlfn.XLOOKUP(B38,'Up Icon'!A:A,'Up Icon'!B:B,)</f>
        <v/>
      </c>
      <c r="B38" s="58" t="str">
        <f t="array" ref="B38">HYPERLINK(_xlfn.XLOOKUP('Up Names'!L38,'Up Wiki'!A:A,'Up Wiki'!B:B,),'Up Names'!L38)</f>
        <v/>
      </c>
      <c r="C38" s="37" t="str">
        <f t="array" ref="C38">_xlfn.XLOOKUP(B38,'Up Desc'!A:A,'Up Desc'!B:B,)</f>
        <v/>
      </c>
      <c r="D38" s="37" t="str">
        <f t="array" ref="D38">_xlfn.XLOOKUP(B38,'Up Turbo'!A:A,'Up Turbo'!B:B,)</f>
        <v/>
      </c>
      <c r="E38" s="39" t="str">
        <f t="array" ref="E38">_xlfn.XLOOKUP(B38,'Up Stats'!A:A,'Up Stats'!B:B,)</f>
        <v/>
      </c>
      <c r="F38" s="40" t="str">
        <f>IFERROR(__xludf.DUMMYFUNCTION("if(AND(G38=FALSE,H38=FALSE),,if(G38=H38,JOIN("""",""Static: "",G38),JOIN("""",""Min:  "",G38, CHAR(10),""Max: "",H38)))"),"")</f>
        <v/>
      </c>
      <c r="G38" s="42" t="str">
        <f t="array" ref="G38">_xlfn.XLOOKUP(B38,'Up Min'!A:A,'Up Min'!B:B,)</f>
        <v/>
      </c>
      <c r="H38" s="45" t="str">
        <f t="array" ref="H38">_xlfn.XLOOKUP(B38,'Up Max'!A:A,'Up Max'!B:B,)</f>
        <v/>
      </c>
      <c r="I38" s="39" t="str">
        <f t="array" ref="I38">_xlfn.XLOOKUP(B38,'Up Stats'!A:A,'Up Stats'!C:C,)</f>
        <v/>
      </c>
      <c r="J38" s="40" t="str">
        <f>IFERROR(__xludf.DUMMYFUNCTION("if(AND(K38=FALSE,L38=FALSE),,if(K38=L38,JOIN("""",""Static: "",K38),JOIN("""",""Min:  "",K38, CHAR(10),""Max: "",L38)))"),"")</f>
        <v/>
      </c>
      <c r="K38" s="42" t="str">
        <f t="array" ref="K38">_xlfn.XLOOKUP(B38,'Up Min'!A:A,'Up Min'!C:C,)</f>
        <v/>
      </c>
      <c r="L38" s="42" t="str">
        <f t="array" ref="L38">_xlfn.XLOOKUP(B38,'Up Max'!A:A,'Up Max'!C:C,)</f>
        <v/>
      </c>
      <c r="M38" s="48" t="str">
        <f t="array" ref="M38">_xlfn.XLOOKUP(B38,'Up Stats'!A:A,'Up Stats'!D:D,)</f>
        <v/>
      </c>
      <c r="N38" s="40" t="str">
        <f>IFERROR(__xludf.DUMMYFUNCTION("if(AND(O38=FALSE,P38=FALSE),,if(O38=P38,JOIN("""",""Static: "",O38),JOIN("""",""Min:  "",O38, CHAR(10),""Max: "",P38)))"),"")</f>
        <v/>
      </c>
      <c r="O38" s="42" t="str">
        <f t="array" ref="O38">_xlfn.XLOOKUP(B38,'Up Min'!A:A,'Up Min'!D:D,)</f>
        <v/>
      </c>
      <c r="P38" s="42" t="str">
        <f t="array" ref="P38">_xlfn.XLOOKUP(B38,'Up Max'!A:A,'Up Max'!D:D,)</f>
        <v/>
      </c>
      <c r="Q38" s="48" t="str">
        <f t="array" ref="Q38">_xlfn.XLOOKUP(B38,'Up Stats'!A:A,'Up Stats'!E:E,)</f>
        <v/>
      </c>
      <c r="R38" s="40" t="str">
        <f>IFERROR(__xludf.DUMMYFUNCTION("if(AND(S38=FALSE,T38=FALSE),,if(S38=T38,JOIN("""",""Static: "",S38),JOIN("""",""Min:  "",S38, CHAR(10),""Max: "",T38)))"),"")</f>
        <v/>
      </c>
      <c r="S38" s="42" t="str">
        <f t="array" ref="S38">_xlfn.XLOOKUP(B38,'Up Min'!A:A,'Up Min'!E:E,)</f>
        <v/>
      </c>
      <c r="T38" s="42" t="str">
        <f t="array" ref="T38">_xlfn.XLOOKUP(B38,'Up Max'!A:A,'Up Max'!E:E,)</f>
        <v/>
      </c>
      <c r="U38" s="48" t="str">
        <f t="array" ref="U38">_xlfn.XLOOKUP(B38,'Up Stats'!A:A,'Up Stats'!F:F,)</f>
        <v/>
      </c>
      <c r="V38" s="40" t="str">
        <f>IFERROR(__xludf.DUMMYFUNCTION("if(AND(W38=FALSE,X38=FALSE),,if(W38=X38,JOIN("""",""Static: "",W38),JOIN("""",""Min:  "",W38, CHAR(10),""Max: "",X38)))"),"")</f>
        <v/>
      </c>
      <c r="W38" s="42" t="str">
        <f t="array" ref="W38">_xlfn.XLOOKUP(B38,'Up Min'!A:A,'Up Min'!F:F,)</f>
        <v/>
      </c>
      <c r="X38" s="42" t="str">
        <f t="array" ref="X38">_xlfn.XLOOKUP(B38,'Up Max'!A:A,'Up Max'!F:F,)</f>
        <v/>
      </c>
      <c r="Y38" s="48" t="str">
        <f t="array" ref="Y38">_xlfn.XLOOKUP(B38,'Up Stats'!A:A,'Up Stats'!G:G,)</f>
        <v/>
      </c>
      <c r="Z38" s="40" t="str">
        <f>IFERROR(__xludf.DUMMYFUNCTION("if(AND(AA38=FALSE,AB38=FALSE),,if(AA38=AB38,JOIN("""",""Static: "",AA38),JOIN("""",""Min:  "",AA38, CHAR(10),""Max: "",AB38)))"),"")</f>
        <v/>
      </c>
      <c r="AA38" s="42" t="str">
        <f t="array" ref="AA38">_xlfn.XLOOKUP(B38,'Up Min'!A:A,'Up Min'!G:G,)</f>
        <v/>
      </c>
      <c r="AB38" s="42" t="str">
        <f t="array" ref="AB38">_xlfn.XLOOKUP(B38,'Up Max'!A:A,'Up Max'!G:G,)</f>
        <v/>
      </c>
      <c r="AC38" s="48" t="str">
        <f t="array" ref="AC38">_xlfn.XLOOKUP(B38,'Up Stats'!A:A,'Up Stats'!H:H,)</f>
        <v/>
      </c>
      <c r="AD38" s="40" t="str">
        <f>IFERROR(__xludf.DUMMYFUNCTION("if(AND(AE38=FALSE,AF38=FALSE),,if(AE38=AF38,JOIN("""",""Static: "",AE38),JOIN("""",""Min:  "",AE38, CHAR(10),""Max: "",AF38)))"),"")</f>
        <v/>
      </c>
      <c r="AE38" s="42" t="str">
        <f t="array" ref="AE38">_xlfn.XLOOKUP(B38,'Up Min'!A:A,'Up Min'!H:H,)</f>
        <v/>
      </c>
      <c r="AF38" s="42" t="str">
        <f t="array" ref="AF38">_xlfn.XLOOKUP(B38,'Up Max'!A:A,'Up Max'!H:H,)</f>
        <v/>
      </c>
      <c r="AG38" s="48" t="str">
        <f t="array" ref="AG38">_xlfn.XLOOKUP(B38,'Up Stats'!A:A,'Up Stats'!I:I,)</f>
        <v/>
      </c>
      <c r="AH38" s="40" t="str">
        <f>IFERROR(__xludf.DUMMYFUNCTION("if(AND(AI38=FALSE,AJ38=FALSE),,if(AI38=AJ38,JOIN("""",""Static: "",AI38),JOIN("""",""Min:  "",AI38, CHAR(10),""Max: "",AJ38)))"),"")</f>
        <v/>
      </c>
      <c r="AI38" s="42" t="str">
        <f t="array" ref="AI38">_xlfn.XLOOKUP(B38,'Up Min'!A:A,'Up Min'!I:I,)</f>
        <v/>
      </c>
      <c r="AJ38" s="42" t="str">
        <f t="array" ref="AJ38">_xlfn.XLOOKUP(B38,'Up Max'!A:A,'Up Max'!I:I,)</f>
        <v/>
      </c>
      <c r="AK38" s="48" t="str">
        <f t="array" ref="AK38">_xlfn.XLOOKUP(B38,'Up Stats'!A:A,'Up Stats'!J:J,)</f>
        <v/>
      </c>
      <c r="AL38" s="40" t="str">
        <f>IFERROR(__xludf.DUMMYFUNCTION("if(AND(AM38=FALSE,AN38=FALSE),,if(AM38=AN38,JOIN("""",""Static: "",AM38),JOIN("""",""Min:  "",AM38, CHAR(10),""Max: "",AN38)))"),"")</f>
        <v/>
      </c>
      <c r="AM38" s="42" t="str">
        <f t="array" ref="AM38">_xlfn.XLOOKUP(B38,'Up Min'!A:A,'Up Min'!J:J,)</f>
        <v/>
      </c>
      <c r="AN38" s="42" t="str">
        <f t="array" ref="AN38">_xlfn.XLOOKUP(B38,'Up Max'!A:A,'Up Max'!J:J,)</f>
        <v/>
      </c>
      <c r="AO38" s="34" t="str">
        <f t="array" ref="AO38">CONCATENATE(_xlfn.XLOOKUP(B38,'Up Cells'!A:A,'Up Cells'!B:B,))</f>
        <v/>
      </c>
      <c r="AP38" s="34" t="str">
        <f t="array" ref="AP38">CONCATENATE(_xlfn.XLOOKUP(B38,'Up Rarity'!A:A,'Up Rarity'!B:B,),CHAR(10),"-")</f>
        <v>
-</v>
      </c>
    </row>
    <row r="39">
      <c r="A39" s="86" t="str">
        <f t="array" ref="A39">_xlfn.XLOOKUP(B39,'Up Icon'!A:A,'Up Icon'!B:B,)</f>
        <v/>
      </c>
      <c r="B39" s="61" t="str">
        <f t="array" ref="B39">HYPERLINK(_xlfn.XLOOKUP('Up Names'!L39,'Up Wiki'!A:A,'Up Wiki'!B:B,),'Up Names'!L39)</f>
        <v/>
      </c>
      <c r="C39" s="52" t="str">
        <f t="array" ref="C39">_xlfn.XLOOKUP(B39,'Up Desc'!A:A,'Up Desc'!B:B,)</f>
        <v/>
      </c>
      <c r="D39" s="52" t="str">
        <f t="array" ref="D39">_xlfn.XLOOKUP(B39,'Up Turbo'!A:A,'Up Turbo'!B:B,)</f>
        <v/>
      </c>
      <c r="E39" s="53" t="str">
        <f t="array" ref="E39">_xlfn.XLOOKUP(B39,'Up Stats'!A:A,'Up Stats'!B:B,)</f>
        <v/>
      </c>
      <c r="F39" s="54" t="str">
        <f>IFERROR(__xludf.DUMMYFUNCTION("if(AND(G39=FALSE,H39=FALSE),,if(G39=H39,JOIN("""",""Static: "",G39),JOIN("""",""Min:  "",G39, CHAR(10),""Max: "",H39)))"),"")</f>
        <v/>
      </c>
      <c r="G39" s="55" t="str">
        <f t="array" ref="G39">_xlfn.XLOOKUP(B39,'Up Min'!A:A,'Up Min'!B:B,)</f>
        <v/>
      </c>
      <c r="H39" s="56" t="str">
        <f t="array" ref="H39">_xlfn.XLOOKUP(B39,'Up Max'!A:A,'Up Max'!B:B,)</f>
        <v/>
      </c>
      <c r="I39" s="53" t="str">
        <f t="array" ref="I39">_xlfn.XLOOKUP(B39,'Up Stats'!A:A,'Up Stats'!C:C,)</f>
        <v/>
      </c>
      <c r="J39" s="54" t="str">
        <f>IFERROR(__xludf.DUMMYFUNCTION("if(AND(K39=FALSE,L39=FALSE),,if(K39=L39,JOIN("""",""Static: "",K39),JOIN("""",""Min:  "",K39, CHAR(10),""Max: "",L39)))"),"")</f>
        <v/>
      </c>
      <c r="K39" s="55" t="str">
        <f t="array" ref="K39">_xlfn.XLOOKUP(B39,'Up Min'!A:A,'Up Min'!C:C,)</f>
        <v/>
      </c>
      <c r="L39" s="55" t="str">
        <f t="array" ref="L39">_xlfn.XLOOKUP(B39,'Up Max'!A:A,'Up Max'!C:C,)</f>
        <v/>
      </c>
      <c r="M39" s="57" t="str">
        <f t="array" ref="M39">_xlfn.XLOOKUP(B39,'Up Stats'!A:A,'Up Stats'!D:D,)</f>
        <v/>
      </c>
      <c r="N39" s="54" t="str">
        <f>IFERROR(__xludf.DUMMYFUNCTION("if(AND(O39=FALSE,P39=FALSE),,if(O39=P39,JOIN("""",""Static: "",O39),JOIN("""",""Min:  "",O39, CHAR(10),""Max: "",P39)))"),"")</f>
        <v/>
      </c>
      <c r="O39" s="55" t="str">
        <f t="array" ref="O39">_xlfn.XLOOKUP(B39,'Up Min'!A:A,'Up Min'!D:D,)</f>
        <v/>
      </c>
      <c r="P39" s="55" t="str">
        <f t="array" ref="P39">_xlfn.XLOOKUP(B39,'Up Max'!A:A,'Up Max'!D:D,)</f>
        <v/>
      </c>
      <c r="Q39" s="57" t="str">
        <f t="array" ref="Q39">_xlfn.XLOOKUP(B39,'Up Stats'!A:A,'Up Stats'!E:E,)</f>
        <v/>
      </c>
      <c r="R39" s="54" t="str">
        <f>IFERROR(__xludf.DUMMYFUNCTION("if(AND(S39=FALSE,T39=FALSE),,if(S39=T39,JOIN("""",""Static: "",S39),JOIN("""",""Min:  "",S39, CHAR(10),""Max: "",T39)))"),"")</f>
        <v/>
      </c>
      <c r="S39" s="55" t="str">
        <f t="array" ref="S39">_xlfn.XLOOKUP(B39,'Up Min'!A:A,'Up Min'!E:E,)</f>
        <v/>
      </c>
      <c r="T39" s="55" t="str">
        <f t="array" ref="T39">_xlfn.XLOOKUP(B39,'Up Max'!A:A,'Up Max'!E:E,)</f>
        <v/>
      </c>
      <c r="U39" s="57" t="str">
        <f t="array" ref="U39">_xlfn.XLOOKUP(B39,'Up Stats'!A:A,'Up Stats'!F:F,)</f>
        <v/>
      </c>
      <c r="V39" s="54" t="str">
        <f>IFERROR(__xludf.DUMMYFUNCTION("if(AND(W39=FALSE,X39=FALSE),,if(W39=X39,JOIN("""",""Static: "",W39),JOIN("""",""Min:  "",W39, CHAR(10),""Max: "",X39)))"),"")</f>
        <v/>
      </c>
      <c r="W39" s="55" t="str">
        <f t="array" ref="W39">_xlfn.XLOOKUP(B39,'Up Min'!A:A,'Up Min'!F:F,)</f>
        <v/>
      </c>
      <c r="X39" s="55" t="str">
        <f t="array" ref="X39">_xlfn.XLOOKUP(B39,'Up Max'!A:A,'Up Max'!F:F,)</f>
        <v/>
      </c>
      <c r="Y39" s="57" t="str">
        <f t="array" ref="Y39">_xlfn.XLOOKUP(B39,'Up Stats'!A:A,'Up Stats'!G:G,)</f>
        <v/>
      </c>
      <c r="Z39" s="54" t="str">
        <f>IFERROR(__xludf.DUMMYFUNCTION("if(AND(AA39=FALSE,AB39=FALSE),,if(AA39=AB39,JOIN("""",""Static: "",AA39),JOIN("""",""Min:  "",AA39, CHAR(10),""Max: "",AB39)))"),"")</f>
        <v/>
      </c>
      <c r="AA39" s="55" t="str">
        <f t="array" ref="AA39">_xlfn.XLOOKUP(B39,'Up Min'!A:A,'Up Min'!G:G,)</f>
        <v/>
      </c>
      <c r="AB39" s="55" t="str">
        <f t="array" ref="AB39">_xlfn.XLOOKUP(B39,'Up Max'!A:A,'Up Max'!G:G,)</f>
        <v/>
      </c>
      <c r="AC39" s="57" t="str">
        <f t="array" ref="AC39">_xlfn.XLOOKUP(B39,'Up Stats'!A:A,'Up Stats'!H:H,)</f>
        <v/>
      </c>
      <c r="AD39" s="54" t="str">
        <f>IFERROR(__xludf.DUMMYFUNCTION("if(AND(AE39=FALSE,AF39=FALSE),,if(AE39=AF39,JOIN("""",""Static: "",AE39),JOIN("""",""Min:  "",AE39, CHAR(10),""Max: "",AF39)))"),"")</f>
        <v/>
      </c>
      <c r="AE39" s="55" t="str">
        <f t="array" ref="AE39">_xlfn.XLOOKUP(B39,'Up Min'!A:A,'Up Min'!H:H,)</f>
        <v/>
      </c>
      <c r="AF39" s="55" t="str">
        <f t="array" ref="AF39">_xlfn.XLOOKUP(B39,'Up Max'!A:A,'Up Max'!H:H,)</f>
        <v/>
      </c>
      <c r="AG39" s="57" t="str">
        <f t="array" ref="AG39">_xlfn.XLOOKUP(B39,'Up Stats'!A:A,'Up Stats'!I:I,)</f>
        <v/>
      </c>
      <c r="AH39" s="54" t="str">
        <f>IFERROR(__xludf.DUMMYFUNCTION("if(AND(AI39=FALSE,AJ39=FALSE),,if(AI39=AJ39,JOIN("""",""Static: "",AI39),JOIN("""",""Min:  "",AI39, CHAR(10),""Max: "",AJ39)))"),"")</f>
        <v/>
      </c>
      <c r="AI39" s="55" t="str">
        <f t="array" ref="AI39">_xlfn.XLOOKUP(B39,'Up Min'!A:A,'Up Min'!I:I,)</f>
        <v/>
      </c>
      <c r="AJ39" s="55" t="str">
        <f t="array" ref="AJ39">_xlfn.XLOOKUP(B39,'Up Max'!A:A,'Up Max'!I:I,)</f>
        <v/>
      </c>
      <c r="AK39" s="57" t="str">
        <f t="array" ref="AK39">_xlfn.XLOOKUP(B39,'Up Stats'!A:A,'Up Stats'!J:J,)</f>
        <v/>
      </c>
      <c r="AL39" s="54" t="str">
        <f>IFERROR(__xludf.DUMMYFUNCTION("if(AND(AM39=FALSE,AN39=FALSE),,if(AM39=AN39,JOIN("""",""Static: "",AM39),JOIN("""",""Min:  "",AM39, CHAR(10),""Max: "",AN39)))"),"")</f>
        <v/>
      </c>
      <c r="AM39" s="55" t="str">
        <f t="array" ref="AM39">_xlfn.XLOOKUP(B39,'Up Min'!A:A,'Up Min'!J:J,)</f>
        <v/>
      </c>
      <c r="AN39" s="55" t="str">
        <f t="array" ref="AN39">_xlfn.XLOOKUP(B39,'Up Max'!A:A,'Up Max'!J:J,)</f>
        <v/>
      </c>
      <c r="AO39" s="51" t="str">
        <f t="array" ref="AO39">CONCATENATE(_xlfn.XLOOKUP(B39,'Up Cells'!A:A,'Up Cells'!B:B,))</f>
        <v/>
      </c>
      <c r="AP39" s="51" t="str">
        <f t="array" ref="AP39">CONCATENATE(_xlfn.XLOOKUP(B39,'Up Rarity'!A:A,'Up Rarity'!B:B,),CHAR(10),"-")</f>
        <v>
-</v>
      </c>
    </row>
    <row r="40">
      <c r="A40" s="87" t="str">
        <f t="array" ref="A40">_xlfn.XLOOKUP(B40,'Up Icon'!A:A,'Up Icon'!B:B,)</f>
        <v/>
      </c>
      <c r="B40" s="58" t="str">
        <f t="array" ref="B40">HYPERLINK(_xlfn.XLOOKUP('Up Names'!L40,'Up Wiki'!A:A,'Up Wiki'!B:B,),'Up Names'!L40)</f>
        <v/>
      </c>
      <c r="C40" s="37" t="str">
        <f t="array" ref="C40">_xlfn.XLOOKUP(B40,'Up Desc'!A:A,'Up Desc'!B:B,)</f>
        <v/>
      </c>
      <c r="D40" s="37" t="str">
        <f t="array" ref="D40">_xlfn.XLOOKUP(B40,'Up Turbo'!A:A,'Up Turbo'!B:B,)</f>
        <v/>
      </c>
      <c r="E40" s="39" t="str">
        <f t="array" ref="E40">_xlfn.XLOOKUP(B40,'Up Stats'!A:A,'Up Stats'!B:B,)</f>
        <v/>
      </c>
      <c r="F40" s="40" t="str">
        <f>IFERROR(__xludf.DUMMYFUNCTION("if(AND(G40=FALSE,H40=FALSE),,if(G40=H40,JOIN("""",""Static: "",G40),JOIN("""",""Min:  "",G40, CHAR(10),""Max: "",H40)))"),"")</f>
        <v/>
      </c>
      <c r="G40" s="42" t="str">
        <f t="array" ref="G40">_xlfn.XLOOKUP(B40,'Up Min'!A:A,'Up Min'!B:B,)</f>
        <v/>
      </c>
      <c r="H40" s="45" t="str">
        <f t="array" ref="H40">_xlfn.XLOOKUP(B40,'Up Max'!A:A,'Up Max'!B:B,)</f>
        <v/>
      </c>
      <c r="I40" s="39" t="str">
        <f t="array" ref="I40">_xlfn.XLOOKUP(B40,'Up Stats'!A:A,'Up Stats'!C:C,)</f>
        <v/>
      </c>
      <c r="J40" s="40" t="str">
        <f>IFERROR(__xludf.DUMMYFUNCTION("if(AND(K40=FALSE,L40=FALSE),,if(K40=L40,JOIN("""",""Static: "",K40),JOIN("""",""Min:  "",K40, CHAR(10),""Max: "",L40)))"),"")</f>
        <v/>
      </c>
      <c r="K40" s="42" t="str">
        <f t="array" ref="K40">_xlfn.XLOOKUP(B40,'Up Min'!A:A,'Up Min'!C:C,)</f>
        <v/>
      </c>
      <c r="L40" s="42" t="str">
        <f t="array" ref="L40">_xlfn.XLOOKUP(B40,'Up Max'!A:A,'Up Max'!C:C,)</f>
        <v/>
      </c>
      <c r="M40" s="48" t="str">
        <f t="array" ref="M40">_xlfn.XLOOKUP(B40,'Up Stats'!A:A,'Up Stats'!D:D,)</f>
        <v/>
      </c>
      <c r="N40" s="40" t="str">
        <f>IFERROR(__xludf.DUMMYFUNCTION("if(AND(O40=FALSE,P40=FALSE),,if(O40=P40,JOIN("""",""Static: "",O40),JOIN("""",""Min:  "",O40, CHAR(10),""Max: "",P40)))"),"")</f>
        <v/>
      </c>
      <c r="O40" s="42" t="str">
        <f t="array" ref="O40">_xlfn.XLOOKUP(B40,'Up Min'!A:A,'Up Min'!D:D,)</f>
        <v/>
      </c>
      <c r="P40" s="42" t="str">
        <f t="array" ref="P40">_xlfn.XLOOKUP(B40,'Up Max'!A:A,'Up Max'!D:D,)</f>
        <v/>
      </c>
      <c r="Q40" s="48" t="str">
        <f t="array" ref="Q40">_xlfn.XLOOKUP(B40,'Up Stats'!A:A,'Up Stats'!E:E,)</f>
        <v/>
      </c>
      <c r="R40" s="40" t="str">
        <f>IFERROR(__xludf.DUMMYFUNCTION("if(AND(S40=FALSE,T40=FALSE),,if(S40=T40,JOIN("""",""Static: "",S40),JOIN("""",""Min:  "",S40, CHAR(10),""Max: "",T40)))"),"")</f>
        <v/>
      </c>
      <c r="S40" s="42" t="str">
        <f t="array" ref="S40">_xlfn.XLOOKUP(B40,'Up Min'!A:A,'Up Min'!E:E,)</f>
        <v/>
      </c>
      <c r="T40" s="42" t="str">
        <f t="array" ref="T40">_xlfn.XLOOKUP(B40,'Up Max'!A:A,'Up Max'!E:E,)</f>
        <v/>
      </c>
      <c r="U40" s="48" t="str">
        <f t="array" ref="U40">_xlfn.XLOOKUP(B40,'Up Stats'!A:A,'Up Stats'!F:F,)</f>
        <v/>
      </c>
      <c r="V40" s="40" t="str">
        <f>IFERROR(__xludf.DUMMYFUNCTION("if(AND(W40=FALSE,X40=FALSE),,if(W40=X40,JOIN("""",""Static: "",W40),JOIN("""",""Min:  "",W40, CHAR(10),""Max: "",X40)))"),"")</f>
        <v/>
      </c>
      <c r="W40" s="42" t="str">
        <f t="array" ref="W40">_xlfn.XLOOKUP(B40,'Up Min'!A:A,'Up Min'!F:F,)</f>
        <v/>
      </c>
      <c r="X40" s="42" t="str">
        <f t="array" ref="X40">_xlfn.XLOOKUP(B40,'Up Max'!A:A,'Up Max'!F:F,)</f>
        <v/>
      </c>
      <c r="Y40" s="48" t="str">
        <f t="array" ref="Y40">_xlfn.XLOOKUP(B40,'Up Stats'!A:A,'Up Stats'!G:G,)</f>
        <v/>
      </c>
      <c r="Z40" s="40" t="str">
        <f>IFERROR(__xludf.DUMMYFUNCTION("if(AND(AA40=FALSE,AB40=FALSE),,if(AA40=AB40,JOIN("""",""Static: "",AA40),JOIN("""",""Min:  "",AA40, CHAR(10),""Max: "",AB40)))"),"")</f>
        <v/>
      </c>
      <c r="AA40" s="42" t="str">
        <f t="array" ref="AA40">_xlfn.XLOOKUP(B40,'Up Min'!A:A,'Up Min'!G:G,)</f>
        <v/>
      </c>
      <c r="AB40" s="42" t="str">
        <f t="array" ref="AB40">_xlfn.XLOOKUP(B40,'Up Max'!A:A,'Up Max'!G:G,)</f>
        <v/>
      </c>
      <c r="AC40" s="48" t="str">
        <f t="array" ref="AC40">_xlfn.XLOOKUP(B40,'Up Stats'!A:A,'Up Stats'!H:H,)</f>
        <v/>
      </c>
      <c r="AD40" s="40" t="str">
        <f>IFERROR(__xludf.DUMMYFUNCTION("if(AND(AE40=FALSE,AF40=FALSE),,if(AE40=AF40,JOIN("""",""Static: "",AE40),JOIN("""",""Min:  "",AE40, CHAR(10),""Max: "",AF40)))"),"")</f>
        <v/>
      </c>
      <c r="AE40" s="42" t="str">
        <f t="array" ref="AE40">_xlfn.XLOOKUP(B40,'Up Min'!A:A,'Up Min'!H:H,)</f>
        <v/>
      </c>
      <c r="AF40" s="42" t="str">
        <f t="array" ref="AF40">_xlfn.XLOOKUP(B40,'Up Max'!A:A,'Up Max'!H:H,)</f>
        <v/>
      </c>
      <c r="AG40" s="48" t="str">
        <f t="array" ref="AG40">_xlfn.XLOOKUP(B40,'Up Stats'!A:A,'Up Stats'!I:I,)</f>
        <v/>
      </c>
      <c r="AH40" s="40" t="str">
        <f>IFERROR(__xludf.DUMMYFUNCTION("if(AND(AI40=FALSE,AJ40=FALSE),,if(AI40=AJ40,JOIN("""",""Static: "",AI40),JOIN("""",""Min:  "",AI40, CHAR(10),""Max: "",AJ40)))"),"")</f>
        <v/>
      </c>
      <c r="AI40" s="42" t="str">
        <f t="array" ref="AI40">_xlfn.XLOOKUP(B40,'Up Min'!A:A,'Up Min'!I:I,)</f>
        <v/>
      </c>
      <c r="AJ40" s="42" t="str">
        <f t="array" ref="AJ40">_xlfn.XLOOKUP(B40,'Up Max'!A:A,'Up Max'!I:I,)</f>
        <v/>
      </c>
      <c r="AK40" s="48" t="str">
        <f t="array" ref="AK40">_xlfn.XLOOKUP(B40,'Up Stats'!A:A,'Up Stats'!J:J,)</f>
        <v/>
      </c>
      <c r="AL40" s="40" t="str">
        <f>IFERROR(__xludf.DUMMYFUNCTION("if(AND(AM40=FALSE,AN40=FALSE),,if(AM40=AN40,JOIN("""",""Static: "",AM40),JOIN("""",""Min:  "",AM40, CHAR(10),""Max: "",AN40)))"),"")</f>
        <v/>
      </c>
      <c r="AM40" s="42" t="str">
        <f t="array" ref="AM40">_xlfn.XLOOKUP(B40,'Up Min'!A:A,'Up Min'!J:J,)</f>
        <v/>
      </c>
      <c r="AN40" s="42" t="str">
        <f t="array" ref="AN40">_xlfn.XLOOKUP(B40,'Up Max'!A:A,'Up Max'!J:J,)</f>
        <v/>
      </c>
      <c r="AO40" s="34" t="str">
        <f t="array" ref="AO40">CONCATENATE(_xlfn.XLOOKUP(B40,'Up Cells'!A:A,'Up Cells'!B:B,))</f>
        <v/>
      </c>
      <c r="AP40" s="34" t="str">
        <f t="array" ref="AP40">CONCATENATE(_xlfn.XLOOKUP(B40,'Up Rarity'!A:A,'Up Rarity'!B:B,),CHAR(10),"-")</f>
        <v>
-</v>
      </c>
    </row>
    <row r="41">
      <c r="A41" s="86" t="str">
        <f t="array" ref="A41">_xlfn.XLOOKUP(B41,'Up Icon'!A:A,'Up Icon'!B:B,)</f>
        <v/>
      </c>
      <c r="B41" s="61" t="str">
        <f t="array" ref="B41">HYPERLINK(_xlfn.XLOOKUP('Up Names'!L41,'Up Wiki'!A:A,'Up Wiki'!B:B,),'Up Names'!L41)</f>
        <v/>
      </c>
      <c r="C41" s="52" t="str">
        <f t="array" ref="C41">_xlfn.XLOOKUP(B41,'Up Desc'!A:A,'Up Desc'!B:B,)</f>
        <v/>
      </c>
      <c r="D41" s="52" t="str">
        <f t="array" ref="D41">_xlfn.XLOOKUP(B41,'Up Turbo'!A:A,'Up Turbo'!B:B,)</f>
        <v/>
      </c>
      <c r="E41" s="53" t="str">
        <f t="array" ref="E41">_xlfn.XLOOKUP(B41,'Up Stats'!A:A,'Up Stats'!B:B,)</f>
        <v/>
      </c>
      <c r="F41" s="54" t="str">
        <f>IFERROR(__xludf.DUMMYFUNCTION("if(AND(G41=FALSE,H41=FALSE),,if(G41=H41,JOIN("""",""Static: "",G41),JOIN("""",""Min:  "",G41, CHAR(10),""Max: "",H41)))"),"")</f>
        <v/>
      </c>
      <c r="G41" s="55" t="str">
        <f t="array" ref="G41">_xlfn.XLOOKUP(B41,'Up Min'!A:A,'Up Min'!B:B,)</f>
        <v/>
      </c>
      <c r="H41" s="56" t="str">
        <f t="array" ref="H41">_xlfn.XLOOKUP(B41,'Up Max'!A:A,'Up Max'!B:B,)</f>
        <v/>
      </c>
      <c r="I41" s="53" t="str">
        <f t="array" ref="I41">_xlfn.XLOOKUP(B41,'Up Stats'!A:A,'Up Stats'!C:C,)</f>
        <v/>
      </c>
      <c r="J41" s="54" t="str">
        <f>IFERROR(__xludf.DUMMYFUNCTION("if(AND(K41=FALSE,L41=FALSE),,if(K41=L41,JOIN("""",""Static: "",K41),JOIN("""",""Min:  "",K41, CHAR(10),""Max: "",L41)))"),"")</f>
        <v/>
      </c>
      <c r="K41" s="55" t="str">
        <f t="array" ref="K41">_xlfn.XLOOKUP(B41,'Up Min'!A:A,'Up Min'!C:C,)</f>
        <v/>
      </c>
      <c r="L41" s="55" t="str">
        <f t="array" ref="L41">_xlfn.XLOOKUP(B41,'Up Max'!A:A,'Up Max'!C:C,)</f>
        <v/>
      </c>
      <c r="M41" s="57" t="str">
        <f t="array" ref="M41">_xlfn.XLOOKUP(B41,'Up Stats'!A:A,'Up Stats'!D:D,)</f>
        <v/>
      </c>
      <c r="N41" s="54" t="str">
        <f>IFERROR(__xludf.DUMMYFUNCTION("if(AND(O41=FALSE,P41=FALSE),,if(O41=P41,JOIN("""",""Static: "",O41),JOIN("""",""Min:  "",O41, CHAR(10),""Max: "",P41)))"),"")</f>
        <v/>
      </c>
      <c r="O41" s="55" t="str">
        <f t="array" ref="O41">_xlfn.XLOOKUP(B41,'Up Min'!A:A,'Up Min'!D:D,)</f>
        <v/>
      </c>
      <c r="P41" s="55" t="str">
        <f t="array" ref="P41">_xlfn.XLOOKUP(B41,'Up Max'!A:A,'Up Max'!D:D,)</f>
        <v/>
      </c>
      <c r="Q41" s="57" t="str">
        <f t="array" ref="Q41">_xlfn.XLOOKUP(B41,'Up Stats'!A:A,'Up Stats'!E:E,)</f>
        <v/>
      </c>
      <c r="R41" s="54" t="str">
        <f>IFERROR(__xludf.DUMMYFUNCTION("if(AND(S41=FALSE,T41=FALSE),,if(S41=T41,JOIN("""",""Static: "",S41),JOIN("""",""Min:  "",S41, CHAR(10),""Max: "",T41)))"),"")</f>
        <v/>
      </c>
      <c r="S41" s="55" t="str">
        <f t="array" ref="S41">_xlfn.XLOOKUP(B41,'Up Min'!A:A,'Up Min'!E:E,)</f>
        <v/>
      </c>
      <c r="T41" s="55" t="str">
        <f t="array" ref="T41">_xlfn.XLOOKUP(B41,'Up Max'!A:A,'Up Max'!E:E,)</f>
        <v/>
      </c>
      <c r="U41" s="57" t="str">
        <f t="array" ref="U41">_xlfn.XLOOKUP(B41,'Up Stats'!A:A,'Up Stats'!F:F,)</f>
        <v/>
      </c>
      <c r="V41" s="54" t="str">
        <f>IFERROR(__xludf.DUMMYFUNCTION("if(AND(W41=FALSE,X41=FALSE),,if(W41=X41,JOIN("""",""Static: "",W41),JOIN("""",""Min:  "",W41, CHAR(10),""Max: "",X41)))"),"")</f>
        <v/>
      </c>
      <c r="W41" s="55" t="str">
        <f t="array" ref="W41">_xlfn.XLOOKUP(B41,'Up Min'!A:A,'Up Min'!F:F,)</f>
        <v/>
      </c>
      <c r="X41" s="55" t="str">
        <f t="array" ref="X41">_xlfn.XLOOKUP(B41,'Up Max'!A:A,'Up Max'!F:F,)</f>
        <v/>
      </c>
      <c r="Y41" s="57" t="str">
        <f t="array" ref="Y41">_xlfn.XLOOKUP(B41,'Up Stats'!A:A,'Up Stats'!G:G,)</f>
        <v/>
      </c>
      <c r="Z41" s="54" t="str">
        <f>IFERROR(__xludf.DUMMYFUNCTION("if(AND(AA41=FALSE,AB41=FALSE),,if(AA41=AB41,JOIN("""",""Static: "",AA41),JOIN("""",""Min:  "",AA41, CHAR(10),""Max: "",AB41)))"),"")</f>
        <v/>
      </c>
      <c r="AA41" s="55" t="str">
        <f t="array" ref="AA41">_xlfn.XLOOKUP(B41,'Up Min'!A:A,'Up Min'!G:G,)</f>
        <v/>
      </c>
      <c r="AB41" s="55" t="str">
        <f t="array" ref="AB41">_xlfn.XLOOKUP(B41,'Up Max'!A:A,'Up Max'!G:G,)</f>
        <v/>
      </c>
      <c r="AC41" s="57" t="str">
        <f t="array" ref="AC41">_xlfn.XLOOKUP(B41,'Up Stats'!A:A,'Up Stats'!H:H,)</f>
        <v/>
      </c>
      <c r="AD41" s="54" t="str">
        <f>IFERROR(__xludf.DUMMYFUNCTION("if(AND(AE41=FALSE,AF41=FALSE),,if(AE41=AF41,JOIN("""",""Static: "",AE41),JOIN("""",""Min:  "",AE41, CHAR(10),""Max: "",AF41)))"),"")</f>
        <v/>
      </c>
      <c r="AE41" s="55" t="str">
        <f t="array" ref="AE41">_xlfn.XLOOKUP(B41,'Up Min'!A:A,'Up Min'!H:H,)</f>
        <v/>
      </c>
      <c r="AF41" s="55" t="str">
        <f t="array" ref="AF41">_xlfn.XLOOKUP(B41,'Up Max'!A:A,'Up Max'!H:H,)</f>
        <v/>
      </c>
      <c r="AG41" s="57" t="str">
        <f t="array" ref="AG41">_xlfn.XLOOKUP(B41,'Up Stats'!A:A,'Up Stats'!I:I,)</f>
        <v/>
      </c>
      <c r="AH41" s="54" t="str">
        <f>IFERROR(__xludf.DUMMYFUNCTION("if(AND(AI41=FALSE,AJ41=FALSE),,if(AI41=AJ41,JOIN("""",""Static: "",AI41),JOIN("""",""Min:  "",AI41, CHAR(10),""Max: "",AJ41)))"),"")</f>
        <v/>
      </c>
      <c r="AI41" s="55" t="str">
        <f t="array" ref="AI41">_xlfn.XLOOKUP(B41,'Up Min'!A:A,'Up Min'!I:I,)</f>
        <v/>
      </c>
      <c r="AJ41" s="55" t="str">
        <f t="array" ref="AJ41">_xlfn.XLOOKUP(B41,'Up Max'!A:A,'Up Max'!I:I,)</f>
        <v/>
      </c>
      <c r="AK41" s="57" t="str">
        <f t="array" ref="AK41">_xlfn.XLOOKUP(B41,'Up Stats'!A:A,'Up Stats'!J:J,)</f>
        <v/>
      </c>
      <c r="AL41" s="54" t="str">
        <f>IFERROR(__xludf.DUMMYFUNCTION("if(AND(AM41=FALSE,AN41=FALSE),,if(AM41=AN41,JOIN("""",""Static: "",AM41),JOIN("""",""Min:  "",AM41, CHAR(10),""Max: "",AN41)))"),"")</f>
        <v/>
      </c>
      <c r="AM41" s="55" t="str">
        <f t="array" ref="AM41">_xlfn.XLOOKUP(B41,'Up Min'!A:A,'Up Min'!J:J,)</f>
        <v/>
      </c>
      <c r="AN41" s="55" t="str">
        <f t="array" ref="AN41">_xlfn.XLOOKUP(B41,'Up Max'!A:A,'Up Max'!J:J,)</f>
        <v/>
      </c>
      <c r="AO41" s="51" t="str">
        <f t="array" ref="AO41">CONCATENATE(_xlfn.XLOOKUP(B41,'Up Cells'!A:A,'Up Cells'!B:B,))</f>
        <v/>
      </c>
      <c r="AP41" s="51" t="str">
        <f t="array" ref="AP41">CONCATENATE(_xlfn.XLOOKUP(B41,'Up Rarity'!A:A,'Up Rarity'!B:B,),CHAR(10),"-")</f>
        <v>
-</v>
      </c>
    </row>
    <row r="42">
      <c r="A42" s="87" t="str">
        <f t="array" ref="A42">_xlfn.XLOOKUP(B42,'Up Icon'!A:A,'Up Icon'!B:B,)</f>
        <v/>
      </c>
      <c r="B42" s="58" t="str">
        <f t="array" ref="B42">HYPERLINK(_xlfn.XLOOKUP('Up Names'!L42,'Up Wiki'!A:A,'Up Wiki'!B:B,),'Up Names'!L42)</f>
        <v/>
      </c>
      <c r="C42" s="37" t="str">
        <f t="array" ref="C42">_xlfn.XLOOKUP(B42,'Up Desc'!A:A,'Up Desc'!B:B,)</f>
        <v/>
      </c>
      <c r="D42" s="37" t="str">
        <f t="array" ref="D42">_xlfn.XLOOKUP(B42,'Up Turbo'!A:A,'Up Turbo'!B:B,)</f>
        <v/>
      </c>
      <c r="E42" s="39" t="str">
        <f t="array" ref="E42">_xlfn.XLOOKUP(B42,'Up Stats'!A:A,'Up Stats'!B:B,)</f>
        <v/>
      </c>
      <c r="F42" s="40" t="str">
        <f>IFERROR(__xludf.DUMMYFUNCTION("if(AND(G42=FALSE,H42=FALSE),,if(G42=H42,JOIN("""",""Static: "",G42),JOIN("""",""Min:  "",G42, CHAR(10),""Max: "",H42)))"),"")</f>
        <v/>
      </c>
      <c r="G42" s="42" t="str">
        <f t="array" ref="G42">_xlfn.XLOOKUP(B42,'Up Min'!A:A,'Up Min'!B:B,)</f>
        <v/>
      </c>
      <c r="H42" s="45" t="str">
        <f t="array" ref="H42">_xlfn.XLOOKUP(B42,'Up Max'!A:A,'Up Max'!B:B,)</f>
        <v/>
      </c>
      <c r="I42" s="39" t="str">
        <f t="array" ref="I42">_xlfn.XLOOKUP(B42,'Up Stats'!A:A,'Up Stats'!C:C,)</f>
        <v/>
      </c>
      <c r="J42" s="40" t="str">
        <f>IFERROR(__xludf.DUMMYFUNCTION("if(AND(K42=FALSE,L42=FALSE),,if(K42=L42,JOIN("""",""Static: "",K42),JOIN("""",""Min:  "",K42, CHAR(10),""Max: "",L42)))"),"")</f>
        <v/>
      </c>
      <c r="K42" s="42" t="str">
        <f t="array" ref="K42">_xlfn.XLOOKUP(B42,'Up Min'!A:A,'Up Min'!C:C,)</f>
        <v/>
      </c>
      <c r="L42" s="42" t="str">
        <f t="array" ref="L42">_xlfn.XLOOKUP(B42,'Up Max'!A:A,'Up Max'!C:C,)</f>
        <v/>
      </c>
      <c r="M42" s="48" t="str">
        <f t="array" ref="M42">_xlfn.XLOOKUP(B42,'Up Stats'!A:A,'Up Stats'!D:D,)</f>
        <v/>
      </c>
      <c r="N42" s="40" t="str">
        <f>IFERROR(__xludf.DUMMYFUNCTION("if(AND(O42=FALSE,P42=FALSE),,if(O42=P42,JOIN("""",""Static: "",O42),JOIN("""",""Min:  "",O42, CHAR(10),""Max: "",P42)))"),"")</f>
        <v/>
      </c>
      <c r="O42" s="42" t="str">
        <f t="array" ref="O42">_xlfn.XLOOKUP(B42,'Up Min'!A:A,'Up Min'!D:D,)</f>
        <v/>
      </c>
      <c r="P42" s="42" t="str">
        <f t="array" ref="P42">_xlfn.XLOOKUP(B42,'Up Max'!A:A,'Up Max'!D:D,)</f>
        <v/>
      </c>
      <c r="Q42" s="48" t="str">
        <f t="array" ref="Q42">_xlfn.XLOOKUP(B42,'Up Stats'!A:A,'Up Stats'!E:E,)</f>
        <v/>
      </c>
      <c r="R42" s="40" t="str">
        <f>IFERROR(__xludf.DUMMYFUNCTION("if(AND(S42=FALSE,T42=FALSE),,if(S42=T42,JOIN("""",""Static: "",S42),JOIN("""",""Min:  "",S42, CHAR(10),""Max: "",T42)))"),"")</f>
        <v/>
      </c>
      <c r="S42" s="42" t="str">
        <f t="array" ref="S42">_xlfn.XLOOKUP(B42,'Up Min'!A:A,'Up Min'!E:E,)</f>
        <v/>
      </c>
      <c r="T42" s="42" t="str">
        <f t="array" ref="T42">_xlfn.XLOOKUP(B42,'Up Max'!A:A,'Up Max'!E:E,)</f>
        <v/>
      </c>
      <c r="U42" s="48" t="str">
        <f t="array" ref="U42">_xlfn.XLOOKUP(B42,'Up Stats'!A:A,'Up Stats'!F:F,)</f>
        <v/>
      </c>
      <c r="V42" s="40" t="str">
        <f>IFERROR(__xludf.DUMMYFUNCTION("if(AND(W42=FALSE,X42=FALSE),,if(W42=X42,JOIN("""",""Static: "",W42),JOIN("""",""Min:  "",W42, CHAR(10),""Max: "",X42)))"),"")</f>
        <v/>
      </c>
      <c r="W42" s="42" t="str">
        <f t="array" ref="W42">_xlfn.XLOOKUP(B42,'Up Min'!A:A,'Up Min'!F:F,)</f>
        <v/>
      </c>
      <c r="X42" s="42" t="str">
        <f t="array" ref="X42">_xlfn.XLOOKUP(B42,'Up Max'!A:A,'Up Max'!F:F,)</f>
        <v/>
      </c>
      <c r="Y42" s="48" t="str">
        <f t="array" ref="Y42">_xlfn.XLOOKUP(B42,'Up Stats'!A:A,'Up Stats'!G:G,)</f>
        <v/>
      </c>
      <c r="Z42" s="40" t="str">
        <f>IFERROR(__xludf.DUMMYFUNCTION("if(AND(AA42=FALSE,AB42=FALSE),,if(AA42=AB42,JOIN("""",""Static: "",AA42),JOIN("""",""Min:  "",AA42, CHAR(10),""Max: "",AB42)))"),"")</f>
        <v/>
      </c>
      <c r="AA42" s="42" t="str">
        <f t="array" ref="AA42">_xlfn.XLOOKUP(B42,'Up Min'!A:A,'Up Min'!G:G,)</f>
        <v/>
      </c>
      <c r="AB42" s="42" t="str">
        <f t="array" ref="AB42">_xlfn.XLOOKUP(B42,'Up Max'!A:A,'Up Max'!G:G,)</f>
        <v/>
      </c>
      <c r="AC42" s="48" t="str">
        <f t="array" ref="AC42">_xlfn.XLOOKUP(B42,'Up Stats'!A:A,'Up Stats'!H:H,)</f>
        <v/>
      </c>
      <c r="AD42" s="40" t="str">
        <f>IFERROR(__xludf.DUMMYFUNCTION("if(AND(AE42=FALSE,AF42=FALSE),,if(AE42=AF42,JOIN("""",""Static: "",AE42),JOIN("""",""Min:  "",AE42, CHAR(10),""Max: "",AF42)))"),"")</f>
        <v/>
      </c>
      <c r="AE42" s="42" t="str">
        <f t="array" ref="AE42">_xlfn.XLOOKUP(B42,'Up Min'!A:A,'Up Min'!H:H,)</f>
        <v/>
      </c>
      <c r="AF42" s="42" t="str">
        <f t="array" ref="AF42">_xlfn.XLOOKUP(B42,'Up Max'!A:A,'Up Max'!H:H,)</f>
        <v/>
      </c>
      <c r="AG42" s="48" t="str">
        <f t="array" ref="AG42">_xlfn.XLOOKUP(B42,'Up Stats'!A:A,'Up Stats'!I:I,)</f>
        <v/>
      </c>
      <c r="AH42" s="40" t="str">
        <f>IFERROR(__xludf.DUMMYFUNCTION("if(AND(AI42=FALSE,AJ42=FALSE),,if(AI42=AJ42,JOIN("""",""Static: "",AI42),JOIN("""",""Min:  "",AI42, CHAR(10),""Max: "",AJ42)))"),"")</f>
        <v/>
      </c>
      <c r="AI42" s="42" t="str">
        <f t="array" ref="AI42">_xlfn.XLOOKUP(B42,'Up Min'!A:A,'Up Min'!I:I,)</f>
        <v/>
      </c>
      <c r="AJ42" s="42" t="str">
        <f t="array" ref="AJ42">_xlfn.XLOOKUP(B42,'Up Max'!A:A,'Up Max'!I:I,)</f>
        <v/>
      </c>
      <c r="AK42" s="48" t="str">
        <f t="array" ref="AK42">_xlfn.XLOOKUP(B42,'Up Stats'!A:A,'Up Stats'!J:J,)</f>
        <v/>
      </c>
      <c r="AL42" s="40" t="str">
        <f>IFERROR(__xludf.DUMMYFUNCTION("if(AND(AM42=FALSE,AN42=FALSE),,if(AM42=AN42,JOIN("""",""Static: "",AM42),JOIN("""",""Min:  "",AM42, CHAR(10),""Max: "",AN42)))"),"")</f>
        <v/>
      </c>
      <c r="AM42" s="42" t="str">
        <f t="array" ref="AM42">_xlfn.XLOOKUP(B42,'Up Min'!A:A,'Up Min'!J:J,)</f>
        <v/>
      </c>
      <c r="AN42" s="42" t="str">
        <f t="array" ref="AN42">_xlfn.XLOOKUP(B42,'Up Max'!A:A,'Up Max'!J:J,)</f>
        <v/>
      </c>
      <c r="AO42" s="34" t="str">
        <f t="array" ref="AO42">CONCATENATE(_xlfn.XLOOKUP(B42,'Up Cells'!A:A,'Up Cells'!B:B,))</f>
        <v/>
      </c>
      <c r="AP42" s="34" t="str">
        <f t="array" ref="AP42">CONCATENATE(_xlfn.XLOOKUP(B42,'Up Rarity'!A:A,'Up Rarity'!B:B,),CHAR(10),"-")</f>
        <v>
-</v>
      </c>
    </row>
    <row r="43">
      <c r="A43" s="86" t="str">
        <f t="array" ref="A43">_xlfn.XLOOKUP(B43,'Up Icon'!A:A,'Up Icon'!B:B,)</f>
        <v/>
      </c>
      <c r="B43" s="61" t="str">
        <f t="array" ref="B43">HYPERLINK(_xlfn.XLOOKUP('Up Names'!L43,'Up Wiki'!A:A,'Up Wiki'!B:B,),'Up Names'!L43)</f>
        <v/>
      </c>
      <c r="C43" s="52" t="str">
        <f t="array" ref="C43">_xlfn.XLOOKUP(B43,'Up Desc'!A:A,'Up Desc'!B:B,)</f>
        <v/>
      </c>
      <c r="D43" s="52" t="str">
        <f t="array" ref="D43">_xlfn.XLOOKUP(B43,'Up Turbo'!A:A,'Up Turbo'!B:B,)</f>
        <v/>
      </c>
      <c r="E43" s="53" t="str">
        <f t="array" ref="E43">_xlfn.XLOOKUP(B43,'Up Stats'!A:A,'Up Stats'!B:B,)</f>
        <v/>
      </c>
      <c r="F43" s="54" t="str">
        <f>IFERROR(__xludf.DUMMYFUNCTION("if(AND(G43=FALSE,H43=FALSE),,if(G43=H43,JOIN("""",""Static: "",G43),JOIN("""",""Min:  "",G43, CHAR(10),""Max: "",H43)))"),"")</f>
        <v/>
      </c>
      <c r="G43" s="55" t="str">
        <f t="array" ref="G43">_xlfn.XLOOKUP(B43,'Up Min'!A:A,'Up Min'!B:B,)</f>
        <v/>
      </c>
      <c r="H43" s="56" t="str">
        <f t="array" ref="H43">_xlfn.XLOOKUP(B43,'Up Max'!A:A,'Up Max'!B:B,)</f>
        <v/>
      </c>
      <c r="I43" s="53" t="str">
        <f t="array" ref="I43">_xlfn.XLOOKUP(B43,'Up Stats'!A:A,'Up Stats'!C:C,)</f>
        <v/>
      </c>
      <c r="J43" s="54" t="str">
        <f>IFERROR(__xludf.DUMMYFUNCTION("if(AND(K43=FALSE,L43=FALSE),,if(K43=L43,JOIN("""",""Static: "",K43),JOIN("""",""Min:  "",K43, CHAR(10),""Max: "",L43)))"),"")</f>
        <v/>
      </c>
      <c r="K43" s="55" t="str">
        <f t="array" ref="K43">_xlfn.XLOOKUP(B43,'Up Min'!A:A,'Up Min'!C:C,)</f>
        <v/>
      </c>
      <c r="L43" s="55" t="str">
        <f t="array" ref="L43">_xlfn.XLOOKUP(B43,'Up Max'!A:A,'Up Max'!C:C,)</f>
        <v/>
      </c>
      <c r="M43" s="57" t="str">
        <f t="array" ref="M43">_xlfn.XLOOKUP(B43,'Up Stats'!A:A,'Up Stats'!D:D,)</f>
        <v/>
      </c>
      <c r="N43" s="54" t="str">
        <f>IFERROR(__xludf.DUMMYFUNCTION("if(AND(O43=FALSE,P43=FALSE),,if(O43=P43,JOIN("""",""Static: "",O43),JOIN("""",""Min:  "",O43, CHAR(10),""Max: "",P43)))"),"")</f>
        <v/>
      </c>
      <c r="O43" s="55" t="str">
        <f t="array" ref="O43">_xlfn.XLOOKUP(B43,'Up Min'!A:A,'Up Min'!D:D,)</f>
        <v/>
      </c>
      <c r="P43" s="55" t="str">
        <f t="array" ref="P43">_xlfn.XLOOKUP(B43,'Up Max'!A:A,'Up Max'!D:D,)</f>
        <v/>
      </c>
      <c r="Q43" s="57" t="str">
        <f t="array" ref="Q43">_xlfn.XLOOKUP(B43,'Up Stats'!A:A,'Up Stats'!E:E,)</f>
        <v/>
      </c>
      <c r="R43" s="54" t="str">
        <f>IFERROR(__xludf.DUMMYFUNCTION("if(AND(S43=FALSE,T43=FALSE),,if(S43=T43,JOIN("""",""Static: "",S43),JOIN("""",""Min:  "",S43, CHAR(10),""Max: "",T43)))"),"")</f>
        <v/>
      </c>
      <c r="S43" s="55" t="str">
        <f t="array" ref="S43">_xlfn.XLOOKUP(B43,'Up Min'!A:A,'Up Min'!E:E,)</f>
        <v/>
      </c>
      <c r="T43" s="55" t="str">
        <f t="array" ref="T43">_xlfn.XLOOKUP(B43,'Up Max'!A:A,'Up Max'!E:E,)</f>
        <v/>
      </c>
      <c r="U43" s="57" t="str">
        <f t="array" ref="U43">_xlfn.XLOOKUP(B43,'Up Stats'!A:A,'Up Stats'!F:F,)</f>
        <v/>
      </c>
      <c r="V43" s="54" t="str">
        <f>IFERROR(__xludf.DUMMYFUNCTION("if(AND(W43=FALSE,X43=FALSE),,if(W43=X43,JOIN("""",""Static: "",W43),JOIN("""",""Min:  "",W43, CHAR(10),""Max: "",X43)))"),"")</f>
        <v/>
      </c>
      <c r="W43" s="55" t="str">
        <f t="array" ref="W43">_xlfn.XLOOKUP(B43,'Up Min'!A:A,'Up Min'!F:F,)</f>
        <v/>
      </c>
      <c r="X43" s="55" t="str">
        <f t="array" ref="X43">_xlfn.XLOOKUP(B43,'Up Max'!A:A,'Up Max'!F:F,)</f>
        <v/>
      </c>
      <c r="Y43" s="57" t="str">
        <f t="array" ref="Y43">_xlfn.XLOOKUP(B43,'Up Stats'!A:A,'Up Stats'!G:G,)</f>
        <v/>
      </c>
      <c r="Z43" s="54" t="str">
        <f>IFERROR(__xludf.DUMMYFUNCTION("if(AND(AA43=FALSE,AB43=FALSE),,if(AA43=AB43,JOIN("""",""Static: "",AA43),JOIN("""",""Min:  "",AA43, CHAR(10),""Max: "",AB43)))"),"")</f>
        <v/>
      </c>
      <c r="AA43" s="55" t="str">
        <f t="array" ref="AA43">_xlfn.XLOOKUP(B43,'Up Min'!A:A,'Up Min'!G:G,)</f>
        <v/>
      </c>
      <c r="AB43" s="55" t="str">
        <f t="array" ref="AB43">_xlfn.XLOOKUP(B43,'Up Max'!A:A,'Up Max'!G:G,)</f>
        <v/>
      </c>
      <c r="AC43" s="57" t="str">
        <f t="array" ref="AC43">_xlfn.XLOOKUP(B43,'Up Stats'!A:A,'Up Stats'!H:H,)</f>
        <v/>
      </c>
      <c r="AD43" s="54" t="str">
        <f>IFERROR(__xludf.DUMMYFUNCTION("if(AND(AE43=FALSE,AF43=FALSE),,if(AE43=AF43,JOIN("""",""Static: "",AE43),JOIN("""",""Min:  "",AE43, CHAR(10),""Max: "",AF43)))"),"")</f>
        <v/>
      </c>
      <c r="AE43" s="55" t="str">
        <f t="array" ref="AE43">_xlfn.XLOOKUP(B43,'Up Min'!A:A,'Up Min'!H:H,)</f>
        <v/>
      </c>
      <c r="AF43" s="55" t="str">
        <f t="array" ref="AF43">_xlfn.XLOOKUP(B43,'Up Max'!A:A,'Up Max'!H:H,)</f>
        <v/>
      </c>
      <c r="AG43" s="57" t="str">
        <f t="array" ref="AG43">_xlfn.XLOOKUP(B43,'Up Stats'!A:A,'Up Stats'!I:I,)</f>
        <v/>
      </c>
      <c r="AH43" s="54" t="str">
        <f>IFERROR(__xludf.DUMMYFUNCTION("if(AND(AI43=FALSE,AJ43=FALSE),,if(AI43=AJ43,JOIN("""",""Static: "",AI43),JOIN("""",""Min:  "",AI43, CHAR(10),""Max: "",AJ43)))"),"")</f>
        <v/>
      </c>
      <c r="AI43" s="55" t="str">
        <f t="array" ref="AI43">_xlfn.XLOOKUP(B43,'Up Min'!A:A,'Up Min'!I:I,)</f>
        <v/>
      </c>
      <c r="AJ43" s="55" t="str">
        <f t="array" ref="AJ43">_xlfn.XLOOKUP(B43,'Up Max'!A:A,'Up Max'!I:I,)</f>
        <v/>
      </c>
      <c r="AK43" s="57" t="str">
        <f t="array" ref="AK43">_xlfn.XLOOKUP(B43,'Up Stats'!A:A,'Up Stats'!J:J,)</f>
        <v/>
      </c>
      <c r="AL43" s="54" t="str">
        <f>IFERROR(__xludf.DUMMYFUNCTION("if(AND(AM43=FALSE,AN43=FALSE),,if(AM43=AN43,JOIN("""",""Static: "",AM43),JOIN("""",""Min:  "",AM43, CHAR(10),""Max: "",AN43)))"),"")</f>
        <v/>
      </c>
      <c r="AM43" s="55" t="str">
        <f t="array" ref="AM43">_xlfn.XLOOKUP(B43,'Up Min'!A:A,'Up Min'!J:J,)</f>
        <v/>
      </c>
      <c r="AN43" s="55" t="str">
        <f t="array" ref="AN43">_xlfn.XLOOKUP(B43,'Up Max'!A:A,'Up Max'!J:J,)</f>
        <v/>
      </c>
      <c r="AO43" s="51" t="str">
        <f t="array" ref="AO43">CONCATENATE(_xlfn.XLOOKUP(B43,'Up Cells'!A:A,'Up Cells'!B:B,))</f>
        <v/>
      </c>
      <c r="AP43" s="51" t="str">
        <f t="array" ref="AP43">CONCATENATE(_xlfn.XLOOKUP(B43,'Up Rarity'!A:A,'Up Rarity'!B:B,),CHAR(10),"-")</f>
        <v>
-</v>
      </c>
    </row>
    <row r="44">
      <c r="A44" s="87" t="str">
        <f t="array" ref="A44">_xlfn.XLOOKUP(B44,'Up Icon'!A:A,'Up Icon'!B:B,)</f>
        <v/>
      </c>
      <c r="B44" s="58" t="str">
        <f t="array" ref="B44">HYPERLINK(_xlfn.XLOOKUP('Up Names'!L44,'Up Wiki'!A:A,'Up Wiki'!B:B,),'Up Names'!L44)</f>
        <v/>
      </c>
      <c r="C44" s="37" t="str">
        <f t="array" ref="C44">_xlfn.XLOOKUP(B44,'Up Desc'!A:A,'Up Desc'!B:B,)</f>
        <v/>
      </c>
      <c r="D44" s="37" t="str">
        <f t="array" ref="D44">_xlfn.XLOOKUP(B44,'Up Turbo'!A:A,'Up Turbo'!B:B,)</f>
        <v/>
      </c>
      <c r="E44" s="39" t="str">
        <f t="array" ref="E44">_xlfn.XLOOKUP(B44,'Up Stats'!A:A,'Up Stats'!B:B,)</f>
        <v/>
      </c>
      <c r="F44" s="40" t="str">
        <f>IFERROR(__xludf.DUMMYFUNCTION("if(AND(G44=FALSE,H44=FALSE),,if(G44=H44,JOIN("""",""Static: "",G44),JOIN("""",""Min:  "",G44, CHAR(10),""Max: "",H44)))"),"")</f>
        <v/>
      </c>
      <c r="G44" s="42" t="str">
        <f t="array" ref="G44">_xlfn.XLOOKUP(B44,'Up Min'!A:A,'Up Min'!B:B,)</f>
        <v/>
      </c>
      <c r="H44" s="45" t="str">
        <f t="array" ref="H44">_xlfn.XLOOKUP(B44,'Up Max'!A:A,'Up Max'!B:B,)</f>
        <v/>
      </c>
      <c r="I44" s="39" t="str">
        <f t="array" ref="I44">_xlfn.XLOOKUP(B44,'Up Stats'!A:A,'Up Stats'!C:C,)</f>
        <v/>
      </c>
      <c r="J44" s="40" t="str">
        <f>IFERROR(__xludf.DUMMYFUNCTION("if(AND(K44=FALSE,L44=FALSE),,if(K44=L44,JOIN("""",""Static: "",K44),JOIN("""",""Min:  "",K44, CHAR(10),""Max: "",L44)))"),"")</f>
        <v/>
      </c>
      <c r="K44" s="42" t="str">
        <f t="array" ref="K44">_xlfn.XLOOKUP(B44,'Up Min'!A:A,'Up Min'!C:C,)</f>
        <v/>
      </c>
      <c r="L44" s="42" t="str">
        <f t="array" ref="L44">_xlfn.XLOOKUP(B44,'Up Max'!A:A,'Up Max'!C:C,)</f>
        <v/>
      </c>
      <c r="M44" s="48" t="str">
        <f t="array" ref="M44">_xlfn.XLOOKUP(B44,'Up Stats'!A:A,'Up Stats'!D:D,)</f>
        <v/>
      </c>
      <c r="N44" s="40" t="str">
        <f>IFERROR(__xludf.DUMMYFUNCTION("if(AND(O44=FALSE,P44=FALSE),,if(O44=P44,JOIN("""",""Static: "",O44),JOIN("""",""Min:  "",O44, CHAR(10),""Max: "",P44)))"),"")</f>
        <v/>
      </c>
      <c r="O44" s="42" t="str">
        <f t="array" ref="O44">_xlfn.XLOOKUP(B44,'Up Min'!A:A,'Up Min'!D:D,)</f>
        <v/>
      </c>
      <c r="P44" s="42" t="str">
        <f t="array" ref="P44">_xlfn.XLOOKUP(B44,'Up Max'!A:A,'Up Max'!D:D,)</f>
        <v/>
      </c>
      <c r="Q44" s="48" t="str">
        <f t="array" ref="Q44">_xlfn.XLOOKUP(B44,'Up Stats'!A:A,'Up Stats'!E:E,)</f>
        <v/>
      </c>
      <c r="R44" s="40" t="str">
        <f>IFERROR(__xludf.DUMMYFUNCTION("if(AND(S44=FALSE,T44=FALSE),,if(S44=T44,JOIN("""",""Static: "",S44),JOIN("""",""Min:  "",S44, CHAR(10),""Max: "",T44)))"),"")</f>
        <v/>
      </c>
      <c r="S44" s="42" t="str">
        <f t="array" ref="S44">_xlfn.XLOOKUP(B44,'Up Min'!A:A,'Up Min'!E:E,)</f>
        <v/>
      </c>
      <c r="T44" s="42" t="str">
        <f t="array" ref="T44">_xlfn.XLOOKUP(B44,'Up Max'!A:A,'Up Max'!E:E,)</f>
        <v/>
      </c>
      <c r="U44" s="48" t="str">
        <f t="array" ref="U44">_xlfn.XLOOKUP(B44,'Up Stats'!A:A,'Up Stats'!F:F,)</f>
        <v/>
      </c>
      <c r="V44" s="40" t="str">
        <f>IFERROR(__xludf.DUMMYFUNCTION("if(AND(W44=FALSE,X44=FALSE),,if(W44=X44,JOIN("""",""Static: "",W44),JOIN("""",""Min:  "",W44, CHAR(10),""Max: "",X44)))"),"")</f>
        <v/>
      </c>
      <c r="W44" s="42" t="str">
        <f t="array" ref="W44">_xlfn.XLOOKUP(B44,'Up Min'!A:A,'Up Min'!F:F,)</f>
        <v/>
      </c>
      <c r="X44" s="42" t="str">
        <f t="array" ref="X44">_xlfn.XLOOKUP(B44,'Up Max'!A:A,'Up Max'!F:F,)</f>
        <v/>
      </c>
      <c r="Y44" s="48" t="str">
        <f t="array" ref="Y44">_xlfn.XLOOKUP(B44,'Up Stats'!A:A,'Up Stats'!G:G,)</f>
        <v/>
      </c>
      <c r="Z44" s="40" t="str">
        <f>IFERROR(__xludf.DUMMYFUNCTION("if(AND(AA44=FALSE,AB44=FALSE),,if(AA44=AB44,JOIN("""",""Static: "",AA44),JOIN("""",""Min:  "",AA44, CHAR(10),""Max: "",AB44)))"),"")</f>
        <v/>
      </c>
      <c r="AA44" s="42" t="str">
        <f t="array" ref="AA44">_xlfn.XLOOKUP(B44,'Up Min'!A:A,'Up Min'!G:G,)</f>
        <v/>
      </c>
      <c r="AB44" s="42" t="str">
        <f t="array" ref="AB44">_xlfn.XLOOKUP(B44,'Up Max'!A:A,'Up Max'!G:G,)</f>
        <v/>
      </c>
      <c r="AC44" s="48" t="str">
        <f t="array" ref="AC44">_xlfn.XLOOKUP(B44,'Up Stats'!A:A,'Up Stats'!H:H,)</f>
        <v/>
      </c>
      <c r="AD44" s="40" t="str">
        <f>IFERROR(__xludf.DUMMYFUNCTION("if(AND(AE44=FALSE,AF44=FALSE),,if(AE44=AF44,JOIN("""",""Static: "",AE44),JOIN("""",""Min:  "",AE44, CHAR(10),""Max: "",AF44)))"),"")</f>
        <v/>
      </c>
      <c r="AE44" s="42" t="str">
        <f t="array" ref="AE44">_xlfn.XLOOKUP(B44,'Up Min'!A:A,'Up Min'!H:H,)</f>
        <v/>
      </c>
      <c r="AF44" s="42" t="str">
        <f t="array" ref="AF44">_xlfn.XLOOKUP(B44,'Up Max'!A:A,'Up Max'!H:H,)</f>
        <v/>
      </c>
      <c r="AG44" s="48" t="str">
        <f t="array" ref="AG44">_xlfn.XLOOKUP(B44,'Up Stats'!A:A,'Up Stats'!I:I,)</f>
        <v/>
      </c>
      <c r="AH44" s="40" t="str">
        <f>IFERROR(__xludf.DUMMYFUNCTION("if(AND(AI44=FALSE,AJ44=FALSE),,if(AI44=AJ44,JOIN("""",""Static: "",AI44),JOIN("""",""Min:  "",AI44, CHAR(10),""Max: "",AJ44)))"),"")</f>
        <v/>
      </c>
      <c r="AI44" s="42" t="str">
        <f t="array" ref="AI44">_xlfn.XLOOKUP(B44,'Up Min'!A:A,'Up Min'!I:I,)</f>
        <v/>
      </c>
      <c r="AJ44" s="42" t="str">
        <f t="array" ref="AJ44">_xlfn.XLOOKUP(B44,'Up Max'!A:A,'Up Max'!I:I,)</f>
        <v/>
      </c>
      <c r="AK44" s="48" t="str">
        <f t="array" ref="AK44">_xlfn.XLOOKUP(B44,'Up Stats'!A:A,'Up Stats'!J:J,)</f>
        <v/>
      </c>
      <c r="AL44" s="40" t="str">
        <f>IFERROR(__xludf.DUMMYFUNCTION("if(AND(AM44=FALSE,AN44=FALSE),,if(AM44=AN44,JOIN("""",""Static: "",AM44),JOIN("""",""Min:  "",AM44, CHAR(10),""Max: "",AN44)))"),"")</f>
        <v/>
      </c>
      <c r="AM44" s="42" t="str">
        <f t="array" ref="AM44">_xlfn.XLOOKUP(B44,'Up Min'!A:A,'Up Min'!J:J,)</f>
        <v/>
      </c>
      <c r="AN44" s="42" t="str">
        <f t="array" ref="AN44">_xlfn.XLOOKUP(B44,'Up Max'!A:A,'Up Max'!J:J,)</f>
        <v/>
      </c>
      <c r="AO44" s="34" t="str">
        <f t="array" ref="AO44">CONCATENATE(_xlfn.XLOOKUP(B44,'Up Cells'!A:A,'Up Cells'!B:B,))</f>
        <v/>
      </c>
      <c r="AP44" s="34" t="str">
        <f t="array" ref="AP44">CONCATENATE(_xlfn.XLOOKUP(B44,'Up Rarity'!A:A,'Up Rarity'!B:B,),CHAR(10),"-")</f>
        <v>
-</v>
      </c>
    </row>
    <row r="45">
      <c r="A45" s="86" t="str">
        <f t="array" ref="A45">_xlfn.XLOOKUP(B45,'Up Icon'!A:A,'Up Icon'!B:B,)</f>
        <v/>
      </c>
      <c r="B45" s="61" t="str">
        <f t="array" ref="B45">HYPERLINK(_xlfn.XLOOKUP('Up Names'!L45,'Up Wiki'!A:A,'Up Wiki'!B:B,),'Up Names'!L45)</f>
        <v/>
      </c>
      <c r="C45" s="52" t="str">
        <f t="array" ref="C45">_xlfn.XLOOKUP(B45,'Up Desc'!A:A,'Up Desc'!B:B,)</f>
        <v/>
      </c>
      <c r="D45" s="52" t="str">
        <f t="array" ref="D45">_xlfn.XLOOKUP(B45,'Up Turbo'!A:A,'Up Turbo'!B:B,)</f>
        <v/>
      </c>
      <c r="E45" s="53" t="str">
        <f t="array" ref="E45">_xlfn.XLOOKUP(B45,'Up Stats'!A:A,'Up Stats'!B:B,)</f>
        <v/>
      </c>
      <c r="F45" s="54" t="str">
        <f>IFERROR(__xludf.DUMMYFUNCTION("if(AND(G45=FALSE,H45=FALSE),,if(G45=H45,JOIN("""",""Static: "",G45),JOIN("""",""Min:  "",G45, CHAR(10),""Max: "",H45)))"),"")</f>
        <v/>
      </c>
      <c r="G45" s="55" t="str">
        <f t="array" ref="G45">_xlfn.XLOOKUP(B45,'Up Min'!A:A,'Up Min'!B:B,)</f>
        <v/>
      </c>
      <c r="H45" s="56" t="str">
        <f t="array" ref="H45">_xlfn.XLOOKUP(B45,'Up Max'!A:A,'Up Max'!B:B,)</f>
        <v/>
      </c>
      <c r="I45" s="53" t="str">
        <f t="array" ref="I45">_xlfn.XLOOKUP(B45,'Up Stats'!A:A,'Up Stats'!C:C,)</f>
        <v/>
      </c>
      <c r="J45" s="54" t="str">
        <f>IFERROR(__xludf.DUMMYFUNCTION("if(AND(K45=FALSE,L45=FALSE),,if(K45=L45,JOIN("""",""Static: "",K45),JOIN("""",""Min:  "",K45, CHAR(10),""Max: "",L45)))"),"")</f>
        <v/>
      </c>
      <c r="K45" s="55" t="str">
        <f t="array" ref="K45">_xlfn.XLOOKUP(B45,'Up Min'!A:A,'Up Min'!C:C,)</f>
        <v/>
      </c>
      <c r="L45" s="55" t="str">
        <f t="array" ref="L45">_xlfn.XLOOKUP(B45,'Up Max'!A:A,'Up Max'!C:C,)</f>
        <v/>
      </c>
      <c r="M45" s="57" t="str">
        <f t="array" ref="M45">_xlfn.XLOOKUP(B45,'Up Stats'!A:A,'Up Stats'!D:D,)</f>
        <v/>
      </c>
      <c r="N45" s="54" t="str">
        <f>IFERROR(__xludf.DUMMYFUNCTION("if(AND(O45=FALSE,P45=FALSE),,if(O45=P45,JOIN("""",""Static: "",O45),JOIN("""",""Min:  "",O45, CHAR(10),""Max: "",P45)))"),"")</f>
        <v/>
      </c>
      <c r="O45" s="55" t="str">
        <f t="array" ref="O45">_xlfn.XLOOKUP(B45,'Up Min'!A:A,'Up Min'!D:D,)</f>
        <v/>
      </c>
      <c r="P45" s="55" t="str">
        <f t="array" ref="P45">_xlfn.XLOOKUP(B45,'Up Max'!A:A,'Up Max'!D:D,)</f>
        <v/>
      </c>
      <c r="Q45" s="57" t="str">
        <f t="array" ref="Q45">_xlfn.XLOOKUP(B45,'Up Stats'!A:A,'Up Stats'!E:E,)</f>
        <v/>
      </c>
      <c r="R45" s="54" t="str">
        <f>IFERROR(__xludf.DUMMYFUNCTION("if(AND(S45=FALSE,T45=FALSE),,if(S45=T45,JOIN("""",""Static: "",S45),JOIN("""",""Min:  "",S45, CHAR(10),""Max: "",T45)))"),"")</f>
        <v/>
      </c>
      <c r="S45" s="55" t="str">
        <f t="array" ref="S45">_xlfn.XLOOKUP(B45,'Up Min'!A:A,'Up Min'!E:E,)</f>
        <v/>
      </c>
      <c r="T45" s="55" t="str">
        <f t="array" ref="T45">_xlfn.XLOOKUP(B45,'Up Max'!A:A,'Up Max'!E:E,)</f>
        <v/>
      </c>
      <c r="U45" s="57" t="str">
        <f t="array" ref="U45">_xlfn.XLOOKUP(B45,'Up Stats'!A:A,'Up Stats'!F:F,)</f>
        <v/>
      </c>
      <c r="V45" s="54" t="str">
        <f>IFERROR(__xludf.DUMMYFUNCTION("if(AND(W45=FALSE,X45=FALSE),,if(W45=X45,JOIN("""",""Static: "",W45),JOIN("""",""Min:  "",W45, CHAR(10),""Max: "",X45)))"),"")</f>
        <v/>
      </c>
      <c r="W45" s="55" t="str">
        <f t="array" ref="W45">_xlfn.XLOOKUP(B45,'Up Min'!A:A,'Up Min'!F:F,)</f>
        <v/>
      </c>
      <c r="X45" s="55" t="str">
        <f t="array" ref="X45">_xlfn.XLOOKUP(B45,'Up Max'!A:A,'Up Max'!F:F,)</f>
        <v/>
      </c>
      <c r="Y45" s="57" t="str">
        <f t="array" ref="Y45">_xlfn.XLOOKUP(B45,'Up Stats'!A:A,'Up Stats'!G:G,)</f>
        <v/>
      </c>
      <c r="Z45" s="54" t="str">
        <f>IFERROR(__xludf.DUMMYFUNCTION("if(AND(AA45=FALSE,AB45=FALSE),,if(AA45=AB45,JOIN("""",""Static: "",AA45),JOIN("""",""Min:  "",AA45, CHAR(10),""Max: "",AB45)))"),"")</f>
        <v/>
      </c>
      <c r="AA45" s="55" t="str">
        <f t="array" ref="AA45">_xlfn.XLOOKUP(B45,'Up Min'!A:A,'Up Min'!G:G,)</f>
        <v/>
      </c>
      <c r="AB45" s="55" t="str">
        <f t="array" ref="AB45">_xlfn.XLOOKUP(B45,'Up Max'!A:A,'Up Max'!G:G,)</f>
        <v/>
      </c>
      <c r="AC45" s="57" t="str">
        <f t="array" ref="AC45">_xlfn.XLOOKUP(B45,'Up Stats'!A:A,'Up Stats'!H:H,)</f>
        <v/>
      </c>
      <c r="AD45" s="54" t="str">
        <f>IFERROR(__xludf.DUMMYFUNCTION("if(AND(AE45=FALSE,AF45=FALSE),,if(AE45=AF45,JOIN("""",""Static: "",AE45),JOIN("""",""Min:  "",AE45, CHAR(10),""Max: "",AF45)))"),"")</f>
        <v/>
      </c>
      <c r="AE45" s="55" t="str">
        <f t="array" ref="AE45">_xlfn.XLOOKUP(B45,'Up Min'!A:A,'Up Min'!H:H,)</f>
        <v/>
      </c>
      <c r="AF45" s="55" t="str">
        <f t="array" ref="AF45">_xlfn.XLOOKUP(B45,'Up Max'!A:A,'Up Max'!H:H,)</f>
        <v/>
      </c>
      <c r="AG45" s="57" t="str">
        <f t="array" ref="AG45">_xlfn.XLOOKUP(B45,'Up Stats'!A:A,'Up Stats'!I:I,)</f>
        <v/>
      </c>
      <c r="AH45" s="54" t="str">
        <f>IFERROR(__xludf.DUMMYFUNCTION("if(AND(AI45=FALSE,AJ45=FALSE),,if(AI45=AJ45,JOIN("""",""Static: "",AI45),JOIN("""",""Min:  "",AI45, CHAR(10),""Max: "",AJ45)))"),"")</f>
        <v/>
      </c>
      <c r="AI45" s="55" t="str">
        <f t="array" ref="AI45">_xlfn.XLOOKUP(B45,'Up Min'!A:A,'Up Min'!I:I,)</f>
        <v/>
      </c>
      <c r="AJ45" s="55" t="str">
        <f t="array" ref="AJ45">_xlfn.XLOOKUP(B45,'Up Max'!A:A,'Up Max'!I:I,)</f>
        <v/>
      </c>
      <c r="AK45" s="57" t="str">
        <f t="array" ref="AK45">_xlfn.XLOOKUP(B45,'Up Stats'!A:A,'Up Stats'!J:J,)</f>
        <v/>
      </c>
      <c r="AL45" s="54" t="str">
        <f>IFERROR(__xludf.DUMMYFUNCTION("if(AND(AM45=FALSE,AN45=FALSE),,if(AM45=AN45,JOIN("""",""Static: "",AM45),JOIN("""",""Min:  "",AM45, CHAR(10),""Max: "",AN45)))"),"")</f>
        <v/>
      </c>
      <c r="AM45" s="55" t="str">
        <f t="array" ref="AM45">_xlfn.XLOOKUP(B45,'Up Min'!A:A,'Up Min'!J:J,)</f>
        <v/>
      </c>
      <c r="AN45" s="55" t="str">
        <f t="array" ref="AN45">_xlfn.XLOOKUP(B45,'Up Max'!A:A,'Up Max'!J:J,)</f>
        <v/>
      </c>
      <c r="AO45" s="51" t="str">
        <f t="array" ref="AO45">CONCATENATE(_xlfn.XLOOKUP(B45,'Up Cells'!A:A,'Up Cells'!B:B,))</f>
        <v/>
      </c>
      <c r="AP45" s="51" t="str">
        <f t="array" ref="AP45">CONCATENATE(_xlfn.XLOOKUP(B45,'Up Rarity'!A:A,'Up Rarity'!B:B,),CHAR(10),"-")</f>
        <v>
-</v>
      </c>
    </row>
    <row r="46">
      <c r="A46" s="87" t="str">
        <f t="array" ref="A46">_xlfn.XLOOKUP(B46,'Up Icon'!A:A,'Up Icon'!B:B,)</f>
        <v/>
      </c>
      <c r="B46" s="58" t="str">
        <f t="array" ref="B46">HYPERLINK(_xlfn.XLOOKUP('Up Names'!L46,'Up Wiki'!A:A,'Up Wiki'!B:B,),'Up Names'!L46)</f>
        <v/>
      </c>
      <c r="C46" s="37" t="str">
        <f t="array" ref="C46">_xlfn.XLOOKUP(B46,'Up Desc'!A:A,'Up Desc'!B:B,)</f>
        <v/>
      </c>
      <c r="D46" s="37" t="str">
        <f t="array" ref="D46">_xlfn.XLOOKUP(B46,'Up Turbo'!A:A,'Up Turbo'!B:B,)</f>
        <v/>
      </c>
      <c r="E46" s="39" t="str">
        <f t="array" ref="E46">_xlfn.XLOOKUP(B46,'Up Stats'!A:A,'Up Stats'!B:B,)</f>
        <v/>
      </c>
      <c r="F46" s="40" t="str">
        <f>IFERROR(__xludf.DUMMYFUNCTION("if(AND(G46=FALSE,H46=FALSE),,if(G46=H46,JOIN("""",""Static: "",G46),JOIN("""",""Min:  "",G46, CHAR(10),""Max: "",H46)))"),"")</f>
        <v/>
      </c>
      <c r="G46" s="42" t="str">
        <f t="array" ref="G46">_xlfn.XLOOKUP(B46,'Up Min'!A:A,'Up Min'!B:B,)</f>
        <v/>
      </c>
      <c r="H46" s="45" t="str">
        <f t="array" ref="H46">_xlfn.XLOOKUP(B46,'Up Max'!A:A,'Up Max'!B:B,)</f>
        <v/>
      </c>
      <c r="I46" s="39" t="str">
        <f t="array" ref="I46">_xlfn.XLOOKUP(B46,'Up Stats'!A:A,'Up Stats'!C:C,)</f>
        <v/>
      </c>
      <c r="J46" s="40" t="str">
        <f>IFERROR(__xludf.DUMMYFUNCTION("if(AND(K46=FALSE,L46=FALSE),,if(K46=L46,JOIN("""",""Static: "",K46),JOIN("""",""Min:  "",K46, CHAR(10),""Max: "",L46)))"),"")</f>
        <v/>
      </c>
      <c r="K46" s="42" t="str">
        <f t="array" ref="K46">_xlfn.XLOOKUP(B46,'Up Min'!A:A,'Up Min'!C:C,)</f>
        <v/>
      </c>
      <c r="L46" s="42" t="str">
        <f t="array" ref="L46">_xlfn.XLOOKUP(B46,'Up Max'!A:A,'Up Max'!C:C,)</f>
        <v/>
      </c>
      <c r="M46" s="48" t="str">
        <f t="array" ref="M46">_xlfn.XLOOKUP(B46,'Up Stats'!A:A,'Up Stats'!D:D,)</f>
        <v/>
      </c>
      <c r="N46" s="40" t="str">
        <f>IFERROR(__xludf.DUMMYFUNCTION("if(AND(O46=FALSE,P46=FALSE),,if(O46=P46,JOIN("""",""Static: "",O46),JOIN("""",""Min:  "",O46, CHAR(10),""Max: "",P46)))"),"")</f>
        <v/>
      </c>
      <c r="O46" s="42" t="str">
        <f t="array" ref="O46">_xlfn.XLOOKUP(B46,'Up Min'!A:A,'Up Min'!D:D,)</f>
        <v/>
      </c>
      <c r="P46" s="42" t="str">
        <f t="array" ref="P46">_xlfn.XLOOKUP(B46,'Up Max'!A:A,'Up Max'!D:D,)</f>
        <v/>
      </c>
      <c r="Q46" s="48" t="str">
        <f t="array" ref="Q46">_xlfn.XLOOKUP(B46,'Up Stats'!A:A,'Up Stats'!E:E,)</f>
        <v/>
      </c>
      <c r="R46" s="40" t="str">
        <f>IFERROR(__xludf.DUMMYFUNCTION("if(AND(S46=FALSE,T46=FALSE),,if(S46=T46,JOIN("""",""Static: "",S46),JOIN("""",""Min:  "",S46, CHAR(10),""Max: "",T46)))"),"")</f>
        <v/>
      </c>
      <c r="S46" s="42" t="str">
        <f t="array" ref="S46">_xlfn.XLOOKUP(B46,'Up Min'!A:A,'Up Min'!E:E,)</f>
        <v/>
      </c>
      <c r="T46" s="42" t="str">
        <f t="array" ref="T46">_xlfn.XLOOKUP(B46,'Up Max'!A:A,'Up Max'!E:E,)</f>
        <v/>
      </c>
      <c r="U46" s="48" t="str">
        <f t="array" ref="U46">_xlfn.XLOOKUP(B46,'Up Stats'!A:A,'Up Stats'!F:F,)</f>
        <v/>
      </c>
      <c r="V46" s="40" t="str">
        <f>IFERROR(__xludf.DUMMYFUNCTION("if(AND(W46=FALSE,X46=FALSE),,if(W46=X46,JOIN("""",""Static: "",W46),JOIN("""",""Min:  "",W46, CHAR(10),""Max: "",X46)))"),"")</f>
        <v/>
      </c>
      <c r="W46" s="42" t="str">
        <f t="array" ref="W46">_xlfn.XLOOKUP(B46,'Up Min'!A:A,'Up Min'!F:F,)</f>
        <v/>
      </c>
      <c r="X46" s="42" t="str">
        <f t="array" ref="X46">_xlfn.XLOOKUP(B46,'Up Max'!A:A,'Up Max'!F:F,)</f>
        <v/>
      </c>
      <c r="Y46" s="48" t="str">
        <f t="array" ref="Y46">_xlfn.XLOOKUP(B46,'Up Stats'!A:A,'Up Stats'!G:G,)</f>
        <v/>
      </c>
      <c r="Z46" s="40" t="str">
        <f>IFERROR(__xludf.DUMMYFUNCTION("if(AND(AA46=FALSE,AB46=FALSE),,if(AA46=AB46,JOIN("""",""Static: "",AA46),JOIN("""",""Min:  "",AA46, CHAR(10),""Max: "",AB46)))"),"")</f>
        <v/>
      </c>
      <c r="AA46" s="42" t="str">
        <f t="array" ref="AA46">_xlfn.XLOOKUP(B46,'Up Min'!A:A,'Up Min'!G:G,)</f>
        <v/>
      </c>
      <c r="AB46" s="42" t="str">
        <f t="array" ref="AB46">_xlfn.XLOOKUP(B46,'Up Max'!A:A,'Up Max'!G:G,)</f>
        <v/>
      </c>
      <c r="AC46" s="48" t="str">
        <f t="array" ref="AC46">_xlfn.XLOOKUP(B46,'Up Stats'!A:A,'Up Stats'!H:H,)</f>
        <v/>
      </c>
      <c r="AD46" s="40" t="str">
        <f>IFERROR(__xludf.DUMMYFUNCTION("if(AND(AE46=FALSE,AF46=FALSE),,if(AE46=AF46,JOIN("""",""Static: "",AE46),JOIN("""",""Min:  "",AE46, CHAR(10),""Max: "",AF46)))"),"")</f>
        <v/>
      </c>
      <c r="AE46" s="42" t="str">
        <f t="array" ref="AE46">_xlfn.XLOOKUP(B46,'Up Min'!A:A,'Up Min'!H:H,)</f>
        <v/>
      </c>
      <c r="AF46" s="42" t="str">
        <f t="array" ref="AF46">_xlfn.XLOOKUP(B46,'Up Max'!A:A,'Up Max'!H:H,)</f>
        <v/>
      </c>
      <c r="AG46" s="48" t="str">
        <f t="array" ref="AG46">_xlfn.XLOOKUP(B46,'Up Stats'!A:A,'Up Stats'!I:I,)</f>
        <v/>
      </c>
      <c r="AH46" s="40" t="str">
        <f>IFERROR(__xludf.DUMMYFUNCTION("if(AND(AI46=FALSE,AJ46=FALSE),,if(AI46=AJ46,JOIN("""",""Static: "",AI46),JOIN("""",""Min:  "",AI46, CHAR(10),""Max: "",AJ46)))"),"")</f>
        <v/>
      </c>
      <c r="AI46" s="42" t="str">
        <f t="array" ref="AI46">_xlfn.XLOOKUP(B46,'Up Min'!A:A,'Up Min'!I:I,)</f>
        <v/>
      </c>
      <c r="AJ46" s="42" t="str">
        <f t="array" ref="AJ46">_xlfn.XLOOKUP(B46,'Up Max'!A:A,'Up Max'!I:I,)</f>
        <v/>
      </c>
      <c r="AK46" s="48" t="str">
        <f t="array" ref="AK46">_xlfn.XLOOKUP(B46,'Up Stats'!A:A,'Up Stats'!J:J,)</f>
        <v/>
      </c>
      <c r="AL46" s="40" t="str">
        <f>IFERROR(__xludf.DUMMYFUNCTION("if(AND(AM46=FALSE,AN46=FALSE),,if(AM46=AN46,JOIN("""",""Static: "",AM46),JOIN("""",""Min:  "",AM46, CHAR(10),""Max: "",AN46)))"),"")</f>
        <v/>
      </c>
      <c r="AM46" s="42" t="str">
        <f t="array" ref="AM46">_xlfn.XLOOKUP(B46,'Up Min'!A:A,'Up Min'!J:J,)</f>
        <v/>
      </c>
      <c r="AN46" s="42" t="str">
        <f t="array" ref="AN46">_xlfn.XLOOKUP(B46,'Up Max'!A:A,'Up Max'!J:J,)</f>
        <v/>
      </c>
      <c r="AO46" s="34" t="str">
        <f t="array" ref="AO46">CONCATENATE(_xlfn.XLOOKUP(B46,'Up Cells'!A:A,'Up Cells'!B:B,))</f>
        <v/>
      </c>
      <c r="AP46" s="34" t="str">
        <f t="array" ref="AP46">CONCATENATE(_xlfn.XLOOKUP(B46,'Up Rarity'!A:A,'Up Rarity'!B:B,),CHAR(10),"-")</f>
        <v>
-</v>
      </c>
    </row>
    <row r="47">
      <c r="A47" s="86" t="str">
        <f t="array" ref="A47">_xlfn.XLOOKUP(B47,'Up Icon'!A:A,'Up Icon'!B:B,)</f>
        <v/>
      </c>
      <c r="B47" s="61" t="str">
        <f t="array" ref="B47">HYPERLINK(_xlfn.XLOOKUP('Up Names'!L47,'Up Wiki'!A:A,'Up Wiki'!B:B,),'Up Names'!L47)</f>
        <v/>
      </c>
      <c r="C47" s="52" t="str">
        <f t="array" ref="C47">_xlfn.XLOOKUP(B47,'Up Desc'!A:A,'Up Desc'!B:B,)</f>
        <v/>
      </c>
      <c r="D47" s="52" t="str">
        <f t="array" ref="D47">_xlfn.XLOOKUP(B47,'Up Turbo'!A:A,'Up Turbo'!B:B,)</f>
        <v/>
      </c>
      <c r="E47" s="53" t="str">
        <f t="array" ref="E47">_xlfn.XLOOKUP(B47,'Up Stats'!A:A,'Up Stats'!B:B,)</f>
        <v/>
      </c>
      <c r="F47" s="54" t="str">
        <f>IFERROR(__xludf.DUMMYFUNCTION("if(AND(G47=FALSE,H47=FALSE),,if(G47=H47,JOIN("""",""Static: "",G47),JOIN("""",""Min:  "",G47, CHAR(10),""Max: "",H47)))"),"")</f>
        <v/>
      </c>
      <c r="G47" s="55" t="str">
        <f t="array" ref="G47">_xlfn.XLOOKUP(B47,'Up Min'!A:A,'Up Min'!B:B,)</f>
        <v/>
      </c>
      <c r="H47" s="56" t="str">
        <f t="array" ref="H47">_xlfn.XLOOKUP(B47,'Up Max'!A:A,'Up Max'!B:B,)</f>
        <v/>
      </c>
      <c r="I47" s="53" t="str">
        <f t="array" ref="I47">_xlfn.XLOOKUP(B47,'Up Stats'!A:A,'Up Stats'!C:C,)</f>
        <v/>
      </c>
      <c r="J47" s="54" t="str">
        <f>IFERROR(__xludf.DUMMYFUNCTION("if(AND(K47=FALSE,L47=FALSE),,if(K47=L47,JOIN("""",""Static: "",K47),JOIN("""",""Min:  "",K47, CHAR(10),""Max: "",L47)))"),"")</f>
        <v/>
      </c>
      <c r="K47" s="55" t="str">
        <f t="array" ref="K47">_xlfn.XLOOKUP(B47,'Up Min'!A:A,'Up Min'!C:C,)</f>
        <v/>
      </c>
      <c r="L47" s="55" t="str">
        <f t="array" ref="L47">_xlfn.XLOOKUP(B47,'Up Max'!A:A,'Up Max'!C:C,)</f>
        <v/>
      </c>
      <c r="M47" s="57" t="str">
        <f t="array" ref="M47">_xlfn.XLOOKUP(B47,'Up Stats'!A:A,'Up Stats'!D:D,)</f>
        <v/>
      </c>
      <c r="N47" s="54" t="str">
        <f>IFERROR(__xludf.DUMMYFUNCTION("if(AND(O47=FALSE,P47=FALSE),,if(O47=P47,JOIN("""",""Static: "",O47),JOIN("""",""Min:  "",O47, CHAR(10),""Max: "",P47)))"),"")</f>
        <v/>
      </c>
      <c r="O47" s="55" t="str">
        <f t="array" ref="O47">_xlfn.XLOOKUP(B47,'Up Min'!A:A,'Up Min'!D:D,)</f>
        <v/>
      </c>
      <c r="P47" s="55" t="str">
        <f t="array" ref="P47">_xlfn.XLOOKUP(B47,'Up Max'!A:A,'Up Max'!D:D,)</f>
        <v/>
      </c>
      <c r="Q47" s="57" t="str">
        <f t="array" ref="Q47">_xlfn.XLOOKUP(B47,'Up Stats'!A:A,'Up Stats'!E:E,)</f>
        <v/>
      </c>
      <c r="R47" s="54" t="str">
        <f>IFERROR(__xludf.DUMMYFUNCTION("if(AND(S47=FALSE,T47=FALSE),,if(S47=T47,JOIN("""",""Static: "",S47),JOIN("""",""Min:  "",S47, CHAR(10),""Max: "",T47)))"),"")</f>
        <v/>
      </c>
      <c r="S47" s="55" t="str">
        <f t="array" ref="S47">_xlfn.XLOOKUP(B47,'Up Min'!A:A,'Up Min'!E:E,)</f>
        <v/>
      </c>
      <c r="T47" s="55" t="str">
        <f t="array" ref="T47">_xlfn.XLOOKUP(B47,'Up Max'!A:A,'Up Max'!E:E,)</f>
        <v/>
      </c>
      <c r="U47" s="57" t="str">
        <f t="array" ref="U47">_xlfn.XLOOKUP(B47,'Up Stats'!A:A,'Up Stats'!F:F,)</f>
        <v/>
      </c>
      <c r="V47" s="54" t="str">
        <f>IFERROR(__xludf.DUMMYFUNCTION("if(AND(W47=FALSE,X47=FALSE),,if(W47=X47,JOIN("""",""Static: "",W47),JOIN("""",""Min:  "",W47, CHAR(10),""Max: "",X47)))"),"")</f>
        <v/>
      </c>
      <c r="W47" s="55" t="str">
        <f t="array" ref="W47">_xlfn.XLOOKUP(B47,'Up Min'!A:A,'Up Min'!F:F,)</f>
        <v/>
      </c>
      <c r="X47" s="55" t="str">
        <f t="array" ref="X47">_xlfn.XLOOKUP(B47,'Up Max'!A:A,'Up Max'!F:F,)</f>
        <v/>
      </c>
      <c r="Y47" s="57" t="str">
        <f t="array" ref="Y47">_xlfn.XLOOKUP(B47,'Up Stats'!A:A,'Up Stats'!G:G,)</f>
        <v/>
      </c>
      <c r="Z47" s="54" t="str">
        <f>IFERROR(__xludf.DUMMYFUNCTION("if(AND(AA47=FALSE,AB47=FALSE),,if(AA47=AB47,JOIN("""",""Static: "",AA47),JOIN("""",""Min:  "",AA47, CHAR(10),""Max: "",AB47)))"),"")</f>
        <v/>
      </c>
      <c r="AA47" s="55" t="str">
        <f t="array" ref="AA47">_xlfn.XLOOKUP(B47,'Up Min'!A:A,'Up Min'!G:G,)</f>
        <v/>
      </c>
      <c r="AB47" s="55" t="str">
        <f t="array" ref="AB47">_xlfn.XLOOKUP(B47,'Up Max'!A:A,'Up Max'!G:G,)</f>
        <v/>
      </c>
      <c r="AC47" s="57" t="str">
        <f t="array" ref="AC47">_xlfn.XLOOKUP(B47,'Up Stats'!A:A,'Up Stats'!H:H,)</f>
        <v/>
      </c>
      <c r="AD47" s="54" t="str">
        <f>IFERROR(__xludf.DUMMYFUNCTION("if(AND(AE47=FALSE,AF47=FALSE),,if(AE47=AF47,JOIN("""",""Static: "",AE47),JOIN("""",""Min:  "",AE47, CHAR(10),""Max: "",AF47)))"),"")</f>
        <v/>
      </c>
      <c r="AE47" s="55" t="str">
        <f t="array" ref="AE47">_xlfn.XLOOKUP(B47,'Up Min'!A:A,'Up Min'!H:H,)</f>
        <v/>
      </c>
      <c r="AF47" s="55" t="str">
        <f t="array" ref="AF47">_xlfn.XLOOKUP(B47,'Up Max'!A:A,'Up Max'!H:H,)</f>
        <v/>
      </c>
      <c r="AG47" s="57" t="str">
        <f t="array" ref="AG47">_xlfn.XLOOKUP(B47,'Up Stats'!A:A,'Up Stats'!I:I,)</f>
        <v/>
      </c>
      <c r="AH47" s="54" t="str">
        <f>IFERROR(__xludf.DUMMYFUNCTION("if(AND(AI47=FALSE,AJ47=FALSE),,if(AI47=AJ47,JOIN("""",""Static: "",AI47),JOIN("""",""Min:  "",AI47, CHAR(10),""Max: "",AJ47)))"),"")</f>
        <v/>
      </c>
      <c r="AI47" s="55" t="str">
        <f t="array" ref="AI47">_xlfn.XLOOKUP(B47,'Up Min'!A:A,'Up Min'!I:I,)</f>
        <v/>
      </c>
      <c r="AJ47" s="55" t="str">
        <f t="array" ref="AJ47">_xlfn.XLOOKUP(B47,'Up Max'!A:A,'Up Max'!I:I,)</f>
        <v/>
      </c>
      <c r="AK47" s="57" t="str">
        <f t="array" ref="AK47">_xlfn.XLOOKUP(B47,'Up Stats'!A:A,'Up Stats'!J:J,)</f>
        <v/>
      </c>
      <c r="AL47" s="54" t="str">
        <f>IFERROR(__xludf.DUMMYFUNCTION("if(AND(AM47=FALSE,AN47=FALSE),,if(AM47=AN47,JOIN("""",""Static: "",AM47),JOIN("""",""Min:  "",AM47, CHAR(10),""Max: "",AN47)))"),"")</f>
        <v/>
      </c>
      <c r="AM47" s="55" t="str">
        <f t="array" ref="AM47">_xlfn.XLOOKUP(B47,'Up Min'!A:A,'Up Min'!J:J,)</f>
        <v/>
      </c>
      <c r="AN47" s="55" t="str">
        <f t="array" ref="AN47">_xlfn.XLOOKUP(B47,'Up Max'!A:A,'Up Max'!J:J,)</f>
        <v/>
      </c>
      <c r="AO47" s="51" t="str">
        <f t="array" ref="AO47">CONCATENATE(_xlfn.XLOOKUP(B47,'Up Cells'!A:A,'Up Cells'!B:B,))</f>
        <v/>
      </c>
      <c r="AP47" s="51" t="str">
        <f t="array" ref="AP47">CONCATENATE(_xlfn.XLOOKUP(B47,'Up Rarity'!A:A,'Up Rarity'!B:B,),CHAR(10),"-")</f>
        <v>
-</v>
      </c>
    </row>
  </sheetData>
  <autoFilter ref="$A$1:$AP$47">
    <sortState ref="A1:AP47">
      <sortCondition descending="1" sortBy="cellColor" ref="AP1:AP47" dxfId="2"/>
    </sortState>
  </autoFilter>
  <conditionalFormatting sqref="AO1:AP47">
    <cfRule type="containsText" dxfId="3" priority="1" operator="containsText" text="Oddity">
      <formula>NOT(ISERROR(SEARCH(("Oddity"),(AO1))))</formula>
    </cfRule>
  </conditionalFormatting>
  <conditionalFormatting sqref="AO1:AP47">
    <cfRule type="containsText" dxfId="4" priority="2" operator="containsText" text="Exotic">
      <formula>NOT(ISERROR(SEARCH(("Exotic"),(AO1))))</formula>
    </cfRule>
  </conditionalFormatting>
  <conditionalFormatting sqref="AO1:AP47">
    <cfRule type="containsText" dxfId="5" priority="3" operator="containsText" text="Epic">
      <formula>NOT(ISERROR(SEARCH(("Epic"),(AO1))))</formula>
    </cfRule>
  </conditionalFormatting>
  <conditionalFormatting sqref="AO1:AP47">
    <cfRule type="containsText" dxfId="6" priority="4" operator="containsText" text="Rare">
      <formula>NOT(ISERROR(SEARCH(("Rare"),(AO1))))</formula>
    </cfRule>
  </conditionalFormatting>
  <conditionalFormatting sqref="AO1:AP47">
    <cfRule type="containsText" dxfId="7" priority="5" operator="containsText" text="Standard">
      <formula>NOT(ISERROR(SEARCH(("Standard"),(AO1))))</formula>
    </cfRule>
  </conditionalFormatting>
  <conditionalFormatting sqref="AO1:AP47">
    <cfRule type="containsText" dxfId="8" priority="6" operator="containsText" text="Contraband">
      <formula>NOT(ISERROR(SEARCH(("Contraband"),(AO1))))</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12.63"/>
    <col customWidth="1" min="3" max="4" width="31.38"/>
    <col customWidth="1" min="5" max="6" width="12.63"/>
    <col customWidth="1" hidden="1" min="7" max="8" width="12.63"/>
    <col customWidth="1" min="9" max="10" width="12.63"/>
    <col customWidth="1" hidden="1" min="11" max="12" width="12.63"/>
    <col customWidth="1" min="13" max="14" width="12.63"/>
    <col customWidth="1" hidden="1" min="15" max="16" width="12.63"/>
    <col customWidth="1" min="17" max="18" width="12.63"/>
    <col customWidth="1" hidden="1" min="19" max="20" width="12.63"/>
    <col customWidth="1" min="21" max="22" width="12.63"/>
    <col customWidth="1" hidden="1" min="23" max="24" width="12.63"/>
    <col customWidth="1" min="25" max="26" width="12.63"/>
    <col customWidth="1" hidden="1" min="27" max="28" width="12.63"/>
    <col customWidth="1" min="29" max="30" width="12.63"/>
    <col customWidth="1" hidden="1" min="31" max="32" width="12.63"/>
    <col customWidth="1" min="33" max="34" width="12.63"/>
    <col customWidth="1" hidden="1" min="35" max="36" width="12.63"/>
    <col customWidth="1" min="37" max="38" width="12.63"/>
    <col customWidth="1" hidden="1" min="39" max="40" width="12.63"/>
    <col customWidth="1" min="41" max="42" width="8.25"/>
  </cols>
  <sheetData>
    <row r="1">
      <c r="A1" s="28" t="s">
        <v>1</v>
      </c>
      <c r="B1" s="9" t="s">
        <v>2</v>
      </c>
      <c r="C1" s="9" t="s">
        <v>3</v>
      </c>
      <c r="D1" s="11" t="s">
        <v>4</v>
      </c>
      <c r="E1" s="16" t="s">
        <v>6</v>
      </c>
      <c r="F1" s="19" t="s">
        <v>7</v>
      </c>
      <c r="G1" s="21" t="s">
        <v>8</v>
      </c>
      <c r="H1" s="25" t="s">
        <v>9</v>
      </c>
      <c r="I1" s="29" t="s">
        <v>6</v>
      </c>
      <c r="J1" s="19" t="s">
        <v>7</v>
      </c>
      <c r="K1" s="21" t="s">
        <v>8</v>
      </c>
      <c r="L1" s="21" t="s">
        <v>9</v>
      </c>
      <c r="M1" s="29" t="s">
        <v>6</v>
      </c>
      <c r="N1" s="19" t="s">
        <v>7</v>
      </c>
      <c r="O1" s="21" t="s">
        <v>8</v>
      </c>
      <c r="P1" s="21" t="s">
        <v>9</v>
      </c>
      <c r="Q1" s="16" t="s">
        <v>6</v>
      </c>
      <c r="R1" s="19" t="s">
        <v>7</v>
      </c>
      <c r="S1" s="21" t="s">
        <v>8</v>
      </c>
      <c r="T1" s="21" t="s">
        <v>9</v>
      </c>
      <c r="U1" s="16" t="s">
        <v>6</v>
      </c>
      <c r="V1" s="19" t="s">
        <v>7</v>
      </c>
      <c r="W1" s="21" t="s">
        <v>8</v>
      </c>
      <c r="X1" s="21" t="s">
        <v>9</v>
      </c>
      <c r="Y1" s="16" t="s">
        <v>6</v>
      </c>
      <c r="Z1" s="19" t="s">
        <v>7</v>
      </c>
      <c r="AA1" s="21" t="s">
        <v>8</v>
      </c>
      <c r="AB1" s="21" t="s">
        <v>9</v>
      </c>
      <c r="AC1" s="16" t="s">
        <v>6</v>
      </c>
      <c r="AD1" s="19" t="s">
        <v>7</v>
      </c>
      <c r="AE1" s="21" t="s">
        <v>8</v>
      </c>
      <c r="AF1" s="21" t="s">
        <v>9</v>
      </c>
      <c r="AG1" s="16" t="s">
        <v>6</v>
      </c>
      <c r="AH1" s="19" t="s">
        <v>7</v>
      </c>
      <c r="AI1" s="21" t="s">
        <v>8</v>
      </c>
      <c r="AJ1" s="21" t="s">
        <v>9</v>
      </c>
      <c r="AK1" s="16" t="s">
        <v>6</v>
      </c>
      <c r="AL1" s="19" t="s">
        <v>7</v>
      </c>
      <c r="AM1" s="21" t="s">
        <v>8</v>
      </c>
      <c r="AN1" s="21" t="s">
        <v>9</v>
      </c>
      <c r="AO1" s="11" t="s">
        <v>12</v>
      </c>
      <c r="AP1" s="22" t="s">
        <v>13</v>
      </c>
    </row>
    <row r="2">
      <c r="A2" s="31" t="str">
        <f t="array" ref="A2">_xlfn.XLOOKUP(B2,'Up Icon'!A:A,'Up Icon'!B:B,)</f>
        <v/>
      </c>
      <c r="B2" s="58" t="str">
        <f t="array" ref="B2">HYPERLINK(_xlfn.XLOOKUP('Up Names'!M26,'Up Wiki'!A:A,'Up Wiki'!B:B,),'Up Names'!M26)</f>
        <v>Edge Fault</v>
      </c>
      <c r="C2" s="37" t="str">
        <f t="array" ref="C2">_xlfn.XLOOKUP(B2,'Up Desc'!A:A,'Up Desc'!B:B,)</f>
        <v>Increases the size of your upgrade grid.</v>
      </c>
      <c r="D2" s="37" t="str">
        <f t="array" ref="D2">_xlfn.XLOOKUP(B2,'Up Turbo'!A:A,'Up Turbo'!B:B,)</f>
        <v>n/a</v>
      </c>
      <c r="E2" s="39" t="str">
        <f t="array" ref="E2">_xlfn.XLOOKUP(B2,'Up Stats'!A:A,'Up Stats'!B:B,)</f>
        <v/>
      </c>
      <c r="F2" s="40" t="str">
        <f>IFERROR(__xludf.DUMMYFUNCTION("if(AND(G2=FALSE,H2=FALSE),,if(G2=H2,JOIN("""",""Static: "",G2),JOIN("""",""Min:  "",G2, CHAR(10),""Max: "",H2)))"),"")</f>
        <v/>
      </c>
      <c r="G2" s="42" t="str">
        <f t="array" ref="G2">_xlfn.XLOOKUP(B2,'Up Min'!A:A,'Up Min'!B:B,)</f>
        <v/>
      </c>
      <c r="H2" s="45" t="str">
        <f t="array" ref="H2">_xlfn.XLOOKUP(B2,'Up Max'!A:A,'Up Max'!B:B,)</f>
        <v/>
      </c>
      <c r="I2" s="39" t="str">
        <f t="array" ref="I2">_xlfn.XLOOKUP(B2,'Up Stats'!A:A,'Up Stats'!C:C,)</f>
        <v/>
      </c>
      <c r="J2" s="40" t="str">
        <f>IFERROR(__xludf.DUMMYFUNCTION("if(AND(K2=FALSE,L2=FALSE),,if(K2=L2,JOIN("""",""Static: "",K2),JOIN("""",""Min:  "",K2, CHAR(10),""Max: "",L2)))"),"")</f>
        <v/>
      </c>
      <c r="K2" s="42" t="str">
        <f t="array" ref="K2">_xlfn.XLOOKUP(B2,'Up Min'!A:A,'Up Min'!C:C,)</f>
        <v/>
      </c>
      <c r="L2" s="42" t="str">
        <f t="array" ref="L2">_xlfn.XLOOKUP(B2,'Up Max'!A:A,'Up Max'!C:C,)</f>
        <v/>
      </c>
      <c r="M2" s="39" t="str">
        <f t="array" ref="M2">_xlfn.XLOOKUP(B2,'Up Stats'!A:A,'Up Stats'!D:D,)</f>
        <v/>
      </c>
      <c r="N2" s="40" t="str">
        <f>IFERROR(__xludf.DUMMYFUNCTION("if(AND(O2=FALSE,P2=FALSE),,if(O2=P2,JOIN("""",""Static: "",O2),JOIN("""",""Min:  "",O2, CHAR(10),""Max: "",P2)))"),"")</f>
        <v/>
      </c>
      <c r="O2" s="42" t="str">
        <f t="array" ref="O2">_xlfn.XLOOKUP(B2,'Up Min'!A:A,'Up Min'!D:D,)</f>
        <v/>
      </c>
      <c r="P2" s="42" t="str">
        <f t="array" ref="P2">_xlfn.XLOOKUP(B2,'Up Max'!A:A,'Up Max'!D:D,)</f>
        <v/>
      </c>
      <c r="Q2" s="48" t="str">
        <f t="array" ref="Q2">_xlfn.XLOOKUP(B2,'Up Stats'!A:A,'Up Stats'!E:E,)</f>
        <v/>
      </c>
      <c r="R2" s="40" t="str">
        <f>IFERROR(__xludf.DUMMYFUNCTION("if(AND(S2=FALSE,T2=FALSE),,if(S2=T2,JOIN("""",""Static: "",S2),JOIN("""",""Min:  "",S2, CHAR(10),""Max: "",T2)))"),"")</f>
        <v/>
      </c>
      <c r="S2" s="42" t="str">
        <f t="array" ref="S2">_xlfn.XLOOKUP(B2,'Up Min'!A:A,'Up Min'!E:E,)</f>
        <v/>
      </c>
      <c r="T2" s="42" t="str">
        <f t="array" ref="T2">_xlfn.XLOOKUP(B2,'Up Max'!A:A,'Up Max'!E:E,)</f>
        <v/>
      </c>
      <c r="U2" s="48" t="str">
        <f t="array" ref="U2">_xlfn.XLOOKUP(B2,'Up Stats'!A:A,'Up Stats'!F:F,)</f>
        <v/>
      </c>
      <c r="V2" s="40" t="str">
        <f>IFERROR(__xludf.DUMMYFUNCTION("if(AND(W2=FALSE,X2=FALSE),,if(W2=X2,JOIN("""",""Static: "",W2),JOIN("""",""Min:  "",W2, CHAR(10),""Max: "",X2)))"),"")</f>
        <v/>
      </c>
      <c r="W2" s="42" t="str">
        <f t="array" ref="W2">_xlfn.XLOOKUP(B2,'Up Min'!A:A,'Up Min'!F:F,)</f>
        <v/>
      </c>
      <c r="X2" s="42" t="str">
        <f t="array" ref="X2">_xlfn.XLOOKUP(B2,'Up Max'!A:A,'Up Max'!F:F,)</f>
        <v/>
      </c>
      <c r="Y2" s="48" t="str">
        <f t="array" ref="Y2">_xlfn.XLOOKUP(B2,'Up Stats'!A:A,'Up Stats'!G:G,)</f>
        <v/>
      </c>
      <c r="Z2" s="40" t="str">
        <f>IFERROR(__xludf.DUMMYFUNCTION("if(AND(AA2=FALSE,AB2=FALSE),,if(AA2=AB2,JOIN("""",""Static: "",AA2),JOIN("""",""Min:  "",AA2, CHAR(10),""Max: "",AB2)))"),"")</f>
        <v/>
      </c>
      <c r="AA2" s="42" t="str">
        <f t="array" ref="AA2">_xlfn.XLOOKUP(B2,'Up Min'!A:A,'Up Min'!G:G,)</f>
        <v/>
      </c>
      <c r="AB2" s="42" t="str">
        <f t="array" ref="AB2">_xlfn.XLOOKUP(B2,'Up Max'!A:A,'Up Max'!G:G,)</f>
        <v/>
      </c>
      <c r="AC2" s="48" t="str">
        <f t="array" ref="AC2">_xlfn.XLOOKUP(B2,'Up Stats'!A:A,'Up Stats'!H:H,)</f>
        <v/>
      </c>
      <c r="AD2" s="40" t="str">
        <f>IFERROR(__xludf.DUMMYFUNCTION("if(AND(AE2=FALSE,AF2=FALSE),,if(AE2=AF2,JOIN("""",""Static: "",AE2),JOIN("""",""Min:  "",AE2, CHAR(10),""Max: "",AF2)))"),"")</f>
        <v/>
      </c>
      <c r="AE2" s="42" t="str">
        <f t="array" ref="AE2">_xlfn.XLOOKUP(B2,'Up Min'!A:A,'Up Min'!H:H,)</f>
        <v/>
      </c>
      <c r="AF2" s="42" t="str">
        <f t="array" ref="AF2">_xlfn.XLOOKUP(B2,'Up Max'!A:A,'Up Max'!H:H,)</f>
        <v/>
      </c>
      <c r="AG2" s="48" t="str">
        <f t="array" ref="AG2">_xlfn.XLOOKUP(B2,'Up Stats'!A:A,'Up Stats'!I:I,)</f>
        <v/>
      </c>
      <c r="AH2" s="40" t="str">
        <f>IFERROR(__xludf.DUMMYFUNCTION("if(AND(AI2=FALSE,AJ2=FALSE),,if(AI2=AJ2,JOIN("""",""Static: "",AI2),JOIN("""",""Min:  "",AI2, CHAR(10),""Max: "",AJ2)))"),"")</f>
        <v/>
      </c>
      <c r="AI2" s="42" t="str">
        <f t="array" ref="AI2">_xlfn.XLOOKUP(B2,'Up Min'!A:A,'Up Min'!I:I,)</f>
        <v/>
      </c>
      <c r="AJ2" s="42" t="str">
        <f t="array" ref="AJ2">_xlfn.XLOOKUP(B2,'Up Max'!A:A,'Up Max'!I:I,)</f>
        <v/>
      </c>
      <c r="AK2" s="48" t="str">
        <f t="array" ref="AK2">_xlfn.XLOOKUP(B2,'Up Stats'!A:A,'Up Stats'!J:J,)</f>
        <v/>
      </c>
      <c r="AL2" s="40" t="str">
        <f>IFERROR(__xludf.DUMMYFUNCTION("if(AND(AM2=FALSE,AN2=FALSE),,if(AM2=AN2,JOIN("""",""Static: "",AM2),JOIN("""",""Min:  "",AM2, CHAR(10),""Max: "",AN2)))"),"")</f>
        <v/>
      </c>
      <c r="AM2" s="42" t="str">
        <f t="array" ref="AM2">_xlfn.XLOOKUP(B2,'Up Min'!A:A,'Up Min'!J:J,)</f>
        <v/>
      </c>
      <c r="AN2" s="42" t="str">
        <f t="array" ref="AN2">_xlfn.XLOOKUP(B2,'Up Max'!A:A,'Up Max'!J:J,)</f>
        <v/>
      </c>
      <c r="AO2" s="34" t="str">
        <f t="array" ref="AO2">CONCATENATE(_xlfn.XLOOKUP(B2,'Up Cells'!A:A,'Up Cells'!B:B,))</f>
        <v>1</v>
      </c>
      <c r="AP2" s="34" t="str">
        <f t="array" ref="AP2">CONCATENATE(_xlfn.XLOOKUP(B2,'Up Rarity'!A:A,'Up Rarity'!B:B,),CHAR(10),"-")</f>
        <v>Contraband
-</v>
      </c>
    </row>
    <row r="3">
      <c r="A3" s="31" t="str">
        <f t="array" ref="A3">_xlfn.XLOOKUP(B3,'Up Icon'!A:A,'Up Icon'!B:B,)</f>
        <v/>
      </c>
      <c r="B3" s="61" t="str">
        <f t="array" ref="B3">HYPERLINK(_xlfn.XLOOKUP('Up Names'!M25,'Up Wiki'!A:A,'Up Wiki'!B:B,),'Up Names'!M25)</f>
        <v>In for a Pound</v>
      </c>
      <c r="C3" s="52" t="str">
        <f t="array" ref="C3">_xlfn.XLOOKUP(B3,'Up Desc'!A:A,'Up Desc'!B:B,)</f>
        <v>Grenades cost health to fire and no longer have a cooldown</v>
      </c>
      <c r="D3" s="52" t="str">
        <f t="array" ref="D3">_xlfn.XLOOKUP(B3,'Up Turbo'!A:A,'Up Turbo'!B:B,)</f>
        <v>n/a</v>
      </c>
      <c r="E3" s="53" t="str">
        <f t="array" ref="E3">_xlfn.XLOOKUP(B3,'Up Stats'!A:A,'Up Stats'!B:B,)</f>
        <v/>
      </c>
      <c r="F3" s="54" t="str">
        <f>IFERROR(__xludf.DUMMYFUNCTION("if(AND(G3=FALSE,H3=FALSE),,if(G3=H3,JOIN("""",""Static: "",G3),JOIN("""",""Min:  "",G3, CHAR(10),""Max: "",H3)))"),"")</f>
        <v/>
      </c>
      <c r="G3" s="55" t="str">
        <f t="array" ref="G3">_xlfn.XLOOKUP(B3,'Up Min'!A:A,'Up Min'!B:B,)</f>
        <v/>
      </c>
      <c r="H3" s="56" t="str">
        <f t="array" ref="H3">_xlfn.XLOOKUP(B3,'Up Max'!A:A,'Up Max'!B:B,)</f>
        <v/>
      </c>
      <c r="I3" s="53" t="str">
        <f t="array" ref="I3">_xlfn.XLOOKUP(B3,'Up Stats'!A:A,'Up Stats'!C:C,)</f>
        <v/>
      </c>
      <c r="J3" s="54" t="str">
        <f>IFERROR(__xludf.DUMMYFUNCTION("if(AND(K3=FALSE,L3=FALSE),,if(K3=L3,JOIN("""",""Static: "",K3),JOIN("""",""Min:  "",K3, CHAR(10),""Max: "",L3)))"),"")</f>
        <v/>
      </c>
      <c r="K3" s="72" t="str">
        <f t="array" ref="K3">_xlfn.XLOOKUP(B3,'Up Min'!A:A,'Up Min'!C:C,)</f>
        <v/>
      </c>
      <c r="L3" s="72" t="str">
        <f t="array" ref="L3">_xlfn.XLOOKUP(B3,'Up Max'!A:A,'Up Max'!C:C,)</f>
        <v/>
      </c>
      <c r="M3" s="53" t="str">
        <f t="array" ref="M3">_xlfn.XLOOKUP(B3,'Up Stats'!A:A,'Up Stats'!D:D,)</f>
        <v/>
      </c>
      <c r="N3" s="54" t="str">
        <f>IFERROR(__xludf.DUMMYFUNCTION("if(AND(O3=FALSE,P3=FALSE),,if(O3=P3,JOIN("""",""Static: "",O3),JOIN("""",""Min:  "",O3, CHAR(10),""Max: "",P3)))"),"")</f>
        <v/>
      </c>
      <c r="O3" s="55" t="str">
        <f t="array" ref="O3">_xlfn.XLOOKUP(B3,'Up Min'!A:A,'Up Min'!D:D,)</f>
        <v/>
      </c>
      <c r="P3" s="55" t="str">
        <f t="array" ref="P3">_xlfn.XLOOKUP(B3,'Up Max'!A:A,'Up Max'!D:D,)</f>
        <v/>
      </c>
      <c r="Q3" s="57" t="str">
        <f t="array" ref="Q3">_xlfn.XLOOKUP(B3,'Up Stats'!A:A,'Up Stats'!E:E,)</f>
        <v/>
      </c>
      <c r="R3" s="54" t="str">
        <f>IFERROR(__xludf.DUMMYFUNCTION("if(AND(S3=FALSE,T3=FALSE),,if(S3=T3,JOIN("""",""Static: "",S3),JOIN("""",""Min:  "",S3, CHAR(10),""Max: "",T3)))"),"")</f>
        <v/>
      </c>
      <c r="S3" s="55" t="str">
        <f t="array" ref="S3">_xlfn.XLOOKUP(B3,'Up Min'!A:A,'Up Min'!E:E,)</f>
        <v/>
      </c>
      <c r="T3" s="55" t="str">
        <f t="array" ref="T3">_xlfn.XLOOKUP(B3,'Up Max'!A:A,'Up Max'!E:E,)</f>
        <v/>
      </c>
      <c r="U3" s="57" t="str">
        <f t="array" ref="U3">_xlfn.XLOOKUP(B3,'Up Stats'!A:A,'Up Stats'!F:F,)</f>
        <v/>
      </c>
      <c r="V3" s="54" t="str">
        <f>IFERROR(__xludf.DUMMYFUNCTION("if(AND(W3=FALSE,X3=FALSE),,if(W3=X3,JOIN("""",""Static: "",W3),JOIN("""",""Min:  "",W3, CHAR(10),""Max: "",X3)))"),"")</f>
        <v/>
      </c>
      <c r="W3" s="55" t="str">
        <f t="array" ref="W3">_xlfn.XLOOKUP(B3,'Up Min'!A:A,'Up Min'!F:F,)</f>
        <v/>
      </c>
      <c r="X3" s="55" t="str">
        <f t="array" ref="X3">_xlfn.XLOOKUP(B3,'Up Max'!A:A,'Up Max'!F:F,)</f>
        <v/>
      </c>
      <c r="Y3" s="57" t="str">
        <f t="array" ref="Y3">_xlfn.XLOOKUP(B3,'Up Stats'!A:A,'Up Stats'!G:G,)</f>
        <v/>
      </c>
      <c r="Z3" s="54" t="str">
        <f>IFERROR(__xludf.DUMMYFUNCTION("if(AND(AA3=FALSE,AB3=FALSE),,if(AA3=AB3,JOIN("""",""Static: "",AA3),JOIN("""",""Min:  "",AA3, CHAR(10),""Max: "",AB3)))"),"")</f>
        <v/>
      </c>
      <c r="AA3" s="55" t="str">
        <f t="array" ref="AA3">_xlfn.XLOOKUP(B3,'Up Min'!A:A,'Up Min'!G:G,)</f>
        <v/>
      </c>
      <c r="AB3" s="55" t="str">
        <f t="array" ref="AB3">_xlfn.XLOOKUP(B3,'Up Max'!A:A,'Up Max'!G:G,)</f>
        <v/>
      </c>
      <c r="AC3" s="57" t="str">
        <f t="array" ref="AC3">_xlfn.XLOOKUP(B3,'Up Stats'!A:A,'Up Stats'!H:H,)</f>
        <v/>
      </c>
      <c r="AD3" s="54" t="str">
        <f>IFERROR(__xludf.DUMMYFUNCTION("if(AND(AE3=FALSE,AF3=FALSE),,if(AE3=AF3,JOIN("""",""Static: "",AE3),JOIN("""",""Min:  "",AE3, CHAR(10),""Max: "",AF3)))"),"")</f>
        <v/>
      </c>
      <c r="AE3" s="55" t="str">
        <f t="array" ref="AE3">_xlfn.XLOOKUP(B3,'Up Min'!A:A,'Up Min'!H:H,)</f>
        <v/>
      </c>
      <c r="AF3" s="55" t="str">
        <f t="array" ref="AF3">_xlfn.XLOOKUP(B3,'Up Max'!A:A,'Up Max'!H:H,)</f>
        <v/>
      </c>
      <c r="AG3" s="57" t="str">
        <f t="array" ref="AG3">_xlfn.XLOOKUP(B3,'Up Stats'!A:A,'Up Stats'!I:I,)</f>
        <v/>
      </c>
      <c r="AH3" s="54" t="str">
        <f>IFERROR(__xludf.DUMMYFUNCTION("if(AND(AI3=FALSE,AJ3=FALSE),,if(AI3=AJ3,JOIN("""",""Static: "",AI3),JOIN("""",""Min:  "",AI3, CHAR(10),""Max: "",AJ3)))"),"")</f>
        <v/>
      </c>
      <c r="AI3" s="55" t="str">
        <f t="array" ref="AI3">_xlfn.XLOOKUP(B3,'Up Min'!A:A,'Up Min'!I:I,)</f>
        <v/>
      </c>
      <c r="AJ3" s="55" t="str">
        <f t="array" ref="AJ3">_xlfn.XLOOKUP(B3,'Up Max'!A:A,'Up Max'!I:I,)</f>
        <v/>
      </c>
      <c r="AK3" s="57" t="str">
        <f t="array" ref="AK3">_xlfn.XLOOKUP(B3,'Up Stats'!A:A,'Up Stats'!J:J,)</f>
        <v/>
      </c>
      <c r="AL3" s="54" t="str">
        <f>IFERROR(__xludf.DUMMYFUNCTION("if(AND(AM3=FALSE,AN3=FALSE),,if(AM3=AN3,JOIN("""",""Static: "",AM3),JOIN("""",""Min:  "",AM3, CHAR(10),""Max: "",AN3)))"),"")</f>
        <v/>
      </c>
      <c r="AM3" s="55" t="str">
        <f t="array" ref="AM3">_xlfn.XLOOKUP(B3,'Up Min'!A:A,'Up Min'!J:J,)</f>
        <v/>
      </c>
      <c r="AN3" s="55" t="str">
        <f t="array" ref="AN3">_xlfn.XLOOKUP(B3,'Up Max'!A:A,'Up Max'!J:J,)</f>
        <v/>
      </c>
      <c r="AO3" s="51" t="str">
        <f t="array" ref="AO3">CONCATENATE(_xlfn.XLOOKUP(B3,'Up Cells'!A:A,'Up Cells'!B:B,))</f>
        <v>3</v>
      </c>
      <c r="AP3" s="51" t="str">
        <f t="array" ref="AP3">CONCATENATE(_xlfn.XLOOKUP(B3,'Up Rarity'!A:A,'Up Rarity'!B:B,),CHAR(10),"-")</f>
        <v>Contraband
-</v>
      </c>
    </row>
    <row r="4">
      <c r="A4" s="31" t="str">
        <f t="array" ref="A4">_xlfn.XLOOKUP(B4,'Up Icon'!A:A,'Up Icon'!B:B,)</f>
        <v/>
      </c>
      <c r="B4" s="58" t="str">
        <f t="array" ref="B4">HYPERLINK(_xlfn.XLOOKUP('Up Names'!M27,'Up Wiki'!A:A,'Up Wiki'!B:B,),'Up Names'!M27)</f>
        <v>Multiversal Thievery</v>
      </c>
      <c r="C4" s="37" t="str">
        <f t="array" ref="C4">_xlfn.XLOOKUP(B4,'Up Desc'!A:A,'Up Desc'!B:B,)</f>
        <v>Commandeers 1 column from each of your other upgrade grids.</v>
      </c>
      <c r="D4" s="37" t="str">
        <f t="array" ref="D4">_xlfn.XLOOKUP(B4,'Up Turbo'!A:A,'Up Turbo'!B:B,)</f>
        <v>n/a</v>
      </c>
      <c r="E4" s="39" t="str">
        <f t="array" ref="E4">_xlfn.XLOOKUP(B4,'Up Stats'!A:A,'Up Stats'!B:B,)</f>
        <v/>
      </c>
      <c r="F4" s="40" t="str">
        <f>IFERROR(__xludf.DUMMYFUNCTION("if(AND(G4=FALSE,H4=FALSE),,if(G4=H4,JOIN("""",""Static: "",G4),JOIN("""",""Min:  "",G4, CHAR(10),""Max: "",H4)))"),"")</f>
        <v/>
      </c>
      <c r="G4" s="42" t="str">
        <f t="array" ref="G4">_xlfn.XLOOKUP(B4,'Up Min'!A:A,'Up Min'!B:B,)</f>
        <v/>
      </c>
      <c r="H4" s="45" t="str">
        <f t="array" ref="H4">_xlfn.XLOOKUP(B4,'Up Max'!A:A,'Up Max'!B:B,)</f>
        <v/>
      </c>
      <c r="I4" s="39" t="str">
        <f t="array" ref="I4">_xlfn.XLOOKUP(B4,'Up Stats'!A:A,'Up Stats'!C:C,)</f>
        <v/>
      </c>
      <c r="J4" s="40" t="str">
        <f>IFERROR(__xludf.DUMMYFUNCTION("if(AND(K4=FALSE,L4=FALSE),,if(K4=L4,JOIN("""",""Static: "",K4),JOIN("""",""Min:  "",K4, CHAR(10),""Max: "",L4)))"),"")</f>
        <v/>
      </c>
      <c r="K4" s="42" t="str">
        <f t="array" ref="K4">_xlfn.XLOOKUP(B4,'Up Min'!A:A,'Up Min'!C:C,)</f>
        <v/>
      </c>
      <c r="L4" s="42" t="str">
        <f t="array" ref="L4">_xlfn.XLOOKUP(B4,'Up Max'!A:A,'Up Max'!C:C,)</f>
        <v/>
      </c>
      <c r="M4" s="39" t="str">
        <f t="array" ref="M4">_xlfn.XLOOKUP(B4,'Up Stats'!A:A,'Up Stats'!D:D,)</f>
        <v/>
      </c>
      <c r="N4" s="40" t="str">
        <f>IFERROR(__xludf.DUMMYFUNCTION("if(AND(O4=FALSE,P4=FALSE),,if(O4=P4,JOIN("""",""Static: "",O4),JOIN("""",""Min:  "",O4, CHAR(10),""Max: "",P4)))"),"")</f>
        <v/>
      </c>
      <c r="O4" s="42" t="str">
        <f t="array" ref="O4">_xlfn.XLOOKUP(B4,'Up Min'!A:A,'Up Min'!D:D,)</f>
        <v/>
      </c>
      <c r="P4" s="42" t="str">
        <f t="array" ref="P4">_xlfn.XLOOKUP(B4,'Up Max'!A:A,'Up Max'!D:D,)</f>
        <v/>
      </c>
      <c r="Q4" s="48" t="str">
        <f t="array" ref="Q4">_xlfn.XLOOKUP(B4,'Up Stats'!A:A,'Up Stats'!E:E,)</f>
        <v/>
      </c>
      <c r="R4" s="40" t="str">
        <f>IFERROR(__xludf.DUMMYFUNCTION("if(AND(S4=FALSE,T4=FALSE),,if(S4=T4,JOIN("""",""Static: "",S4),JOIN("""",""Min:  "",S4, CHAR(10),""Max: "",T4)))"),"")</f>
        <v/>
      </c>
      <c r="S4" s="42" t="str">
        <f t="array" ref="S4">_xlfn.XLOOKUP(B4,'Up Min'!A:A,'Up Min'!E:E,)</f>
        <v/>
      </c>
      <c r="T4" s="42" t="str">
        <f t="array" ref="T4">_xlfn.XLOOKUP(B4,'Up Max'!A:A,'Up Max'!E:E,)</f>
        <v/>
      </c>
      <c r="U4" s="48" t="str">
        <f t="array" ref="U4">_xlfn.XLOOKUP(B4,'Up Stats'!A:A,'Up Stats'!F:F,)</f>
        <v/>
      </c>
      <c r="V4" s="40" t="str">
        <f>IFERROR(__xludf.DUMMYFUNCTION("if(AND(W4=FALSE,X4=FALSE),,if(W4=X4,JOIN("""",""Static: "",W4),JOIN("""",""Min:  "",W4, CHAR(10),""Max: "",X4)))"),"")</f>
        <v/>
      </c>
      <c r="W4" s="42" t="str">
        <f t="array" ref="W4">_xlfn.XLOOKUP(B4,'Up Min'!A:A,'Up Min'!F:F,)</f>
        <v/>
      </c>
      <c r="X4" s="42" t="str">
        <f t="array" ref="X4">_xlfn.XLOOKUP(B4,'Up Max'!A:A,'Up Max'!F:F,)</f>
        <v/>
      </c>
      <c r="Y4" s="48" t="str">
        <f t="array" ref="Y4">_xlfn.XLOOKUP(B4,'Up Stats'!A:A,'Up Stats'!G:G,)</f>
        <v/>
      </c>
      <c r="Z4" s="40" t="str">
        <f>IFERROR(__xludf.DUMMYFUNCTION("if(AND(AA4=FALSE,AB4=FALSE),,if(AA4=AB4,JOIN("""",""Static: "",AA4),JOIN("""",""Min:  "",AA4, CHAR(10),""Max: "",AB4)))"),"")</f>
        <v/>
      </c>
      <c r="AA4" s="42" t="str">
        <f t="array" ref="AA4">_xlfn.XLOOKUP(B4,'Up Min'!A:A,'Up Min'!G:G,)</f>
        <v/>
      </c>
      <c r="AB4" s="42" t="str">
        <f t="array" ref="AB4">_xlfn.XLOOKUP(B4,'Up Max'!A:A,'Up Max'!G:G,)</f>
        <v/>
      </c>
      <c r="AC4" s="48" t="str">
        <f t="array" ref="AC4">_xlfn.XLOOKUP(B4,'Up Stats'!A:A,'Up Stats'!H:H,)</f>
        <v/>
      </c>
      <c r="AD4" s="40" t="str">
        <f>IFERROR(__xludf.DUMMYFUNCTION("if(AND(AE4=FALSE,AF4=FALSE),,if(AE4=AF4,JOIN("""",""Static: "",AE4),JOIN("""",""Min:  "",AE4, CHAR(10),""Max: "",AF4)))"),"")</f>
        <v/>
      </c>
      <c r="AE4" s="42" t="str">
        <f t="array" ref="AE4">_xlfn.XLOOKUP(B4,'Up Min'!A:A,'Up Min'!H:H,)</f>
        <v/>
      </c>
      <c r="AF4" s="42" t="str">
        <f t="array" ref="AF4">_xlfn.XLOOKUP(B4,'Up Max'!A:A,'Up Max'!H:H,)</f>
        <v/>
      </c>
      <c r="AG4" s="48" t="str">
        <f t="array" ref="AG4">_xlfn.XLOOKUP(B4,'Up Stats'!A:A,'Up Stats'!I:I,)</f>
        <v/>
      </c>
      <c r="AH4" s="40" t="str">
        <f>IFERROR(__xludf.DUMMYFUNCTION("if(AND(AI4=FALSE,AJ4=FALSE),,if(AI4=AJ4,JOIN("""",""Static: "",AI4),JOIN("""",""Min:  "",AI4, CHAR(10),""Max: "",AJ4)))"),"")</f>
        <v/>
      </c>
      <c r="AI4" s="42" t="str">
        <f t="array" ref="AI4">_xlfn.XLOOKUP(B4,'Up Min'!A:A,'Up Min'!I:I,)</f>
        <v/>
      </c>
      <c r="AJ4" s="42" t="str">
        <f t="array" ref="AJ4">_xlfn.XLOOKUP(B4,'Up Max'!A:A,'Up Max'!I:I,)</f>
        <v/>
      </c>
      <c r="AK4" s="48" t="str">
        <f t="array" ref="AK4">_xlfn.XLOOKUP(B4,'Up Stats'!A:A,'Up Stats'!J:J,)</f>
        <v/>
      </c>
      <c r="AL4" s="40" t="str">
        <f>IFERROR(__xludf.DUMMYFUNCTION("if(AND(AM4=FALSE,AN4=FALSE),,if(AM4=AN4,JOIN("""",""Static: "",AM4),JOIN("""",""Min:  "",AM4, CHAR(10),""Max: "",AN4)))"),"")</f>
        <v/>
      </c>
      <c r="AM4" s="42" t="str">
        <f t="array" ref="AM4">_xlfn.XLOOKUP(B4,'Up Min'!A:A,'Up Min'!J:J,)</f>
        <v/>
      </c>
      <c r="AN4" s="42" t="str">
        <f t="array" ref="AN4">_xlfn.XLOOKUP(B4,'Up Max'!A:A,'Up Max'!J:J,)</f>
        <v/>
      </c>
      <c r="AO4" s="34" t="str">
        <f t="array" ref="AO4">CONCATENATE(_xlfn.XLOOKUP(B4,'Up Cells'!A:A,'Up Cells'!B:B,))</f>
        <v>1</v>
      </c>
      <c r="AP4" s="34" t="str">
        <f t="array" ref="AP4">CONCATENATE(_xlfn.XLOOKUP(B4,'Up Rarity'!A:A,'Up Rarity'!B:B,),CHAR(10),"-")</f>
        <v>Contraband
-</v>
      </c>
    </row>
    <row r="5">
      <c r="A5" s="60" t="str">
        <f t="array" ref="A5">_xlfn.XLOOKUP(B5,'Up Icon'!A:A,'Up Icon'!B:B,)</f>
        <v/>
      </c>
      <c r="B5" s="61" t="str">
        <f t="array" ref="B5">HYPERLINK(_xlfn.XLOOKUP('Up Names'!M28,'Up Wiki'!A:A,'Up Wiki'!B:B,),'Up Names'!M28)</f>
        <v>Boundary Incursion</v>
      </c>
      <c r="C5" s="52" t="str">
        <f t="array" ref="C5">_xlfn.XLOOKUP(B5,'Up Desc'!A:A,'Up Desc'!B:B,)</f>
        <v>Increases the size of your upgrade grid.</v>
      </c>
      <c r="D5" s="52" t="str">
        <f t="array" ref="D5">_xlfn.XLOOKUP(B5,'Up Turbo'!A:A,'Up Turbo'!B:B,)</f>
        <v>n/a</v>
      </c>
      <c r="E5" s="53" t="str">
        <f t="array" ref="E5">_xlfn.XLOOKUP(B5,'Up Stats'!A:A,'Up Stats'!B:B,)</f>
        <v/>
      </c>
      <c r="F5" s="54" t="str">
        <f>IFERROR(__xludf.DUMMYFUNCTION("if(AND(G5=FALSE,H5=FALSE),,if(G5=H5,JOIN("""",""Static: "",G5),JOIN("""",""Min:  "",G5, CHAR(10),""Max: "",H5)))"),"")</f>
        <v/>
      </c>
      <c r="G5" s="55" t="str">
        <f t="array" ref="G5">_xlfn.XLOOKUP(B5,'Up Min'!A:A,'Up Min'!B:B,)</f>
        <v/>
      </c>
      <c r="H5" s="56" t="str">
        <f t="array" ref="H5">_xlfn.XLOOKUP(B5,'Up Max'!A:A,'Up Max'!B:B,)</f>
        <v/>
      </c>
      <c r="I5" s="53" t="str">
        <f t="array" ref="I5">_xlfn.XLOOKUP(B5,'Up Stats'!A:A,'Up Stats'!C:C,)</f>
        <v/>
      </c>
      <c r="J5" s="54" t="str">
        <f>IFERROR(__xludf.DUMMYFUNCTION("if(AND(K5=FALSE,L5=FALSE),,if(K5=L5,JOIN("""",""Static: "",K5),JOIN("""",""Min:  "",K5, CHAR(10),""Max: "",L5)))"),"")</f>
        <v/>
      </c>
      <c r="K5" s="55" t="str">
        <f t="array" ref="K5">_xlfn.XLOOKUP(B5,'Up Min'!A:A,'Up Min'!C:C,)</f>
        <v/>
      </c>
      <c r="L5" s="55" t="str">
        <f t="array" ref="L5">_xlfn.XLOOKUP(B5,'Up Max'!A:A,'Up Max'!C:C,)</f>
        <v/>
      </c>
      <c r="M5" s="53" t="str">
        <f t="array" ref="M5">_xlfn.XLOOKUP(B5,'Up Stats'!A:A,'Up Stats'!D:D,)</f>
        <v/>
      </c>
      <c r="N5" s="54" t="str">
        <f>IFERROR(__xludf.DUMMYFUNCTION("if(AND(O5=FALSE,P5=FALSE),,if(O5=P5,JOIN("""",""Static: "",O5),JOIN("""",""Min:  "",O5, CHAR(10),""Max: "",P5)))"),"")</f>
        <v/>
      </c>
      <c r="O5" s="55" t="str">
        <f t="array" ref="O5">_xlfn.XLOOKUP(B5,'Up Min'!A:A,'Up Min'!D:D,)</f>
        <v/>
      </c>
      <c r="P5" s="55" t="str">
        <f t="array" ref="P5">_xlfn.XLOOKUP(B5,'Up Max'!A:A,'Up Max'!D:D,)</f>
        <v/>
      </c>
      <c r="Q5" s="57" t="str">
        <f t="array" ref="Q5">_xlfn.XLOOKUP(B5,'Up Stats'!A:A,'Up Stats'!E:E,)</f>
        <v/>
      </c>
      <c r="R5" s="54" t="str">
        <f>IFERROR(__xludf.DUMMYFUNCTION("if(AND(S5=FALSE,T5=FALSE),,if(S5=T5,JOIN("""",""Static: "",S5),JOIN("""",""Min:  "",S5, CHAR(10),""Max: "",T5)))"),"")</f>
        <v/>
      </c>
      <c r="S5" s="55" t="str">
        <f t="array" ref="S5">_xlfn.XLOOKUP(B5,'Up Min'!A:A,'Up Min'!E:E,)</f>
        <v/>
      </c>
      <c r="T5" s="55" t="str">
        <f t="array" ref="T5">_xlfn.XLOOKUP(B5,'Up Max'!A:A,'Up Max'!E:E,)</f>
        <v/>
      </c>
      <c r="U5" s="57" t="str">
        <f t="array" ref="U5">_xlfn.XLOOKUP(B5,'Up Stats'!A:A,'Up Stats'!F:F,)</f>
        <v/>
      </c>
      <c r="V5" s="54" t="str">
        <f>IFERROR(__xludf.DUMMYFUNCTION("if(AND(W5=FALSE,X5=FALSE),,if(W5=X5,JOIN("""",""Static: "",W5),JOIN("""",""Min:  "",W5, CHAR(10),""Max: "",X5)))"),"")</f>
        <v/>
      </c>
      <c r="W5" s="55" t="str">
        <f t="array" ref="W5">_xlfn.XLOOKUP(B5,'Up Min'!A:A,'Up Min'!F:F,)</f>
        <v/>
      </c>
      <c r="X5" s="55" t="str">
        <f t="array" ref="X5">_xlfn.XLOOKUP(B5,'Up Max'!A:A,'Up Max'!F:F,)</f>
        <v/>
      </c>
      <c r="Y5" s="57" t="str">
        <f t="array" ref="Y5">_xlfn.XLOOKUP(B5,'Up Stats'!A:A,'Up Stats'!G:G,)</f>
        <v/>
      </c>
      <c r="Z5" s="54" t="str">
        <f>IFERROR(__xludf.DUMMYFUNCTION("if(AND(AA5=FALSE,AB5=FALSE),,if(AA5=AB5,JOIN("""",""Static: "",AA5),JOIN("""",""Min:  "",AA5, CHAR(10),""Max: "",AB5)))"),"")</f>
        <v/>
      </c>
      <c r="AA5" s="55" t="str">
        <f t="array" ref="AA5">_xlfn.XLOOKUP(B5,'Up Min'!A:A,'Up Min'!G:G,)</f>
        <v/>
      </c>
      <c r="AB5" s="55" t="str">
        <f t="array" ref="AB5">_xlfn.XLOOKUP(B5,'Up Max'!A:A,'Up Max'!G:G,)</f>
        <v/>
      </c>
      <c r="AC5" s="57" t="str">
        <f t="array" ref="AC5">_xlfn.XLOOKUP(B5,'Up Stats'!A:A,'Up Stats'!H:H,)</f>
        <v/>
      </c>
      <c r="AD5" s="54" t="str">
        <f>IFERROR(__xludf.DUMMYFUNCTION("if(AND(AE5=FALSE,AF5=FALSE),,if(AE5=AF5,JOIN("""",""Static: "",AE5),JOIN("""",""Min:  "",AE5, CHAR(10),""Max: "",AF5)))"),"")</f>
        <v/>
      </c>
      <c r="AE5" s="55" t="str">
        <f t="array" ref="AE5">_xlfn.XLOOKUP(B5,'Up Min'!A:A,'Up Min'!H:H,)</f>
        <v/>
      </c>
      <c r="AF5" s="55" t="str">
        <f t="array" ref="AF5">_xlfn.XLOOKUP(B5,'Up Max'!A:A,'Up Max'!H:H,)</f>
        <v/>
      </c>
      <c r="AG5" s="57" t="str">
        <f t="array" ref="AG5">_xlfn.XLOOKUP(B5,'Up Stats'!A:A,'Up Stats'!I:I,)</f>
        <v/>
      </c>
      <c r="AH5" s="54" t="str">
        <f>IFERROR(__xludf.DUMMYFUNCTION("if(AND(AI5=FALSE,AJ5=FALSE),,if(AI5=AJ5,JOIN("""",""Static: "",AI5),JOIN("""",""Min:  "",AI5, CHAR(10),""Max: "",AJ5)))"),"")</f>
        <v/>
      </c>
      <c r="AI5" s="55" t="str">
        <f t="array" ref="AI5">_xlfn.XLOOKUP(B5,'Up Min'!A:A,'Up Min'!I:I,)</f>
        <v/>
      </c>
      <c r="AJ5" s="55" t="str">
        <f t="array" ref="AJ5">_xlfn.XLOOKUP(B5,'Up Max'!A:A,'Up Max'!I:I,)</f>
        <v/>
      </c>
      <c r="AK5" s="57" t="str">
        <f t="array" ref="AK5">_xlfn.XLOOKUP(B5,'Up Stats'!A:A,'Up Stats'!J:J,)</f>
        <v/>
      </c>
      <c r="AL5" s="54" t="str">
        <f>IFERROR(__xludf.DUMMYFUNCTION("if(AND(AM5=FALSE,AN5=FALSE),,if(AM5=AN5,JOIN("""",""Static: "",AM5),JOIN("""",""Min:  "",AM5, CHAR(10),""Max: "",AN5)))"),"")</f>
        <v/>
      </c>
      <c r="AM5" s="55" t="str">
        <f t="array" ref="AM5">_xlfn.XLOOKUP(B5,'Up Min'!A:A,'Up Min'!J:J,)</f>
        <v/>
      </c>
      <c r="AN5" s="55" t="str">
        <f t="array" ref="AN5">_xlfn.XLOOKUP(B5,'Up Max'!A:A,'Up Max'!J:J,)</f>
        <v/>
      </c>
      <c r="AO5" s="51" t="str">
        <f t="array" ref="AO5">CONCATENATE(_xlfn.XLOOKUP(B5,'Up Cells'!A:A,'Up Cells'!B:B,))</f>
        <v>1</v>
      </c>
      <c r="AP5" s="51" t="str">
        <f t="array" ref="AP5">CONCATENATE(_xlfn.XLOOKUP(B5,'Up Rarity'!A:A,'Up Rarity'!B:B,),CHAR(10),"-")</f>
        <v>Oddity
-</v>
      </c>
    </row>
    <row r="6">
      <c r="A6" s="62" t="str">
        <f t="array" ref="A6">_xlfn.XLOOKUP(B6,'Up Icon'!A:A,'Up Icon'!B:B,)</f>
        <v/>
      </c>
      <c r="B6" s="89" t="str">
        <f t="array" ref="B6">HYPERLINK(_xlfn.XLOOKUP('Up Names'!M2,'Up Wiki'!A:A,'Up Wiki'!B:B,),'Up Names'!M2)</f>
        <v>Cluster Bomb</v>
      </c>
      <c r="C6" s="67" t="str">
        <f t="array" ref="C6">_xlfn.XLOOKUP(B6,'Up Desc'!A:A,'Up Desc'!B:B,)</f>
        <v>Your grenade explodes into clusters of more grenades.</v>
      </c>
      <c r="D6" s="37" t="str">
        <f t="array" ref="D6">_xlfn.XLOOKUP(B6,'Up Turbo'!A:A,'Up Turbo'!B:B,)</f>
        <v/>
      </c>
      <c r="E6" s="39" t="str">
        <f t="array" ref="E6">_xlfn.XLOOKUP(B6,'Up Stats'!A:A,'Up Stats'!B:B,)</f>
        <v>Cluster Count</v>
      </c>
      <c r="F6" s="40" t="str">
        <f>IFERROR(__xludf.DUMMYFUNCTION("if(AND(G6=FALSE,H6=FALSE),,if(G6=H6,JOIN("""",""Static: "",G6),JOIN("""",""Min:  "",G6, CHAR(10),""Max: "",H6)))"),"Min:  3
Max: 5")</f>
        <v>Min:  3
Max: 5</v>
      </c>
      <c r="G6" s="69">
        <f t="array" ref="G6">_xlfn.XLOOKUP(B6,'Up Min'!A:A,'Up Min'!B:B,)</f>
        <v>3</v>
      </c>
      <c r="H6" s="68">
        <f t="array" ref="H6">_xlfn.XLOOKUP(B6,'Up Max'!A:A,'Up Max'!B:B,)</f>
        <v>5</v>
      </c>
      <c r="I6" s="39" t="str">
        <f t="array" ref="I6">_xlfn.XLOOKUP(B6,'Up Stats'!A:A,'Up Stats'!C:C,)</f>
        <v/>
      </c>
      <c r="J6" s="40" t="str">
        <f>IFERROR(__xludf.DUMMYFUNCTION("if(AND(K6=FALSE,L6=FALSE),,if(K6=L6,JOIN("""",""Static: "",K6),JOIN("""",""Min:  "",K6, CHAR(10),""Max: "",L6)))"),"")</f>
        <v/>
      </c>
      <c r="K6" s="42" t="str">
        <f t="array" ref="K6">_xlfn.XLOOKUP(B6,'Up Min'!A:A,'Up Min'!C:C,)</f>
        <v/>
      </c>
      <c r="L6" s="42" t="str">
        <f t="array" ref="L6">_xlfn.XLOOKUP(B6,'Up Max'!A:A,'Up Max'!C:C,)</f>
        <v/>
      </c>
      <c r="M6" s="48" t="str">
        <f t="array" ref="M6">_xlfn.XLOOKUP(B6,'Up Stats'!A:A,'Up Stats'!D:D,)</f>
        <v/>
      </c>
      <c r="N6" s="40" t="str">
        <f>IFERROR(__xludf.DUMMYFUNCTION("if(AND(O6=FALSE,P6=FALSE),,if(O6=P6,JOIN("""",""Static: "",O6),JOIN("""",""Min:  "",O6, CHAR(10),""Max: "",P6)))"),"")</f>
        <v/>
      </c>
      <c r="O6" s="42" t="str">
        <f t="array" ref="O6">_xlfn.XLOOKUP(B6,'Up Min'!A:A,'Up Min'!D:D,)</f>
        <v/>
      </c>
      <c r="P6" s="42" t="str">
        <f t="array" ref="P6">_xlfn.XLOOKUP(B6,'Up Max'!A:A,'Up Max'!D:D,)</f>
        <v/>
      </c>
      <c r="Q6" s="48" t="str">
        <f t="array" ref="Q6">_xlfn.XLOOKUP(B6,'Up Stats'!A:A,'Up Stats'!E:E,)</f>
        <v/>
      </c>
      <c r="R6" s="40" t="str">
        <f>IFERROR(__xludf.DUMMYFUNCTION("if(AND(S6=FALSE,T6=FALSE),,if(S6=T6,JOIN("""",""Static: "",S6),JOIN("""",""Min:  "",S6, CHAR(10),""Max: "",T6)))"),"")</f>
        <v/>
      </c>
      <c r="S6" s="42" t="str">
        <f t="array" ref="S6">_xlfn.XLOOKUP(B6,'Up Min'!A:A,'Up Min'!E:E,)</f>
        <v/>
      </c>
      <c r="T6" s="42" t="str">
        <f t="array" ref="T6">_xlfn.XLOOKUP(B6,'Up Max'!A:A,'Up Max'!E:E,)</f>
        <v/>
      </c>
      <c r="U6" s="48" t="str">
        <f t="array" ref="U6">_xlfn.XLOOKUP(B6,'Up Stats'!A:A,'Up Stats'!F:F,)</f>
        <v/>
      </c>
      <c r="V6" s="40" t="str">
        <f>IFERROR(__xludf.DUMMYFUNCTION("if(AND(W6=FALSE,X6=FALSE),,if(W6=X6,JOIN("""",""Static: "",W6),JOIN("""",""Min:  "",W6, CHAR(10),""Max: "",X6)))"),"")</f>
        <v/>
      </c>
      <c r="W6" s="42" t="str">
        <f t="array" ref="W6">_xlfn.XLOOKUP(B6,'Up Min'!A:A,'Up Min'!F:F,)</f>
        <v/>
      </c>
      <c r="X6" s="42" t="str">
        <f t="array" ref="X6">_xlfn.XLOOKUP(B6,'Up Max'!A:A,'Up Max'!F:F,)</f>
        <v/>
      </c>
      <c r="Y6" s="48" t="str">
        <f t="array" ref="Y6">_xlfn.XLOOKUP(B6,'Up Stats'!A:A,'Up Stats'!G:G,)</f>
        <v/>
      </c>
      <c r="Z6" s="40" t="str">
        <f>IFERROR(__xludf.DUMMYFUNCTION("if(AND(AA6=FALSE,AB6=FALSE),,if(AA6=AB6,JOIN("""",""Static: "",AA6),JOIN("""",""Min:  "",AA6, CHAR(10),""Max: "",AB6)))"),"")</f>
        <v/>
      </c>
      <c r="AA6" s="42" t="str">
        <f t="array" ref="AA6">_xlfn.XLOOKUP(B6,'Up Min'!A:A,'Up Min'!G:G,)</f>
        <v/>
      </c>
      <c r="AB6" s="42" t="str">
        <f t="array" ref="AB6">_xlfn.XLOOKUP(B6,'Up Max'!A:A,'Up Max'!G:G,)</f>
        <v/>
      </c>
      <c r="AC6" s="48" t="str">
        <f t="array" ref="AC6">_xlfn.XLOOKUP(B6,'Up Stats'!A:A,'Up Stats'!H:H,)</f>
        <v/>
      </c>
      <c r="AD6" s="40" t="str">
        <f>IFERROR(__xludf.DUMMYFUNCTION("if(AND(AE6=FALSE,AF6=FALSE),,if(AE6=AF6,JOIN("""",""Static: "",AE6),JOIN("""",""Min:  "",AE6, CHAR(10),""Max: "",AF6)))"),"")</f>
        <v/>
      </c>
      <c r="AE6" s="42" t="str">
        <f t="array" ref="AE6">_xlfn.XLOOKUP(B6,'Up Min'!A:A,'Up Min'!H:H,)</f>
        <v/>
      </c>
      <c r="AF6" s="42" t="str">
        <f t="array" ref="AF6">_xlfn.XLOOKUP(B6,'Up Max'!A:A,'Up Max'!H:H,)</f>
        <v/>
      </c>
      <c r="AG6" s="48" t="str">
        <f t="array" ref="AG6">_xlfn.XLOOKUP(B6,'Up Stats'!A:A,'Up Stats'!I:I,)</f>
        <v/>
      </c>
      <c r="AH6" s="40" t="str">
        <f>IFERROR(__xludf.DUMMYFUNCTION("if(AND(AI6=FALSE,AJ6=FALSE),,if(AI6=AJ6,JOIN("""",""Static: "",AI6),JOIN("""",""Min:  "",AI6, CHAR(10),""Max: "",AJ6)))"),"")</f>
        <v/>
      </c>
      <c r="AI6" s="42" t="str">
        <f t="array" ref="AI6">_xlfn.XLOOKUP(B6,'Up Min'!A:A,'Up Min'!I:I,)</f>
        <v/>
      </c>
      <c r="AJ6" s="42" t="str">
        <f t="array" ref="AJ6">_xlfn.XLOOKUP(B6,'Up Max'!A:A,'Up Max'!I:I,)</f>
        <v/>
      </c>
      <c r="AK6" s="48" t="str">
        <f t="array" ref="AK6">_xlfn.XLOOKUP(B6,'Up Stats'!A:A,'Up Stats'!J:J,)</f>
        <v/>
      </c>
      <c r="AL6" s="40" t="str">
        <f>IFERROR(__xludf.DUMMYFUNCTION("if(AND(AM6=FALSE,AN6=FALSE),,if(AM6=AN6,JOIN("""",""Static: "",AM6),JOIN("""",""Min:  "",AM6, CHAR(10),""Max: "",AN6)))"),"")</f>
        <v/>
      </c>
      <c r="AM6" s="42" t="str">
        <f t="array" ref="AM6">_xlfn.XLOOKUP(B6,'Up Min'!A:A,'Up Min'!J:J,)</f>
        <v/>
      </c>
      <c r="AN6" s="42" t="str">
        <f t="array" ref="AN6">_xlfn.XLOOKUP(B6,'Up Max'!A:A,'Up Max'!J:J,)</f>
        <v/>
      </c>
      <c r="AO6" s="34" t="str">
        <f t="array" ref="AO6">CONCATENATE(_xlfn.XLOOKUP(B6,'Up Cells'!A:A,'Up Cells'!B:B,))</f>
        <v>10</v>
      </c>
      <c r="AP6" s="34" t="str">
        <f t="array" ref="AP6">CONCATENATE(_xlfn.XLOOKUP(B6,'Up Rarity'!A:A,'Up Rarity'!B:B,),CHAR(10),"-")</f>
        <v>Exotic
-</v>
      </c>
    </row>
    <row r="7">
      <c r="A7" s="62" t="str">
        <f t="array" ref="A7">_xlfn.XLOOKUP(B7,'Up Icon'!A:A,'Up Icon'!B:B,)</f>
        <v/>
      </c>
      <c r="B7" s="61" t="str">
        <f t="array" ref="B7">HYPERLINK(_xlfn.XLOOKUP('Up Names'!M24,'Up Wiki'!A:A,'Up Wiki'!B:B,),'Up Names'!M24)</f>
        <v>Grenade Belt</v>
      </c>
      <c r="C7" s="52" t="str">
        <f t="array" ref="C7">_xlfn.XLOOKUP(B7,'Up Desc'!A:A,'Up Desc'!B:B,)</f>
        <v>Sliding will periodically throw out your grenade without consuming a charge. Stacking this upgrade throws additional grenades.</v>
      </c>
      <c r="D7" s="52" t="str">
        <f t="array" ref="D7">_xlfn.XLOOKUP(B7,'Up Turbo'!A:A,'Up Turbo'!B:B,)</f>
        <v/>
      </c>
      <c r="E7" s="53" t="str">
        <f t="array" ref="E7">_xlfn.XLOOKUP(B7,'Up Stats'!A:A,'Up Stats'!B:B,)</f>
        <v/>
      </c>
      <c r="F7" s="54" t="str">
        <f>IFERROR(__xludf.DUMMYFUNCTION("if(AND(G7=FALSE,H7=FALSE),,if(G7=H7,JOIN("""",""Static: "",G7),JOIN("""",""Min:  "",G7, CHAR(10),""Max: "",H7)))"),"")</f>
        <v/>
      </c>
      <c r="G7" s="55" t="str">
        <f t="array" ref="G7">_xlfn.XLOOKUP(B7,'Up Min'!A:A,'Up Min'!B:B,)</f>
        <v/>
      </c>
      <c r="H7" s="56" t="str">
        <f t="array" ref="H7">_xlfn.XLOOKUP(B7,'Up Max'!A:A,'Up Max'!B:B,)</f>
        <v/>
      </c>
      <c r="I7" s="53" t="str">
        <f t="array" ref="I7">_xlfn.XLOOKUP(B7,'Up Stats'!A:A,'Up Stats'!C:C,)</f>
        <v/>
      </c>
      <c r="J7" s="54" t="str">
        <f>IFERROR(__xludf.DUMMYFUNCTION("if(AND(K7=FALSE,L7=FALSE),,if(K7=L7,JOIN("""",""Static: "",K7),JOIN("""",""Min:  "",K7, CHAR(10),""Max: "",L7)))"),"")</f>
        <v/>
      </c>
      <c r="K7" s="72" t="str">
        <f t="array" ref="K7">_xlfn.XLOOKUP(B7,'Up Min'!A:A,'Up Min'!C:C,)</f>
        <v/>
      </c>
      <c r="L7" s="72" t="str">
        <f t="array" ref="L7">_xlfn.XLOOKUP(B7,'Up Max'!A:A,'Up Max'!C:C,)</f>
        <v/>
      </c>
      <c r="M7" s="53" t="str">
        <f t="array" ref="M7">_xlfn.XLOOKUP(B7,'Up Stats'!A:A,'Up Stats'!D:D,)</f>
        <v/>
      </c>
      <c r="N7" s="54" t="str">
        <f>IFERROR(__xludf.DUMMYFUNCTION("if(AND(O7=FALSE,P7=FALSE),,if(O7=P7,JOIN("""",""Static: "",O7),JOIN("""",""Min:  "",O7, CHAR(10),""Max: "",P7)))"),"")</f>
        <v/>
      </c>
      <c r="O7" s="55" t="str">
        <f t="array" ref="O7">_xlfn.XLOOKUP(B7,'Up Min'!A:A,'Up Min'!D:D,)</f>
        <v/>
      </c>
      <c r="P7" s="55" t="str">
        <f t="array" ref="P7">_xlfn.XLOOKUP(B7,'Up Max'!A:A,'Up Max'!D:D,)</f>
        <v/>
      </c>
      <c r="Q7" s="57" t="str">
        <f t="array" ref="Q7">_xlfn.XLOOKUP(B7,'Up Stats'!A:A,'Up Stats'!E:E,)</f>
        <v/>
      </c>
      <c r="R7" s="54" t="str">
        <f>IFERROR(__xludf.DUMMYFUNCTION("if(AND(S7=FALSE,T7=FALSE),,if(S7=T7,JOIN("""",""Static: "",S7),JOIN("""",""Min:  "",S7, CHAR(10),""Max: "",T7)))"),"")</f>
        <v/>
      </c>
      <c r="S7" s="55" t="str">
        <f t="array" ref="S7">_xlfn.XLOOKUP(B7,'Up Min'!A:A,'Up Min'!E:E,)</f>
        <v/>
      </c>
      <c r="T7" s="55" t="str">
        <f t="array" ref="T7">_xlfn.XLOOKUP(B7,'Up Max'!A:A,'Up Max'!E:E,)</f>
        <v/>
      </c>
      <c r="U7" s="57" t="str">
        <f t="array" ref="U7">_xlfn.XLOOKUP(B7,'Up Stats'!A:A,'Up Stats'!F:F,)</f>
        <v/>
      </c>
      <c r="V7" s="54" t="str">
        <f>IFERROR(__xludf.DUMMYFUNCTION("if(AND(W7=FALSE,X7=FALSE),,if(W7=X7,JOIN("""",""Static: "",W7),JOIN("""",""Min:  "",W7, CHAR(10),""Max: "",X7)))"),"")</f>
        <v/>
      </c>
      <c r="W7" s="55" t="str">
        <f t="array" ref="W7">_xlfn.XLOOKUP(B7,'Up Min'!A:A,'Up Min'!F:F,)</f>
        <v/>
      </c>
      <c r="X7" s="55" t="str">
        <f t="array" ref="X7">_xlfn.XLOOKUP(B7,'Up Max'!A:A,'Up Max'!F:F,)</f>
        <v/>
      </c>
      <c r="Y7" s="57" t="str">
        <f t="array" ref="Y7">_xlfn.XLOOKUP(B7,'Up Stats'!A:A,'Up Stats'!G:G,)</f>
        <v/>
      </c>
      <c r="Z7" s="54" t="str">
        <f>IFERROR(__xludf.DUMMYFUNCTION("if(AND(AA7=FALSE,AB7=FALSE),,if(AA7=AB7,JOIN("""",""Static: "",AA7),JOIN("""",""Min:  "",AA7, CHAR(10),""Max: "",AB7)))"),"")</f>
        <v/>
      </c>
      <c r="AA7" s="55" t="str">
        <f t="array" ref="AA7">_xlfn.XLOOKUP(B7,'Up Min'!A:A,'Up Min'!G:G,)</f>
        <v/>
      </c>
      <c r="AB7" s="55" t="str">
        <f t="array" ref="AB7">_xlfn.XLOOKUP(B7,'Up Max'!A:A,'Up Max'!G:G,)</f>
        <v/>
      </c>
      <c r="AC7" s="57" t="str">
        <f t="array" ref="AC7">_xlfn.XLOOKUP(B7,'Up Stats'!A:A,'Up Stats'!H:H,)</f>
        <v/>
      </c>
      <c r="AD7" s="54" t="str">
        <f>IFERROR(__xludf.DUMMYFUNCTION("if(AND(AE7=FALSE,AF7=FALSE),,if(AE7=AF7,JOIN("""",""Static: "",AE7),JOIN("""",""Min:  "",AE7, CHAR(10),""Max: "",AF7)))"),"")</f>
        <v/>
      </c>
      <c r="AE7" s="55" t="str">
        <f t="array" ref="AE7">_xlfn.XLOOKUP(B7,'Up Min'!A:A,'Up Min'!H:H,)</f>
        <v/>
      </c>
      <c r="AF7" s="55" t="str">
        <f t="array" ref="AF7">_xlfn.XLOOKUP(B7,'Up Max'!A:A,'Up Max'!H:H,)</f>
        <v/>
      </c>
      <c r="AG7" s="57" t="str">
        <f t="array" ref="AG7">_xlfn.XLOOKUP(B7,'Up Stats'!A:A,'Up Stats'!I:I,)</f>
        <v/>
      </c>
      <c r="AH7" s="54" t="str">
        <f>IFERROR(__xludf.DUMMYFUNCTION("if(AND(AI7=FALSE,AJ7=FALSE),,if(AI7=AJ7,JOIN("""",""Static: "",AI7),JOIN("""",""Min:  "",AI7, CHAR(10),""Max: "",AJ7)))"),"")</f>
        <v/>
      </c>
      <c r="AI7" s="55" t="str">
        <f t="array" ref="AI7">_xlfn.XLOOKUP(B7,'Up Min'!A:A,'Up Min'!I:I,)</f>
        <v/>
      </c>
      <c r="AJ7" s="55" t="str">
        <f t="array" ref="AJ7">_xlfn.XLOOKUP(B7,'Up Max'!A:A,'Up Max'!I:I,)</f>
        <v/>
      </c>
      <c r="AK7" s="57" t="str">
        <f t="array" ref="AK7">_xlfn.XLOOKUP(B7,'Up Stats'!A:A,'Up Stats'!J:J,)</f>
        <v/>
      </c>
      <c r="AL7" s="54" t="str">
        <f>IFERROR(__xludf.DUMMYFUNCTION("if(AND(AM7=FALSE,AN7=FALSE),,if(AM7=AN7,JOIN("""",""Static: "",AM7),JOIN("""",""Min:  "",AM7, CHAR(10),""Max: "",AN7)))"),"")</f>
        <v/>
      </c>
      <c r="AM7" s="55" t="str">
        <f t="array" ref="AM7">_xlfn.XLOOKUP(B7,'Up Min'!A:A,'Up Min'!J:J,)</f>
        <v/>
      </c>
      <c r="AN7" s="55" t="str">
        <f t="array" ref="AN7">_xlfn.XLOOKUP(B7,'Up Max'!A:A,'Up Max'!J:J,)</f>
        <v/>
      </c>
      <c r="AO7" s="51" t="str">
        <f t="array" ref="AO7">CONCATENATE(_xlfn.XLOOKUP(B7,'Up Cells'!A:A,'Up Cells'!B:B,))</f>
        <v>6</v>
      </c>
      <c r="AP7" s="51" t="str">
        <f t="array" ref="AP7">CONCATENATE(_xlfn.XLOOKUP(B7,'Up Rarity'!A:A,'Up Rarity'!B:B,),CHAR(10),"-")</f>
        <v>Exotic
-</v>
      </c>
    </row>
    <row r="8">
      <c r="A8" s="62" t="str">
        <f t="array" ref="A8">_xlfn.XLOOKUP(B8,'Up Icon'!A:A,'Up Icon'!B:B,)</f>
        <v/>
      </c>
      <c r="B8" s="89" t="str">
        <f t="array" ref="B8">HYPERLINK(_xlfn.XLOOKUP('Up Names'!M3,'Up Wiki'!A:A,'Up Wiki'!B:B,),'Up Names'!M3)</f>
        <v>Hearth &amp; Home</v>
      </c>
      <c r="C8" s="67" t="str">
        <f t="array" ref="C8">_xlfn.XLOOKUP(B8,'Up Desc'!A:A,'Up Desc'!B:B,)</f>
        <v>Your grenade recharges faster when standing near your last grenade's explosion.</v>
      </c>
      <c r="D8" s="37" t="str">
        <f t="array" ref="D8">_xlfn.XLOOKUP(B8,'Up Turbo'!A:A,'Up Turbo'!B:B,)</f>
        <v/>
      </c>
      <c r="E8" s="39" t="str">
        <f t="array" ref="E8">_xlfn.XLOOKUP(B8,'Up Stats'!A:A,'Up Stats'!B:B,)</f>
        <v>Charge</v>
      </c>
      <c r="F8" s="40" t="str">
        <f>IFERROR(__xludf.DUMMYFUNCTION("if(AND(G8=FALSE,H8=FALSE),,if(G8=H8,JOIN("""",""Static: "",G8),JOIN("""",""Min:  "",G8, CHAR(10),""Max: "",H8)))"),"Min:  100%
Max: 165%")</f>
        <v>Min:  100%
Max: 165%</v>
      </c>
      <c r="G8" s="41">
        <f t="array" ref="G8">_xlfn.XLOOKUP(B8,'Up Min'!A:A,'Up Min'!B:B,)</f>
        <v>1</v>
      </c>
      <c r="H8" s="41">
        <f t="array" ref="H8">_xlfn.XLOOKUP(B8,'Up Max'!A:A,'Up Max'!B:B,)</f>
        <v>1.65</v>
      </c>
      <c r="I8" s="39" t="str">
        <f t="array" ref="I8">_xlfn.XLOOKUP(B8,'Up Stats'!A:A,'Up Stats'!C:C,)</f>
        <v>Charge Radius</v>
      </c>
      <c r="J8" s="40" t="str">
        <f>IFERROR(__xludf.DUMMYFUNCTION("if(AND(K8=FALSE,L8=FALSE),,if(K8=L8,JOIN("""",""Static: "",K8),JOIN("""",""Min:  "",K8, CHAR(10),""Max: "",L8)))"),"Min:  -15%
Max: 15%")</f>
        <v>Min:  -15%
Max: 15%</v>
      </c>
      <c r="K8" s="41">
        <f t="array" ref="K8">_xlfn.XLOOKUP(B8,'Up Min'!A:A,'Up Min'!C:C,)</f>
        <v>-0.15</v>
      </c>
      <c r="L8" s="41">
        <f t="array" ref="L8">_xlfn.XLOOKUP(B8,'Up Max'!A:A,'Up Max'!C:C,)</f>
        <v>0.15</v>
      </c>
      <c r="M8" s="39" t="str">
        <f t="array" ref="M8">_xlfn.XLOOKUP(B8,'Up Stats'!A:A,'Up Stats'!D:D,)</f>
        <v/>
      </c>
      <c r="N8" s="40" t="str">
        <f>IFERROR(__xludf.DUMMYFUNCTION("if(AND(O8=FALSE,P8=FALSE),,if(O8=P8,JOIN("""",""Static: "",O8),JOIN("""",""Min:  "",O8, CHAR(10),""Max: "",P8)))"),"")</f>
        <v/>
      </c>
      <c r="O8" s="42" t="str">
        <f t="array" ref="O8">_xlfn.XLOOKUP(B8,'Up Min'!A:A,'Up Min'!D:D,)</f>
        <v/>
      </c>
      <c r="P8" s="42" t="str">
        <f t="array" ref="P8">_xlfn.XLOOKUP(B8,'Up Max'!A:A,'Up Max'!D:D,)</f>
        <v/>
      </c>
      <c r="Q8" s="48" t="str">
        <f t="array" ref="Q8">_xlfn.XLOOKUP(B8,'Up Stats'!A:A,'Up Stats'!E:E,)</f>
        <v/>
      </c>
      <c r="R8" s="40" t="str">
        <f>IFERROR(__xludf.DUMMYFUNCTION("if(AND(S8=FALSE,T8=FALSE),,if(S8=T8,JOIN("""",""Static: "",S8),JOIN("""",""Min:  "",S8, CHAR(10),""Max: "",T8)))"),"")</f>
        <v/>
      </c>
      <c r="S8" s="42" t="str">
        <f t="array" ref="S8">_xlfn.XLOOKUP(B8,'Up Min'!A:A,'Up Min'!E:E,)</f>
        <v/>
      </c>
      <c r="T8" s="42" t="str">
        <f t="array" ref="T8">_xlfn.XLOOKUP(B8,'Up Max'!A:A,'Up Max'!E:E,)</f>
        <v/>
      </c>
      <c r="U8" s="48" t="str">
        <f t="array" ref="U8">_xlfn.XLOOKUP(B8,'Up Stats'!A:A,'Up Stats'!F:F,)</f>
        <v/>
      </c>
      <c r="V8" s="40" t="str">
        <f>IFERROR(__xludf.DUMMYFUNCTION("if(AND(W8=FALSE,X8=FALSE),,if(W8=X8,JOIN("""",""Static: "",W8),JOIN("""",""Min:  "",W8, CHAR(10),""Max: "",X8)))"),"")</f>
        <v/>
      </c>
      <c r="W8" s="42" t="str">
        <f t="array" ref="W8">_xlfn.XLOOKUP(B8,'Up Min'!A:A,'Up Min'!F:F,)</f>
        <v/>
      </c>
      <c r="X8" s="42" t="str">
        <f t="array" ref="X8">_xlfn.XLOOKUP(B8,'Up Max'!A:A,'Up Max'!F:F,)</f>
        <v/>
      </c>
      <c r="Y8" s="48" t="str">
        <f t="array" ref="Y8">_xlfn.XLOOKUP(B8,'Up Stats'!A:A,'Up Stats'!G:G,)</f>
        <v/>
      </c>
      <c r="Z8" s="40" t="str">
        <f>IFERROR(__xludf.DUMMYFUNCTION("if(AND(AA8=FALSE,AB8=FALSE),,if(AA8=AB8,JOIN("""",""Static: "",AA8),JOIN("""",""Min:  "",AA8, CHAR(10),""Max: "",AB8)))"),"")</f>
        <v/>
      </c>
      <c r="AA8" s="42" t="str">
        <f t="array" ref="AA8">_xlfn.XLOOKUP(B8,'Up Min'!A:A,'Up Min'!G:G,)</f>
        <v/>
      </c>
      <c r="AB8" s="42" t="str">
        <f t="array" ref="AB8">_xlfn.XLOOKUP(B8,'Up Max'!A:A,'Up Max'!G:G,)</f>
        <v/>
      </c>
      <c r="AC8" s="48" t="str">
        <f t="array" ref="AC8">_xlfn.XLOOKUP(B8,'Up Stats'!A:A,'Up Stats'!H:H,)</f>
        <v/>
      </c>
      <c r="AD8" s="40" t="str">
        <f>IFERROR(__xludf.DUMMYFUNCTION("if(AND(AE8=FALSE,AF8=FALSE),,if(AE8=AF8,JOIN("""",""Static: "",AE8),JOIN("""",""Min:  "",AE8, CHAR(10),""Max: "",AF8)))"),"")</f>
        <v/>
      </c>
      <c r="AE8" s="42" t="str">
        <f t="array" ref="AE8">_xlfn.XLOOKUP(B8,'Up Min'!A:A,'Up Min'!H:H,)</f>
        <v/>
      </c>
      <c r="AF8" s="42" t="str">
        <f t="array" ref="AF8">_xlfn.XLOOKUP(B8,'Up Max'!A:A,'Up Max'!H:H,)</f>
        <v/>
      </c>
      <c r="AG8" s="48" t="str">
        <f t="array" ref="AG8">_xlfn.XLOOKUP(B8,'Up Stats'!A:A,'Up Stats'!I:I,)</f>
        <v/>
      </c>
      <c r="AH8" s="40" t="str">
        <f>IFERROR(__xludf.DUMMYFUNCTION("if(AND(AI8=FALSE,AJ8=FALSE),,if(AI8=AJ8,JOIN("""",""Static: "",AI8),JOIN("""",""Min:  "",AI8, CHAR(10),""Max: "",AJ8)))"),"")</f>
        <v/>
      </c>
      <c r="AI8" s="42" t="str">
        <f t="array" ref="AI8">_xlfn.XLOOKUP(B8,'Up Min'!A:A,'Up Min'!I:I,)</f>
        <v/>
      </c>
      <c r="AJ8" s="42" t="str">
        <f t="array" ref="AJ8">_xlfn.XLOOKUP(B8,'Up Max'!A:A,'Up Max'!I:I,)</f>
        <v/>
      </c>
      <c r="AK8" s="48" t="str">
        <f t="array" ref="AK8">_xlfn.XLOOKUP(B8,'Up Stats'!A:A,'Up Stats'!J:J,)</f>
        <v/>
      </c>
      <c r="AL8" s="40" t="str">
        <f>IFERROR(__xludf.DUMMYFUNCTION("if(AND(AM8=FALSE,AN8=FALSE),,if(AM8=AN8,JOIN("""",""Static: "",AM8),JOIN("""",""Min:  "",AM8, CHAR(10),""Max: "",AN8)))"),"")</f>
        <v/>
      </c>
      <c r="AM8" s="42" t="str">
        <f t="array" ref="AM8">_xlfn.XLOOKUP(B8,'Up Min'!A:A,'Up Min'!J:J,)</f>
        <v/>
      </c>
      <c r="AN8" s="42" t="str">
        <f t="array" ref="AN8">_xlfn.XLOOKUP(B8,'Up Max'!A:A,'Up Max'!J:J,)</f>
        <v/>
      </c>
      <c r="AO8" s="34" t="str">
        <f t="array" ref="AO8">CONCATENATE(_xlfn.XLOOKUP(B8,'Up Cells'!A:A,'Up Cells'!B:B,))</f>
        <v>6</v>
      </c>
      <c r="AP8" s="34" t="str">
        <f t="array" ref="AP8">CONCATENATE(_xlfn.XLOOKUP(B8,'Up Rarity'!A:A,'Up Rarity'!B:B,),CHAR(10),"-")</f>
        <v>Exotic
-</v>
      </c>
    </row>
    <row r="9">
      <c r="A9" s="62" t="str">
        <f t="array" ref="A9">_xlfn.XLOOKUP(B9,'Up Icon'!A:A,'Up Icon'!B:B,)</f>
        <v/>
      </c>
      <c r="B9" s="61" t="str">
        <f t="array" ref="B9">HYPERLINK(_xlfn.XLOOKUP('Up Names'!M23,'Up Wiki'!A:A,'Up Wiki'!B:B,),'Up Names'!M23)</f>
        <v>In for a Penny, In for a Pound</v>
      </c>
      <c r="C9" s="52" t="str">
        <f t="array" ref="C9">_xlfn.XLOOKUP(B9,'Up Desc'!A:A,'Up Desc'!B:B,)</f>
        <v>Taking damage from any source other than your grenade has a small chance to toss out a grenade. This chance is proportional to the amount of damage taken.</v>
      </c>
      <c r="D9" s="52" t="str">
        <f t="array" ref="D9">_xlfn.XLOOKUP(B9,'Up Turbo'!A:A,'Up Turbo'!B:B,)</f>
        <v/>
      </c>
      <c r="E9" s="53" t="str">
        <f t="array" ref="E9">_xlfn.XLOOKUP(B9,'Up Stats'!A:A,'Up Stats'!B:B,)</f>
        <v/>
      </c>
      <c r="F9" s="54" t="str">
        <f>IFERROR(__xludf.DUMMYFUNCTION("if(AND(G9=FALSE,H9=FALSE),,if(G9=H9,JOIN("""",""Static: "",G9),JOIN("""",""Min:  "",G9, CHAR(10),""Max: "",H9)))"),"")</f>
        <v/>
      </c>
      <c r="G9" s="72" t="str">
        <f t="array" ref="G9">_xlfn.XLOOKUP(B9,'Up Min'!A:A,'Up Min'!B:B,)</f>
        <v/>
      </c>
      <c r="H9" s="72" t="str">
        <f t="array" ref="H9">_xlfn.XLOOKUP(B9,'Up Max'!A:A,'Up Max'!B:B,)</f>
        <v/>
      </c>
      <c r="I9" s="53" t="str">
        <f t="array" ref="I9">_xlfn.XLOOKUP(B9,'Up Stats'!A:A,'Up Stats'!C:C,)</f>
        <v/>
      </c>
      <c r="J9" s="54" t="str">
        <f>IFERROR(__xludf.DUMMYFUNCTION("if(AND(K9=FALSE,L9=FALSE),,if(K9=L9,JOIN("""",""Static: "",K9),JOIN("""",""Min:  "",K9, CHAR(10),""Max: "",L9)))"),"")</f>
        <v/>
      </c>
      <c r="K9" s="55" t="str">
        <f t="array" ref="K9">_xlfn.XLOOKUP(B9,'Up Min'!A:A,'Up Min'!C:C,)</f>
        <v/>
      </c>
      <c r="L9" s="55" t="str">
        <f t="array" ref="L9">_xlfn.XLOOKUP(B9,'Up Max'!A:A,'Up Max'!C:C,)</f>
        <v/>
      </c>
      <c r="M9" s="53" t="str">
        <f t="array" ref="M9">_xlfn.XLOOKUP(B9,'Up Stats'!A:A,'Up Stats'!D:D,)</f>
        <v/>
      </c>
      <c r="N9" s="54" t="str">
        <f>IFERROR(__xludf.DUMMYFUNCTION("if(AND(O9=FALSE,P9=FALSE),,if(O9=P9,JOIN("""",""Static: "",O9),JOIN("""",""Min:  "",O9, CHAR(10),""Max: "",P9)))"),"")</f>
        <v/>
      </c>
      <c r="O9" s="55" t="str">
        <f t="array" ref="O9">_xlfn.XLOOKUP(B9,'Up Min'!A:A,'Up Min'!D:D,)</f>
        <v/>
      </c>
      <c r="P9" s="55" t="str">
        <f t="array" ref="P9">_xlfn.XLOOKUP(B9,'Up Max'!A:A,'Up Max'!D:D,)</f>
        <v/>
      </c>
      <c r="Q9" s="57" t="str">
        <f t="array" ref="Q9">_xlfn.XLOOKUP(B9,'Up Stats'!A:A,'Up Stats'!E:E,)</f>
        <v/>
      </c>
      <c r="R9" s="54" t="str">
        <f>IFERROR(__xludf.DUMMYFUNCTION("if(AND(S9=FALSE,T9=FALSE),,if(S9=T9,JOIN("""",""Static: "",S9),JOIN("""",""Min:  "",S9, CHAR(10),""Max: "",T9)))"),"")</f>
        <v/>
      </c>
      <c r="S9" s="55" t="str">
        <f t="array" ref="S9">_xlfn.XLOOKUP(B9,'Up Min'!A:A,'Up Min'!E:E,)</f>
        <v/>
      </c>
      <c r="T9" s="55" t="str">
        <f t="array" ref="T9">_xlfn.XLOOKUP(B9,'Up Max'!A:A,'Up Max'!E:E,)</f>
        <v/>
      </c>
      <c r="U9" s="57" t="str">
        <f t="array" ref="U9">_xlfn.XLOOKUP(B9,'Up Stats'!A:A,'Up Stats'!F:F,)</f>
        <v/>
      </c>
      <c r="V9" s="54" t="str">
        <f>IFERROR(__xludf.DUMMYFUNCTION("if(AND(W9=FALSE,X9=FALSE),,if(W9=X9,JOIN("""",""Static: "",W9),JOIN("""",""Min:  "",W9, CHAR(10),""Max: "",X9)))"),"")</f>
        <v/>
      </c>
      <c r="W9" s="55" t="str">
        <f t="array" ref="W9">_xlfn.XLOOKUP(B9,'Up Min'!A:A,'Up Min'!F:F,)</f>
        <v/>
      </c>
      <c r="X9" s="55" t="str">
        <f t="array" ref="X9">_xlfn.XLOOKUP(B9,'Up Max'!A:A,'Up Max'!F:F,)</f>
        <v/>
      </c>
      <c r="Y9" s="57" t="str">
        <f t="array" ref="Y9">_xlfn.XLOOKUP(B9,'Up Stats'!A:A,'Up Stats'!G:G,)</f>
        <v/>
      </c>
      <c r="Z9" s="54" t="str">
        <f>IFERROR(__xludf.DUMMYFUNCTION("if(AND(AA9=FALSE,AB9=FALSE),,if(AA9=AB9,JOIN("""",""Static: "",AA9),JOIN("""",""Min:  "",AA9, CHAR(10),""Max: "",AB9)))"),"")</f>
        <v/>
      </c>
      <c r="AA9" s="55" t="str">
        <f t="array" ref="AA9">_xlfn.XLOOKUP(B9,'Up Min'!A:A,'Up Min'!G:G,)</f>
        <v/>
      </c>
      <c r="AB9" s="55" t="str">
        <f t="array" ref="AB9">_xlfn.XLOOKUP(B9,'Up Max'!A:A,'Up Max'!G:G,)</f>
        <v/>
      </c>
      <c r="AC9" s="57" t="str">
        <f t="array" ref="AC9">_xlfn.XLOOKUP(B9,'Up Stats'!A:A,'Up Stats'!H:H,)</f>
        <v/>
      </c>
      <c r="AD9" s="54" t="str">
        <f>IFERROR(__xludf.DUMMYFUNCTION("if(AND(AE9=FALSE,AF9=FALSE),,if(AE9=AF9,JOIN("""",""Static: "",AE9),JOIN("""",""Min:  "",AE9, CHAR(10),""Max: "",AF9)))"),"")</f>
        <v/>
      </c>
      <c r="AE9" s="55" t="str">
        <f t="array" ref="AE9">_xlfn.XLOOKUP(B9,'Up Min'!A:A,'Up Min'!H:H,)</f>
        <v/>
      </c>
      <c r="AF9" s="55" t="str">
        <f t="array" ref="AF9">_xlfn.XLOOKUP(B9,'Up Max'!A:A,'Up Max'!H:H,)</f>
        <v/>
      </c>
      <c r="AG9" s="57" t="str">
        <f t="array" ref="AG9">_xlfn.XLOOKUP(B9,'Up Stats'!A:A,'Up Stats'!I:I,)</f>
        <v/>
      </c>
      <c r="AH9" s="54" t="str">
        <f>IFERROR(__xludf.DUMMYFUNCTION("if(AND(AI9=FALSE,AJ9=FALSE),,if(AI9=AJ9,JOIN("""",""Static: "",AI9),JOIN("""",""Min:  "",AI9, CHAR(10),""Max: "",AJ9)))"),"")</f>
        <v/>
      </c>
      <c r="AI9" s="55" t="str">
        <f t="array" ref="AI9">_xlfn.XLOOKUP(B9,'Up Min'!A:A,'Up Min'!I:I,)</f>
        <v/>
      </c>
      <c r="AJ9" s="55" t="str">
        <f t="array" ref="AJ9">_xlfn.XLOOKUP(B9,'Up Max'!A:A,'Up Max'!I:I,)</f>
        <v/>
      </c>
      <c r="AK9" s="57" t="str">
        <f t="array" ref="AK9">_xlfn.XLOOKUP(B9,'Up Stats'!A:A,'Up Stats'!J:J,)</f>
        <v/>
      </c>
      <c r="AL9" s="54" t="str">
        <f>IFERROR(__xludf.DUMMYFUNCTION("if(AND(AM9=FALSE,AN9=FALSE),,if(AM9=AN9,JOIN("""",""Static: "",AM9),JOIN("""",""Min:  "",AM9, CHAR(10),""Max: "",AN9)))"),"")</f>
        <v/>
      </c>
      <c r="AM9" s="55" t="str">
        <f t="array" ref="AM9">_xlfn.XLOOKUP(B9,'Up Min'!A:A,'Up Min'!J:J,)</f>
        <v/>
      </c>
      <c r="AN9" s="55" t="str">
        <f t="array" ref="AN9">_xlfn.XLOOKUP(B9,'Up Max'!A:A,'Up Max'!J:J,)</f>
        <v/>
      </c>
      <c r="AO9" s="51" t="str">
        <f t="array" ref="AO9">CONCATENATE(_xlfn.XLOOKUP(B9,'Up Cells'!A:A,'Up Cells'!B:B,))</f>
        <v>6</v>
      </c>
      <c r="AP9" s="51" t="str">
        <f t="array" ref="AP9">CONCATENATE(_xlfn.XLOOKUP(B9,'Up Rarity'!A:A,'Up Rarity'!B:B,),CHAR(10),"-")</f>
        <v>Exotic
-</v>
      </c>
    </row>
    <row r="10">
      <c r="A10" s="62" t="str">
        <f t="array" ref="A10">_xlfn.XLOOKUP(B10,'Up Icon'!A:A,'Up Icon'!B:B,)</f>
        <v/>
      </c>
      <c r="B10" s="89" t="str">
        <f t="array" ref="B10">HYPERLINK(_xlfn.XLOOKUP('Up Names'!M4,'Up Wiki'!A:A,'Up Wiki'!B:B,),'Up Names'!M4)</f>
        <v>Internal Combustion</v>
      </c>
      <c r="C10" s="37" t="str">
        <f t="array" ref="C10">_xlfn.XLOOKUP(B10,'Up Desc'!A:A,'Up Desc'!B:B,)</f>
        <v>Taking fire damage grants stacks of combustion. At 100 stacks you create a fiery explosion, igniting nearby enemies and healing yourself.</v>
      </c>
      <c r="D10" s="37" t="str">
        <f t="array" ref="D10">_xlfn.XLOOKUP(B10,'Up Turbo'!A:A,'Up Turbo'!B:B,)</f>
        <v/>
      </c>
      <c r="E10" s="48" t="str">
        <f t="array" ref="E10">_xlfn.XLOOKUP(B10,'Up Stats'!A:A,'Up Stats'!B:B,)</f>
        <v>Efficiency</v>
      </c>
      <c r="F10" s="40" t="str">
        <f>IFERROR(__xludf.DUMMYFUNCTION("if(AND(G10=FALSE,H10=FALSE),,if(G10=H10,JOIN("""",""Static: "",G10),JOIN("""",""Min:  "",G10, CHAR(10),""Max: "",H10)))"),"Min:  250%
Max: 320%")</f>
        <v>Min:  250%
Max: 320%</v>
      </c>
      <c r="G10" s="41">
        <f t="array" ref="G10">_xlfn.XLOOKUP(B10,'Up Min'!A:A,'Up Min'!B:B,)</f>
        <v>2.5</v>
      </c>
      <c r="H10" s="41">
        <f t="array" ref="H10">_xlfn.XLOOKUP(B10,'Up Max'!A:A,'Up Max'!B:B,)</f>
        <v>3.2</v>
      </c>
      <c r="I10" s="79" t="str">
        <f t="array" ref="I10">_xlfn.XLOOKUP(B10,'Up Stats'!A:A,'Up Stats'!C:C,)</f>
        <v>Size</v>
      </c>
      <c r="J10" s="40" t="str">
        <f>IFERROR(__xludf.DUMMYFUNCTION("if(AND(K10=FALSE,L10=FALSE),,if(K10=L10,JOIN("""",""Static: "",K10),JOIN("""",""Min:  "",K10, CHAR(10),""Max: "",L10)))"),"Min:  15
Max: 21.5")</f>
        <v>Min:  15
Max: 21.5</v>
      </c>
      <c r="K10" s="68">
        <f t="array" ref="K10">_xlfn.XLOOKUP(B10,'Up Min'!A:A,'Up Min'!C:C,)</f>
        <v>15</v>
      </c>
      <c r="L10" s="69">
        <f t="array" ref="L10">_xlfn.XLOOKUP(B10,'Up Max'!A:A,'Up Max'!C:C,)</f>
        <v>21.5</v>
      </c>
      <c r="M10" s="48" t="str">
        <f t="array" ref="M10">_xlfn.XLOOKUP(B10,'Up Stats'!A:A,'Up Stats'!D:D,)</f>
        <v>Healing</v>
      </c>
      <c r="N10" s="40" t="str">
        <f>IFERROR(__xludf.DUMMYFUNCTION("if(AND(O10=FALSE,P10=FALSE),,if(O10=P10,JOIN("""",""Static: "",O10),JOIN("""",""Min:  "",O10, CHAR(10),""Max: "",P10)))"),"Min:  13
Max: 25")</f>
        <v>Min:  13
Max: 25</v>
      </c>
      <c r="O10" s="69">
        <f t="array" ref="O10">_xlfn.XLOOKUP(B10,'Up Min'!A:A,'Up Min'!D:D,)</f>
        <v>13</v>
      </c>
      <c r="P10" s="68">
        <f t="array" ref="P10">_xlfn.XLOOKUP(B10,'Up Max'!A:A,'Up Max'!D:D,)</f>
        <v>25</v>
      </c>
      <c r="Q10" s="48" t="str">
        <f t="array" ref="Q10">_xlfn.XLOOKUP(B10,'Up Stats'!A:A,'Up Stats'!E:E,)</f>
        <v/>
      </c>
      <c r="R10" s="40" t="str">
        <f>IFERROR(__xludf.DUMMYFUNCTION("if(AND(S10=FALSE,T10=FALSE),,if(S10=T10,JOIN("""",""Static: "",S10),JOIN("""",""Min:  "",S10, CHAR(10),""Max: "",T10)))"),"")</f>
        <v/>
      </c>
      <c r="S10" s="42" t="str">
        <f t="array" ref="S10">_xlfn.XLOOKUP(B10,'Up Min'!A:A,'Up Min'!E:E,)</f>
        <v/>
      </c>
      <c r="T10" s="42" t="str">
        <f t="array" ref="T10">_xlfn.XLOOKUP(B10,'Up Max'!A:A,'Up Max'!E:E,)</f>
        <v/>
      </c>
      <c r="U10" s="48" t="str">
        <f t="array" ref="U10">_xlfn.XLOOKUP(B10,'Up Stats'!A:A,'Up Stats'!F:F,)</f>
        <v/>
      </c>
      <c r="V10" s="40" t="str">
        <f>IFERROR(__xludf.DUMMYFUNCTION("if(AND(W10=FALSE,X10=FALSE),,if(W10=X10,JOIN("""",""Static: "",W10),JOIN("""",""Min:  "",W10, CHAR(10),""Max: "",X10)))"),"")</f>
        <v/>
      </c>
      <c r="W10" s="42" t="str">
        <f t="array" ref="W10">_xlfn.XLOOKUP(B10,'Up Min'!A:A,'Up Min'!F:F,)</f>
        <v/>
      </c>
      <c r="X10" s="42" t="str">
        <f t="array" ref="X10">_xlfn.XLOOKUP(B10,'Up Max'!A:A,'Up Max'!F:F,)</f>
        <v/>
      </c>
      <c r="Y10" s="48" t="str">
        <f t="array" ref="Y10">_xlfn.XLOOKUP(B10,'Up Stats'!A:A,'Up Stats'!G:G,)</f>
        <v/>
      </c>
      <c r="Z10" s="40" t="str">
        <f>IFERROR(__xludf.DUMMYFUNCTION("if(AND(AA10=FALSE,AB10=FALSE),,if(AA10=AB10,JOIN("""",""Static: "",AA10),JOIN("""",""Min:  "",AA10, CHAR(10),""Max: "",AB10)))"),"")</f>
        <v/>
      </c>
      <c r="AA10" s="42" t="str">
        <f t="array" ref="AA10">_xlfn.XLOOKUP(B10,'Up Min'!A:A,'Up Min'!G:G,)</f>
        <v/>
      </c>
      <c r="AB10" s="42" t="str">
        <f t="array" ref="AB10">_xlfn.XLOOKUP(B10,'Up Max'!A:A,'Up Max'!G:G,)</f>
        <v/>
      </c>
      <c r="AC10" s="48" t="str">
        <f t="array" ref="AC10">_xlfn.XLOOKUP(B10,'Up Stats'!A:A,'Up Stats'!H:H,)</f>
        <v/>
      </c>
      <c r="AD10" s="40" t="str">
        <f>IFERROR(__xludf.DUMMYFUNCTION("if(AND(AE10=FALSE,AF10=FALSE),,if(AE10=AF10,JOIN("""",""Static: "",AE10),JOIN("""",""Min:  "",AE10, CHAR(10),""Max: "",AF10)))"),"")</f>
        <v/>
      </c>
      <c r="AE10" s="42" t="str">
        <f t="array" ref="AE10">_xlfn.XLOOKUP(B10,'Up Min'!A:A,'Up Min'!H:H,)</f>
        <v/>
      </c>
      <c r="AF10" s="42" t="str">
        <f t="array" ref="AF10">_xlfn.XLOOKUP(B10,'Up Max'!A:A,'Up Max'!H:H,)</f>
        <v/>
      </c>
      <c r="AG10" s="48" t="str">
        <f t="array" ref="AG10">_xlfn.XLOOKUP(B10,'Up Stats'!A:A,'Up Stats'!I:I,)</f>
        <v/>
      </c>
      <c r="AH10" s="40" t="str">
        <f>IFERROR(__xludf.DUMMYFUNCTION("if(AND(AI10=FALSE,AJ10=FALSE),,if(AI10=AJ10,JOIN("""",""Static: "",AI10),JOIN("""",""Min:  "",AI10, CHAR(10),""Max: "",AJ10)))"),"")</f>
        <v/>
      </c>
      <c r="AI10" s="42" t="str">
        <f t="array" ref="AI10">_xlfn.XLOOKUP(B10,'Up Min'!A:A,'Up Min'!I:I,)</f>
        <v/>
      </c>
      <c r="AJ10" s="42" t="str">
        <f t="array" ref="AJ10">_xlfn.XLOOKUP(B10,'Up Max'!A:A,'Up Max'!I:I,)</f>
        <v/>
      </c>
      <c r="AK10" s="48" t="str">
        <f t="array" ref="AK10">_xlfn.XLOOKUP(B10,'Up Stats'!A:A,'Up Stats'!J:J,)</f>
        <v/>
      </c>
      <c r="AL10" s="40" t="str">
        <f>IFERROR(__xludf.DUMMYFUNCTION("if(AND(AM10=FALSE,AN10=FALSE),,if(AM10=AN10,JOIN("""",""Static: "",AM10),JOIN("""",""Min:  "",AM10, CHAR(10),""Max: "",AN10)))"),"")</f>
        <v/>
      </c>
      <c r="AM10" s="42" t="str">
        <f t="array" ref="AM10">_xlfn.XLOOKUP(B10,'Up Min'!A:A,'Up Min'!J:J,)</f>
        <v/>
      </c>
      <c r="AN10" s="42" t="str">
        <f t="array" ref="AN10">_xlfn.XLOOKUP(B10,'Up Max'!A:A,'Up Max'!J:J,)</f>
        <v/>
      </c>
      <c r="AO10" s="34" t="str">
        <f t="array" ref="AO10">CONCATENATE(_xlfn.XLOOKUP(B10,'Up Cells'!A:A,'Up Cells'!B:B,))</f>
        <v>5</v>
      </c>
      <c r="AP10" s="34" t="str">
        <f t="array" ref="AP10">CONCATENATE(_xlfn.XLOOKUP(B10,'Up Rarity'!A:A,'Up Rarity'!B:B,),CHAR(10),"-")</f>
        <v>Exotic
-</v>
      </c>
    </row>
    <row r="11">
      <c r="A11" s="75" t="str">
        <f t="array" ref="A11">_xlfn.XLOOKUP(B11,'Up Icon'!A:A,'Up Icon'!B:B,)</f>
        <v/>
      </c>
      <c r="B11" s="88" t="str">
        <f t="array" ref="B11">HYPERLINK(_xlfn.XLOOKUP('Up Names'!M5,'Up Wiki'!A:A,'Up Wiki'!B:B,),'Up Names'!M5)</f>
        <v>Gambler's Bargain</v>
      </c>
      <c r="C11" s="52" t="str">
        <f t="array" ref="C11">_xlfn.XLOOKUP(B11,'Up Desc'!A:A,'Up Desc'!B:B,)</f>
        <v>Throwing your grenade has a chance to instantly recharge it, but also has a chance to instantly kill you. Both chances increase on each successful recharge and reset when the grenade kills you.</v>
      </c>
      <c r="D11" s="52" t="str">
        <f t="array" ref="D11">_xlfn.XLOOKUP(B11,'Up Turbo'!A:A,'Up Turbo'!B:B,)</f>
        <v>n/a</v>
      </c>
      <c r="E11" s="53" t="str">
        <f t="array" ref="E11">_xlfn.XLOOKUP(B11,'Up Stats'!A:A,'Up Stats'!B:B,)</f>
        <v>Recharge Chance</v>
      </c>
      <c r="F11" s="54" t="str">
        <f>IFERROR(__xludf.DUMMYFUNCTION("if(AND(G11=FALSE,H11=FALSE),,if(G11=H11,JOIN("""",""Static: "",G11),JOIN("""",""Min:  "",G11, CHAR(10),""Max: "",H11)))"),"Min:  40%
Max: 50%")</f>
        <v>Min:  40%
Max: 50%</v>
      </c>
      <c r="G11" s="59">
        <f t="array" ref="G11">_xlfn.XLOOKUP(B11,'Up Min'!A:A,'Up Min'!B:B,)</f>
        <v>0.4</v>
      </c>
      <c r="H11" s="59">
        <f t="array" ref="H11">_xlfn.XLOOKUP(B11,'Up Max'!A:A,'Up Max'!B:B,)</f>
        <v>0.5</v>
      </c>
      <c r="I11" s="53" t="str">
        <f t="array" ref="I11">_xlfn.XLOOKUP(B11,'Up Stats'!A:A,'Up Stats'!C:C,)</f>
        <v>Combust Chance</v>
      </c>
      <c r="J11" s="54" t="str">
        <f>IFERROR(__xludf.DUMMYFUNCTION("if(AND(K11=FALSE,L11=FALSE),,if(K11=L11,JOIN("""",""Static: "",K11),JOIN("""",""Min:  "",K11, CHAR(10),""Max: "",L11)))"),"Min:  3%
Max: 7%")</f>
        <v>Min:  3%
Max: 7%</v>
      </c>
      <c r="K11" s="59">
        <f t="array" ref="K11">_xlfn.XLOOKUP(B11,'Up Min'!A:A,'Up Min'!C:C,)</f>
        <v>0.03</v>
      </c>
      <c r="L11" s="59">
        <f t="array" ref="L11">_xlfn.XLOOKUP(B11,'Up Max'!A:A,'Up Max'!C:C,)</f>
        <v>0.07</v>
      </c>
      <c r="M11" s="53" t="str">
        <f t="array" ref="M11">_xlfn.XLOOKUP(B11,'Up Stats'!A:A,'Up Stats'!D:D,)</f>
        <v>Chance Increase</v>
      </c>
      <c r="N11" s="54" t="str">
        <f>IFERROR(__xludf.DUMMYFUNCTION("if(AND(O11=FALSE,P11=FALSE),,if(O11=P11,JOIN("""",""Static: "",O11),JOIN("""",""Min:  "",O11, CHAR(10),""Max: "",P11)))"),"Min:  3%
Max: 6%")</f>
        <v>Min:  3%
Max: 6%</v>
      </c>
      <c r="O11" s="59">
        <f t="array" ref="O11">_xlfn.XLOOKUP(B11,'Up Min'!A:A,'Up Min'!D:D,)</f>
        <v>0.03</v>
      </c>
      <c r="P11" s="59">
        <f t="array" ref="P11">_xlfn.XLOOKUP(B11,'Up Max'!A:A,'Up Max'!D:D,)</f>
        <v>0.06</v>
      </c>
      <c r="Q11" s="57" t="str">
        <f t="array" ref="Q11">_xlfn.XLOOKUP(B11,'Up Stats'!A:A,'Up Stats'!E:E,)</f>
        <v/>
      </c>
      <c r="R11" s="54" t="str">
        <f>IFERROR(__xludf.DUMMYFUNCTION("if(AND(S11=FALSE,T11=FALSE),,if(S11=T11,JOIN("""",""Static: "",S11),JOIN("""",""Min:  "",S11, CHAR(10),""Max: "",T11)))"),"")</f>
        <v/>
      </c>
      <c r="S11" s="55" t="str">
        <f t="array" ref="S11">_xlfn.XLOOKUP(B11,'Up Min'!A:A,'Up Min'!E:E,)</f>
        <v/>
      </c>
      <c r="T11" s="55" t="str">
        <f t="array" ref="T11">_xlfn.XLOOKUP(B11,'Up Max'!A:A,'Up Max'!E:E,)</f>
        <v/>
      </c>
      <c r="U11" s="57" t="str">
        <f t="array" ref="U11">_xlfn.XLOOKUP(B11,'Up Stats'!A:A,'Up Stats'!F:F,)</f>
        <v/>
      </c>
      <c r="V11" s="54" t="str">
        <f>IFERROR(__xludf.DUMMYFUNCTION("if(AND(W11=FALSE,X11=FALSE),,if(W11=X11,JOIN("""",""Static: "",W11),JOIN("""",""Min:  "",W11, CHAR(10),""Max: "",X11)))"),"")</f>
        <v/>
      </c>
      <c r="W11" s="55" t="str">
        <f t="array" ref="W11">_xlfn.XLOOKUP(B11,'Up Min'!A:A,'Up Min'!F:F,)</f>
        <v/>
      </c>
      <c r="X11" s="55" t="str">
        <f t="array" ref="X11">_xlfn.XLOOKUP(B11,'Up Max'!A:A,'Up Max'!F:F,)</f>
        <v/>
      </c>
      <c r="Y11" s="57" t="str">
        <f t="array" ref="Y11">_xlfn.XLOOKUP(B11,'Up Stats'!A:A,'Up Stats'!G:G,)</f>
        <v/>
      </c>
      <c r="Z11" s="54" t="str">
        <f>IFERROR(__xludf.DUMMYFUNCTION("if(AND(AA11=FALSE,AB11=FALSE),,if(AA11=AB11,JOIN("""",""Static: "",AA11),JOIN("""",""Min:  "",AA11, CHAR(10),""Max: "",AB11)))"),"")</f>
        <v/>
      </c>
      <c r="AA11" s="55" t="str">
        <f t="array" ref="AA11">_xlfn.XLOOKUP(B11,'Up Min'!A:A,'Up Min'!G:G,)</f>
        <v/>
      </c>
      <c r="AB11" s="55" t="str">
        <f t="array" ref="AB11">_xlfn.XLOOKUP(B11,'Up Max'!A:A,'Up Max'!G:G,)</f>
        <v/>
      </c>
      <c r="AC11" s="57" t="str">
        <f t="array" ref="AC11">_xlfn.XLOOKUP(B11,'Up Stats'!A:A,'Up Stats'!H:H,)</f>
        <v/>
      </c>
      <c r="AD11" s="54" t="str">
        <f>IFERROR(__xludf.DUMMYFUNCTION("if(AND(AE11=FALSE,AF11=FALSE),,if(AE11=AF11,JOIN("""",""Static: "",AE11),JOIN("""",""Min:  "",AE11, CHAR(10),""Max: "",AF11)))"),"")</f>
        <v/>
      </c>
      <c r="AE11" s="55" t="str">
        <f t="array" ref="AE11">_xlfn.XLOOKUP(B11,'Up Min'!A:A,'Up Min'!H:H,)</f>
        <v/>
      </c>
      <c r="AF11" s="55" t="str">
        <f t="array" ref="AF11">_xlfn.XLOOKUP(B11,'Up Max'!A:A,'Up Max'!H:H,)</f>
        <v/>
      </c>
      <c r="AG11" s="57" t="str">
        <f t="array" ref="AG11">_xlfn.XLOOKUP(B11,'Up Stats'!A:A,'Up Stats'!I:I,)</f>
        <v/>
      </c>
      <c r="AH11" s="54" t="str">
        <f>IFERROR(__xludf.DUMMYFUNCTION("if(AND(AI11=FALSE,AJ11=FALSE),,if(AI11=AJ11,JOIN("""",""Static: "",AI11),JOIN("""",""Min:  "",AI11, CHAR(10),""Max: "",AJ11)))"),"")</f>
        <v/>
      </c>
      <c r="AI11" s="55" t="str">
        <f t="array" ref="AI11">_xlfn.XLOOKUP(B11,'Up Min'!A:A,'Up Min'!I:I,)</f>
        <v/>
      </c>
      <c r="AJ11" s="55" t="str">
        <f t="array" ref="AJ11">_xlfn.XLOOKUP(B11,'Up Max'!A:A,'Up Max'!I:I,)</f>
        <v/>
      </c>
      <c r="AK11" s="57" t="str">
        <f t="array" ref="AK11">_xlfn.XLOOKUP(B11,'Up Stats'!A:A,'Up Stats'!J:J,)</f>
        <v/>
      </c>
      <c r="AL11" s="54" t="str">
        <f>IFERROR(__xludf.DUMMYFUNCTION("if(AND(AM11=FALSE,AN11=FALSE),,if(AM11=AN11,JOIN("""",""Static: "",AM11),JOIN("""",""Min:  "",AM11, CHAR(10),""Max: "",AN11)))"),"")</f>
        <v/>
      </c>
      <c r="AM11" s="55" t="str">
        <f t="array" ref="AM11">_xlfn.XLOOKUP(B11,'Up Min'!A:A,'Up Min'!J:J,)</f>
        <v/>
      </c>
      <c r="AN11" s="55" t="str">
        <f t="array" ref="AN11">_xlfn.XLOOKUP(B11,'Up Max'!A:A,'Up Max'!J:J,)</f>
        <v/>
      </c>
      <c r="AO11" s="51" t="str">
        <f t="array" ref="AO11">CONCATENATE(_xlfn.XLOOKUP(B11,'Up Cells'!A:A,'Up Cells'!B:B,))</f>
        <v>5</v>
      </c>
      <c r="AP11" s="51" t="str">
        <f t="array" ref="AP11">CONCATENATE(_xlfn.XLOOKUP(B11,'Up Rarity'!A:A,'Up Rarity'!B:B,),CHAR(10),"-")</f>
        <v>Epic
-</v>
      </c>
    </row>
    <row r="12">
      <c r="A12" s="75" t="str">
        <f t="array" ref="A12">_xlfn.XLOOKUP(B12,'Up Icon'!A:A,'Up Icon'!B:B,)</f>
        <v/>
      </c>
      <c r="B12" s="89" t="str">
        <f t="array" ref="B12">HYPERLINK(_xlfn.XLOOKUP('Up Names'!M6,'Up Wiki'!A:A,'Up Wiki'!B:B,),'Up Names'!M6)</f>
        <v>Give and Take</v>
      </c>
      <c r="C12" s="67" t="str">
        <f t="array" ref="C12">_xlfn.XLOOKUP(B12,'Up Desc'!A:A,'Up Desc'!B:B,)</f>
        <v>While ignited, you take more damage over time but also deal more damage.</v>
      </c>
      <c r="D12" s="37" t="str">
        <f t="array" ref="D12">_xlfn.XLOOKUP(B12,'Up Turbo'!A:A,'Up Turbo'!B:B,)</f>
        <v>n/a</v>
      </c>
      <c r="E12" s="39" t="str">
        <f t="array" ref="E12">_xlfn.XLOOKUP(B12,'Up Stats'!A:A,'Up Stats'!B:B,)</f>
        <v>Outgoing Fire Damage</v>
      </c>
      <c r="F12" s="40" t="str">
        <f>IFERROR(__xludf.DUMMYFUNCTION("if(AND(G12=FALSE,H12=FALSE),,if(G12=H12,JOIN("""",""Static: "",G12),JOIN("""",""Min:  "",G12, CHAR(10),""Max: "",H12)))"),"Min:  25%
Max: 55%")</f>
        <v>Min:  25%
Max: 55%</v>
      </c>
      <c r="G12" s="41">
        <f t="array" ref="G12">_xlfn.XLOOKUP(B12,'Up Min'!A:A,'Up Min'!B:B,)</f>
        <v>0.25</v>
      </c>
      <c r="H12" s="41">
        <f t="array" ref="H12">_xlfn.XLOOKUP(B12,'Up Max'!A:A,'Up Max'!B:B,)</f>
        <v>0.55</v>
      </c>
      <c r="I12" s="39" t="str">
        <f t="array" ref="I12">_xlfn.XLOOKUP(B12,'Up Stats'!A:A,'Up Stats'!C:C,)</f>
        <v>Incoming Fire Damage</v>
      </c>
      <c r="J12" s="40" t="str">
        <f>IFERROR(__xludf.DUMMYFUNCTION("if(AND(K12=FALSE,L12=FALSE),,if(K12=L12,JOIN("""",""Static: "",K12),JOIN("""",""Min:  "",K12, CHAR(10),""Max: "",L12)))"),"Min:  18%
Max: 35%")</f>
        <v>Min:  18%
Max: 35%</v>
      </c>
      <c r="K12" s="41">
        <f t="array" ref="K12">_xlfn.XLOOKUP(B12,'Up Min'!A:A,'Up Min'!C:C,)</f>
        <v>0.18</v>
      </c>
      <c r="L12" s="41">
        <f t="array" ref="L12">_xlfn.XLOOKUP(B12,'Up Max'!A:A,'Up Max'!C:C,)</f>
        <v>0.35</v>
      </c>
      <c r="M12" s="39" t="str">
        <f t="array" ref="M12">_xlfn.XLOOKUP(B12,'Up Stats'!A:A,'Up Stats'!D:D,)</f>
        <v/>
      </c>
      <c r="N12" s="40" t="str">
        <f>IFERROR(__xludf.DUMMYFUNCTION("if(AND(O12=FALSE,P12=FALSE),,if(O12=P12,JOIN("""",""Static: "",O12),JOIN("""",""Min:  "",O12, CHAR(10),""Max: "",P12)))"),"")</f>
        <v/>
      </c>
      <c r="O12" s="42" t="str">
        <f t="array" ref="O12">_xlfn.XLOOKUP(B12,'Up Min'!A:A,'Up Min'!D:D,)</f>
        <v/>
      </c>
      <c r="P12" s="42" t="str">
        <f t="array" ref="P12">_xlfn.XLOOKUP(B12,'Up Max'!A:A,'Up Max'!D:D,)</f>
        <v/>
      </c>
      <c r="Q12" s="48" t="str">
        <f t="array" ref="Q12">_xlfn.XLOOKUP(B12,'Up Stats'!A:A,'Up Stats'!E:E,)</f>
        <v/>
      </c>
      <c r="R12" s="40" t="str">
        <f>IFERROR(__xludf.DUMMYFUNCTION("if(AND(S12=FALSE,T12=FALSE),,if(S12=T12,JOIN("""",""Static: "",S12),JOIN("""",""Min:  "",S12, CHAR(10),""Max: "",T12)))"),"")</f>
        <v/>
      </c>
      <c r="S12" s="42" t="str">
        <f t="array" ref="S12">_xlfn.XLOOKUP(B12,'Up Min'!A:A,'Up Min'!E:E,)</f>
        <v/>
      </c>
      <c r="T12" s="42" t="str">
        <f t="array" ref="T12">_xlfn.XLOOKUP(B12,'Up Max'!A:A,'Up Max'!E:E,)</f>
        <v/>
      </c>
      <c r="U12" s="48" t="str">
        <f t="array" ref="U12">_xlfn.XLOOKUP(B12,'Up Stats'!A:A,'Up Stats'!F:F,)</f>
        <v/>
      </c>
      <c r="V12" s="40" t="str">
        <f>IFERROR(__xludf.DUMMYFUNCTION("if(AND(W12=FALSE,X12=FALSE),,if(W12=X12,JOIN("""",""Static: "",W12),JOIN("""",""Min:  "",W12, CHAR(10),""Max: "",X12)))"),"")</f>
        <v/>
      </c>
      <c r="W12" s="42" t="str">
        <f t="array" ref="W12">_xlfn.XLOOKUP(B12,'Up Min'!A:A,'Up Min'!F:F,)</f>
        <v/>
      </c>
      <c r="X12" s="42" t="str">
        <f t="array" ref="X12">_xlfn.XLOOKUP(B12,'Up Max'!A:A,'Up Max'!F:F,)</f>
        <v/>
      </c>
      <c r="Y12" s="48" t="str">
        <f t="array" ref="Y12">_xlfn.XLOOKUP(B12,'Up Stats'!A:A,'Up Stats'!G:G,)</f>
        <v/>
      </c>
      <c r="Z12" s="40" t="str">
        <f>IFERROR(__xludf.DUMMYFUNCTION("if(AND(AA12=FALSE,AB12=FALSE),,if(AA12=AB12,JOIN("""",""Static: "",AA12),JOIN("""",""Min:  "",AA12, CHAR(10),""Max: "",AB12)))"),"")</f>
        <v/>
      </c>
      <c r="AA12" s="42" t="str">
        <f t="array" ref="AA12">_xlfn.XLOOKUP(B12,'Up Min'!A:A,'Up Min'!G:G,)</f>
        <v/>
      </c>
      <c r="AB12" s="42" t="str">
        <f t="array" ref="AB12">_xlfn.XLOOKUP(B12,'Up Max'!A:A,'Up Max'!G:G,)</f>
        <v/>
      </c>
      <c r="AC12" s="48" t="str">
        <f t="array" ref="AC12">_xlfn.XLOOKUP(B12,'Up Stats'!A:A,'Up Stats'!H:H,)</f>
        <v/>
      </c>
      <c r="AD12" s="40" t="str">
        <f>IFERROR(__xludf.DUMMYFUNCTION("if(AND(AE12=FALSE,AF12=FALSE),,if(AE12=AF12,JOIN("""",""Static: "",AE12),JOIN("""",""Min:  "",AE12, CHAR(10),""Max: "",AF12)))"),"")</f>
        <v/>
      </c>
      <c r="AE12" s="42" t="str">
        <f t="array" ref="AE12">_xlfn.XLOOKUP(B12,'Up Min'!A:A,'Up Min'!H:H,)</f>
        <v/>
      </c>
      <c r="AF12" s="42" t="str">
        <f t="array" ref="AF12">_xlfn.XLOOKUP(B12,'Up Max'!A:A,'Up Max'!H:H,)</f>
        <v/>
      </c>
      <c r="AG12" s="48" t="str">
        <f t="array" ref="AG12">_xlfn.XLOOKUP(B12,'Up Stats'!A:A,'Up Stats'!I:I,)</f>
        <v/>
      </c>
      <c r="AH12" s="40" t="str">
        <f>IFERROR(__xludf.DUMMYFUNCTION("if(AND(AI12=FALSE,AJ12=FALSE),,if(AI12=AJ12,JOIN("""",""Static: "",AI12),JOIN("""",""Min:  "",AI12, CHAR(10),""Max: "",AJ12)))"),"")</f>
        <v/>
      </c>
      <c r="AI12" s="42" t="str">
        <f t="array" ref="AI12">_xlfn.XLOOKUP(B12,'Up Min'!A:A,'Up Min'!I:I,)</f>
        <v/>
      </c>
      <c r="AJ12" s="42" t="str">
        <f t="array" ref="AJ12">_xlfn.XLOOKUP(B12,'Up Max'!A:A,'Up Max'!I:I,)</f>
        <v/>
      </c>
      <c r="AK12" s="48" t="str">
        <f t="array" ref="AK12">_xlfn.XLOOKUP(B12,'Up Stats'!A:A,'Up Stats'!J:J,)</f>
        <v/>
      </c>
      <c r="AL12" s="40" t="str">
        <f>IFERROR(__xludf.DUMMYFUNCTION("if(AND(AM12=FALSE,AN12=FALSE),,if(AM12=AN12,JOIN("""",""Static: "",AM12),JOIN("""",""Min:  "",AM12, CHAR(10),""Max: "",AN12)))"),"")</f>
        <v/>
      </c>
      <c r="AM12" s="42" t="str">
        <f t="array" ref="AM12">_xlfn.XLOOKUP(B12,'Up Min'!A:A,'Up Min'!J:J,)</f>
        <v/>
      </c>
      <c r="AN12" s="42" t="str">
        <f t="array" ref="AN12">_xlfn.XLOOKUP(B12,'Up Max'!A:A,'Up Max'!J:J,)</f>
        <v/>
      </c>
      <c r="AO12" s="34" t="str">
        <f t="array" ref="AO12">CONCATENATE(_xlfn.XLOOKUP(B12,'Up Cells'!A:A,'Up Cells'!B:B,))</f>
        <v>4</v>
      </c>
      <c r="AP12" s="34" t="str">
        <f t="array" ref="AP12">CONCATENATE(_xlfn.XLOOKUP(B12,'Up Rarity'!A:A,'Up Rarity'!B:B,),CHAR(10),"-")</f>
        <v>Epic
-</v>
      </c>
    </row>
    <row r="13">
      <c r="A13" s="75" t="str">
        <f t="array" ref="A13">_xlfn.XLOOKUP(B13,'Up Icon'!A:A,'Up Icon'!B:B,)</f>
        <v/>
      </c>
      <c r="B13" s="88" t="str">
        <f t="array" ref="B13">HYPERLINK(_xlfn.XLOOKUP('Up Names'!M7,'Up Wiki'!A:A,'Up Wiki'!B:B,),'Up Names'!M7)</f>
        <v>Heat Sink</v>
      </c>
      <c r="C13" s="52" t="str">
        <f t="array" ref="C13">_xlfn.XLOOKUP(B13,'Up Desc'!A:A,'Up Desc'!B:B,)</f>
        <v>Gain grenade charge when you are ignited.</v>
      </c>
      <c r="D13" s="52" t="str">
        <f t="array" ref="D13">_xlfn.XLOOKUP(B13,'Up Turbo'!A:A,'Up Turbo'!B:B,)</f>
        <v>n/a</v>
      </c>
      <c r="E13" s="53" t="str">
        <f t="array" ref="E13">_xlfn.XLOOKUP(B13,'Up Stats'!A:A,'Up Stats'!B:B,)</f>
        <v>Charge</v>
      </c>
      <c r="F13" s="54" t="str">
        <f>IFERROR(__xludf.DUMMYFUNCTION("if(AND(G13=FALSE,H13=FALSE),,if(G13=H13,JOIN("""",""Static: "",G13),JOIN("""",""Min:  "",G13, CHAR(10),""Max: "",H13)))"),"Min:  23%
Max: 35%")</f>
        <v>Min:  23%
Max: 35%</v>
      </c>
      <c r="G13" s="59">
        <f t="array" ref="G13">_xlfn.XLOOKUP(B13,'Up Min'!A:A,'Up Min'!B:B,)</f>
        <v>0.23</v>
      </c>
      <c r="H13" s="59">
        <f t="array" ref="H13">_xlfn.XLOOKUP(B13,'Up Max'!A:A,'Up Max'!B:B,)</f>
        <v>0.35</v>
      </c>
      <c r="I13" s="53" t="str">
        <f t="array" ref="I13">_xlfn.XLOOKUP(B13,'Up Stats'!A:A,'Up Stats'!C:C,)</f>
        <v/>
      </c>
      <c r="J13" s="54" t="str">
        <f>IFERROR(__xludf.DUMMYFUNCTION("if(AND(K13=FALSE,L13=FALSE),,if(K13=L13,JOIN("""",""Static: "",K13),JOIN("""",""Min:  "",K13, CHAR(10),""Max: "",L13)))"),"")</f>
        <v/>
      </c>
      <c r="K13" s="55" t="str">
        <f t="array" ref="K13">_xlfn.XLOOKUP(B13,'Up Min'!A:A,'Up Min'!C:C,)</f>
        <v/>
      </c>
      <c r="L13" s="55" t="str">
        <f t="array" ref="L13">_xlfn.XLOOKUP(B13,'Up Max'!A:A,'Up Max'!C:C,)</f>
        <v/>
      </c>
      <c r="M13" s="57" t="str">
        <f t="array" ref="M13">_xlfn.XLOOKUP(B13,'Up Stats'!A:A,'Up Stats'!D:D,)</f>
        <v/>
      </c>
      <c r="N13" s="54" t="str">
        <f>IFERROR(__xludf.DUMMYFUNCTION("if(AND(O13=FALSE,P13=FALSE),,if(O13=P13,JOIN("""",""Static: "",O13),JOIN("""",""Min:  "",O13, CHAR(10),""Max: "",P13)))"),"")</f>
        <v/>
      </c>
      <c r="O13" s="55" t="str">
        <f t="array" ref="O13">_xlfn.XLOOKUP(B13,'Up Min'!A:A,'Up Min'!D:D,)</f>
        <v/>
      </c>
      <c r="P13" s="55" t="str">
        <f t="array" ref="P13">_xlfn.XLOOKUP(B13,'Up Max'!A:A,'Up Max'!D:D,)</f>
        <v/>
      </c>
      <c r="Q13" s="57" t="str">
        <f t="array" ref="Q13">_xlfn.XLOOKUP(B13,'Up Stats'!A:A,'Up Stats'!E:E,)</f>
        <v/>
      </c>
      <c r="R13" s="54" t="str">
        <f>IFERROR(__xludf.DUMMYFUNCTION("if(AND(S13=FALSE,T13=FALSE),,if(S13=T13,JOIN("""",""Static: "",S13),JOIN("""",""Min:  "",S13, CHAR(10),""Max: "",T13)))"),"")</f>
        <v/>
      </c>
      <c r="S13" s="55" t="str">
        <f t="array" ref="S13">_xlfn.XLOOKUP(B13,'Up Min'!A:A,'Up Min'!E:E,)</f>
        <v/>
      </c>
      <c r="T13" s="55" t="str">
        <f t="array" ref="T13">_xlfn.XLOOKUP(B13,'Up Max'!A:A,'Up Max'!E:E,)</f>
        <v/>
      </c>
      <c r="U13" s="57" t="str">
        <f t="array" ref="U13">_xlfn.XLOOKUP(B13,'Up Stats'!A:A,'Up Stats'!F:F,)</f>
        <v/>
      </c>
      <c r="V13" s="54" t="str">
        <f>IFERROR(__xludf.DUMMYFUNCTION("if(AND(W13=FALSE,X13=FALSE),,if(W13=X13,JOIN("""",""Static: "",W13),JOIN("""",""Min:  "",W13, CHAR(10),""Max: "",X13)))"),"")</f>
        <v/>
      </c>
      <c r="W13" s="55" t="str">
        <f t="array" ref="W13">_xlfn.XLOOKUP(B13,'Up Min'!A:A,'Up Min'!F:F,)</f>
        <v/>
      </c>
      <c r="X13" s="55" t="str">
        <f t="array" ref="X13">_xlfn.XLOOKUP(B13,'Up Max'!A:A,'Up Max'!F:F,)</f>
        <v/>
      </c>
      <c r="Y13" s="57" t="str">
        <f t="array" ref="Y13">_xlfn.XLOOKUP(B13,'Up Stats'!A:A,'Up Stats'!G:G,)</f>
        <v/>
      </c>
      <c r="Z13" s="54" t="str">
        <f>IFERROR(__xludf.DUMMYFUNCTION("if(AND(AA13=FALSE,AB13=FALSE),,if(AA13=AB13,JOIN("""",""Static: "",AA13),JOIN("""",""Min:  "",AA13, CHAR(10),""Max: "",AB13)))"),"")</f>
        <v/>
      </c>
      <c r="AA13" s="55" t="str">
        <f t="array" ref="AA13">_xlfn.XLOOKUP(B13,'Up Min'!A:A,'Up Min'!G:G,)</f>
        <v/>
      </c>
      <c r="AB13" s="55" t="str">
        <f t="array" ref="AB13">_xlfn.XLOOKUP(B13,'Up Max'!A:A,'Up Max'!G:G,)</f>
        <v/>
      </c>
      <c r="AC13" s="57" t="str">
        <f t="array" ref="AC13">_xlfn.XLOOKUP(B13,'Up Stats'!A:A,'Up Stats'!H:H,)</f>
        <v/>
      </c>
      <c r="AD13" s="54" t="str">
        <f>IFERROR(__xludf.DUMMYFUNCTION("if(AND(AE13=FALSE,AF13=FALSE),,if(AE13=AF13,JOIN("""",""Static: "",AE13),JOIN("""",""Min:  "",AE13, CHAR(10),""Max: "",AF13)))"),"")</f>
        <v/>
      </c>
      <c r="AE13" s="55" t="str">
        <f t="array" ref="AE13">_xlfn.XLOOKUP(B13,'Up Min'!A:A,'Up Min'!H:H,)</f>
        <v/>
      </c>
      <c r="AF13" s="55" t="str">
        <f t="array" ref="AF13">_xlfn.XLOOKUP(B13,'Up Max'!A:A,'Up Max'!H:H,)</f>
        <v/>
      </c>
      <c r="AG13" s="57" t="str">
        <f t="array" ref="AG13">_xlfn.XLOOKUP(B13,'Up Stats'!A:A,'Up Stats'!I:I,)</f>
        <v/>
      </c>
      <c r="AH13" s="54" t="str">
        <f>IFERROR(__xludf.DUMMYFUNCTION("if(AND(AI13=FALSE,AJ13=FALSE),,if(AI13=AJ13,JOIN("""",""Static: "",AI13),JOIN("""",""Min:  "",AI13, CHAR(10),""Max: "",AJ13)))"),"")</f>
        <v/>
      </c>
      <c r="AI13" s="55" t="str">
        <f t="array" ref="AI13">_xlfn.XLOOKUP(B13,'Up Min'!A:A,'Up Min'!I:I,)</f>
        <v/>
      </c>
      <c r="AJ13" s="55" t="str">
        <f t="array" ref="AJ13">_xlfn.XLOOKUP(B13,'Up Max'!A:A,'Up Max'!I:I,)</f>
        <v/>
      </c>
      <c r="AK13" s="57" t="str">
        <f t="array" ref="AK13">_xlfn.XLOOKUP(B13,'Up Stats'!A:A,'Up Stats'!J:J,)</f>
        <v/>
      </c>
      <c r="AL13" s="54" t="str">
        <f>IFERROR(__xludf.DUMMYFUNCTION("if(AND(AM13=FALSE,AN13=FALSE),,if(AM13=AN13,JOIN("""",""Static: "",AM13),JOIN("""",""Min:  "",AM13, CHAR(10),""Max: "",AN13)))"),"")</f>
        <v/>
      </c>
      <c r="AM13" s="55" t="str">
        <f t="array" ref="AM13">_xlfn.XLOOKUP(B13,'Up Min'!A:A,'Up Min'!J:J,)</f>
        <v/>
      </c>
      <c r="AN13" s="55" t="str">
        <f t="array" ref="AN13">_xlfn.XLOOKUP(B13,'Up Max'!A:A,'Up Max'!J:J,)</f>
        <v/>
      </c>
      <c r="AO13" s="51" t="str">
        <f t="array" ref="AO13">CONCATENATE(_xlfn.XLOOKUP(B13,'Up Cells'!A:A,'Up Cells'!B:B,))</f>
        <v>5</v>
      </c>
      <c r="AP13" s="51" t="str">
        <f t="array" ref="AP13">CONCATENATE(_xlfn.XLOOKUP(B13,'Up Rarity'!A:A,'Up Rarity'!B:B,),CHAR(10),"-")</f>
        <v>Epic
-</v>
      </c>
    </row>
    <row r="14">
      <c r="A14" s="75" t="str">
        <f t="array" ref="A14">_xlfn.XLOOKUP(B14,'Up Icon'!A:A,'Up Icon'!B:B,)</f>
        <v/>
      </c>
      <c r="B14" s="89" t="str">
        <f t="array" ref="B14">HYPERLINK(_xlfn.XLOOKUP('Up Names'!M8,'Up Wiki'!A:A,'Up Wiki'!B:B,),'Up Names'!M8)</f>
        <v>Impact Cascade</v>
      </c>
      <c r="C14" s="37" t="str">
        <f t="array" ref="C14">_xlfn.XLOOKUP(B14,'Up Desc'!A:A,'Up Desc'!B:B,)</f>
        <v>Hitting an ignited target with your melee generates grenade charge.</v>
      </c>
      <c r="D14" s="37" t="str">
        <f t="array" ref="D14">_xlfn.XLOOKUP(B14,'Up Turbo'!A:A,'Up Turbo'!B:B,)</f>
        <v>n/a</v>
      </c>
      <c r="E14" s="39" t="str">
        <f t="array" ref="E14">_xlfn.XLOOKUP(B14,'Up Stats'!A:A,'Up Stats'!B:B,)</f>
        <v>Charge</v>
      </c>
      <c r="F14" s="40" t="str">
        <f>IFERROR(__xludf.DUMMYFUNCTION("if(AND(G14=FALSE,H14=FALSE),,if(G14=H14,JOIN("""",""Static: "",G14),JOIN("""",""Min:  "",G14, CHAR(10),""Max: "",H14)))"),"Min:  0.6
Max: 1.2")</f>
        <v>Min:  0.6
Max: 1.2</v>
      </c>
      <c r="G14" s="69">
        <f t="array" ref="G14">_xlfn.XLOOKUP(B14,'Up Min'!A:A,'Up Min'!B:B,)</f>
        <v>0.6</v>
      </c>
      <c r="H14" s="68">
        <f t="array" ref="H14">_xlfn.XLOOKUP(B14,'Up Max'!A:A,'Up Max'!B:B,)</f>
        <v>1.2</v>
      </c>
      <c r="I14" s="39" t="str">
        <f t="array" ref="I14">_xlfn.XLOOKUP(B14,'Up Stats'!A:A,'Up Stats'!C:C,)</f>
        <v/>
      </c>
      <c r="J14" s="40" t="str">
        <f>IFERROR(__xludf.DUMMYFUNCTION("if(AND(K14=FALSE,L14=FALSE),,if(K14=L14,JOIN("""",""Static: "",K14),JOIN("""",""Min:  "",K14, CHAR(10),""Max: "",L14)))"),"")</f>
        <v/>
      </c>
      <c r="K14" s="42" t="str">
        <f t="array" ref="K14">_xlfn.XLOOKUP(B14,'Up Min'!A:A,'Up Min'!C:C,)</f>
        <v/>
      </c>
      <c r="L14" s="42" t="str">
        <f t="array" ref="L14">_xlfn.XLOOKUP(B14,'Up Max'!A:A,'Up Max'!C:C,)</f>
        <v/>
      </c>
      <c r="M14" s="48" t="str">
        <f t="array" ref="M14">_xlfn.XLOOKUP(B14,'Up Stats'!A:A,'Up Stats'!D:D,)</f>
        <v/>
      </c>
      <c r="N14" s="40" t="str">
        <f>IFERROR(__xludf.DUMMYFUNCTION("if(AND(O14=FALSE,P14=FALSE),,if(O14=P14,JOIN("""",""Static: "",O14),JOIN("""",""Min:  "",O14, CHAR(10),""Max: "",P14)))"),"")</f>
        <v/>
      </c>
      <c r="O14" s="42" t="str">
        <f t="array" ref="O14">_xlfn.XLOOKUP(B14,'Up Min'!A:A,'Up Min'!D:D,)</f>
        <v/>
      </c>
      <c r="P14" s="42" t="str">
        <f t="array" ref="P14">_xlfn.XLOOKUP(B14,'Up Max'!A:A,'Up Max'!D:D,)</f>
        <v/>
      </c>
      <c r="Q14" s="48" t="str">
        <f t="array" ref="Q14">_xlfn.XLOOKUP(B14,'Up Stats'!A:A,'Up Stats'!E:E,)</f>
        <v/>
      </c>
      <c r="R14" s="40" t="str">
        <f>IFERROR(__xludf.DUMMYFUNCTION("if(AND(S14=FALSE,T14=FALSE),,if(S14=T14,JOIN("""",""Static: "",S14),JOIN("""",""Min:  "",S14, CHAR(10),""Max: "",T14)))"),"")</f>
        <v/>
      </c>
      <c r="S14" s="42" t="str">
        <f t="array" ref="S14">_xlfn.XLOOKUP(B14,'Up Min'!A:A,'Up Min'!E:E,)</f>
        <v/>
      </c>
      <c r="T14" s="42" t="str">
        <f t="array" ref="T14">_xlfn.XLOOKUP(B14,'Up Max'!A:A,'Up Max'!E:E,)</f>
        <v/>
      </c>
      <c r="U14" s="48" t="str">
        <f t="array" ref="U14">_xlfn.XLOOKUP(B14,'Up Stats'!A:A,'Up Stats'!F:F,)</f>
        <v/>
      </c>
      <c r="V14" s="40" t="str">
        <f>IFERROR(__xludf.DUMMYFUNCTION("if(AND(W14=FALSE,X14=FALSE),,if(W14=X14,JOIN("""",""Static: "",W14),JOIN("""",""Min:  "",W14, CHAR(10),""Max: "",X14)))"),"")</f>
        <v/>
      </c>
      <c r="W14" s="42" t="str">
        <f t="array" ref="W14">_xlfn.XLOOKUP(B14,'Up Min'!A:A,'Up Min'!F:F,)</f>
        <v/>
      </c>
      <c r="X14" s="42" t="str">
        <f t="array" ref="X14">_xlfn.XLOOKUP(B14,'Up Max'!A:A,'Up Max'!F:F,)</f>
        <v/>
      </c>
      <c r="Y14" s="48" t="str">
        <f t="array" ref="Y14">_xlfn.XLOOKUP(B14,'Up Stats'!A:A,'Up Stats'!G:G,)</f>
        <v/>
      </c>
      <c r="Z14" s="40" t="str">
        <f>IFERROR(__xludf.DUMMYFUNCTION("if(AND(AA14=FALSE,AB14=FALSE),,if(AA14=AB14,JOIN("""",""Static: "",AA14),JOIN("""",""Min:  "",AA14, CHAR(10),""Max: "",AB14)))"),"")</f>
        <v/>
      </c>
      <c r="AA14" s="42" t="str">
        <f t="array" ref="AA14">_xlfn.XLOOKUP(B14,'Up Min'!A:A,'Up Min'!G:G,)</f>
        <v/>
      </c>
      <c r="AB14" s="42" t="str">
        <f t="array" ref="AB14">_xlfn.XLOOKUP(B14,'Up Max'!A:A,'Up Max'!G:G,)</f>
        <v/>
      </c>
      <c r="AC14" s="48" t="str">
        <f t="array" ref="AC14">_xlfn.XLOOKUP(B14,'Up Stats'!A:A,'Up Stats'!H:H,)</f>
        <v/>
      </c>
      <c r="AD14" s="40" t="str">
        <f>IFERROR(__xludf.DUMMYFUNCTION("if(AND(AE14=FALSE,AF14=FALSE),,if(AE14=AF14,JOIN("""",""Static: "",AE14),JOIN("""",""Min:  "",AE14, CHAR(10),""Max: "",AF14)))"),"")</f>
        <v/>
      </c>
      <c r="AE14" s="42" t="str">
        <f t="array" ref="AE14">_xlfn.XLOOKUP(B14,'Up Min'!A:A,'Up Min'!H:H,)</f>
        <v/>
      </c>
      <c r="AF14" s="42" t="str">
        <f t="array" ref="AF14">_xlfn.XLOOKUP(B14,'Up Max'!A:A,'Up Max'!H:H,)</f>
        <v/>
      </c>
      <c r="AG14" s="48" t="str">
        <f t="array" ref="AG14">_xlfn.XLOOKUP(B14,'Up Stats'!A:A,'Up Stats'!I:I,)</f>
        <v/>
      </c>
      <c r="AH14" s="40" t="str">
        <f>IFERROR(__xludf.DUMMYFUNCTION("if(AND(AI14=FALSE,AJ14=FALSE),,if(AI14=AJ14,JOIN("""",""Static: "",AI14),JOIN("""",""Min:  "",AI14, CHAR(10),""Max: "",AJ14)))"),"")</f>
        <v/>
      </c>
      <c r="AI14" s="42" t="str">
        <f t="array" ref="AI14">_xlfn.XLOOKUP(B14,'Up Min'!A:A,'Up Min'!I:I,)</f>
        <v/>
      </c>
      <c r="AJ14" s="42" t="str">
        <f t="array" ref="AJ14">_xlfn.XLOOKUP(B14,'Up Max'!A:A,'Up Max'!I:I,)</f>
        <v/>
      </c>
      <c r="AK14" s="48" t="str">
        <f t="array" ref="AK14">_xlfn.XLOOKUP(B14,'Up Stats'!A:A,'Up Stats'!J:J,)</f>
        <v/>
      </c>
      <c r="AL14" s="40" t="str">
        <f>IFERROR(__xludf.DUMMYFUNCTION("if(AND(AM14=FALSE,AN14=FALSE),,if(AM14=AN14,JOIN("""",""Static: "",AM14),JOIN("""",""Min:  "",AM14, CHAR(10),""Max: "",AN14)))"),"")</f>
        <v/>
      </c>
      <c r="AM14" s="42" t="str">
        <f t="array" ref="AM14">_xlfn.XLOOKUP(B14,'Up Min'!A:A,'Up Min'!J:J,)</f>
        <v/>
      </c>
      <c r="AN14" s="42" t="str">
        <f t="array" ref="AN14">_xlfn.XLOOKUP(B14,'Up Max'!A:A,'Up Max'!J:J,)</f>
        <v/>
      </c>
      <c r="AO14" s="34" t="str">
        <f t="array" ref="AO14">CONCATENATE(_xlfn.XLOOKUP(B14,'Up Cells'!A:A,'Up Cells'!B:B,))</f>
        <v>6</v>
      </c>
      <c r="AP14" s="34" t="str">
        <f t="array" ref="AP14">CONCATENATE(_xlfn.XLOOKUP(B14,'Up Rarity'!A:A,'Up Rarity'!B:B,),CHAR(10),"-")</f>
        <v>Epic
-</v>
      </c>
    </row>
    <row r="15">
      <c r="A15" s="75" t="str">
        <f t="array" ref="A15">_xlfn.XLOOKUP(B15,'Up Icon'!A:A,'Up Icon'!B:B,)</f>
        <v/>
      </c>
      <c r="B15" s="61" t="str">
        <f t="array" ref="B15">HYPERLINK(_xlfn.XLOOKUP('Up Names'!M22,'Up Wiki'!A:A,'Up Wiki'!B:B,),'Up Names'!M22)</f>
        <v>In for a Penny</v>
      </c>
      <c r="C15" s="52" t="str">
        <f t="array" ref="C15">_xlfn.XLOOKUP(B15,'Up Desc'!A:A,'Up Desc'!B:B,)</f>
        <v>Taking damage from any source other than your grenade provides some grenade charge.</v>
      </c>
      <c r="D15" s="52" t="str">
        <f t="array" ref="D15">_xlfn.XLOOKUP(B15,'Up Turbo'!A:A,'Up Turbo'!B:B,)</f>
        <v>n/a</v>
      </c>
      <c r="E15" s="53" t="str">
        <f t="array" ref="E15">_xlfn.XLOOKUP(B15,'Up Stats'!A:A,'Up Stats'!B:B,)</f>
        <v/>
      </c>
      <c r="F15" s="54" t="str">
        <f>IFERROR(__xludf.DUMMYFUNCTION("if(AND(G15=FALSE,H15=FALSE),,if(G15=H15,JOIN("""",""Static: "",G15),JOIN("""",""Min:  "",G15, CHAR(10),""Max: "",H15)))"),"")</f>
        <v/>
      </c>
      <c r="G15" s="72" t="str">
        <f t="array" ref="G15">_xlfn.XLOOKUP(B15,'Up Min'!A:A,'Up Min'!B:B,)</f>
        <v/>
      </c>
      <c r="H15" s="72" t="str">
        <f t="array" ref="H15">_xlfn.XLOOKUP(B15,'Up Max'!A:A,'Up Max'!B:B,)</f>
        <v/>
      </c>
      <c r="I15" s="53" t="str">
        <f t="array" ref="I15">_xlfn.XLOOKUP(B15,'Up Stats'!A:A,'Up Stats'!C:C,)</f>
        <v/>
      </c>
      <c r="J15" s="54" t="str">
        <f>IFERROR(__xludf.DUMMYFUNCTION("if(AND(K15=FALSE,L15=FALSE),,if(K15=L15,JOIN("""",""Static: "",K15),JOIN("""",""Min:  "",K15, CHAR(10),""Max: "",L15)))"),"")</f>
        <v/>
      </c>
      <c r="K15" s="55" t="str">
        <f t="array" ref="K15">_xlfn.XLOOKUP(B15,'Up Min'!A:A,'Up Min'!C:C,)</f>
        <v/>
      </c>
      <c r="L15" s="55" t="str">
        <f t="array" ref="L15">_xlfn.XLOOKUP(B15,'Up Max'!A:A,'Up Max'!C:C,)</f>
        <v/>
      </c>
      <c r="M15" s="53" t="str">
        <f t="array" ref="M15">_xlfn.XLOOKUP(B15,'Up Stats'!A:A,'Up Stats'!D:D,)</f>
        <v/>
      </c>
      <c r="N15" s="54" t="str">
        <f>IFERROR(__xludf.DUMMYFUNCTION("if(AND(O15=FALSE,P15=FALSE),,if(O15=P15,JOIN("""",""Static: "",O15),JOIN("""",""Min:  "",O15, CHAR(10),""Max: "",P15)))"),"")</f>
        <v/>
      </c>
      <c r="O15" s="55" t="str">
        <f t="array" ref="O15">_xlfn.XLOOKUP(B15,'Up Min'!A:A,'Up Min'!D:D,)</f>
        <v/>
      </c>
      <c r="P15" s="55" t="str">
        <f t="array" ref="P15">_xlfn.XLOOKUP(B15,'Up Max'!A:A,'Up Max'!D:D,)</f>
        <v/>
      </c>
      <c r="Q15" s="57" t="str">
        <f t="array" ref="Q15">_xlfn.XLOOKUP(B15,'Up Stats'!A:A,'Up Stats'!E:E,)</f>
        <v/>
      </c>
      <c r="R15" s="54" t="str">
        <f>IFERROR(__xludf.DUMMYFUNCTION("if(AND(S15=FALSE,T15=FALSE),,if(S15=T15,JOIN("""",""Static: "",S15),JOIN("""",""Min:  "",S15, CHAR(10),""Max: "",T15)))"),"")</f>
        <v/>
      </c>
      <c r="S15" s="55" t="str">
        <f t="array" ref="S15">_xlfn.XLOOKUP(B15,'Up Min'!A:A,'Up Min'!E:E,)</f>
        <v/>
      </c>
      <c r="T15" s="55" t="str">
        <f t="array" ref="T15">_xlfn.XLOOKUP(B15,'Up Max'!A:A,'Up Max'!E:E,)</f>
        <v/>
      </c>
      <c r="U15" s="57" t="str">
        <f t="array" ref="U15">_xlfn.XLOOKUP(B15,'Up Stats'!A:A,'Up Stats'!F:F,)</f>
        <v/>
      </c>
      <c r="V15" s="54" t="str">
        <f>IFERROR(__xludf.DUMMYFUNCTION("if(AND(W15=FALSE,X15=FALSE),,if(W15=X15,JOIN("""",""Static: "",W15),JOIN("""",""Min:  "",W15, CHAR(10),""Max: "",X15)))"),"")</f>
        <v/>
      </c>
      <c r="W15" s="55" t="str">
        <f t="array" ref="W15">_xlfn.XLOOKUP(B15,'Up Min'!A:A,'Up Min'!F:F,)</f>
        <v/>
      </c>
      <c r="X15" s="55" t="str">
        <f t="array" ref="X15">_xlfn.XLOOKUP(B15,'Up Max'!A:A,'Up Max'!F:F,)</f>
        <v/>
      </c>
      <c r="Y15" s="57" t="str">
        <f t="array" ref="Y15">_xlfn.XLOOKUP(B15,'Up Stats'!A:A,'Up Stats'!G:G,)</f>
        <v/>
      </c>
      <c r="Z15" s="54" t="str">
        <f>IFERROR(__xludf.DUMMYFUNCTION("if(AND(AA15=FALSE,AB15=FALSE),,if(AA15=AB15,JOIN("""",""Static: "",AA15),JOIN("""",""Min:  "",AA15, CHAR(10),""Max: "",AB15)))"),"")</f>
        <v/>
      </c>
      <c r="AA15" s="55" t="str">
        <f t="array" ref="AA15">_xlfn.XLOOKUP(B15,'Up Min'!A:A,'Up Min'!G:G,)</f>
        <v/>
      </c>
      <c r="AB15" s="55" t="str">
        <f t="array" ref="AB15">_xlfn.XLOOKUP(B15,'Up Max'!A:A,'Up Max'!G:G,)</f>
        <v/>
      </c>
      <c r="AC15" s="57" t="str">
        <f t="array" ref="AC15">_xlfn.XLOOKUP(B15,'Up Stats'!A:A,'Up Stats'!H:H,)</f>
        <v/>
      </c>
      <c r="AD15" s="54" t="str">
        <f>IFERROR(__xludf.DUMMYFUNCTION("if(AND(AE15=FALSE,AF15=FALSE),,if(AE15=AF15,JOIN("""",""Static: "",AE15),JOIN("""",""Min:  "",AE15, CHAR(10),""Max: "",AF15)))"),"")</f>
        <v/>
      </c>
      <c r="AE15" s="55" t="str">
        <f t="array" ref="AE15">_xlfn.XLOOKUP(B15,'Up Min'!A:A,'Up Min'!H:H,)</f>
        <v/>
      </c>
      <c r="AF15" s="55" t="str">
        <f t="array" ref="AF15">_xlfn.XLOOKUP(B15,'Up Max'!A:A,'Up Max'!H:H,)</f>
        <v/>
      </c>
      <c r="AG15" s="57" t="str">
        <f t="array" ref="AG15">_xlfn.XLOOKUP(B15,'Up Stats'!A:A,'Up Stats'!I:I,)</f>
        <v/>
      </c>
      <c r="AH15" s="54" t="str">
        <f>IFERROR(__xludf.DUMMYFUNCTION("if(AND(AI15=FALSE,AJ15=FALSE),,if(AI15=AJ15,JOIN("""",""Static: "",AI15),JOIN("""",""Min:  "",AI15, CHAR(10),""Max: "",AJ15)))"),"")</f>
        <v/>
      </c>
      <c r="AI15" s="55" t="str">
        <f t="array" ref="AI15">_xlfn.XLOOKUP(B15,'Up Min'!A:A,'Up Min'!I:I,)</f>
        <v/>
      </c>
      <c r="AJ15" s="55" t="str">
        <f t="array" ref="AJ15">_xlfn.XLOOKUP(B15,'Up Max'!A:A,'Up Max'!I:I,)</f>
        <v/>
      </c>
      <c r="AK15" s="57" t="str">
        <f t="array" ref="AK15">_xlfn.XLOOKUP(B15,'Up Stats'!A:A,'Up Stats'!J:J,)</f>
        <v/>
      </c>
      <c r="AL15" s="54" t="str">
        <f>IFERROR(__xludf.DUMMYFUNCTION("if(AND(AM15=FALSE,AN15=FALSE),,if(AM15=AN15,JOIN("""",""Static: "",AM15),JOIN("""",""Min:  "",AM15, CHAR(10),""Max: "",AN15)))"),"")</f>
        <v/>
      </c>
      <c r="AM15" s="55" t="str">
        <f t="array" ref="AM15">_xlfn.XLOOKUP(B15,'Up Min'!A:A,'Up Min'!J:J,)</f>
        <v/>
      </c>
      <c r="AN15" s="55" t="str">
        <f t="array" ref="AN15">_xlfn.XLOOKUP(B15,'Up Max'!A:A,'Up Max'!J:J,)</f>
        <v/>
      </c>
      <c r="AO15" s="51" t="str">
        <f t="array" ref="AO15">CONCATENATE(_xlfn.XLOOKUP(B15,'Up Cells'!A:A,'Up Cells'!B:B,))</f>
        <v>5</v>
      </c>
      <c r="AP15" s="51" t="str">
        <f t="array" ref="AP15">CONCATENATE(_xlfn.XLOOKUP(B15,'Up Rarity'!A:A,'Up Rarity'!B:B,),CHAR(10),"-")</f>
        <v>Epic
-</v>
      </c>
    </row>
    <row r="16">
      <c r="A16" s="75" t="str">
        <f t="array" ref="A16">_xlfn.XLOOKUP(B16,'Up Icon'!A:A,'Up Icon'!B:B,)</f>
        <v/>
      </c>
      <c r="B16" s="89" t="str">
        <f t="array" ref="B16">HYPERLINK(_xlfn.XLOOKUP('Up Names'!M9,'Up Wiki'!A:A,'Up Wiki'!B:B,),'Up Names'!M9)</f>
        <v>Maniac Maneuver</v>
      </c>
      <c r="C16" s="37" t="str">
        <f t="array" ref="C16">_xlfn.XLOOKUP(B16,'Up Desc'!A:A,'Up Desc'!B:B,)</f>
        <v>Damaging yourself with a grenade grants wildfire. While wildfire is active, any normal damage you deal is converted to fire damage.</v>
      </c>
      <c r="D16" s="37" t="str">
        <f t="array" ref="D16">_xlfn.XLOOKUP(B16,'Up Turbo'!A:A,'Up Turbo'!B:B,)</f>
        <v>n/a</v>
      </c>
      <c r="E16" s="48" t="str">
        <f t="array" ref="E16">_xlfn.XLOOKUP(B16,'Up Stats'!A:A,'Up Stats'!B:B,)</f>
        <v/>
      </c>
      <c r="F16" s="40" t="str">
        <f>IFERROR(__xludf.DUMMYFUNCTION("if(AND(G16=FALSE,H16=FALSE),,if(G16=H16,JOIN("""",""Static: "",G16),JOIN("""",""Min:  "",G16, CHAR(10),""Max: "",H16)))"),"")</f>
        <v/>
      </c>
      <c r="G16" s="74" t="str">
        <f t="array" ref="G16">_xlfn.XLOOKUP(B16,'Up Min'!A:A,'Up Min'!B:B,)</f>
        <v/>
      </c>
      <c r="H16" s="74" t="str">
        <f t="array" ref="H16">_xlfn.XLOOKUP(B16,'Up Max'!A:A,'Up Max'!B:B,)</f>
        <v/>
      </c>
      <c r="I16" s="79" t="str">
        <f t="array" ref="I16">_xlfn.XLOOKUP(B16,'Up Stats'!A:A,'Up Stats'!C:C,)</f>
        <v/>
      </c>
      <c r="J16" s="40" t="str">
        <f>IFERROR(__xludf.DUMMYFUNCTION("if(AND(K16=FALSE,L16=FALSE),,if(K16=L16,JOIN("""",""Static: "",K16),JOIN("""",""Min:  "",K16, CHAR(10),""Max: "",L16)))"),"")</f>
        <v/>
      </c>
      <c r="K16" s="42" t="str">
        <f t="array" ref="K16">_xlfn.XLOOKUP(B16,'Up Min'!A:A,'Up Min'!C:C,)</f>
        <v/>
      </c>
      <c r="L16" s="42" t="str">
        <f t="array" ref="L16">_xlfn.XLOOKUP(B16,'Up Max'!A:A,'Up Max'!C:C,)</f>
        <v/>
      </c>
      <c r="M16" s="48" t="str">
        <f t="array" ref="M16">_xlfn.XLOOKUP(B16,'Up Stats'!A:A,'Up Stats'!D:D,)</f>
        <v/>
      </c>
      <c r="N16" s="40" t="str">
        <f>IFERROR(__xludf.DUMMYFUNCTION("if(AND(O16=FALSE,P16=FALSE),,if(O16=P16,JOIN("""",""Static: "",O16),JOIN("""",""Min:  "",O16, CHAR(10),""Max: "",P16)))"),"")</f>
        <v/>
      </c>
      <c r="O16" s="42" t="str">
        <f t="array" ref="O16">_xlfn.XLOOKUP(B16,'Up Min'!A:A,'Up Min'!D:D,)</f>
        <v/>
      </c>
      <c r="P16" s="42" t="str">
        <f t="array" ref="P16">_xlfn.XLOOKUP(B16,'Up Max'!A:A,'Up Max'!D:D,)</f>
        <v/>
      </c>
      <c r="Q16" s="48" t="str">
        <f t="array" ref="Q16">_xlfn.XLOOKUP(B16,'Up Stats'!A:A,'Up Stats'!E:E,)</f>
        <v/>
      </c>
      <c r="R16" s="40" t="str">
        <f>IFERROR(__xludf.DUMMYFUNCTION("if(AND(S16=FALSE,T16=FALSE),,if(S16=T16,JOIN("""",""Static: "",S16),JOIN("""",""Min:  "",S16, CHAR(10),""Max: "",T16)))"),"")</f>
        <v/>
      </c>
      <c r="S16" s="42" t="str">
        <f t="array" ref="S16">_xlfn.XLOOKUP(B16,'Up Min'!A:A,'Up Min'!E:E,)</f>
        <v/>
      </c>
      <c r="T16" s="42" t="str">
        <f t="array" ref="T16">_xlfn.XLOOKUP(B16,'Up Max'!A:A,'Up Max'!E:E,)</f>
        <v/>
      </c>
      <c r="U16" s="48" t="str">
        <f t="array" ref="U16">_xlfn.XLOOKUP(B16,'Up Stats'!A:A,'Up Stats'!F:F,)</f>
        <v/>
      </c>
      <c r="V16" s="40" t="str">
        <f>IFERROR(__xludf.DUMMYFUNCTION("if(AND(W16=FALSE,X16=FALSE),,if(W16=X16,JOIN("""",""Static: "",W16),JOIN("""",""Min:  "",W16, CHAR(10),""Max: "",X16)))"),"")</f>
        <v/>
      </c>
      <c r="W16" s="42" t="str">
        <f t="array" ref="W16">_xlfn.XLOOKUP(B16,'Up Min'!A:A,'Up Min'!F:F,)</f>
        <v/>
      </c>
      <c r="X16" s="42" t="str">
        <f t="array" ref="X16">_xlfn.XLOOKUP(B16,'Up Max'!A:A,'Up Max'!F:F,)</f>
        <v/>
      </c>
      <c r="Y16" s="48" t="str">
        <f t="array" ref="Y16">_xlfn.XLOOKUP(B16,'Up Stats'!A:A,'Up Stats'!G:G,)</f>
        <v/>
      </c>
      <c r="Z16" s="40" t="str">
        <f>IFERROR(__xludf.DUMMYFUNCTION("if(AND(AA16=FALSE,AB16=FALSE),,if(AA16=AB16,JOIN("""",""Static: "",AA16),JOIN("""",""Min:  "",AA16, CHAR(10),""Max: "",AB16)))"),"")</f>
        <v/>
      </c>
      <c r="AA16" s="42" t="str">
        <f t="array" ref="AA16">_xlfn.XLOOKUP(B16,'Up Min'!A:A,'Up Min'!G:G,)</f>
        <v/>
      </c>
      <c r="AB16" s="42" t="str">
        <f t="array" ref="AB16">_xlfn.XLOOKUP(B16,'Up Max'!A:A,'Up Max'!G:G,)</f>
        <v/>
      </c>
      <c r="AC16" s="48" t="str">
        <f t="array" ref="AC16">_xlfn.XLOOKUP(B16,'Up Stats'!A:A,'Up Stats'!H:H,)</f>
        <v/>
      </c>
      <c r="AD16" s="40" t="str">
        <f>IFERROR(__xludf.DUMMYFUNCTION("if(AND(AE16=FALSE,AF16=FALSE),,if(AE16=AF16,JOIN("""",""Static: "",AE16),JOIN("""",""Min:  "",AE16, CHAR(10),""Max: "",AF16)))"),"")</f>
        <v/>
      </c>
      <c r="AE16" s="42" t="str">
        <f t="array" ref="AE16">_xlfn.XLOOKUP(B16,'Up Min'!A:A,'Up Min'!H:H,)</f>
        <v/>
      </c>
      <c r="AF16" s="42" t="str">
        <f t="array" ref="AF16">_xlfn.XLOOKUP(B16,'Up Max'!A:A,'Up Max'!H:H,)</f>
        <v/>
      </c>
      <c r="AG16" s="48" t="str">
        <f t="array" ref="AG16">_xlfn.XLOOKUP(B16,'Up Stats'!A:A,'Up Stats'!I:I,)</f>
        <v/>
      </c>
      <c r="AH16" s="40" t="str">
        <f>IFERROR(__xludf.DUMMYFUNCTION("if(AND(AI16=FALSE,AJ16=FALSE),,if(AI16=AJ16,JOIN("""",""Static: "",AI16),JOIN("""",""Min:  "",AI16, CHAR(10),""Max: "",AJ16)))"),"")</f>
        <v/>
      </c>
      <c r="AI16" s="42" t="str">
        <f t="array" ref="AI16">_xlfn.XLOOKUP(B16,'Up Min'!A:A,'Up Min'!I:I,)</f>
        <v/>
      </c>
      <c r="AJ16" s="42" t="str">
        <f t="array" ref="AJ16">_xlfn.XLOOKUP(B16,'Up Max'!A:A,'Up Max'!I:I,)</f>
        <v/>
      </c>
      <c r="AK16" s="48" t="str">
        <f t="array" ref="AK16">_xlfn.XLOOKUP(B16,'Up Stats'!A:A,'Up Stats'!J:J,)</f>
        <v/>
      </c>
      <c r="AL16" s="40" t="str">
        <f>IFERROR(__xludf.DUMMYFUNCTION("if(AND(AM16=FALSE,AN16=FALSE),,if(AM16=AN16,JOIN("""",""Static: "",AM16),JOIN("""",""Min:  "",AM16, CHAR(10),""Max: "",AN16)))"),"")</f>
        <v/>
      </c>
      <c r="AM16" s="42" t="str">
        <f t="array" ref="AM16">_xlfn.XLOOKUP(B16,'Up Min'!A:A,'Up Min'!J:J,)</f>
        <v/>
      </c>
      <c r="AN16" s="42" t="str">
        <f t="array" ref="AN16">_xlfn.XLOOKUP(B16,'Up Max'!A:A,'Up Max'!J:J,)</f>
        <v/>
      </c>
      <c r="AO16" s="34" t="str">
        <f t="array" ref="AO16">CONCATENATE(_xlfn.XLOOKUP(B16,'Up Cells'!A:A,'Up Cells'!B:B,))</f>
        <v>5</v>
      </c>
      <c r="AP16" s="34" t="str">
        <f t="array" ref="AP16">CONCATENATE(_xlfn.XLOOKUP(B16,'Up Rarity'!A:A,'Up Rarity'!B:B,),CHAR(10),"-")</f>
        <v>Epic
-</v>
      </c>
    </row>
    <row r="17">
      <c r="A17" s="75" t="str">
        <f t="array" ref="A17">_xlfn.XLOOKUP(B17,'Up Icon'!A:A,'Up Icon'!B:B,)</f>
        <v/>
      </c>
      <c r="B17" s="88" t="str">
        <f t="array" ref="B17">HYPERLINK(_xlfn.XLOOKUP('Up Names'!M10,'Up Wiki'!A:A,'Up Wiki'!B:B,),'Up Names'!M10)</f>
        <v>Two's Company</v>
      </c>
      <c r="C17" s="70" t="str">
        <f t="array" ref="C17">_xlfn.XLOOKUP(B17,'Up Desc'!A:A,'Up Desc'!B:B,)</f>
        <v>Gain a second grenade charge. Cooldown is slightly increased.</v>
      </c>
      <c r="D17" s="52" t="str">
        <f t="array" ref="D17">_xlfn.XLOOKUP(B17,'Up Turbo'!A:A,'Up Turbo'!B:B,)</f>
        <v>n/a</v>
      </c>
      <c r="E17" s="53" t="str">
        <f t="array" ref="E17">_xlfn.XLOOKUP(B17,'Up Stats'!A:A,'Up Stats'!B:B,)</f>
        <v>Recharge Speed</v>
      </c>
      <c r="F17" s="54" t="str">
        <f>IFERROR(__xludf.DUMMYFUNCTION("if(AND(G17=FALSE,H17=FALSE),,if(G17=H17,JOIN("""",""Static: "",G17),JOIN("""",""Min:  "",G17, CHAR(10),""Max: "",H17)))"),"Min:  -4.76%
Max: -13.79%")</f>
        <v>Min:  -4.76%
Max: -13.79%</v>
      </c>
      <c r="G17" s="71">
        <f t="array" ref="G17">_xlfn.XLOOKUP(B17,'Up Min'!A:A,'Up Min'!B:B,)</f>
        <v>-0.0476</v>
      </c>
      <c r="H17" s="71">
        <f t="array" ref="H17">_xlfn.XLOOKUP(B17,'Up Max'!A:A,'Up Max'!B:B,)</f>
        <v>-0.1379</v>
      </c>
      <c r="I17" s="53" t="str">
        <f t="array" ref="I17">_xlfn.XLOOKUP(B17,'Up Stats'!A:A,'Up Stats'!C:C,)</f>
        <v>Charges</v>
      </c>
      <c r="J17" s="54" t="str">
        <f>IFERROR(__xludf.DUMMYFUNCTION("if(AND(K17=FALSE,L17=FALSE),,if(K17=L17,JOIN("""",""Static: "",K17),JOIN("""",""Min:  "",K17, CHAR(10),""Max: "",L17)))"),"Static: 1")</f>
        <v>Static: 1</v>
      </c>
      <c r="K17" s="65">
        <f t="array" ref="K17">_xlfn.XLOOKUP(B17,'Up Min'!A:A,'Up Min'!C:C,)</f>
        <v>1</v>
      </c>
      <c r="L17" s="64">
        <f t="array" ref="L17">_xlfn.XLOOKUP(B17,'Up Max'!A:A,'Up Max'!C:C,)</f>
        <v>1</v>
      </c>
      <c r="M17" s="53" t="str">
        <f t="array" ref="M17">_xlfn.XLOOKUP(B17,'Up Stats'!A:A,'Up Stats'!D:D,)</f>
        <v/>
      </c>
      <c r="N17" s="54" t="str">
        <f>IFERROR(__xludf.DUMMYFUNCTION("if(AND(O17=FALSE,P17=FALSE),,if(O17=P17,JOIN("""",""Static: "",O17),JOIN("""",""Min:  "",O17, CHAR(10),""Max: "",P17)))"),"")</f>
        <v/>
      </c>
      <c r="O17" s="55" t="str">
        <f t="array" ref="O17">_xlfn.XLOOKUP(B17,'Up Min'!A:A,'Up Min'!D:D,)</f>
        <v/>
      </c>
      <c r="P17" s="55" t="str">
        <f t="array" ref="P17">_xlfn.XLOOKUP(B17,'Up Max'!A:A,'Up Max'!D:D,)</f>
        <v/>
      </c>
      <c r="Q17" s="57" t="str">
        <f t="array" ref="Q17">_xlfn.XLOOKUP(B17,'Up Stats'!A:A,'Up Stats'!E:E,)</f>
        <v/>
      </c>
      <c r="R17" s="54" t="str">
        <f>IFERROR(__xludf.DUMMYFUNCTION("if(AND(S17=FALSE,T17=FALSE),,if(S17=T17,JOIN("""",""Static: "",S17),JOIN("""",""Min:  "",S17, CHAR(10),""Max: "",T17)))"),"")</f>
        <v/>
      </c>
      <c r="S17" s="55" t="str">
        <f t="array" ref="S17">_xlfn.XLOOKUP(B17,'Up Min'!A:A,'Up Min'!E:E,)</f>
        <v/>
      </c>
      <c r="T17" s="55" t="str">
        <f t="array" ref="T17">_xlfn.XLOOKUP(B17,'Up Max'!A:A,'Up Max'!E:E,)</f>
        <v/>
      </c>
      <c r="U17" s="57" t="str">
        <f t="array" ref="U17">_xlfn.XLOOKUP(B17,'Up Stats'!A:A,'Up Stats'!F:F,)</f>
        <v/>
      </c>
      <c r="V17" s="54" t="str">
        <f>IFERROR(__xludf.DUMMYFUNCTION("if(AND(W17=FALSE,X17=FALSE),,if(W17=X17,JOIN("""",""Static: "",W17),JOIN("""",""Min:  "",W17, CHAR(10),""Max: "",X17)))"),"")</f>
        <v/>
      </c>
      <c r="W17" s="55" t="str">
        <f t="array" ref="W17">_xlfn.XLOOKUP(B17,'Up Min'!A:A,'Up Min'!F:F,)</f>
        <v/>
      </c>
      <c r="X17" s="55" t="str">
        <f t="array" ref="X17">_xlfn.XLOOKUP(B17,'Up Max'!A:A,'Up Max'!F:F,)</f>
        <v/>
      </c>
      <c r="Y17" s="57" t="str">
        <f t="array" ref="Y17">_xlfn.XLOOKUP(B17,'Up Stats'!A:A,'Up Stats'!G:G,)</f>
        <v/>
      </c>
      <c r="Z17" s="54" t="str">
        <f>IFERROR(__xludf.DUMMYFUNCTION("if(AND(AA17=FALSE,AB17=FALSE),,if(AA17=AB17,JOIN("""",""Static: "",AA17),JOIN("""",""Min:  "",AA17, CHAR(10),""Max: "",AB17)))"),"")</f>
        <v/>
      </c>
      <c r="AA17" s="55" t="str">
        <f t="array" ref="AA17">_xlfn.XLOOKUP(B17,'Up Min'!A:A,'Up Min'!G:G,)</f>
        <v/>
      </c>
      <c r="AB17" s="55" t="str">
        <f t="array" ref="AB17">_xlfn.XLOOKUP(B17,'Up Max'!A:A,'Up Max'!G:G,)</f>
        <v/>
      </c>
      <c r="AC17" s="57" t="str">
        <f t="array" ref="AC17">_xlfn.XLOOKUP(B17,'Up Stats'!A:A,'Up Stats'!H:H,)</f>
        <v/>
      </c>
      <c r="AD17" s="54" t="str">
        <f>IFERROR(__xludf.DUMMYFUNCTION("if(AND(AE17=FALSE,AF17=FALSE),,if(AE17=AF17,JOIN("""",""Static: "",AE17),JOIN("""",""Min:  "",AE17, CHAR(10),""Max: "",AF17)))"),"")</f>
        <v/>
      </c>
      <c r="AE17" s="55" t="str">
        <f t="array" ref="AE17">_xlfn.XLOOKUP(B17,'Up Min'!A:A,'Up Min'!H:H,)</f>
        <v/>
      </c>
      <c r="AF17" s="55" t="str">
        <f t="array" ref="AF17">_xlfn.XLOOKUP(B17,'Up Max'!A:A,'Up Max'!H:H,)</f>
        <v/>
      </c>
      <c r="AG17" s="57" t="str">
        <f t="array" ref="AG17">_xlfn.XLOOKUP(B17,'Up Stats'!A:A,'Up Stats'!I:I,)</f>
        <v/>
      </c>
      <c r="AH17" s="54" t="str">
        <f>IFERROR(__xludf.DUMMYFUNCTION("if(AND(AI17=FALSE,AJ17=FALSE),,if(AI17=AJ17,JOIN("""",""Static: "",AI17),JOIN("""",""Min:  "",AI17, CHAR(10),""Max: "",AJ17)))"),"")</f>
        <v/>
      </c>
      <c r="AI17" s="55" t="str">
        <f t="array" ref="AI17">_xlfn.XLOOKUP(B17,'Up Min'!A:A,'Up Min'!I:I,)</f>
        <v/>
      </c>
      <c r="AJ17" s="55" t="str">
        <f t="array" ref="AJ17">_xlfn.XLOOKUP(B17,'Up Max'!A:A,'Up Max'!I:I,)</f>
        <v/>
      </c>
      <c r="AK17" s="57" t="str">
        <f t="array" ref="AK17">_xlfn.XLOOKUP(B17,'Up Stats'!A:A,'Up Stats'!J:J,)</f>
        <v/>
      </c>
      <c r="AL17" s="54" t="str">
        <f>IFERROR(__xludf.DUMMYFUNCTION("if(AND(AM17=FALSE,AN17=FALSE),,if(AM17=AN17,JOIN("""",""Static: "",AM17),JOIN("""",""Min:  "",AM17, CHAR(10),""Max: "",AN17)))"),"")</f>
        <v/>
      </c>
      <c r="AM17" s="55" t="str">
        <f t="array" ref="AM17">_xlfn.XLOOKUP(B17,'Up Min'!A:A,'Up Min'!J:J,)</f>
        <v/>
      </c>
      <c r="AN17" s="55" t="str">
        <f t="array" ref="AN17">_xlfn.XLOOKUP(B17,'Up Max'!A:A,'Up Max'!J:J,)</f>
        <v/>
      </c>
      <c r="AO17" s="51" t="str">
        <f t="array" ref="AO17">CONCATENATE(_xlfn.XLOOKUP(B17,'Up Cells'!A:A,'Up Cells'!B:B,))</f>
        <v>7</v>
      </c>
      <c r="AP17" s="51" t="str">
        <f t="array" ref="AP17">CONCATENATE(_xlfn.XLOOKUP(B17,'Up Rarity'!A:A,'Up Rarity'!B:B,),CHAR(10),"-")</f>
        <v>Epic
-</v>
      </c>
    </row>
    <row r="18">
      <c r="A18" s="75" t="str">
        <f t="array" ref="A18">_xlfn.XLOOKUP(B18,'Up Icon'!A:A,'Up Icon'!B:B,)</f>
        <v/>
      </c>
      <c r="B18" s="89" t="str">
        <f t="array" ref="B18">HYPERLINK(_xlfn.XLOOKUP('Up Names'!M11,'Up Wiki'!A:A,'Up Wiki'!B:B,),'Up Names'!M11)</f>
        <v>Violent Reaction</v>
      </c>
      <c r="C18" s="37" t="str">
        <f t="array" ref="C18">_xlfn.XLOOKUP(B18,'Up Desc'!A:A,'Up Desc'!B:B,)</f>
        <v>Hitting a corroded target with your grenade increases the explosion size of your next grenade.</v>
      </c>
      <c r="D18" s="37" t="str">
        <f t="array" ref="D18">_xlfn.XLOOKUP(B18,'Up Turbo'!A:A,'Up Turbo'!B:B,)</f>
        <v>n/a</v>
      </c>
      <c r="E18" s="39" t="str">
        <f t="array" ref="E18">_xlfn.XLOOKUP(B18,'Up Stats'!A:A,'Up Stats'!B:B,)</f>
        <v>Explosion Size</v>
      </c>
      <c r="F18" s="40" t="str">
        <f>IFERROR(__xludf.DUMMYFUNCTION("if(AND(G18=FALSE,H18=FALSE),,if(G18=H18,JOIN("""",""Static: "",G18),JOIN("""",""Min:  "",G18, CHAR(10),""Max: "",H18)))"),"Min:  40%
Max: 90%")</f>
        <v>Min:  40%
Max: 90%</v>
      </c>
      <c r="G18" s="41">
        <f t="array" ref="G18">_xlfn.XLOOKUP(B18,'Up Min'!A:A,'Up Min'!B:B,)</f>
        <v>0.4</v>
      </c>
      <c r="H18" s="41">
        <f t="array" ref="H18">_xlfn.XLOOKUP(B18,'Up Max'!A:A,'Up Max'!B:B,)</f>
        <v>0.9</v>
      </c>
      <c r="I18" s="39" t="str">
        <f t="array" ref="I18">_xlfn.XLOOKUP(B18,'Up Stats'!A:A,'Up Stats'!C:C,)</f>
        <v/>
      </c>
      <c r="J18" s="40" t="str">
        <f>IFERROR(__xludf.DUMMYFUNCTION("if(AND(K18=FALSE,L18=FALSE),,if(K18=L18,JOIN("""",""Static: "",K18),JOIN("""",""Min:  "",K18, CHAR(10),""Max: "",L18)))"),"")</f>
        <v/>
      </c>
      <c r="K18" s="42" t="str">
        <f t="array" ref="K18">_xlfn.XLOOKUP(B18,'Up Min'!A:A,'Up Min'!C:C,)</f>
        <v/>
      </c>
      <c r="L18" s="45" t="str">
        <f t="array" ref="L18">_xlfn.XLOOKUP(B18,'Up Max'!A:A,'Up Max'!C:C,)</f>
        <v/>
      </c>
      <c r="M18" s="48" t="str">
        <f t="array" ref="M18">_xlfn.XLOOKUP(B18,'Up Stats'!A:A,'Up Stats'!D:D,)</f>
        <v/>
      </c>
      <c r="N18" s="40" t="str">
        <f>IFERROR(__xludf.DUMMYFUNCTION("if(AND(O18=FALSE,P18=FALSE),,if(O18=P18,JOIN("""",""Static: "",O18),JOIN("""",""Min:  "",O18, CHAR(10),""Max: "",P18)))"),"")</f>
        <v/>
      </c>
      <c r="O18" s="42" t="str">
        <f t="array" ref="O18">_xlfn.XLOOKUP(B18,'Up Min'!A:A,'Up Min'!D:D,)</f>
        <v/>
      </c>
      <c r="P18" s="42" t="str">
        <f t="array" ref="P18">_xlfn.XLOOKUP(B18,'Up Max'!A:A,'Up Max'!D:D,)</f>
        <v/>
      </c>
      <c r="Q18" s="48" t="str">
        <f t="array" ref="Q18">_xlfn.XLOOKUP(B18,'Up Stats'!A:A,'Up Stats'!E:E,)</f>
        <v/>
      </c>
      <c r="R18" s="40" t="str">
        <f>IFERROR(__xludf.DUMMYFUNCTION("if(AND(S18=FALSE,T18=FALSE),,if(S18=T18,JOIN("""",""Static: "",S18),JOIN("""",""Min:  "",S18, CHAR(10),""Max: "",T18)))"),"")</f>
        <v/>
      </c>
      <c r="S18" s="42" t="str">
        <f t="array" ref="S18">_xlfn.XLOOKUP(B18,'Up Min'!A:A,'Up Min'!E:E,)</f>
        <v/>
      </c>
      <c r="T18" s="42" t="str">
        <f t="array" ref="T18">_xlfn.XLOOKUP(B18,'Up Max'!A:A,'Up Max'!E:E,)</f>
        <v/>
      </c>
      <c r="U18" s="48" t="str">
        <f t="array" ref="U18">_xlfn.XLOOKUP(B18,'Up Stats'!A:A,'Up Stats'!F:F,)</f>
        <v/>
      </c>
      <c r="V18" s="40" t="str">
        <f>IFERROR(__xludf.DUMMYFUNCTION("if(AND(W18=FALSE,X18=FALSE),,if(W18=X18,JOIN("""",""Static: "",W18),JOIN("""",""Min:  "",W18, CHAR(10),""Max: "",X18)))"),"")</f>
        <v/>
      </c>
      <c r="W18" s="42" t="str">
        <f t="array" ref="W18">_xlfn.XLOOKUP(B18,'Up Min'!A:A,'Up Min'!F:F,)</f>
        <v/>
      </c>
      <c r="X18" s="42" t="str">
        <f t="array" ref="X18">_xlfn.XLOOKUP(B18,'Up Max'!A:A,'Up Max'!F:F,)</f>
        <v/>
      </c>
      <c r="Y18" s="48" t="str">
        <f t="array" ref="Y18">_xlfn.XLOOKUP(B18,'Up Stats'!A:A,'Up Stats'!G:G,)</f>
        <v/>
      </c>
      <c r="Z18" s="40" t="str">
        <f>IFERROR(__xludf.DUMMYFUNCTION("if(AND(AA18=FALSE,AB18=FALSE),,if(AA18=AB18,JOIN("""",""Static: "",AA18),JOIN("""",""Min:  "",AA18, CHAR(10),""Max: "",AB18)))"),"")</f>
        <v/>
      </c>
      <c r="AA18" s="42" t="str">
        <f t="array" ref="AA18">_xlfn.XLOOKUP(B18,'Up Min'!A:A,'Up Min'!G:G,)</f>
        <v/>
      </c>
      <c r="AB18" s="42" t="str">
        <f t="array" ref="AB18">_xlfn.XLOOKUP(B18,'Up Max'!A:A,'Up Max'!G:G,)</f>
        <v/>
      </c>
      <c r="AC18" s="48" t="str">
        <f t="array" ref="AC18">_xlfn.XLOOKUP(B18,'Up Stats'!A:A,'Up Stats'!H:H,)</f>
        <v/>
      </c>
      <c r="AD18" s="40" t="str">
        <f>IFERROR(__xludf.DUMMYFUNCTION("if(AND(AE18=FALSE,AF18=FALSE),,if(AE18=AF18,JOIN("""",""Static: "",AE18),JOIN("""",""Min:  "",AE18, CHAR(10),""Max: "",AF18)))"),"")</f>
        <v/>
      </c>
      <c r="AE18" s="42" t="str">
        <f t="array" ref="AE18">_xlfn.XLOOKUP(B18,'Up Min'!A:A,'Up Min'!H:H,)</f>
        <v/>
      </c>
      <c r="AF18" s="42" t="str">
        <f t="array" ref="AF18">_xlfn.XLOOKUP(B18,'Up Max'!A:A,'Up Max'!H:H,)</f>
        <v/>
      </c>
      <c r="AG18" s="48" t="str">
        <f t="array" ref="AG18">_xlfn.XLOOKUP(B18,'Up Stats'!A:A,'Up Stats'!I:I,)</f>
        <v/>
      </c>
      <c r="AH18" s="40" t="str">
        <f>IFERROR(__xludf.DUMMYFUNCTION("if(AND(AI18=FALSE,AJ18=FALSE),,if(AI18=AJ18,JOIN("""",""Static: "",AI18),JOIN("""",""Min:  "",AI18, CHAR(10),""Max: "",AJ18)))"),"")</f>
        <v/>
      </c>
      <c r="AI18" s="42" t="str">
        <f t="array" ref="AI18">_xlfn.XLOOKUP(B18,'Up Min'!A:A,'Up Min'!I:I,)</f>
        <v/>
      </c>
      <c r="AJ18" s="42" t="str">
        <f t="array" ref="AJ18">_xlfn.XLOOKUP(B18,'Up Max'!A:A,'Up Max'!I:I,)</f>
        <v/>
      </c>
      <c r="AK18" s="48" t="str">
        <f t="array" ref="AK18">_xlfn.XLOOKUP(B18,'Up Stats'!A:A,'Up Stats'!J:J,)</f>
        <v/>
      </c>
      <c r="AL18" s="40" t="str">
        <f>IFERROR(__xludf.DUMMYFUNCTION("if(AND(AM18=FALSE,AN18=FALSE),,if(AM18=AN18,JOIN("""",""Static: "",AM18),JOIN("""",""Min:  "",AM18, CHAR(10),""Max: "",AN18)))"),"")</f>
        <v/>
      </c>
      <c r="AM18" s="42" t="str">
        <f t="array" ref="AM18">_xlfn.XLOOKUP(B18,'Up Min'!A:A,'Up Min'!J:J,)</f>
        <v/>
      </c>
      <c r="AN18" s="42" t="str">
        <f t="array" ref="AN18">_xlfn.XLOOKUP(B18,'Up Max'!A:A,'Up Max'!J:J,)</f>
        <v/>
      </c>
      <c r="AO18" s="34" t="str">
        <f t="array" ref="AO18">CONCATENATE(_xlfn.XLOOKUP(B18,'Up Cells'!A:A,'Up Cells'!B:B,))</f>
        <v>5</v>
      </c>
      <c r="AP18" s="34" t="str">
        <f t="array" ref="AP18">CONCATENATE(_xlfn.XLOOKUP(B18,'Up Rarity'!A:A,'Up Rarity'!B:B,),CHAR(10),"-")</f>
        <v>Epic
-</v>
      </c>
    </row>
    <row r="19">
      <c r="A19" s="83" t="str">
        <f t="array" ref="A19">_xlfn.XLOOKUP(B19,'Up Icon'!A:A,'Up Icon'!B:B,)</f>
        <v/>
      </c>
      <c r="B19" s="88" t="str">
        <f t="array" ref="B19">HYPERLINK(_xlfn.XLOOKUP('Up Names'!M12,'Up Wiki'!A:A,'Up Wiki'!B:B,),'Up Names'!M12)</f>
        <v>Cheap Material</v>
      </c>
      <c r="C19" s="70" t="str">
        <f t="array" ref="C19">_xlfn.XLOOKUP(B19,'Up Desc'!A:A,'Up Desc'!B:B,)</f>
        <v>Grenade cooldown is reduced, but you take more fire damage.</v>
      </c>
      <c r="D19" s="52" t="str">
        <f t="array" ref="D19">_xlfn.XLOOKUP(B19,'Up Turbo'!A:A,'Up Turbo'!B:B,)</f>
        <v>n/a</v>
      </c>
      <c r="E19" s="53" t="str">
        <f t="array" ref="E19">_xlfn.XLOOKUP(B19,'Up Stats'!A:A,'Up Stats'!B:B,)</f>
        <v>Recharge Speed</v>
      </c>
      <c r="F19" s="54" t="str">
        <f>IFERROR(__xludf.DUMMYFUNCTION("if(AND(G19=FALSE,H19=FALSE),,if(G19=H19,JOIN("""",""Static: "",G19),JOIN("""",""Min:  "",G19, CHAR(10),""Max: "",H19)))"),"Min:  31.58%
Max: 17.65%")</f>
        <v>Min:  31.58%
Max: 17.65%</v>
      </c>
      <c r="G19" s="71">
        <f t="array" ref="G19">_xlfn.XLOOKUP(B19,'Up Min'!A:A,'Up Min'!B:B,)</f>
        <v>0.3158</v>
      </c>
      <c r="H19" s="71">
        <f t="array" ref="H19">_xlfn.XLOOKUP(B19,'Up Max'!A:A,'Up Max'!B:B,)</f>
        <v>0.1765</v>
      </c>
      <c r="I19" s="53" t="str">
        <f t="array" ref="I19">_xlfn.XLOOKUP(B19,'Up Stats'!A:A,'Up Stats'!C:C,)</f>
        <v>Damage Taken</v>
      </c>
      <c r="J19" s="54" t="str">
        <f>IFERROR(__xludf.DUMMYFUNCTION("if(AND(K19=FALSE,L19=FALSE),,if(K19=L19,JOIN("""",""Static: "",K19),JOIN("""",""Min:  "",K19, CHAR(10),""Max: "",L19)))"),"Min:  29%
Max: 40%")</f>
        <v>Min:  29%
Max: 40%</v>
      </c>
      <c r="K19" s="59">
        <f t="array" ref="K19">_xlfn.XLOOKUP(B19,'Up Min'!A:A,'Up Min'!C:C,)</f>
        <v>0.29</v>
      </c>
      <c r="L19" s="59">
        <f t="array" ref="L19">_xlfn.XLOOKUP(B19,'Up Max'!A:A,'Up Max'!C:C,)</f>
        <v>0.4</v>
      </c>
      <c r="M19" s="53" t="str">
        <f t="array" ref="M19">_xlfn.XLOOKUP(B19,'Up Stats'!A:A,'Up Stats'!D:D,)</f>
        <v/>
      </c>
      <c r="N19" s="54" t="str">
        <f>IFERROR(__xludf.DUMMYFUNCTION("if(AND(O19=FALSE,P19=FALSE),,if(O19=P19,JOIN("""",""Static: "",O19),JOIN("""",""Min:  "",O19, CHAR(10),""Max: "",P19)))"),"")</f>
        <v/>
      </c>
      <c r="O19" s="55" t="str">
        <f t="array" ref="O19">_xlfn.XLOOKUP(B19,'Up Min'!A:A,'Up Min'!D:D,)</f>
        <v/>
      </c>
      <c r="P19" s="55" t="str">
        <f t="array" ref="P19">_xlfn.XLOOKUP(B19,'Up Max'!A:A,'Up Max'!D:D,)</f>
        <v/>
      </c>
      <c r="Q19" s="57" t="str">
        <f t="array" ref="Q19">_xlfn.XLOOKUP(B19,'Up Stats'!A:A,'Up Stats'!E:E,)</f>
        <v/>
      </c>
      <c r="R19" s="54" t="str">
        <f>IFERROR(__xludf.DUMMYFUNCTION("if(AND(S19=FALSE,T19=FALSE),,if(S19=T19,JOIN("""",""Static: "",S19),JOIN("""",""Min:  "",S19, CHAR(10),""Max: "",T19)))"),"")</f>
        <v/>
      </c>
      <c r="S19" s="55" t="str">
        <f t="array" ref="S19">_xlfn.XLOOKUP(B19,'Up Min'!A:A,'Up Min'!E:E,)</f>
        <v/>
      </c>
      <c r="T19" s="55" t="str">
        <f t="array" ref="T19">_xlfn.XLOOKUP(B19,'Up Max'!A:A,'Up Max'!E:E,)</f>
        <v/>
      </c>
      <c r="U19" s="57" t="str">
        <f t="array" ref="U19">_xlfn.XLOOKUP(B19,'Up Stats'!A:A,'Up Stats'!F:F,)</f>
        <v/>
      </c>
      <c r="V19" s="54" t="str">
        <f>IFERROR(__xludf.DUMMYFUNCTION("if(AND(W19=FALSE,X19=FALSE),,if(W19=X19,JOIN("""",""Static: "",W19),JOIN("""",""Min:  "",W19, CHAR(10),""Max: "",X19)))"),"")</f>
        <v/>
      </c>
      <c r="W19" s="55" t="str">
        <f t="array" ref="W19">_xlfn.XLOOKUP(B19,'Up Min'!A:A,'Up Min'!F:F,)</f>
        <v/>
      </c>
      <c r="X19" s="55" t="str">
        <f t="array" ref="X19">_xlfn.XLOOKUP(B19,'Up Max'!A:A,'Up Max'!F:F,)</f>
        <v/>
      </c>
      <c r="Y19" s="57" t="str">
        <f t="array" ref="Y19">_xlfn.XLOOKUP(B19,'Up Stats'!A:A,'Up Stats'!G:G,)</f>
        <v/>
      </c>
      <c r="Z19" s="54" t="str">
        <f>IFERROR(__xludf.DUMMYFUNCTION("if(AND(AA19=FALSE,AB19=FALSE),,if(AA19=AB19,JOIN("""",""Static: "",AA19),JOIN("""",""Min:  "",AA19, CHAR(10),""Max: "",AB19)))"),"")</f>
        <v/>
      </c>
      <c r="AA19" s="55" t="str">
        <f t="array" ref="AA19">_xlfn.XLOOKUP(B19,'Up Min'!A:A,'Up Min'!G:G,)</f>
        <v/>
      </c>
      <c r="AB19" s="55" t="str">
        <f t="array" ref="AB19">_xlfn.XLOOKUP(B19,'Up Max'!A:A,'Up Max'!G:G,)</f>
        <v/>
      </c>
      <c r="AC19" s="57" t="str">
        <f t="array" ref="AC19">_xlfn.XLOOKUP(B19,'Up Stats'!A:A,'Up Stats'!H:H,)</f>
        <v/>
      </c>
      <c r="AD19" s="54" t="str">
        <f>IFERROR(__xludf.DUMMYFUNCTION("if(AND(AE19=FALSE,AF19=FALSE),,if(AE19=AF19,JOIN("""",""Static: "",AE19),JOIN("""",""Min:  "",AE19, CHAR(10),""Max: "",AF19)))"),"")</f>
        <v/>
      </c>
      <c r="AE19" s="55" t="str">
        <f t="array" ref="AE19">_xlfn.XLOOKUP(B19,'Up Min'!A:A,'Up Min'!H:H,)</f>
        <v/>
      </c>
      <c r="AF19" s="55" t="str">
        <f t="array" ref="AF19">_xlfn.XLOOKUP(B19,'Up Max'!A:A,'Up Max'!H:H,)</f>
        <v/>
      </c>
      <c r="AG19" s="57" t="str">
        <f t="array" ref="AG19">_xlfn.XLOOKUP(B19,'Up Stats'!A:A,'Up Stats'!I:I,)</f>
        <v/>
      </c>
      <c r="AH19" s="54" t="str">
        <f>IFERROR(__xludf.DUMMYFUNCTION("if(AND(AI19=FALSE,AJ19=FALSE),,if(AI19=AJ19,JOIN("""",""Static: "",AI19),JOIN("""",""Min:  "",AI19, CHAR(10),""Max: "",AJ19)))"),"")</f>
        <v/>
      </c>
      <c r="AI19" s="55" t="str">
        <f t="array" ref="AI19">_xlfn.XLOOKUP(B19,'Up Min'!A:A,'Up Min'!I:I,)</f>
        <v/>
      </c>
      <c r="AJ19" s="55" t="str">
        <f t="array" ref="AJ19">_xlfn.XLOOKUP(B19,'Up Max'!A:A,'Up Max'!I:I,)</f>
        <v/>
      </c>
      <c r="AK19" s="57" t="str">
        <f t="array" ref="AK19">_xlfn.XLOOKUP(B19,'Up Stats'!A:A,'Up Stats'!J:J,)</f>
        <v/>
      </c>
      <c r="AL19" s="54" t="str">
        <f>IFERROR(__xludf.DUMMYFUNCTION("if(AND(AM19=FALSE,AN19=FALSE),,if(AM19=AN19,JOIN("""",""Static: "",AM19),JOIN("""",""Min:  "",AM19, CHAR(10),""Max: "",AN19)))"),"")</f>
        <v/>
      </c>
      <c r="AM19" s="55" t="str">
        <f t="array" ref="AM19">_xlfn.XLOOKUP(B19,'Up Min'!A:A,'Up Min'!J:J,)</f>
        <v/>
      </c>
      <c r="AN19" s="55" t="str">
        <f t="array" ref="AN19">_xlfn.XLOOKUP(B19,'Up Max'!A:A,'Up Max'!J:J,)</f>
        <v/>
      </c>
      <c r="AO19" s="51" t="str">
        <f t="array" ref="AO19">CONCATENATE(_xlfn.XLOOKUP(B19,'Up Cells'!A:A,'Up Cells'!B:B,))</f>
        <v>5</v>
      </c>
      <c r="AP19" s="51" t="str">
        <f t="array" ref="AP19">CONCATENATE(_xlfn.XLOOKUP(B19,'Up Rarity'!A:A,'Up Rarity'!B:B,),CHAR(10),"-")</f>
        <v>Rare
-</v>
      </c>
    </row>
    <row r="20">
      <c r="A20" s="83" t="str">
        <f t="array" ref="A20">_xlfn.XLOOKUP(B20,'Up Icon'!A:A,'Up Icon'!B:B,)</f>
        <v/>
      </c>
      <c r="B20" s="89" t="str">
        <f t="array" ref="B20">HYPERLINK(_xlfn.XLOOKUP('Up Names'!M13,'Up Wiki'!A:A,'Up Wiki'!B:B,),'Up Names'!M13)</f>
        <v>Home Brew Combustion</v>
      </c>
      <c r="C20" s="37" t="str">
        <f t="array" ref="C20">_xlfn.XLOOKUP(B20,'Up Desc'!A:A,'Up Desc'!B:B,)</f>
        <v>Your grenades deal more impact damage but deal extra damage to you.</v>
      </c>
      <c r="D20" s="37" t="str">
        <f t="array" ref="D20">_xlfn.XLOOKUP(B20,'Up Turbo'!A:A,'Up Turbo'!B:B,)</f>
        <v>n/a</v>
      </c>
      <c r="E20" s="39" t="str">
        <f t="array" ref="E20">_xlfn.XLOOKUP(B20,'Up Stats'!A:A,'Up Stats'!B:B,)</f>
        <v>Damage</v>
      </c>
      <c r="F20" s="40" t="str">
        <f>IFERROR(__xludf.DUMMYFUNCTION("if(AND(G20=FALSE,H20=FALSE),,if(G20=H20,JOIN("""",""Static: "",G20),JOIN("""",""Min:  "",G20, CHAR(10),""Max: "",H20)))"),"Min:  38%
Max: 61%")</f>
        <v>Min:  38%
Max: 61%</v>
      </c>
      <c r="G20" s="41">
        <f t="array" ref="G20">_xlfn.XLOOKUP(B20,'Up Min'!A:A,'Up Min'!B:B,)</f>
        <v>0.38</v>
      </c>
      <c r="H20" s="41">
        <f t="array" ref="H20">_xlfn.XLOOKUP(B20,'Up Max'!A:A,'Up Max'!B:B,)</f>
        <v>0.61</v>
      </c>
      <c r="I20" s="39" t="str">
        <f t="array" ref="I20">_xlfn.XLOOKUP(B20,'Up Stats'!A:A,'Up Stats'!C:C,)</f>
        <v>Damage Taken</v>
      </c>
      <c r="J20" s="40" t="str">
        <f>IFERROR(__xludf.DUMMYFUNCTION("if(AND(K20=FALSE,L20=FALSE),,if(K20=L20,JOIN("""",""Static: "",K20),JOIN("""",""Min:  "",K20, CHAR(10),""Max: "",L20)))"),"Min:  1400%
Max: 2400%")</f>
        <v>Min:  1400%
Max: 2400%</v>
      </c>
      <c r="K20" s="41">
        <f t="array" ref="K20">_xlfn.XLOOKUP(B20,'Up Min'!A:A,'Up Min'!C:C,)</f>
        <v>14</v>
      </c>
      <c r="L20" s="41">
        <f t="array" ref="L20">_xlfn.XLOOKUP(B20,'Up Max'!A:A,'Up Max'!C:C,)</f>
        <v>24</v>
      </c>
      <c r="M20" s="39" t="str">
        <f t="array" ref="M20">_xlfn.XLOOKUP(B20,'Up Stats'!A:A,'Up Stats'!D:D,)</f>
        <v/>
      </c>
      <c r="N20" s="40" t="str">
        <f>IFERROR(__xludf.DUMMYFUNCTION("if(AND(O20=FALSE,P20=FALSE),,if(O20=P20,JOIN("""",""Static: "",O20),JOIN("""",""Min:  "",O20, CHAR(10),""Max: "",P20)))"),"")</f>
        <v/>
      </c>
      <c r="O20" s="42" t="str">
        <f t="array" ref="O20">_xlfn.XLOOKUP(B20,'Up Min'!A:A,'Up Min'!D:D,)</f>
        <v/>
      </c>
      <c r="P20" s="42" t="str">
        <f t="array" ref="P20">_xlfn.XLOOKUP(B20,'Up Max'!A:A,'Up Max'!D:D,)</f>
        <v/>
      </c>
      <c r="Q20" s="48" t="str">
        <f t="array" ref="Q20">_xlfn.XLOOKUP(B20,'Up Stats'!A:A,'Up Stats'!E:E,)</f>
        <v/>
      </c>
      <c r="R20" s="40" t="str">
        <f>IFERROR(__xludf.DUMMYFUNCTION("if(AND(S20=FALSE,T20=FALSE),,if(S20=T20,JOIN("""",""Static: "",S20),JOIN("""",""Min:  "",S20, CHAR(10),""Max: "",T20)))"),"")</f>
        <v/>
      </c>
      <c r="S20" s="42" t="str">
        <f t="array" ref="S20">_xlfn.XLOOKUP(B20,'Up Min'!A:A,'Up Min'!E:E,)</f>
        <v/>
      </c>
      <c r="T20" s="42" t="str">
        <f t="array" ref="T20">_xlfn.XLOOKUP(B20,'Up Max'!A:A,'Up Max'!E:E,)</f>
        <v/>
      </c>
      <c r="U20" s="48" t="str">
        <f t="array" ref="U20">_xlfn.XLOOKUP(B20,'Up Stats'!A:A,'Up Stats'!F:F,)</f>
        <v/>
      </c>
      <c r="V20" s="40" t="str">
        <f>IFERROR(__xludf.DUMMYFUNCTION("if(AND(W20=FALSE,X20=FALSE),,if(W20=X20,JOIN("""",""Static: "",W20),JOIN("""",""Min:  "",W20, CHAR(10),""Max: "",X20)))"),"")</f>
        <v/>
      </c>
      <c r="W20" s="42" t="str">
        <f t="array" ref="W20">_xlfn.XLOOKUP(B20,'Up Min'!A:A,'Up Min'!F:F,)</f>
        <v/>
      </c>
      <c r="X20" s="42" t="str">
        <f t="array" ref="X20">_xlfn.XLOOKUP(B20,'Up Max'!A:A,'Up Max'!F:F,)</f>
        <v/>
      </c>
      <c r="Y20" s="48" t="str">
        <f t="array" ref="Y20">_xlfn.XLOOKUP(B20,'Up Stats'!A:A,'Up Stats'!G:G,)</f>
        <v/>
      </c>
      <c r="Z20" s="40" t="str">
        <f>IFERROR(__xludf.DUMMYFUNCTION("if(AND(AA20=FALSE,AB20=FALSE),,if(AA20=AB20,JOIN("""",""Static: "",AA20),JOIN("""",""Min:  "",AA20, CHAR(10),""Max: "",AB20)))"),"")</f>
        <v/>
      </c>
      <c r="AA20" s="42" t="str">
        <f t="array" ref="AA20">_xlfn.XLOOKUP(B20,'Up Min'!A:A,'Up Min'!G:G,)</f>
        <v/>
      </c>
      <c r="AB20" s="42" t="str">
        <f t="array" ref="AB20">_xlfn.XLOOKUP(B20,'Up Max'!A:A,'Up Max'!G:G,)</f>
        <v/>
      </c>
      <c r="AC20" s="48" t="str">
        <f t="array" ref="AC20">_xlfn.XLOOKUP(B20,'Up Stats'!A:A,'Up Stats'!H:H,)</f>
        <v/>
      </c>
      <c r="AD20" s="40" t="str">
        <f>IFERROR(__xludf.DUMMYFUNCTION("if(AND(AE20=FALSE,AF20=FALSE),,if(AE20=AF20,JOIN("""",""Static: "",AE20),JOIN("""",""Min:  "",AE20, CHAR(10),""Max: "",AF20)))"),"")</f>
        <v/>
      </c>
      <c r="AE20" s="42" t="str">
        <f t="array" ref="AE20">_xlfn.XLOOKUP(B20,'Up Min'!A:A,'Up Min'!H:H,)</f>
        <v/>
      </c>
      <c r="AF20" s="42" t="str">
        <f t="array" ref="AF20">_xlfn.XLOOKUP(B20,'Up Max'!A:A,'Up Max'!H:H,)</f>
        <v/>
      </c>
      <c r="AG20" s="48" t="str">
        <f t="array" ref="AG20">_xlfn.XLOOKUP(B20,'Up Stats'!A:A,'Up Stats'!I:I,)</f>
        <v/>
      </c>
      <c r="AH20" s="40" t="str">
        <f>IFERROR(__xludf.DUMMYFUNCTION("if(AND(AI20=FALSE,AJ20=FALSE),,if(AI20=AJ20,JOIN("""",""Static: "",AI20),JOIN("""",""Min:  "",AI20, CHAR(10),""Max: "",AJ20)))"),"")</f>
        <v/>
      </c>
      <c r="AI20" s="42" t="str">
        <f t="array" ref="AI20">_xlfn.XLOOKUP(B20,'Up Min'!A:A,'Up Min'!I:I,)</f>
        <v/>
      </c>
      <c r="AJ20" s="42" t="str">
        <f t="array" ref="AJ20">_xlfn.XLOOKUP(B20,'Up Max'!A:A,'Up Max'!I:I,)</f>
        <v/>
      </c>
      <c r="AK20" s="48" t="str">
        <f t="array" ref="AK20">_xlfn.XLOOKUP(B20,'Up Stats'!A:A,'Up Stats'!J:J,)</f>
        <v/>
      </c>
      <c r="AL20" s="40" t="str">
        <f>IFERROR(__xludf.DUMMYFUNCTION("if(AND(AM20=FALSE,AN20=FALSE),,if(AM20=AN20,JOIN("""",""Static: "",AM20),JOIN("""",""Min:  "",AM20, CHAR(10),""Max: "",AN20)))"),"")</f>
        <v/>
      </c>
      <c r="AM20" s="42" t="str">
        <f t="array" ref="AM20">_xlfn.XLOOKUP(B20,'Up Min'!A:A,'Up Min'!J:J,)</f>
        <v/>
      </c>
      <c r="AN20" s="42" t="str">
        <f t="array" ref="AN20">_xlfn.XLOOKUP(B20,'Up Max'!A:A,'Up Max'!J:J,)</f>
        <v/>
      </c>
      <c r="AO20" s="34" t="str">
        <f t="array" ref="AO20">CONCATENATE(_xlfn.XLOOKUP(B20,'Up Cells'!A:A,'Up Cells'!B:B,))</f>
        <v>4</v>
      </c>
      <c r="AP20" s="34" t="str">
        <f t="array" ref="AP20">CONCATENATE(_xlfn.XLOOKUP(B20,'Up Rarity'!A:A,'Up Rarity'!B:B,),CHAR(10),"-")</f>
        <v>Rare
-</v>
      </c>
    </row>
    <row r="21">
      <c r="A21" s="83" t="str">
        <f t="array" ref="A21">_xlfn.XLOOKUP(B21,'Up Icon'!A:A,'Up Icon'!B:B,)</f>
        <v/>
      </c>
      <c r="B21" s="88" t="str">
        <f t="array" ref="B21">HYPERLINK(_xlfn.XLOOKUP('Up Names'!M14,'Up Wiki'!A:A,'Up Wiki'!B:B,),'Up Names'!M14)</f>
        <v>Hot Boxing</v>
      </c>
      <c r="C21" s="52" t="str">
        <f t="array" ref="C21">_xlfn.XLOOKUP(B21,'Up Desc'!A:A,'Up Desc'!B:B,)</f>
        <v>Your melee applies fire.</v>
      </c>
      <c r="D21" s="52" t="str">
        <f t="array" ref="D21">_xlfn.XLOOKUP(B21,'Up Turbo'!A:A,'Up Turbo'!B:B,)</f>
        <v>n/a</v>
      </c>
      <c r="E21" s="53" t="str">
        <f t="array" ref="E21">_xlfn.XLOOKUP(B21,'Up Stats'!A:A,'Up Stats'!B:B,)</f>
        <v/>
      </c>
      <c r="F21" s="54" t="str">
        <f>IFERROR(__xludf.DUMMYFUNCTION("if(AND(G21=FALSE,H21=FALSE),,if(G21=H21,JOIN("""",""Static: "",G21),JOIN("""",""Min:  "",G21, CHAR(10),""Max: "",H21)))"),"")</f>
        <v/>
      </c>
      <c r="G21" s="55" t="str">
        <f t="array" ref="G21">_xlfn.XLOOKUP(B21,'Up Min'!A:A,'Up Min'!B:B,)</f>
        <v/>
      </c>
      <c r="H21" s="56" t="str">
        <f t="array" ref="H21">_xlfn.XLOOKUP(B21,'Up Max'!A:A,'Up Max'!B:B,)</f>
        <v/>
      </c>
      <c r="I21" s="53" t="str">
        <f t="array" ref="I21">_xlfn.XLOOKUP(B21,'Up Stats'!A:A,'Up Stats'!C:C,)</f>
        <v/>
      </c>
      <c r="J21" s="54" t="str">
        <f>IFERROR(__xludf.DUMMYFUNCTION("if(AND(K21=FALSE,L21=FALSE),,if(K21=L21,JOIN("""",""Static: "",K21),JOIN("""",""Min:  "",K21, CHAR(10),""Max: "",L21)))"),"")</f>
        <v/>
      </c>
      <c r="K21" s="72" t="str">
        <f t="array" ref="K21">_xlfn.XLOOKUP(B21,'Up Min'!A:A,'Up Min'!C:C,)</f>
        <v/>
      </c>
      <c r="L21" s="72" t="str">
        <f t="array" ref="L21">_xlfn.XLOOKUP(B21,'Up Max'!A:A,'Up Max'!C:C,)</f>
        <v/>
      </c>
      <c r="M21" s="57" t="str">
        <f t="array" ref="M21">_xlfn.XLOOKUP(B21,'Up Stats'!A:A,'Up Stats'!D:D,)</f>
        <v/>
      </c>
      <c r="N21" s="54" t="str">
        <f>IFERROR(__xludf.DUMMYFUNCTION("if(AND(O21=FALSE,P21=FALSE),,if(O21=P21,JOIN("""",""Static: "",O21),JOIN("""",""Min:  "",O21, CHAR(10),""Max: "",P21)))"),"")</f>
        <v/>
      </c>
      <c r="O21" s="55" t="str">
        <f t="array" ref="O21">_xlfn.XLOOKUP(B21,'Up Min'!A:A,'Up Min'!D:D,)</f>
        <v/>
      </c>
      <c r="P21" s="55" t="str">
        <f t="array" ref="P21">_xlfn.XLOOKUP(B21,'Up Max'!A:A,'Up Max'!D:D,)</f>
        <v/>
      </c>
      <c r="Q21" s="57" t="str">
        <f t="array" ref="Q21">_xlfn.XLOOKUP(B21,'Up Stats'!A:A,'Up Stats'!E:E,)</f>
        <v/>
      </c>
      <c r="R21" s="54" t="str">
        <f>IFERROR(__xludf.DUMMYFUNCTION("if(AND(S21=FALSE,T21=FALSE),,if(S21=T21,JOIN("""",""Static: "",S21),JOIN("""",""Min:  "",S21, CHAR(10),""Max: "",T21)))"),"")</f>
        <v/>
      </c>
      <c r="S21" s="55" t="str">
        <f t="array" ref="S21">_xlfn.XLOOKUP(B21,'Up Min'!A:A,'Up Min'!E:E,)</f>
        <v/>
      </c>
      <c r="T21" s="55" t="str">
        <f t="array" ref="T21">_xlfn.XLOOKUP(B21,'Up Max'!A:A,'Up Max'!E:E,)</f>
        <v/>
      </c>
      <c r="U21" s="57" t="str">
        <f t="array" ref="U21">_xlfn.XLOOKUP(B21,'Up Stats'!A:A,'Up Stats'!F:F,)</f>
        <v/>
      </c>
      <c r="V21" s="54" t="str">
        <f>IFERROR(__xludf.DUMMYFUNCTION("if(AND(W21=FALSE,X21=FALSE),,if(W21=X21,JOIN("""",""Static: "",W21),JOIN("""",""Min:  "",W21, CHAR(10),""Max: "",X21)))"),"")</f>
        <v/>
      </c>
      <c r="W21" s="55" t="str">
        <f t="array" ref="W21">_xlfn.XLOOKUP(B21,'Up Min'!A:A,'Up Min'!F:F,)</f>
        <v/>
      </c>
      <c r="X21" s="55" t="str">
        <f t="array" ref="X21">_xlfn.XLOOKUP(B21,'Up Max'!A:A,'Up Max'!F:F,)</f>
        <v/>
      </c>
      <c r="Y21" s="57" t="str">
        <f t="array" ref="Y21">_xlfn.XLOOKUP(B21,'Up Stats'!A:A,'Up Stats'!G:G,)</f>
        <v/>
      </c>
      <c r="Z21" s="54" t="str">
        <f>IFERROR(__xludf.DUMMYFUNCTION("if(AND(AA21=FALSE,AB21=FALSE),,if(AA21=AB21,JOIN("""",""Static: "",AA21),JOIN("""",""Min:  "",AA21, CHAR(10),""Max: "",AB21)))"),"")</f>
        <v/>
      </c>
      <c r="AA21" s="55" t="str">
        <f t="array" ref="AA21">_xlfn.XLOOKUP(B21,'Up Min'!A:A,'Up Min'!G:G,)</f>
        <v/>
      </c>
      <c r="AB21" s="55" t="str">
        <f t="array" ref="AB21">_xlfn.XLOOKUP(B21,'Up Max'!A:A,'Up Max'!G:G,)</f>
        <v/>
      </c>
      <c r="AC21" s="57" t="str">
        <f t="array" ref="AC21">_xlfn.XLOOKUP(B21,'Up Stats'!A:A,'Up Stats'!H:H,)</f>
        <v/>
      </c>
      <c r="AD21" s="54" t="str">
        <f>IFERROR(__xludf.DUMMYFUNCTION("if(AND(AE21=FALSE,AF21=FALSE),,if(AE21=AF21,JOIN("""",""Static: "",AE21),JOIN("""",""Min:  "",AE21, CHAR(10),""Max: "",AF21)))"),"")</f>
        <v/>
      </c>
      <c r="AE21" s="55" t="str">
        <f t="array" ref="AE21">_xlfn.XLOOKUP(B21,'Up Min'!A:A,'Up Min'!H:H,)</f>
        <v/>
      </c>
      <c r="AF21" s="55" t="str">
        <f t="array" ref="AF21">_xlfn.XLOOKUP(B21,'Up Max'!A:A,'Up Max'!H:H,)</f>
        <v/>
      </c>
      <c r="AG21" s="57" t="str">
        <f t="array" ref="AG21">_xlfn.XLOOKUP(B21,'Up Stats'!A:A,'Up Stats'!I:I,)</f>
        <v/>
      </c>
      <c r="AH21" s="54" t="str">
        <f>IFERROR(__xludf.DUMMYFUNCTION("if(AND(AI21=FALSE,AJ21=FALSE),,if(AI21=AJ21,JOIN("""",""Static: "",AI21),JOIN("""",""Min:  "",AI21, CHAR(10),""Max: "",AJ21)))"),"")</f>
        <v/>
      </c>
      <c r="AI21" s="55" t="str">
        <f t="array" ref="AI21">_xlfn.XLOOKUP(B21,'Up Min'!A:A,'Up Min'!I:I,)</f>
        <v/>
      </c>
      <c r="AJ21" s="55" t="str">
        <f t="array" ref="AJ21">_xlfn.XLOOKUP(B21,'Up Max'!A:A,'Up Max'!I:I,)</f>
        <v/>
      </c>
      <c r="AK21" s="57" t="str">
        <f t="array" ref="AK21">_xlfn.XLOOKUP(B21,'Up Stats'!A:A,'Up Stats'!J:J,)</f>
        <v/>
      </c>
      <c r="AL21" s="54" t="str">
        <f>IFERROR(__xludf.DUMMYFUNCTION("if(AND(AM21=FALSE,AN21=FALSE),,if(AM21=AN21,JOIN("""",""Static: "",AM21),JOIN("""",""Min:  "",AM21, CHAR(10),""Max: "",AN21)))"),"")</f>
        <v/>
      </c>
      <c r="AM21" s="55" t="str">
        <f t="array" ref="AM21">_xlfn.XLOOKUP(B21,'Up Min'!A:A,'Up Min'!J:J,)</f>
        <v/>
      </c>
      <c r="AN21" s="55" t="str">
        <f t="array" ref="AN21">_xlfn.XLOOKUP(B21,'Up Max'!A:A,'Up Max'!J:J,)</f>
        <v/>
      </c>
      <c r="AO21" s="51" t="str">
        <f t="array" ref="AO21">CONCATENATE(_xlfn.XLOOKUP(B21,'Up Cells'!A:A,'Up Cells'!B:B,))</f>
        <v>4</v>
      </c>
      <c r="AP21" s="51" t="str">
        <f t="array" ref="AP21">CONCATENATE(_xlfn.XLOOKUP(B21,'Up Rarity'!A:A,'Up Rarity'!B:B,),CHAR(10),"-")</f>
        <v>Rare
-</v>
      </c>
    </row>
    <row r="22">
      <c r="A22" s="83" t="str">
        <f t="array" ref="A22">_xlfn.XLOOKUP(B22,'Up Icon'!A:A,'Up Icon'!B:B,)</f>
        <v/>
      </c>
      <c r="B22" s="89" t="str">
        <f t="array" ref="B22">HYPERLINK(_xlfn.XLOOKUP('Up Names'!M15,'Up Wiki'!A:A,'Up Wiki'!B:B,),'Up Names'!M15)</f>
        <v>Napalm</v>
      </c>
      <c r="C22" s="37" t="str">
        <f t="array" ref="C22">_xlfn.XLOOKUP(B22,'Up Desc'!A:A,'Up Desc'!B:B,)</f>
        <v>Any outgoing damage matching this grenade's element is increased.</v>
      </c>
      <c r="D22" s="37" t="str">
        <f t="array" ref="D22">_xlfn.XLOOKUP(B22,'Up Turbo'!A:A,'Up Turbo'!B:B,)</f>
        <v>n/a</v>
      </c>
      <c r="E22" s="39" t="str">
        <f t="array" ref="E22">_xlfn.XLOOKUP(B22,'Up Stats'!A:A,'Up Stats'!B:B,)</f>
        <v>Damage</v>
      </c>
      <c r="F22" s="40" t="str">
        <f>IFERROR(__xludf.DUMMYFUNCTION("if(AND(G22=FALSE,H22=FALSE),,if(G22=H22,JOIN("""",""Static: "",G22),JOIN("""",""Min:  "",G22, CHAR(10),""Max: "",H22)))"),"Min:  8%
Max: 14.55%")</f>
        <v>Min:  8%
Max: 14.55%</v>
      </c>
      <c r="G22" s="41">
        <f t="array" ref="G22">_xlfn.XLOOKUP(B22,'Up Min'!A:A,'Up Min'!B:B,)</f>
        <v>0.08</v>
      </c>
      <c r="H22" s="78">
        <f t="array" ref="H22">_xlfn.XLOOKUP(B22,'Up Max'!A:A,'Up Max'!B:B,)</f>
        <v>0.1455</v>
      </c>
      <c r="I22" s="39" t="str">
        <f t="array" ref="I22">_xlfn.XLOOKUP(B22,'Up Stats'!A:A,'Up Stats'!C:C,)</f>
        <v/>
      </c>
      <c r="J22" s="40" t="str">
        <f>IFERROR(__xludf.DUMMYFUNCTION("if(AND(K22=FALSE,L22=FALSE),,if(K22=L22,JOIN("""",""Static: "",K22),JOIN("""",""Min:  "",K22, CHAR(10),""Max: "",L22)))"),"")</f>
        <v/>
      </c>
      <c r="K22" s="85" t="str">
        <f t="array" ref="K22">_xlfn.XLOOKUP(B22,'Up Min'!A:A,'Up Min'!C:C,)</f>
        <v/>
      </c>
      <c r="L22" s="85" t="str">
        <f t="array" ref="L22">_xlfn.XLOOKUP(B22,'Up Max'!A:A,'Up Max'!C:C,)</f>
        <v/>
      </c>
      <c r="M22" s="48" t="str">
        <f t="array" ref="M22">_xlfn.XLOOKUP(B22,'Up Stats'!A:A,'Up Stats'!D:D,)</f>
        <v/>
      </c>
      <c r="N22" s="40" t="str">
        <f>IFERROR(__xludf.DUMMYFUNCTION("if(AND(O22=FALSE,P22=FALSE),,if(O22=P22,JOIN("""",""Static: "",O22),JOIN("""",""Min:  "",O22, CHAR(10),""Max: "",P22)))"),"")</f>
        <v/>
      </c>
      <c r="O22" s="42" t="str">
        <f t="array" ref="O22">_xlfn.XLOOKUP(B22,'Up Min'!A:A,'Up Min'!D:D,)</f>
        <v/>
      </c>
      <c r="P22" s="42" t="str">
        <f t="array" ref="P22">_xlfn.XLOOKUP(B22,'Up Max'!A:A,'Up Max'!D:D,)</f>
        <v/>
      </c>
      <c r="Q22" s="48" t="str">
        <f t="array" ref="Q22">_xlfn.XLOOKUP(B22,'Up Stats'!A:A,'Up Stats'!E:E,)</f>
        <v/>
      </c>
      <c r="R22" s="40" t="str">
        <f>IFERROR(__xludf.DUMMYFUNCTION("if(AND(S22=FALSE,T22=FALSE),,if(S22=T22,JOIN("""",""Static: "",S22),JOIN("""",""Min:  "",S22, CHAR(10),""Max: "",T22)))"),"")</f>
        <v/>
      </c>
      <c r="S22" s="42" t="str">
        <f t="array" ref="S22">_xlfn.XLOOKUP(B22,'Up Min'!A:A,'Up Min'!E:E,)</f>
        <v/>
      </c>
      <c r="T22" s="42" t="str">
        <f t="array" ref="T22">_xlfn.XLOOKUP(B22,'Up Max'!A:A,'Up Max'!E:E,)</f>
        <v/>
      </c>
      <c r="U22" s="48" t="str">
        <f t="array" ref="U22">_xlfn.XLOOKUP(B22,'Up Stats'!A:A,'Up Stats'!F:F,)</f>
        <v/>
      </c>
      <c r="V22" s="40" t="str">
        <f>IFERROR(__xludf.DUMMYFUNCTION("if(AND(W22=FALSE,X22=FALSE),,if(W22=X22,JOIN("""",""Static: "",W22),JOIN("""",""Min:  "",W22, CHAR(10),""Max: "",X22)))"),"")</f>
        <v/>
      </c>
      <c r="W22" s="42" t="str">
        <f t="array" ref="W22">_xlfn.XLOOKUP(B22,'Up Min'!A:A,'Up Min'!F:F,)</f>
        <v/>
      </c>
      <c r="X22" s="42" t="str">
        <f t="array" ref="X22">_xlfn.XLOOKUP(B22,'Up Max'!A:A,'Up Max'!F:F,)</f>
        <v/>
      </c>
      <c r="Y22" s="48" t="str">
        <f t="array" ref="Y22">_xlfn.XLOOKUP(B22,'Up Stats'!A:A,'Up Stats'!G:G,)</f>
        <v/>
      </c>
      <c r="Z22" s="40" t="str">
        <f>IFERROR(__xludf.DUMMYFUNCTION("if(AND(AA22=FALSE,AB22=FALSE),,if(AA22=AB22,JOIN("""",""Static: "",AA22),JOIN("""",""Min:  "",AA22, CHAR(10),""Max: "",AB22)))"),"")</f>
        <v/>
      </c>
      <c r="AA22" s="42" t="str">
        <f t="array" ref="AA22">_xlfn.XLOOKUP(B22,'Up Min'!A:A,'Up Min'!G:G,)</f>
        <v/>
      </c>
      <c r="AB22" s="42" t="str">
        <f t="array" ref="AB22">_xlfn.XLOOKUP(B22,'Up Max'!A:A,'Up Max'!G:G,)</f>
        <v/>
      </c>
      <c r="AC22" s="48" t="str">
        <f t="array" ref="AC22">_xlfn.XLOOKUP(B22,'Up Stats'!A:A,'Up Stats'!H:H,)</f>
        <v/>
      </c>
      <c r="AD22" s="40" t="str">
        <f>IFERROR(__xludf.DUMMYFUNCTION("if(AND(AE22=FALSE,AF22=FALSE),,if(AE22=AF22,JOIN("""",""Static: "",AE22),JOIN("""",""Min:  "",AE22, CHAR(10),""Max: "",AF22)))"),"")</f>
        <v/>
      </c>
      <c r="AE22" s="42" t="str">
        <f t="array" ref="AE22">_xlfn.XLOOKUP(B22,'Up Min'!A:A,'Up Min'!H:H,)</f>
        <v/>
      </c>
      <c r="AF22" s="42" t="str">
        <f t="array" ref="AF22">_xlfn.XLOOKUP(B22,'Up Max'!A:A,'Up Max'!H:H,)</f>
        <v/>
      </c>
      <c r="AG22" s="48" t="str">
        <f t="array" ref="AG22">_xlfn.XLOOKUP(B22,'Up Stats'!A:A,'Up Stats'!I:I,)</f>
        <v/>
      </c>
      <c r="AH22" s="40" t="str">
        <f>IFERROR(__xludf.DUMMYFUNCTION("if(AND(AI22=FALSE,AJ22=FALSE),,if(AI22=AJ22,JOIN("""",""Static: "",AI22),JOIN("""",""Min:  "",AI22, CHAR(10),""Max: "",AJ22)))"),"")</f>
        <v/>
      </c>
      <c r="AI22" s="42" t="str">
        <f t="array" ref="AI22">_xlfn.XLOOKUP(B22,'Up Min'!A:A,'Up Min'!I:I,)</f>
        <v/>
      </c>
      <c r="AJ22" s="42" t="str">
        <f t="array" ref="AJ22">_xlfn.XLOOKUP(B22,'Up Max'!A:A,'Up Max'!I:I,)</f>
        <v/>
      </c>
      <c r="AK22" s="48" t="str">
        <f t="array" ref="AK22">_xlfn.XLOOKUP(B22,'Up Stats'!A:A,'Up Stats'!J:J,)</f>
        <v/>
      </c>
      <c r="AL22" s="40" t="str">
        <f>IFERROR(__xludf.DUMMYFUNCTION("if(AND(AM22=FALSE,AN22=FALSE),,if(AM22=AN22,JOIN("""",""Static: "",AM22),JOIN("""",""Min:  "",AM22, CHAR(10),""Max: "",AN22)))"),"")</f>
        <v/>
      </c>
      <c r="AM22" s="42" t="str">
        <f t="array" ref="AM22">_xlfn.XLOOKUP(B22,'Up Min'!A:A,'Up Min'!J:J,)</f>
        <v/>
      </c>
      <c r="AN22" s="42" t="str">
        <f t="array" ref="AN22">_xlfn.XLOOKUP(B22,'Up Max'!A:A,'Up Max'!J:J,)</f>
        <v/>
      </c>
      <c r="AO22" s="34" t="str">
        <f t="array" ref="AO22">CONCATENATE(_xlfn.XLOOKUP(B22,'Up Cells'!A:A,'Up Cells'!B:B,))</f>
        <v>5</v>
      </c>
      <c r="AP22" s="34" t="str">
        <f t="array" ref="AP22">CONCATENATE(_xlfn.XLOOKUP(B22,'Up Rarity'!A:A,'Up Rarity'!B:B,),CHAR(10),"-")</f>
        <v>Rare
-</v>
      </c>
    </row>
    <row r="23">
      <c r="A23" s="83" t="str">
        <f t="array" ref="A23">_xlfn.XLOOKUP(B23,'Up Icon'!A:A,'Up Icon'!B:B,)</f>
        <v/>
      </c>
      <c r="B23" s="88" t="str">
        <f t="array" ref="B23">HYPERLINK(_xlfn.XLOOKUP('Up Names'!M16,'Up Wiki'!A:A,'Up Wiki'!B:B,),'Up Names'!M16)</f>
        <v>Restoration Protocol</v>
      </c>
      <c r="C23" s="70" t="str">
        <f t="array" ref="C23">_xlfn.XLOOKUP(B23,'Up Desc'!A:A,'Up Desc'!B:B,)</f>
        <v>Gain health when you throw a grenade.</v>
      </c>
      <c r="D23" s="52" t="str">
        <f t="array" ref="D23">_xlfn.XLOOKUP(B23,'Up Turbo'!A:A,'Up Turbo'!B:B,)</f>
        <v>n/a</v>
      </c>
      <c r="E23" s="53" t="str">
        <f t="array" ref="E23">_xlfn.XLOOKUP(B23,'Up Stats'!A:A,'Up Stats'!B:B,)</f>
        <v>Health</v>
      </c>
      <c r="F23" s="54" t="str">
        <f>IFERROR(__xludf.DUMMYFUNCTION("if(AND(G23=FALSE,H23=FALSE),,if(G23=H23,JOIN("""",""Static: "",G23),JOIN("""",""Min:  "",G23, CHAR(10),""Max: "",H23)))"),"Min:  15
Max: 30")</f>
        <v>Min:  15
Max: 30</v>
      </c>
      <c r="G23" s="64">
        <f t="array" ref="G23">_xlfn.XLOOKUP(B23,'Up Min'!A:A,'Up Min'!B:B,)</f>
        <v>15</v>
      </c>
      <c r="H23" s="65">
        <f t="array" ref="H23">_xlfn.XLOOKUP(B23,'Up Max'!A:A,'Up Max'!B:B,)</f>
        <v>30</v>
      </c>
      <c r="I23" s="53" t="str">
        <f t="array" ref="I23">_xlfn.XLOOKUP(B23,'Up Stats'!A:A,'Up Stats'!C:C,)</f>
        <v/>
      </c>
      <c r="J23" s="54" t="str">
        <f>IFERROR(__xludf.DUMMYFUNCTION("if(AND(K23=FALSE,L23=FALSE),,if(K23=L23,JOIN("""",""Static: "",K23),JOIN("""",""Min:  "",K23, CHAR(10),""Max: "",L23)))"),"")</f>
        <v/>
      </c>
      <c r="K23" s="72" t="str">
        <f t="array" ref="K23">_xlfn.XLOOKUP(B23,'Up Min'!A:A,'Up Min'!C:C,)</f>
        <v/>
      </c>
      <c r="L23" s="72" t="str">
        <f t="array" ref="L23">_xlfn.XLOOKUP(B23,'Up Max'!A:A,'Up Max'!C:C,)</f>
        <v/>
      </c>
      <c r="M23" s="57" t="str">
        <f t="array" ref="M23">_xlfn.XLOOKUP(B23,'Up Stats'!A:A,'Up Stats'!D:D,)</f>
        <v/>
      </c>
      <c r="N23" s="54" t="str">
        <f>IFERROR(__xludf.DUMMYFUNCTION("if(AND(O23=FALSE,P23=FALSE),,if(O23=P23,JOIN("""",""Static: "",O23),JOIN("""",""Min:  "",O23, CHAR(10),""Max: "",P23)))"),"")</f>
        <v/>
      </c>
      <c r="O23" s="55" t="str">
        <f t="array" ref="O23">_xlfn.XLOOKUP(B23,'Up Min'!A:A,'Up Min'!D:D,)</f>
        <v/>
      </c>
      <c r="P23" s="55" t="str">
        <f t="array" ref="P23">_xlfn.XLOOKUP(B23,'Up Max'!A:A,'Up Max'!D:D,)</f>
        <v/>
      </c>
      <c r="Q23" s="57" t="str">
        <f t="array" ref="Q23">_xlfn.XLOOKUP(B23,'Up Stats'!A:A,'Up Stats'!E:E,)</f>
        <v/>
      </c>
      <c r="R23" s="54" t="str">
        <f>IFERROR(__xludf.DUMMYFUNCTION("if(AND(S23=FALSE,T23=FALSE),,if(S23=T23,JOIN("""",""Static: "",S23),JOIN("""",""Min:  "",S23, CHAR(10),""Max: "",T23)))"),"")</f>
        <v/>
      </c>
      <c r="S23" s="55" t="str">
        <f t="array" ref="S23">_xlfn.XLOOKUP(B23,'Up Min'!A:A,'Up Min'!E:E,)</f>
        <v/>
      </c>
      <c r="T23" s="55" t="str">
        <f t="array" ref="T23">_xlfn.XLOOKUP(B23,'Up Max'!A:A,'Up Max'!E:E,)</f>
        <v/>
      </c>
      <c r="U23" s="57" t="str">
        <f t="array" ref="U23">_xlfn.XLOOKUP(B23,'Up Stats'!A:A,'Up Stats'!F:F,)</f>
        <v/>
      </c>
      <c r="V23" s="54" t="str">
        <f>IFERROR(__xludf.DUMMYFUNCTION("if(AND(W23=FALSE,X23=FALSE),,if(W23=X23,JOIN("""",""Static: "",W23),JOIN("""",""Min:  "",W23, CHAR(10),""Max: "",X23)))"),"")</f>
        <v/>
      </c>
      <c r="W23" s="55" t="str">
        <f t="array" ref="W23">_xlfn.XLOOKUP(B23,'Up Min'!A:A,'Up Min'!F:F,)</f>
        <v/>
      </c>
      <c r="X23" s="55" t="str">
        <f t="array" ref="X23">_xlfn.XLOOKUP(B23,'Up Max'!A:A,'Up Max'!F:F,)</f>
        <v/>
      </c>
      <c r="Y23" s="57" t="str">
        <f t="array" ref="Y23">_xlfn.XLOOKUP(B23,'Up Stats'!A:A,'Up Stats'!G:G,)</f>
        <v/>
      </c>
      <c r="Z23" s="54" t="str">
        <f>IFERROR(__xludf.DUMMYFUNCTION("if(AND(AA23=FALSE,AB23=FALSE),,if(AA23=AB23,JOIN("""",""Static: "",AA23),JOIN("""",""Min:  "",AA23, CHAR(10),""Max: "",AB23)))"),"")</f>
        <v/>
      </c>
      <c r="AA23" s="55" t="str">
        <f t="array" ref="AA23">_xlfn.XLOOKUP(B23,'Up Min'!A:A,'Up Min'!G:G,)</f>
        <v/>
      </c>
      <c r="AB23" s="55" t="str">
        <f t="array" ref="AB23">_xlfn.XLOOKUP(B23,'Up Max'!A:A,'Up Max'!G:G,)</f>
        <v/>
      </c>
      <c r="AC23" s="57" t="str">
        <f t="array" ref="AC23">_xlfn.XLOOKUP(B23,'Up Stats'!A:A,'Up Stats'!H:H,)</f>
        <v/>
      </c>
      <c r="AD23" s="54" t="str">
        <f>IFERROR(__xludf.DUMMYFUNCTION("if(AND(AE23=FALSE,AF23=FALSE),,if(AE23=AF23,JOIN("""",""Static: "",AE23),JOIN("""",""Min:  "",AE23, CHAR(10),""Max: "",AF23)))"),"")</f>
        <v/>
      </c>
      <c r="AE23" s="55" t="str">
        <f t="array" ref="AE23">_xlfn.XLOOKUP(B23,'Up Min'!A:A,'Up Min'!H:H,)</f>
        <v/>
      </c>
      <c r="AF23" s="55" t="str">
        <f t="array" ref="AF23">_xlfn.XLOOKUP(B23,'Up Max'!A:A,'Up Max'!H:H,)</f>
        <v/>
      </c>
      <c r="AG23" s="57" t="str">
        <f t="array" ref="AG23">_xlfn.XLOOKUP(B23,'Up Stats'!A:A,'Up Stats'!I:I,)</f>
        <v/>
      </c>
      <c r="AH23" s="54" t="str">
        <f>IFERROR(__xludf.DUMMYFUNCTION("if(AND(AI23=FALSE,AJ23=FALSE),,if(AI23=AJ23,JOIN("""",""Static: "",AI23),JOIN("""",""Min:  "",AI23, CHAR(10),""Max: "",AJ23)))"),"")</f>
        <v/>
      </c>
      <c r="AI23" s="55" t="str">
        <f t="array" ref="AI23">_xlfn.XLOOKUP(B23,'Up Min'!A:A,'Up Min'!I:I,)</f>
        <v/>
      </c>
      <c r="AJ23" s="55" t="str">
        <f t="array" ref="AJ23">_xlfn.XLOOKUP(B23,'Up Max'!A:A,'Up Max'!I:I,)</f>
        <v/>
      </c>
      <c r="AK23" s="57" t="str">
        <f t="array" ref="AK23">_xlfn.XLOOKUP(B23,'Up Stats'!A:A,'Up Stats'!J:J,)</f>
        <v/>
      </c>
      <c r="AL23" s="54" t="str">
        <f>IFERROR(__xludf.DUMMYFUNCTION("if(AND(AM23=FALSE,AN23=FALSE),,if(AM23=AN23,JOIN("""",""Static: "",AM23),JOIN("""",""Min:  "",AM23, CHAR(10),""Max: "",AN23)))"),"")</f>
        <v/>
      </c>
      <c r="AM23" s="55" t="str">
        <f t="array" ref="AM23">_xlfn.XLOOKUP(B23,'Up Min'!A:A,'Up Min'!J:J,)</f>
        <v/>
      </c>
      <c r="AN23" s="55" t="str">
        <f t="array" ref="AN23">_xlfn.XLOOKUP(B23,'Up Max'!A:A,'Up Max'!J:J,)</f>
        <v/>
      </c>
      <c r="AO23" s="51" t="str">
        <f t="array" ref="AO23">CONCATENATE(_xlfn.XLOOKUP(B23,'Up Cells'!A:A,'Up Cells'!B:B,))</f>
        <v>4</v>
      </c>
      <c r="AP23" s="51" t="str">
        <f t="array" ref="AP23">CONCATENATE(_xlfn.XLOOKUP(B23,'Up Rarity'!A:A,'Up Rarity'!B:B,),CHAR(10),"-")</f>
        <v>Rare
-</v>
      </c>
    </row>
    <row r="24">
      <c r="A24" s="83" t="str">
        <f t="array" ref="A24">_xlfn.XLOOKUP(B24,'Up Icon'!A:A,'Up Icon'!B:B,)</f>
        <v/>
      </c>
      <c r="B24" s="89" t="str">
        <f t="array" ref="B24">HYPERLINK(_xlfn.XLOOKUP('Up Names'!M17,'Up Wiki'!A:A,'Up Wiki'!B:B,),'Up Names'!M17)</f>
        <v>Volatile Explosives</v>
      </c>
      <c r="C24" s="37" t="str">
        <f t="array" ref="C24">_xlfn.XLOOKUP(B24,'Up Desc'!A:A,'Up Desc'!B:B,)</f>
        <v>Grenades bounce and explode on each bounce.</v>
      </c>
      <c r="D24" s="37" t="str">
        <f t="array" ref="D24">_xlfn.XLOOKUP(B24,'Up Turbo'!A:A,'Up Turbo'!B:B,)</f>
        <v>n/a</v>
      </c>
      <c r="E24" s="39" t="str">
        <f t="array" ref="E24">_xlfn.XLOOKUP(B24,'Up Stats'!A:A,'Up Stats'!B:B,)</f>
        <v>Bounces</v>
      </c>
      <c r="F24" s="40" t="str">
        <f>IFERROR(__xludf.DUMMYFUNCTION("if(AND(G24=FALSE,H24=FALSE),,if(G24=H24,JOIN("""",""Static: "",G24),JOIN("""",""Min:  "",G24, CHAR(10),""Max: "",H24)))"),"Static: 1")</f>
        <v>Static: 1</v>
      </c>
      <c r="G24" s="69">
        <f t="array" ref="G24">_xlfn.XLOOKUP(B24,'Up Min'!A:A,'Up Min'!B:B,)</f>
        <v>1</v>
      </c>
      <c r="H24" s="68">
        <f t="array" ref="H24">_xlfn.XLOOKUP(B24,'Up Max'!A:A,'Up Max'!B:B,)</f>
        <v>1</v>
      </c>
      <c r="I24" s="39" t="str">
        <f t="array" ref="I24">_xlfn.XLOOKUP(B24,'Up Stats'!A:A,'Up Stats'!C:C,)</f>
        <v/>
      </c>
      <c r="J24" s="40" t="str">
        <f>IFERROR(__xludf.DUMMYFUNCTION("if(AND(K24=FALSE,L24=FALSE),,if(K24=L24,JOIN("""",""Static: "",K24),JOIN("""",""Min:  "",K24, CHAR(10),""Max: "",L24)))"),"")</f>
        <v/>
      </c>
      <c r="K24" s="42" t="str">
        <f t="array" ref="K24">_xlfn.XLOOKUP(B24,'Up Min'!A:A,'Up Min'!C:C,)</f>
        <v/>
      </c>
      <c r="L24" s="42" t="str">
        <f t="array" ref="L24">_xlfn.XLOOKUP(B24,'Up Max'!A:A,'Up Max'!C:C,)</f>
        <v/>
      </c>
      <c r="M24" s="48" t="str">
        <f t="array" ref="M24">_xlfn.XLOOKUP(B24,'Up Stats'!A:A,'Up Stats'!D:D,)</f>
        <v/>
      </c>
      <c r="N24" s="40" t="str">
        <f>IFERROR(__xludf.DUMMYFUNCTION("if(AND(O24=FALSE,P24=FALSE),,if(O24=P24,JOIN("""",""Static: "",O24),JOIN("""",""Min:  "",O24, CHAR(10),""Max: "",P24)))"),"")</f>
        <v/>
      </c>
      <c r="O24" s="42" t="str">
        <f t="array" ref="O24">_xlfn.XLOOKUP(B24,'Up Min'!A:A,'Up Min'!D:D,)</f>
        <v/>
      </c>
      <c r="P24" s="42" t="str">
        <f t="array" ref="P24">_xlfn.XLOOKUP(B24,'Up Max'!A:A,'Up Max'!D:D,)</f>
        <v/>
      </c>
      <c r="Q24" s="48" t="str">
        <f t="array" ref="Q24">_xlfn.XLOOKUP(B24,'Up Stats'!A:A,'Up Stats'!E:E,)</f>
        <v/>
      </c>
      <c r="R24" s="40" t="str">
        <f>IFERROR(__xludf.DUMMYFUNCTION("if(AND(S24=FALSE,T24=FALSE),,if(S24=T24,JOIN("""",""Static: "",S24),JOIN("""",""Min:  "",S24, CHAR(10),""Max: "",T24)))"),"")</f>
        <v/>
      </c>
      <c r="S24" s="42" t="str">
        <f t="array" ref="S24">_xlfn.XLOOKUP(B24,'Up Min'!A:A,'Up Min'!E:E,)</f>
        <v/>
      </c>
      <c r="T24" s="42" t="str">
        <f t="array" ref="T24">_xlfn.XLOOKUP(B24,'Up Max'!A:A,'Up Max'!E:E,)</f>
        <v/>
      </c>
      <c r="U24" s="48" t="str">
        <f t="array" ref="U24">_xlfn.XLOOKUP(B24,'Up Stats'!A:A,'Up Stats'!F:F,)</f>
        <v/>
      </c>
      <c r="V24" s="40" t="str">
        <f>IFERROR(__xludf.DUMMYFUNCTION("if(AND(W24=FALSE,X24=FALSE),,if(W24=X24,JOIN("""",""Static: "",W24),JOIN("""",""Min:  "",W24, CHAR(10),""Max: "",X24)))"),"")</f>
        <v/>
      </c>
      <c r="W24" s="42" t="str">
        <f t="array" ref="W24">_xlfn.XLOOKUP(B24,'Up Min'!A:A,'Up Min'!F:F,)</f>
        <v/>
      </c>
      <c r="X24" s="42" t="str">
        <f t="array" ref="X24">_xlfn.XLOOKUP(B24,'Up Max'!A:A,'Up Max'!F:F,)</f>
        <v/>
      </c>
      <c r="Y24" s="48" t="str">
        <f t="array" ref="Y24">_xlfn.XLOOKUP(B24,'Up Stats'!A:A,'Up Stats'!G:G,)</f>
        <v/>
      </c>
      <c r="Z24" s="40" t="str">
        <f>IFERROR(__xludf.DUMMYFUNCTION("if(AND(AA24=FALSE,AB24=FALSE),,if(AA24=AB24,JOIN("""",""Static: "",AA24),JOIN("""",""Min:  "",AA24, CHAR(10),""Max: "",AB24)))"),"")</f>
        <v/>
      </c>
      <c r="AA24" s="42" t="str">
        <f t="array" ref="AA24">_xlfn.XLOOKUP(B24,'Up Min'!A:A,'Up Min'!G:G,)</f>
        <v/>
      </c>
      <c r="AB24" s="42" t="str">
        <f t="array" ref="AB24">_xlfn.XLOOKUP(B24,'Up Max'!A:A,'Up Max'!G:G,)</f>
        <v/>
      </c>
      <c r="AC24" s="48" t="str">
        <f t="array" ref="AC24">_xlfn.XLOOKUP(B24,'Up Stats'!A:A,'Up Stats'!H:H,)</f>
        <v/>
      </c>
      <c r="AD24" s="40" t="str">
        <f>IFERROR(__xludf.DUMMYFUNCTION("if(AND(AE24=FALSE,AF24=FALSE),,if(AE24=AF24,JOIN("""",""Static: "",AE24),JOIN("""",""Min:  "",AE24, CHAR(10),""Max: "",AF24)))"),"")</f>
        <v/>
      </c>
      <c r="AE24" s="42" t="str">
        <f t="array" ref="AE24">_xlfn.XLOOKUP(B24,'Up Min'!A:A,'Up Min'!H:H,)</f>
        <v/>
      </c>
      <c r="AF24" s="42" t="str">
        <f t="array" ref="AF24">_xlfn.XLOOKUP(B24,'Up Max'!A:A,'Up Max'!H:H,)</f>
        <v/>
      </c>
      <c r="AG24" s="48" t="str">
        <f t="array" ref="AG24">_xlfn.XLOOKUP(B24,'Up Stats'!A:A,'Up Stats'!I:I,)</f>
        <v/>
      </c>
      <c r="AH24" s="40" t="str">
        <f>IFERROR(__xludf.DUMMYFUNCTION("if(AND(AI24=FALSE,AJ24=FALSE),,if(AI24=AJ24,JOIN("""",""Static: "",AI24),JOIN("""",""Min:  "",AI24, CHAR(10),""Max: "",AJ24)))"),"")</f>
        <v/>
      </c>
      <c r="AI24" s="42" t="str">
        <f t="array" ref="AI24">_xlfn.XLOOKUP(B24,'Up Min'!A:A,'Up Min'!I:I,)</f>
        <v/>
      </c>
      <c r="AJ24" s="42" t="str">
        <f t="array" ref="AJ24">_xlfn.XLOOKUP(B24,'Up Max'!A:A,'Up Max'!I:I,)</f>
        <v/>
      </c>
      <c r="AK24" s="48" t="str">
        <f t="array" ref="AK24">_xlfn.XLOOKUP(B24,'Up Stats'!A:A,'Up Stats'!J:J,)</f>
        <v/>
      </c>
      <c r="AL24" s="40" t="str">
        <f>IFERROR(__xludf.DUMMYFUNCTION("if(AND(AM24=FALSE,AN24=FALSE),,if(AM24=AN24,JOIN("""",""Static: "",AM24),JOIN("""",""Min:  "",AM24, CHAR(10),""Max: "",AN24)))"),"")</f>
        <v/>
      </c>
      <c r="AM24" s="42" t="str">
        <f t="array" ref="AM24">_xlfn.XLOOKUP(B24,'Up Min'!A:A,'Up Min'!J:J,)</f>
        <v/>
      </c>
      <c r="AN24" s="42" t="str">
        <f t="array" ref="AN24">_xlfn.XLOOKUP(B24,'Up Max'!A:A,'Up Max'!J:J,)</f>
        <v/>
      </c>
      <c r="AO24" s="34" t="str">
        <f t="array" ref="AO24">CONCATENATE(_xlfn.XLOOKUP(B24,'Up Cells'!A:A,'Up Cells'!B:B,))</f>
        <v>6</v>
      </c>
      <c r="AP24" s="34" t="str">
        <f t="array" ref="AP24">CONCATENATE(_xlfn.XLOOKUP(B24,'Up Rarity'!A:A,'Up Rarity'!B:B,),CHAR(10),"-")</f>
        <v>Rare
-</v>
      </c>
    </row>
    <row r="25">
      <c r="A25" s="83" t="str">
        <f t="array" ref="A25">_xlfn.XLOOKUP(B25,'Up Icon'!A:A,'Up Icon'!B:B,)</f>
        <v/>
      </c>
      <c r="B25" s="88" t="str">
        <f t="array" ref="B25">HYPERLINK(_xlfn.XLOOKUP('Up Names'!M18,'Up Wiki'!A:A,'Up Wiki'!B:B,),'Up Names'!M18)</f>
        <v>Welding Heat</v>
      </c>
      <c r="C25" s="52" t="str">
        <f t="array" ref="C25">_xlfn.XLOOKUP(B25,'Up Desc'!A:A,'Up Desc'!B:B,)</f>
        <v>Your grenade explosions heal players.</v>
      </c>
      <c r="D25" s="52" t="str">
        <f t="array" ref="D25">_xlfn.XLOOKUP(B25,'Up Turbo'!A:A,'Up Turbo'!B:B,)</f>
        <v>n/a</v>
      </c>
      <c r="E25" s="53" t="str">
        <f t="array" ref="E25">_xlfn.XLOOKUP(B25,'Up Stats'!A:A,'Up Stats'!B:B,)</f>
        <v>Healing</v>
      </c>
      <c r="F25" s="54" t="str">
        <f>IFERROR(__xludf.DUMMYFUNCTION("if(AND(G25=FALSE,H25=FALSE),,if(G25=H25,JOIN("""",""Static: "",G25),JOIN("""",""Min:  "",G25, CHAR(10),""Max: "",H25)))"),"Min:  12
Max: 24")</f>
        <v>Min:  12
Max: 24</v>
      </c>
      <c r="G25" s="64">
        <f t="array" ref="G25">_xlfn.XLOOKUP(B25,'Up Min'!A:A,'Up Min'!B:B,)</f>
        <v>12</v>
      </c>
      <c r="H25" s="65">
        <f t="array" ref="H25">_xlfn.XLOOKUP(B25,'Up Max'!A:A,'Up Max'!B:B,)</f>
        <v>24</v>
      </c>
      <c r="I25" s="53" t="str">
        <f t="array" ref="I25">_xlfn.XLOOKUP(B25,'Up Stats'!A:A,'Up Stats'!C:C,)</f>
        <v/>
      </c>
      <c r="J25" s="54" t="str">
        <f>IFERROR(__xludf.DUMMYFUNCTION("if(AND(K25=FALSE,L25=FALSE),,if(K25=L25,JOIN("""",""Static: "",K25),JOIN("""",""Min:  "",K25, CHAR(10),""Max: "",L25)))"),"")</f>
        <v/>
      </c>
      <c r="K25" s="55" t="str">
        <f t="array" ref="K25">_xlfn.XLOOKUP(B25,'Up Min'!A:A,'Up Min'!C:C,)</f>
        <v/>
      </c>
      <c r="L25" s="55" t="str">
        <f t="array" ref="L25">_xlfn.XLOOKUP(B25,'Up Max'!A:A,'Up Max'!C:C,)</f>
        <v/>
      </c>
      <c r="M25" s="57" t="str">
        <f t="array" ref="M25">_xlfn.XLOOKUP(B25,'Up Stats'!A:A,'Up Stats'!D:D,)</f>
        <v/>
      </c>
      <c r="N25" s="54" t="str">
        <f>IFERROR(__xludf.DUMMYFUNCTION("if(AND(O25=FALSE,P25=FALSE),,if(O25=P25,JOIN("""",""Static: "",O25),JOIN("""",""Min:  "",O25, CHAR(10),""Max: "",P25)))"),"")</f>
        <v/>
      </c>
      <c r="O25" s="55" t="str">
        <f t="array" ref="O25">_xlfn.XLOOKUP(B25,'Up Min'!A:A,'Up Min'!D:D,)</f>
        <v/>
      </c>
      <c r="P25" s="55" t="str">
        <f t="array" ref="P25">_xlfn.XLOOKUP(B25,'Up Max'!A:A,'Up Max'!D:D,)</f>
        <v/>
      </c>
      <c r="Q25" s="57" t="str">
        <f t="array" ref="Q25">_xlfn.XLOOKUP(B25,'Up Stats'!A:A,'Up Stats'!E:E,)</f>
        <v/>
      </c>
      <c r="R25" s="54" t="str">
        <f>IFERROR(__xludf.DUMMYFUNCTION("if(AND(S25=FALSE,T25=FALSE),,if(S25=T25,JOIN("""",""Static: "",S25),JOIN("""",""Min:  "",S25, CHAR(10),""Max: "",T25)))"),"")</f>
        <v/>
      </c>
      <c r="S25" s="55" t="str">
        <f t="array" ref="S25">_xlfn.XLOOKUP(B25,'Up Min'!A:A,'Up Min'!E:E,)</f>
        <v/>
      </c>
      <c r="T25" s="55" t="str">
        <f t="array" ref="T25">_xlfn.XLOOKUP(B25,'Up Max'!A:A,'Up Max'!E:E,)</f>
        <v/>
      </c>
      <c r="U25" s="57" t="str">
        <f t="array" ref="U25">_xlfn.XLOOKUP(B25,'Up Stats'!A:A,'Up Stats'!F:F,)</f>
        <v/>
      </c>
      <c r="V25" s="54" t="str">
        <f>IFERROR(__xludf.DUMMYFUNCTION("if(AND(W25=FALSE,X25=FALSE),,if(W25=X25,JOIN("""",""Static: "",W25),JOIN("""",""Min:  "",W25, CHAR(10),""Max: "",X25)))"),"")</f>
        <v/>
      </c>
      <c r="W25" s="55" t="str">
        <f t="array" ref="W25">_xlfn.XLOOKUP(B25,'Up Min'!A:A,'Up Min'!F:F,)</f>
        <v/>
      </c>
      <c r="X25" s="55" t="str">
        <f t="array" ref="X25">_xlfn.XLOOKUP(B25,'Up Max'!A:A,'Up Max'!F:F,)</f>
        <v/>
      </c>
      <c r="Y25" s="57" t="str">
        <f t="array" ref="Y25">_xlfn.XLOOKUP(B25,'Up Stats'!A:A,'Up Stats'!G:G,)</f>
        <v/>
      </c>
      <c r="Z25" s="54" t="str">
        <f>IFERROR(__xludf.DUMMYFUNCTION("if(AND(AA25=FALSE,AB25=FALSE),,if(AA25=AB25,JOIN("""",""Static: "",AA25),JOIN("""",""Min:  "",AA25, CHAR(10),""Max: "",AB25)))"),"")</f>
        <v/>
      </c>
      <c r="AA25" s="55" t="str">
        <f t="array" ref="AA25">_xlfn.XLOOKUP(B25,'Up Min'!A:A,'Up Min'!G:G,)</f>
        <v/>
      </c>
      <c r="AB25" s="55" t="str">
        <f t="array" ref="AB25">_xlfn.XLOOKUP(B25,'Up Max'!A:A,'Up Max'!G:G,)</f>
        <v/>
      </c>
      <c r="AC25" s="57" t="str">
        <f t="array" ref="AC25">_xlfn.XLOOKUP(B25,'Up Stats'!A:A,'Up Stats'!H:H,)</f>
        <v/>
      </c>
      <c r="AD25" s="54" t="str">
        <f>IFERROR(__xludf.DUMMYFUNCTION("if(AND(AE25=FALSE,AF25=FALSE),,if(AE25=AF25,JOIN("""",""Static: "",AE25),JOIN("""",""Min:  "",AE25, CHAR(10),""Max: "",AF25)))"),"")</f>
        <v/>
      </c>
      <c r="AE25" s="55" t="str">
        <f t="array" ref="AE25">_xlfn.XLOOKUP(B25,'Up Min'!A:A,'Up Min'!H:H,)</f>
        <v/>
      </c>
      <c r="AF25" s="55" t="str">
        <f t="array" ref="AF25">_xlfn.XLOOKUP(B25,'Up Max'!A:A,'Up Max'!H:H,)</f>
        <v/>
      </c>
      <c r="AG25" s="57" t="str">
        <f t="array" ref="AG25">_xlfn.XLOOKUP(B25,'Up Stats'!A:A,'Up Stats'!I:I,)</f>
        <v/>
      </c>
      <c r="AH25" s="54" t="str">
        <f>IFERROR(__xludf.DUMMYFUNCTION("if(AND(AI25=FALSE,AJ25=FALSE),,if(AI25=AJ25,JOIN("""",""Static: "",AI25),JOIN("""",""Min:  "",AI25, CHAR(10),""Max: "",AJ25)))"),"")</f>
        <v/>
      </c>
      <c r="AI25" s="55" t="str">
        <f t="array" ref="AI25">_xlfn.XLOOKUP(B25,'Up Min'!A:A,'Up Min'!I:I,)</f>
        <v/>
      </c>
      <c r="AJ25" s="55" t="str">
        <f t="array" ref="AJ25">_xlfn.XLOOKUP(B25,'Up Max'!A:A,'Up Max'!I:I,)</f>
        <v/>
      </c>
      <c r="AK25" s="57" t="str">
        <f t="array" ref="AK25">_xlfn.XLOOKUP(B25,'Up Stats'!A:A,'Up Stats'!J:J,)</f>
        <v/>
      </c>
      <c r="AL25" s="54" t="str">
        <f>IFERROR(__xludf.DUMMYFUNCTION("if(AND(AM25=FALSE,AN25=FALSE),,if(AM25=AN25,JOIN("""",""Static: "",AM25),JOIN("""",""Min:  "",AM25, CHAR(10),""Max: "",AN25)))"),"")</f>
        <v/>
      </c>
      <c r="AM25" s="55" t="str">
        <f t="array" ref="AM25">_xlfn.XLOOKUP(B25,'Up Min'!A:A,'Up Min'!J:J,)</f>
        <v/>
      </c>
      <c r="AN25" s="55" t="str">
        <f t="array" ref="AN25">_xlfn.XLOOKUP(B25,'Up Max'!A:A,'Up Max'!J:J,)</f>
        <v/>
      </c>
      <c r="AO25" s="51" t="str">
        <f t="array" ref="AO25">CONCATENATE(_xlfn.XLOOKUP(B25,'Up Cells'!A:A,'Up Cells'!B:B,))</f>
        <v>5</v>
      </c>
      <c r="AP25" s="51" t="str">
        <f t="array" ref="AP25">CONCATENATE(_xlfn.XLOOKUP(B25,'Up Rarity'!A:A,'Up Rarity'!B:B,),CHAR(10),"-")</f>
        <v>Rare
-</v>
      </c>
    </row>
    <row r="26">
      <c r="A26" s="84" t="str">
        <f t="array" ref="A26">_xlfn.XLOOKUP(B26,'Up Icon'!A:A,'Up Icon'!B:B,)</f>
        <v/>
      </c>
      <c r="B26" s="89" t="str">
        <f t="array" ref="B26">HYPERLINK(_xlfn.XLOOKUP('Up Names'!M19,'Up Wiki'!A:A,'Up Wiki'!B:B,),'Up Names'!M19)</f>
        <v>Fire Gel</v>
      </c>
      <c r="C26" s="37" t="str">
        <f t="array" ref="C26">_xlfn.XLOOKUP(B26,'Up Desc'!A:A,'Up Desc'!B:B,)</f>
        <v>Your grenade applies less of its element to you.</v>
      </c>
      <c r="D26" s="37" t="str">
        <f t="array" ref="D26">_xlfn.XLOOKUP(B26,'Up Turbo'!A:A,'Up Turbo'!B:B,)</f>
        <v>n/a</v>
      </c>
      <c r="E26" s="39" t="str">
        <f t="array" ref="E26">_xlfn.XLOOKUP(B26,'Up Stats'!A:A,'Up Stats'!B:B,)</f>
        <v>Self Damage</v>
      </c>
      <c r="F26" s="40" t="str">
        <f>IFERROR(__xludf.DUMMYFUNCTION("if(AND(G26=FALSE,H26=FALSE),,if(G26=H26,JOIN("""",""Static: "",G26),JOIN("""",""Min:  "",G26, CHAR(10),""Max: "",H26)))"),"Min:  -85%
Max: -60%")</f>
        <v>Min:  -85%
Max: -60%</v>
      </c>
      <c r="G26" s="41">
        <f t="array" ref="G26">_xlfn.XLOOKUP(B26,'Up Min'!A:A,'Up Min'!B:B,)</f>
        <v>-0.85</v>
      </c>
      <c r="H26" s="41">
        <f t="array" ref="H26">_xlfn.XLOOKUP(B26,'Up Max'!A:A,'Up Max'!B:B,)</f>
        <v>-0.6</v>
      </c>
      <c r="I26" s="39" t="str">
        <f t="array" ref="I26">_xlfn.XLOOKUP(B26,'Up Stats'!A:A,'Up Stats'!C:C,)</f>
        <v/>
      </c>
      <c r="J26" s="40" t="str">
        <f>IFERROR(__xludf.DUMMYFUNCTION("if(AND(K26=FALSE,L26=FALSE),,if(K26=L26,JOIN("""",""Static: "",K26),JOIN("""",""Min:  "",K26, CHAR(10),""Max: "",L26)))"),"")</f>
        <v/>
      </c>
      <c r="K26" s="42" t="str">
        <f t="array" ref="K26">_xlfn.XLOOKUP(B26,'Up Min'!A:A,'Up Min'!C:C,)</f>
        <v/>
      </c>
      <c r="L26" s="42" t="str">
        <f t="array" ref="L26">_xlfn.XLOOKUP(B26,'Up Max'!A:A,'Up Max'!C:C,)</f>
        <v/>
      </c>
      <c r="M26" s="48" t="str">
        <f t="array" ref="M26">_xlfn.XLOOKUP(B26,'Up Stats'!A:A,'Up Stats'!D:D,)</f>
        <v/>
      </c>
      <c r="N26" s="40" t="str">
        <f>IFERROR(__xludf.DUMMYFUNCTION("if(AND(O26=FALSE,P26=FALSE),,if(O26=P26,JOIN("""",""Static: "",O26),JOIN("""",""Min:  "",O26, CHAR(10),""Max: "",P26)))"),"")</f>
        <v/>
      </c>
      <c r="O26" s="42" t="str">
        <f t="array" ref="O26">_xlfn.XLOOKUP(B26,'Up Min'!A:A,'Up Min'!D:D,)</f>
        <v/>
      </c>
      <c r="P26" s="42" t="str">
        <f t="array" ref="P26">_xlfn.XLOOKUP(B26,'Up Max'!A:A,'Up Max'!D:D,)</f>
        <v/>
      </c>
      <c r="Q26" s="48" t="str">
        <f t="array" ref="Q26">_xlfn.XLOOKUP(B26,'Up Stats'!A:A,'Up Stats'!E:E,)</f>
        <v/>
      </c>
      <c r="R26" s="40" t="str">
        <f>IFERROR(__xludf.DUMMYFUNCTION("if(AND(S26=FALSE,T26=FALSE),,if(S26=T26,JOIN("""",""Static: "",S26),JOIN("""",""Min:  "",S26, CHAR(10),""Max: "",T26)))"),"")</f>
        <v/>
      </c>
      <c r="S26" s="42" t="str">
        <f t="array" ref="S26">_xlfn.XLOOKUP(B26,'Up Min'!A:A,'Up Min'!E:E,)</f>
        <v/>
      </c>
      <c r="T26" s="42" t="str">
        <f t="array" ref="T26">_xlfn.XLOOKUP(B26,'Up Max'!A:A,'Up Max'!E:E,)</f>
        <v/>
      </c>
      <c r="U26" s="48" t="str">
        <f t="array" ref="U26">_xlfn.XLOOKUP(B26,'Up Stats'!A:A,'Up Stats'!F:F,)</f>
        <v/>
      </c>
      <c r="V26" s="40" t="str">
        <f>IFERROR(__xludf.DUMMYFUNCTION("if(AND(W26=FALSE,X26=FALSE),,if(W26=X26,JOIN("""",""Static: "",W26),JOIN("""",""Min:  "",W26, CHAR(10),""Max: "",X26)))"),"")</f>
        <v/>
      </c>
      <c r="W26" s="42" t="str">
        <f t="array" ref="W26">_xlfn.XLOOKUP(B26,'Up Min'!A:A,'Up Min'!F:F,)</f>
        <v/>
      </c>
      <c r="X26" s="42" t="str">
        <f t="array" ref="X26">_xlfn.XLOOKUP(B26,'Up Max'!A:A,'Up Max'!F:F,)</f>
        <v/>
      </c>
      <c r="Y26" s="48" t="str">
        <f t="array" ref="Y26">_xlfn.XLOOKUP(B26,'Up Stats'!A:A,'Up Stats'!G:G,)</f>
        <v/>
      </c>
      <c r="Z26" s="40" t="str">
        <f>IFERROR(__xludf.DUMMYFUNCTION("if(AND(AA26=FALSE,AB26=FALSE),,if(AA26=AB26,JOIN("""",""Static: "",AA26),JOIN("""",""Min:  "",AA26, CHAR(10),""Max: "",AB26)))"),"")</f>
        <v/>
      </c>
      <c r="AA26" s="42" t="str">
        <f t="array" ref="AA26">_xlfn.XLOOKUP(B26,'Up Min'!A:A,'Up Min'!G:G,)</f>
        <v/>
      </c>
      <c r="AB26" s="42" t="str">
        <f t="array" ref="AB26">_xlfn.XLOOKUP(B26,'Up Max'!A:A,'Up Max'!G:G,)</f>
        <v/>
      </c>
      <c r="AC26" s="48" t="str">
        <f t="array" ref="AC26">_xlfn.XLOOKUP(B26,'Up Stats'!A:A,'Up Stats'!H:H,)</f>
        <v/>
      </c>
      <c r="AD26" s="40" t="str">
        <f>IFERROR(__xludf.DUMMYFUNCTION("if(AND(AE26=FALSE,AF26=FALSE),,if(AE26=AF26,JOIN("""",""Static: "",AE26),JOIN("""",""Min:  "",AE26, CHAR(10),""Max: "",AF26)))"),"")</f>
        <v/>
      </c>
      <c r="AE26" s="42" t="str">
        <f t="array" ref="AE26">_xlfn.XLOOKUP(B26,'Up Min'!A:A,'Up Min'!H:H,)</f>
        <v/>
      </c>
      <c r="AF26" s="42" t="str">
        <f t="array" ref="AF26">_xlfn.XLOOKUP(B26,'Up Max'!A:A,'Up Max'!H:H,)</f>
        <v/>
      </c>
      <c r="AG26" s="48" t="str">
        <f t="array" ref="AG26">_xlfn.XLOOKUP(B26,'Up Stats'!A:A,'Up Stats'!I:I,)</f>
        <v/>
      </c>
      <c r="AH26" s="40" t="str">
        <f>IFERROR(__xludf.DUMMYFUNCTION("if(AND(AI26=FALSE,AJ26=FALSE),,if(AI26=AJ26,JOIN("""",""Static: "",AI26),JOIN("""",""Min:  "",AI26, CHAR(10),""Max: "",AJ26)))"),"")</f>
        <v/>
      </c>
      <c r="AI26" s="42" t="str">
        <f t="array" ref="AI26">_xlfn.XLOOKUP(B26,'Up Min'!A:A,'Up Min'!I:I,)</f>
        <v/>
      </c>
      <c r="AJ26" s="42" t="str">
        <f t="array" ref="AJ26">_xlfn.XLOOKUP(B26,'Up Max'!A:A,'Up Max'!I:I,)</f>
        <v/>
      </c>
      <c r="AK26" s="48" t="str">
        <f t="array" ref="AK26">_xlfn.XLOOKUP(B26,'Up Stats'!A:A,'Up Stats'!J:J,)</f>
        <v/>
      </c>
      <c r="AL26" s="40" t="str">
        <f>IFERROR(__xludf.DUMMYFUNCTION("if(AND(AM26=FALSE,AN26=FALSE),,if(AM26=AN26,JOIN("""",""Static: "",AM26),JOIN("""",""Min:  "",AM26, CHAR(10),""Max: "",AN26)))"),"")</f>
        <v/>
      </c>
      <c r="AM26" s="42" t="str">
        <f t="array" ref="AM26">_xlfn.XLOOKUP(B26,'Up Min'!A:A,'Up Min'!J:J,)</f>
        <v/>
      </c>
      <c r="AN26" s="42" t="str">
        <f t="array" ref="AN26">_xlfn.XLOOKUP(B26,'Up Max'!A:A,'Up Max'!J:J,)</f>
        <v/>
      </c>
      <c r="AO26" s="34" t="str">
        <f t="array" ref="AO26">CONCATENATE(_xlfn.XLOOKUP(B26,'Up Cells'!A:A,'Up Cells'!B:B,))</f>
        <v>3</v>
      </c>
      <c r="AP26" s="34" t="str">
        <f t="array" ref="AP26">CONCATENATE(_xlfn.XLOOKUP(B26,'Up Rarity'!A:A,'Up Rarity'!B:B,),CHAR(10),"-")</f>
        <v>Standard
-</v>
      </c>
    </row>
    <row r="27">
      <c r="A27" s="84" t="str">
        <f t="array" ref="A27">_xlfn.XLOOKUP(B27,'Up Icon'!A:A,'Up Icon'!B:B,)</f>
        <v/>
      </c>
      <c r="B27" s="88" t="str">
        <f t="array" ref="B27">HYPERLINK(_xlfn.XLOOKUP('Up Names'!M20,'Up Wiki'!A:A,'Up Wiki'!B:B,),'Up Names'!M20)</f>
        <v>Heated Charge</v>
      </c>
      <c r="C27" s="52" t="str">
        <f t="array" ref="C27">_xlfn.XLOOKUP(B27,'Up Desc'!A:A,'Up Desc'!B:B,)</f>
        <v>Grenade cooldown is reduced.</v>
      </c>
      <c r="D27" s="52" t="str">
        <f t="array" ref="D27">_xlfn.XLOOKUP(B27,'Up Turbo'!A:A,'Up Turbo'!B:B,)</f>
        <v>n/a</v>
      </c>
      <c r="E27" s="53" t="str">
        <f t="array" ref="E27">_xlfn.XLOOKUP(B27,'Up Stats'!A:A,'Up Stats'!B:B,)</f>
        <v>Recharge Speed</v>
      </c>
      <c r="F27" s="54" t="str">
        <f>IFERROR(__xludf.DUMMYFUNCTION("if(AND(G27=FALSE,H27=FALSE),,if(G27=H27,JOIN("""",""Static: "",G27),JOIN("""",""Min:  "",G27, CHAR(10),""Max: "",H27)))"),"Min:  13.64%
Max: 6.38%")</f>
        <v>Min:  13.64%
Max: 6.38%</v>
      </c>
      <c r="G27" s="71">
        <f t="array" ref="G27">_xlfn.XLOOKUP(B27,'Up Min'!A:A,'Up Min'!B:B,)</f>
        <v>0.1364</v>
      </c>
      <c r="H27" s="71">
        <f t="array" ref="H27">_xlfn.XLOOKUP(B27,'Up Max'!A:A,'Up Max'!B:B,)</f>
        <v>0.0638</v>
      </c>
      <c r="I27" s="53" t="str">
        <f t="array" ref="I27">_xlfn.XLOOKUP(B27,'Up Stats'!A:A,'Up Stats'!C:C,)</f>
        <v/>
      </c>
      <c r="J27" s="54" t="str">
        <f>IFERROR(__xludf.DUMMYFUNCTION("if(AND(K27=FALSE,L27=FALSE),,if(K27=L27,JOIN("""",""Static: "",K27),JOIN("""",""Min:  "",K27, CHAR(10),""Max: "",L27)))"),"")</f>
        <v/>
      </c>
      <c r="K27" s="55" t="str">
        <f t="array" ref="K27">_xlfn.XLOOKUP(B27,'Up Min'!A:A,'Up Min'!C:C,)</f>
        <v/>
      </c>
      <c r="L27" s="55" t="str">
        <f t="array" ref="L27">_xlfn.XLOOKUP(B27,'Up Max'!A:A,'Up Max'!C:C,)</f>
        <v/>
      </c>
      <c r="M27" s="57" t="str">
        <f t="array" ref="M27">_xlfn.XLOOKUP(B27,'Up Stats'!A:A,'Up Stats'!D:D,)</f>
        <v/>
      </c>
      <c r="N27" s="54" t="str">
        <f>IFERROR(__xludf.DUMMYFUNCTION("if(AND(O27=FALSE,P27=FALSE),,if(O27=P27,JOIN("""",""Static: "",O27),JOIN("""",""Min:  "",O27, CHAR(10),""Max: "",P27)))"),"")</f>
        <v/>
      </c>
      <c r="O27" s="55" t="str">
        <f t="array" ref="O27">_xlfn.XLOOKUP(B27,'Up Min'!A:A,'Up Min'!D:D,)</f>
        <v/>
      </c>
      <c r="P27" s="55" t="str">
        <f t="array" ref="P27">_xlfn.XLOOKUP(B27,'Up Max'!A:A,'Up Max'!D:D,)</f>
        <v/>
      </c>
      <c r="Q27" s="57" t="str">
        <f t="array" ref="Q27">_xlfn.XLOOKUP(B27,'Up Stats'!A:A,'Up Stats'!E:E,)</f>
        <v/>
      </c>
      <c r="R27" s="54" t="str">
        <f>IFERROR(__xludf.DUMMYFUNCTION("if(AND(S27=FALSE,T27=FALSE),,if(S27=T27,JOIN("""",""Static: "",S27),JOIN("""",""Min:  "",S27, CHAR(10),""Max: "",T27)))"),"")</f>
        <v/>
      </c>
      <c r="S27" s="55" t="str">
        <f t="array" ref="S27">_xlfn.XLOOKUP(B27,'Up Min'!A:A,'Up Min'!E:E,)</f>
        <v/>
      </c>
      <c r="T27" s="55" t="str">
        <f t="array" ref="T27">_xlfn.XLOOKUP(B27,'Up Max'!A:A,'Up Max'!E:E,)</f>
        <v/>
      </c>
      <c r="U27" s="57" t="str">
        <f t="array" ref="U27">_xlfn.XLOOKUP(B27,'Up Stats'!A:A,'Up Stats'!F:F,)</f>
        <v/>
      </c>
      <c r="V27" s="54" t="str">
        <f>IFERROR(__xludf.DUMMYFUNCTION("if(AND(W27=FALSE,X27=FALSE),,if(W27=X27,JOIN("""",""Static: "",W27),JOIN("""",""Min:  "",W27, CHAR(10),""Max: "",X27)))"),"")</f>
        <v/>
      </c>
      <c r="W27" s="55" t="str">
        <f t="array" ref="W27">_xlfn.XLOOKUP(B27,'Up Min'!A:A,'Up Min'!F:F,)</f>
        <v/>
      </c>
      <c r="X27" s="55" t="str">
        <f t="array" ref="X27">_xlfn.XLOOKUP(B27,'Up Max'!A:A,'Up Max'!F:F,)</f>
        <v/>
      </c>
      <c r="Y27" s="57" t="str">
        <f t="array" ref="Y27">_xlfn.XLOOKUP(B27,'Up Stats'!A:A,'Up Stats'!G:G,)</f>
        <v/>
      </c>
      <c r="Z27" s="54" t="str">
        <f>IFERROR(__xludf.DUMMYFUNCTION("if(AND(AA27=FALSE,AB27=FALSE),,if(AA27=AB27,JOIN("""",""Static: "",AA27),JOIN("""",""Min:  "",AA27, CHAR(10),""Max: "",AB27)))"),"")</f>
        <v/>
      </c>
      <c r="AA27" s="55" t="str">
        <f t="array" ref="AA27">_xlfn.XLOOKUP(B27,'Up Min'!A:A,'Up Min'!G:G,)</f>
        <v/>
      </c>
      <c r="AB27" s="55" t="str">
        <f t="array" ref="AB27">_xlfn.XLOOKUP(B27,'Up Max'!A:A,'Up Max'!G:G,)</f>
        <v/>
      </c>
      <c r="AC27" s="57" t="str">
        <f t="array" ref="AC27">_xlfn.XLOOKUP(B27,'Up Stats'!A:A,'Up Stats'!H:H,)</f>
        <v/>
      </c>
      <c r="AD27" s="54" t="str">
        <f>IFERROR(__xludf.DUMMYFUNCTION("if(AND(AE27=FALSE,AF27=FALSE),,if(AE27=AF27,JOIN("""",""Static: "",AE27),JOIN("""",""Min:  "",AE27, CHAR(10),""Max: "",AF27)))"),"")</f>
        <v/>
      </c>
      <c r="AE27" s="55" t="str">
        <f t="array" ref="AE27">_xlfn.XLOOKUP(B27,'Up Min'!A:A,'Up Min'!H:H,)</f>
        <v/>
      </c>
      <c r="AF27" s="55" t="str">
        <f t="array" ref="AF27">_xlfn.XLOOKUP(B27,'Up Max'!A:A,'Up Max'!H:H,)</f>
        <v/>
      </c>
      <c r="AG27" s="57" t="str">
        <f t="array" ref="AG27">_xlfn.XLOOKUP(B27,'Up Stats'!A:A,'Up Stats'!I:I,)</f>
        <v/>
      </c>
      <c r="AH27" s="54" t="str">
        <f>IFERROR(__xludf.DUMMYFUNCTION("if(AND(AI27=FALSE,AJ27=FALSE),,if(AI27=AJ27,JOIN("""",""Static: "",AI27),JOIN("""",""Min:  "",AI27, CHAR(10),""Max: "",AJ27)))"),"")</f>
        <v/>
      </c>
      <c r="AI27" s="55" t="str">
        <f t="array" ref="AI27">_xlfn.XLOOKUP(B27,'Up Min'!A:A,'Up Min'!I:I,)</f>
        <v/>
      </c>
      <c r="AJ27" s="55" t="str">
        <f t="array" ref="AJ27">_xlfn.XLOOKUP(B27,'Up Max'!A:A,'Up Max'!I:I,)</f>
        <v/>
      </c>
      <c r="AK27" s="57" t="str">
        <f t="array" ref="AK27">_xlfn.XLOOKUP(B27,'Up Stats'!A:A,'Up Stats'!J:J,)</f>
        <v/>
      </c>
      <c r="AL27" s="54" t="str">
        <f>IFERROR(__xludf.DUMMYFUNCTION("if(AND(AM27=FALSE,AN27=FALSE),,if(AM27=AN27,JOIN("""",""Static: "",AM27),JOIN("""",""Min:  "",AM27, CHAR(10),""Max: "",AN27)))"),"")</f>
        <v/>
      </c>
      <c r="AM27" s="55" t="str">
        <f t="array" ref="AM27">_xlfn.XLOOKUP(B27,'Up Min'!A:A,'Up Min'!J:J,)</f>
        <v/>
      </c>
      <c r="AN27" s="55" t="str">
        <f t="array" ref="AN27">_xlfn.XLOOKUP(B27,'Up Max'!A:A,'Up Max'!J:J,)</f>
        <v/>
      </c>
      <c r="AO27" s="51" t="str">
        <f t="array" ref="AO27">CONCATENATE(_xlfn.XLOOKUP(B27,'Up Cells'!A:A,'Up Cells'!B:B,))</f>
        <v>3</v>
      </c>
      <c r="AP27" s="51" t="str">
        <f t="array" ref="AP27">CONCATENATE(_xlfn.XLOOKUP(B27,'Up Rarity'!A:A,'Up Rarity'!B:B,),CHAR(10),"-")</f>
        <v>Standard
-</v>
      </c>
    </row>
    <row r="28">
      <c r="A28" s="84" t="str">
        <f t="array" ref="A28">_xlfn.XLOOKUP(B28,'Up Icon'!A:A,'Up Icon'!B:B,)</f>
        <v/>
      </c>
      <c r="B28" s="89" t="str">
        <f t="array" ref="B28">HYPERLINK(_xlfn.XLOOKUP('Up Names'!M21,'Up Wiki'!A:A,'Up Wiki'!B:B,),'Up Names'!M21)</f>
        <v>Large Ignition</v>
      </c>
      <c r="C28" s="37" t="str">
        <f t="array" ref="C28">_xlfn.XLOOKUP(B28,'Up Desc'!A:A,'Up Desc'!B:B,)</f>
        <v>Explosion size is increased but impact damage is decreased.</v>
      </c>
      <c r="D28" s="37" t="str">
        <f t="array" ref="D28">_xlfn.XLOOKUP(B28,'Up Turbo'!A:A,'Up Turbo'!B:B,)</f>
        <v>n/a</v>
      </c>
      <c r="E28" s="39" t="str">
        <f t="array" ref="E28">_xlfn.XLOOKUP(B28,'Up Stats'!A:A,'Up Stats'!B:B,)</f>
        <v>Damage</v>
      </c>
      <c r="F28" s="40" t="str">
        <f>IFERROR(__xludf.DUMMYFUNCTION("if(AND(G28=FALSE,H28=FALSE),,if(G28=H28,JOIN("""",""Static: "",G28),JOIN("""",""Min:  "",G28, CHAR(10),""Max: "",H28)))"),"Min:  -75%
Max: -58%")</f>
        <v>Min:  -75%
Max: -58%</v>
      </c>
      <c r="G28" s="41">
        <f t="array" ref="G28">_xlfn.XLOOKUP(B28,'Up Min'!A:A,'Up Min'!B:B,)</f>
        <v>-0.75</v>
      </c>
      <c r="H28" s="41">
        <f t="array" ref="H28">_xlfn.XLOOKUP(B28,'Up Max'!A:A,'Up Max'!B:B,)</f>
        <v>-0.58</v>
      </c>
      <c r="I28" s="39" t="str">
        <f t="array" ref="I28">_xlfn.XLOOKUP(B28,'Up Stats'!A:A,'Up Stats'!C:C,)</f>
        <v>Explosion Size</v>
      </c>
      <c r="J28" s="40" t="str">
        <f>IFERROR(__xludf.DUMMYFUNCTION("if(AND(K28=FALSE,L28=FALSE),,if(K28=L28,JOIN("""",""Static: "",K28),JOIN("""",""Min:  "",K28, CHAR(10),""Max: "",L28)))"),"Min:  40%
Max: 61%")</f>
        <v>Min:  40%
Max: 61%</v>
      </c>
      <c r="K28" s="41">
        <f t="array" ref="K28">_xlfn.XLOOKUP(B28,'Up Min'!A:A,'Up Min'!C:C,)</f>
        <v>0.4</v>
      </c>
      <c r="L28" s="41">
        <f t="array" ref="L28">_xlfn.XLOOKUP(B28,'Up Max'!A:A,'Up Max'!C:C,)</f>
        <v>0.61</v>
      </c>
      <c r="M28" s="39" t="str">
        <f t="array" ref="M28">_xlfn.XLOOKUP(B28,'Up Stats'!A:A,'Up Stats'!D:D,)</f>
        <v/>
      </c>
      <c r="N28" s="40" t="str">
        <f>IFERROR(__xludf.DUMMYFUNCTION("if(AND(O28=FALSE,P28=FALSE),,if(O28=P28,JOIN("""",""Static: "",O28),JOIN("""",""Min:  "",O28, CHAR(10),""Max: "",P28)))"),"")</f>
        <v/>
      </c>
      <c r="O28" s="42" t="str">
        <f t="array" ref="O28">_xlfn.XLOOKUP(B28,'Up Min'!A:A,'Up Min'!D:D,)</f>
        <v/>
      </c>
      <c r="P28" s="42" t="str">
        <f t="array" ref="P28">_xlfn.XLOOKUP(B28,'Up Max'!A:A,'Up Max'!D:D,)</f>
        <v/>
      </c>
      <c r="Q28" s="48" t="str">
        <f t="array" ref="Q28">_xlfn.XLOOKUP(B28,'Up Stats'!A:A,'Up Stats'!E:E,)</f>
        <v/>
      </c>
      <c r="R28" s="40" t="str">
        <f>IFERROR(__xludf.DUMMYFUNCTION("if(AND(S28=FALSE,T28=FALSE),,if(S28=T28,JOIN("""",""Static: "",S28),JOIN("""",""Min:  "",S28, CHAR(10),""Max: "",T28)))"),"")</f>
        <v/>
      </c>
      <c r="S28" s="42" t="str">
        <f t="array" ref="S28">_xlfn.XLOOKUP(B28,'Up Min'!A:A,'Up Min'!E:E,)</f>
        <v/>
      </c>
      <c r="T28" s="42" t="str">
        <f t="array" ref="T28">_xlfn.XLOOKUP(B28,'Up Max'!A:A,'Up Max'!E:E,)</f>
        <v/>
      </c>
      <c r="U28" s="48" t="str">
        <f t="array" ref="U28">_xlfn.XLOOKUP(B28,'Up Stats'!A:A,'Up Stats'!F:F,)</f>
        <v/>
      </c>
      <c r="V28" s="40" t="str">
        <f>IFERROR(__xludf.DUMMYFUNCTION("if(AND(W28=FALSE,X28=FALSE),,if(W28=X28,JOIN("""",""Static: "",W28),JOIN("""",""Min:  "",W28, CHAR(10),""Max: "",X28)))"),"")</f>
        <v/>
      </c>
      <c r="W28" s="42" t="str">
        <f t="array" ref="W28">_xlfn.XLOOKUP(B28,'Up Min'!A:A,'Up Min'!F:F,)</f>
        <v/>
      </c>
      <c r="X28" s="42" t="str">
        <f t="array" ref="X28">_xlfn.XLOOKUP(B28,'Up Max'!A:A,'Up Max'!F:F,)</f>
        <v/>
      </c>
      <c r="Y28" s="48" t="str">
        <f t="array" ref="Y28">_xlfn.XLOOKUP(B28,'Up Stats'!A:A,'Up Stats'!G:G,)</f>
        <v/>
      </c>
      <c r="Z28" s="40" t="str">
        <f>IFERROR(__xludf.DUMMYFUNCTION("if(AND(AA28=FALSE,AB28=FALSE),,if(AA28=AB28,JOIN("""",""Static: "",AA28),JOIN("""",""Min:  "",AA28, CHAR(10),""Max: "",AB28)))"),"")</f>
        <v/>
      </c>
      <c r="AA28" s="42" t="str">
        <f t="array" ref="AA28">_xlfn.XLOOKUP(B28,'Up Min'!A:A,'Up Min'!G:G,)</f>
        <v/>
      </c>
      <c r="AB28" s="42" t="str">
        <f t="array" ref="AB28">_xlfn.XLOOKUP(B28,'Up Max'!A:A,'Up Max'!G:G,)</f>
        <v/>
      </c>
      <c r="AC28" s="48" t="str">
        <f t="array" ref="AC28">_xlfn.XLOOKUP(B28,'Up Stats'!A:A,'Up Stats'!H:H,)</f>
        <v/>
      </c>
      <c r="AD28" s="40" t="str">
        <f>IFERROR(__xludf.DUMMYFUNCTION("if(AND(AE28=FALSE,AF28=FALSE),,if(AE28=AF28,JOIN("""",""Static: "",AE28),JOIN("""",""Min:  "",AE28, CHAR(10),""Max: "",AF28)))"),"")</f>
        <v/>
      </c>
      <c r="AE28" s="42" t="str">
        <f t="array" ref="AE28">_xlfn.XLOOKUP(B28,'Up Min'!A:A,'Up Min'!H:H,)</f>
        <v/>
      </c>
      <c r="AF28" s="42" t="str">
        <f t="array" ref="AF28">_xlfn.XLOOKUP(B28,'Up Max'!A:A,'Up Max'!H:H,)</f>
        <v/>
      </c>
      <c r="AG28" s="48" t="str">
        <f t="array" ref="AG28">_xlfn.XLOOKUP(B28,'Up Stats'!A:A,'Up Stats'!I:I,)</f>
        <v/>
      </c>
      <c r="AH28" s="40" t="str">
        <f>IFERROR(__xludf.DUMMYFUNCTION("if(AND(AI28=FALSE,AJ28=FALSE),,if(AI28=AJ28,JOIN("""",""Static: "",AI28),JOIN("""",""Min:  "",AI28, CHAR(10),""Max: "",AJ28)))"),"")</f>
        <v/>
      </c>
      <c r="AI28" s="42" t="str">
        <f t="array" ref="AI28">_xlfn.XLOOKUP(B28,'Up Min'!A:A,'Up Min'!I:I,)</f>
        <v/>
      </c>
      <c r="AJ28" s="42" t="str">
        <f t="array" ref="AJ28">_xlfn.XLOOKUP(B28,'Up Max'!A:A,'Up Max'!I:I,)</f>
        <v/>
      </c>
      <c r="AK28" s="48" t="str">
        <f t="array" ref="AK28">_xlfn.XLOOKUP(B28,'Up Stats'!A:A,'Up Stats'!J:J,)</f>
        <v/>
      </c>
      <c r="AL28" s="40" t="str">
        <f>IFERROR(__xludf.DUMMYFUNCTION("if(AND(AM28=FALSE,AN28=FALSE),,if(AM28=AN28,JOIN("""",""Static: "",AM28),JOIN("""",""Min:  "",AM28, CHAR(10),""Max: "",AN28)))"),"")</f>
        <v/>
      </c>
      <c r="AM28" s="42" t="str">
        <f t="array" ref="AM28">_xlfn.XLOOKUP(B28,'Up Min'!A:A,'Up Min'!J:J,)</f>
        <v/>
      </c>
      <c r="AN28" s="42" t="str">
        <f t="array" ref="AN28">_xlfn.XLOOKUP(B28,'Up Max'!A:A,'Up Max'!J:J,)</f>
        <v/>
      </c>
      <c r="AO28" s="34" t="str">
        <f t="array" ref="AO28">CONCATENATE(_xlfn.XLOOKUP(B28,'Up Cells'!A:A,'Up Cells'!B:B,))</f>
        <v>7</v>
      </c>
      <c r="AP28" s="34" t="str">
        <f t="array" ref="AP28">CONCATENATE(_xlfn.XLOOKUP(B28,'Up Rarity'!A:A,'Up Rarity'!B:B,),CHAR(10),"-")</f>
        <v>Standard
-</v>
      </c>
    </row>
    <row r="29">
      <c r="A29" s="86" t="str">
        <f t="array" ref="A29">_xlfn.XLOOKUP(B29,'Up Icon'!A:A,'Up Icon'!B:B,)</f>
        <v/>
      </c>
      <c r="B29" s="61" t="str">
        <f t="array" ref="B29">HYPERLINK(_xlfn.XLOOKUP('Up Names'!M29,'Up Wiki'!A:A,'Up Wiki'!B:B,),'Up Names'!M29)</f>
        <v/>
      </c>
      <c r="C29" s="52" t="str">
        <f t="array" ref="C29">_xlfn.XLOOKUP(B29,'Up Desc'!A:A,'Up Desc'!B:B,)</f>
        <v/>
      </c>
      <c r="D29" s="52" t="str">
        <f t="array" ref="D29">_xlfn.XLOOKUP(B29,'Up Turbo'!A:A,'Up Turbo'!B:B,)</f>
        <v/>
      </c>
      <c r="E29" s="53" t="str">
        <f t="array" ref="E29">_xlfn.XLOOKUP(B29,'Up Stats'!A:A,'Up Stats'!B:B,)</f>
        <v/>
      </c>
      <c r="F29" s="54" t="str">
        <f>IFERROR(__xludf.DUMMYFUNCTION("if(AND(G29=FALSE,H29=FALSE),,if(G29=H29,JOIN("""",""Static: "",G29),JOIN("""",""Min:  "",G29, CHAR(10),""Max: "",H29)))"),"")</f>
        <v/>
      </c>
      <c r="G29" s="55" t="str">
        <f t="array" ref="G29">_xlfn.XLOOKUP(B29,'Up Min'!A:A,'Up Min'!B:B,)</f>
        <v/>
      </c>
      <c r="H29" s="56" t="str">
        <f t="array" ref="H29">_xlfn.XLOOKUP(B29,'Up Max'!A:A,'Up Max'!B:B,)</f>
        <v/>
      </c>
      <c r="I29" s="53" t="str">
        <f t="array" ref="I29">_xlfn.XLOOKUP(B29,'Up Stats'!A:A,'Up Stats'!C:C,)</f>
        <v/>
      </c>
      <c r="J29" s="54" t="str">
        <f>IFERROR(__xludf.DUMMYFUNCTION("if(AND(K29=FALSE,L29=FALSE),,if(K29=L29,JOIN("""",""Static: "",K29),JOIN("""",""Min:  "",K29, CHAR(10),""Max: "",L29)))"),"")</f>
        <v/>
      </c>
      <c r="K29" s="55" t="str">
        <f t="array" ref="K29">_xlfn.XLOOKUP(B29,'Up Min'!A:A,'Up Min'!C:C,)</f>
        <v/>
      </c>
      <c r="L29" s="55" t="str">
        <f t="array" ref="L29">_xlfn.XLOOKUP(B29,'Up Max'!A:A,'Up Max'!C:C,)</f>
        <v/>
      </c>
      <c r="M29" s="53" t="str">
        <f t="array" ref="M29">_xlfn.XLOOKUP(B29,'Up Stats'!A:A,'Up Stats'!D:D,)</f>
        <v/>
      </c>
      <c r="N29" s="54" t="str">
        <f>IFERROR(__xludf.DUMMYFUNCTION("if(AND(O29=FALSE,P29=FALSE),,if(O29=P29,JOIN("""",""Static: "",O29),JOIN("""",""Min:  "",O29, CHAR(10),""Max: "",P29)))"),"")</f>
        <v/>
      </c>
      <c r="O29" s="55" t="str">
        <f t="array" ref="O29">_xlfn.XLOOKUP(B29,'Up Min'!A:A,'Up Min'!D:D,)</f>
        <v/>
      </c>
      <c r="P29" s="55" t="str">
        <f t="array" ref="P29">_xlfn.XLOOKUP(B29,'Up Max'!A:A,'Up Max'!D:D,)</f>
        <v/>
      </c>
      <c r="Q29" s="57" t="str">
        <f t="array" ref="Q29">_xlfn.XLOOKUP(B29,'Up Stats'!A:A,'Up Stats'!E:E,)</f>
        <v/>
      </c>
      <c r="R29" s="54" t="str">
        <f>IFERROR(__xludf.DUMMYFUNCTION("if(AND(S29=FALSE,T29=FALSE),,if(S29=T29,JOIN("""",""Static: "",S29),JOIN("""",""Min:  "",S29, CHAR(10),""Max: "",T29)))"),"")</f>
        <v/>
      </c>
      <c r="S29" s="55" t="str">
        <f t="array" ref="S29">_xlfn.XLOOKUP(B29,'Up Min'!A:A,'Up Min'!E:E,)</f>
        <v/>
      </c>
      <c r="T29" s="55" t="str">
        <f t="array" ref="T29">_xlfn.XLOOKUP(B29,'Up Max'!A:A,'Up Max'!E:E,)</f>
        <v/>
      </c>
      <c r="U29" s="57" t="str">
        <f t="array" ref="U29">_xlfn.XLOOKUP(B29,'Up Stats'!A:A,'Up Stats'!F:F,)</f>
        <v/>
      </c>
      <c r="V29" s="54" t="str">
        <f>IFERROR(__xludf.DUMMYFUNCTION("if(AND(W29=FALSE,X29=FALSE),,if(W29=X29,JOIN("""",""Static: "",W29),JOIN("""",""Min:  "",W29, CHAR(10),""Max: "",X29)))"),"")</f>
        <v/>
      </c>
      <c r="W29" s="55" t="str">
        <f t="array" ref="W29">_xlfn.XLOOKUP(B29,'Up Min'!A:A,'Up Min'!F:F,)</f>
        <v/>
      </c>
      <c r="X29" s="55" t="str">
        <f t="array" ref="X29">_xlfn.XLOOKUP(B29,'Up Max'!A:A,'Up Max'!F:F,)</f>
        <v/>
      </c>
      <c r="Y29" s="57" t="str">
        <f t="array" ref="Y29">_xlfn.XLOOKUP(B29,'Up Stats'!A:A,'Up Stats'!G:G,)</f>
        <v/>
      </c>
      <c r="Z29" s="54" t="str">
        <f>IFERROR(__xludf.DUMMYFUNCTION("if(AND(AA29=FALSE,AB29=FALSE),,if(AA29=AB29,JOIN("""",""Static: "",AA29),JOIN("""",""Min:  "",AA29, CHAR(10),""Max: "",AB29)))"),"")</f>
        <v/>
      </c>
      <c r="AA29" s="55" t="str">
        <f t="array" ref="AA29">_xlfn.XLOOKUP(B29,'Up Min'!A:A,'Up Min'!G:G,)</f>
        <v/>
      </c>
      <c r="AB29" s="55" t="str">
        <f t="array" ref="AB29">_xlfn.XLOOKUP(B29,'Up Max'!A:A,'Up Max'!G:G,)</f>
        <v/>
      </c>
      <c r="AC29" s="57" t="str">
        <f t="array" ref="AC29">_xlfn.XLOOKUP(B29,'Up Stats'!A:A,'Up Stats'!H:H,)</f>
        <v/>
      </c>
      <c r="AD29" s="54" t="str">
        <f>IFERROR(__xludf.DUMMYFUNCTION("if(AND(AE29=FALSE,AF29=FALSE),,if(AE29=AF29,JOIN("""",""Static: "",AE29),JOIN("""",""Min:  "",AE29, CHAR(10),""Max: "",AF29)))"),"")</f>
        <v/>
      </c>
      <c r="AE29" s="55" t="str">
        <f t="array" ref="AE29">_xlfn.XLOOKUP(B29,'Up Min'!A:A,'Up Min'!H:H,)</f>
        <v/>
      </c>
      <c r="AF29" s="55" t="str">
        <f t="array" ref="AF29">_xlfn.XLOOKUP(B29,'Up Max'!A:A,'Up Max'!H:H,)</f>
        <v/>
      </c>
      <c r="AG29" s="57" t="str">
        <f t="array" ref="AG29">_xlfn.XLOOKUP(B29,'Up Stats'!A:A,'Up Stats'!I:I,)</f>
        <v/>
      </c>
      <c r="AH29" s="54" t="str">
        <f>IFERROR(__xludf.DUMMYFUNCTION("if(AND(AI29=FALSE,AJ29=FALSE),,if(AI29=AJ29,JOIN("""",""Static: "",AI29),JOIN("""",""Min:  "",AI29, CHAR(10),""Max: "",AJ29)))"),"")</f>
        <v/>
      </c>
      <c r="AI29" s="55" t="str">
        <f t="array" ref="AI29">_xlfn.XLOOKUP(B29,'Up Min'!A:A,'Up Min'!I:I,)</f>
        <v/>
      </c>
      <c r="AJ29" s="55" t="str">
        <f t="array" ref="AJ29">_xlfn.XLOOKUP(B29,'Up Max'!A:A,'Up Max'!I:I,)</f>
        <v/>
      </c>
      <c r="AK29" s="57" t="str">
        <f t="array" ref="AK29">_xlfn.XLOOKUP(B29,'Up Stats'!A:A,'Up Stats'!J:J,)</f>
        <v/>
      </c>
      <c r="AL29" s="54" t="str">
        <f>IFERROR(__xludf.DUMMYFUNCTION("if(AND(AM29=FALSE,AN29=FALSE),,if(AM29=AN29,JOIN("""",""Static: "",AM29),JOIN("""",""Min:  "",AM29, CHAR(10),""Max: "",AN29)))"),"")</f>
        <v/>
      </c>
      <c r="AM29" s="55" t="str">
        <f t="array" ref="AM29">_xlfn.XLOOKUP(B29,'Up Min'!A:A,'Up Min'!J:J,)</f>
        <v/>
      </c>
      <c r="AN29" s="55" t="str">
        <f t="array" ref="AN29">_xlfn.XLOOKUP(B29,'Up Max'!A:A,'Up Max'!J:J,)</f>
        <v/>
      </c>
      <c r="AO29" s="51" t="str">
        <f t="array" ref="AO29">CONCATENATE(_xlfn.XLOOKUP(B29,'Up Cells'!A:A,'Up Cells'!B:B,))</f>
        <v/>
      </c>
      <c r="AP29" s="51" t="str">
        <f t="array" ref="AP29">CONCATENATE(_xlfn.XLOOKUP(B29,'Up Rarity'!A:A,'Up Rarity'!B:B,),CHAR(10),"-")</f>
        <v>
-</v>
      </c>
    </row>
    <row r="30">
      <c r="A30" s="87" t="str">
        <f t="array" ref="A30">_xlfn.XLOOKUP(B30,'Up Icon'!A:A,'Up Icon'!B:B,)</f>
        <v/>
      </c>
      <c r="B30" s="58" t="str">
        <f t="array" ref="B30">HYPERLINK(_xlfn.XLOOKUP('Up Names'!M30,'Up Wiki'!A:A,'Up Wiki'!B:B,),'Up Names'!M30)</f>
        <v/>
      </c>
      <c r="C30" s="37" t="str">
        <f t="array" ref="C30">_xlfn.XLOOKUP(B30,'Up Desc'!A:A,'Up Desc'!B:B,)</f>
        <v/>
      </c>
      <c r="D30" s="37" t="str">
        <f t="array" ref="D30">_xlfn.XLOOKUP(B30,'Up Turbo'!A:A,'Up Turbo'!B:B,)</f>
        <v/>
      </c>
      <c r="E30" s="39" t="str">
        <f t="array" ref="E30">_xlfn.XLOOKUP(B30,'Up Stats'!A:A,'Up Stats'!B:B,)</f>
        <v/>
      </c>
      <c r="F30" s="40" t="str">
        <f>IFERROR(__xludf.DUMMYFUNCTION("if(AND(G30=FALSE,H30=FALSE),,if(G30=H30,JOIN("""",""Static: "",G30),JOIN("""",""Min:  "",G30, CHAR(10),""Max: "",H30)))"),"")</f>
        <v/>
      </c>
      <c r="G30" s="42" t="str">
        <f t="array" ref="G30">_xlfn.XLOOKUP(B30,'Up Min'!A:A,'Up Min'!B:B,)</f>
        <v/>
      </c>
      <c r="H30" s="45" t="str">
        <f t="array" ref="H30">_xlfn.XLOOKUP(B30,'Up Max'!A:A,'Up Max'!B:B,)</f>
        <v/>
      </c>
      <c r="I30" s="39" t="str">
        <f t="array" ref="I30">_xlfn.XLOOKUP(B30,'Up Stats'!A:A,'Up Stats'!C:C,)</f>
        <v/>
      </c>
      <c r="J30" s="40" t="str">
        <f>IFERROR(__xludf.DUMMYFUNCTION("if(AND(K30=FALSE,L30=FALSE),,if(K30=L30,JOIN("""",""Static: "",K30),JOIN("""",""Min:  "",K30, CHAR(10),""Max: "",L30)))"),"")</f>
        <v/>
      </c>
      <c r="K30" s="42" t="str">
        <f t="array" ref="K30">_xlfn.XLOOKUP(B30,'Up Min'!A:A,'Up Min'!C:C,)</f>
        <v/>
      </c>
      <c r="L30" s="42" t="str">
        <f t="array" ref="L30">_xlfn.XLOOKUP(B30,'Up Max'!A:A,'Up Max'!C:C,)</f>
        <v/>
      </c>
      <c r="M30" s="39" t="str">
        <f t="array" ref="M30">_xlfn.XLOOKUP(B30,'Up Stats'!A:A,'Up Stats'!D:D,)</f>
        <v/>
      </c>
      <c r="N30" s="40" t="str">
        <f>IFERROR(__xludf.DUMMYFUNCTION("if(AND(O30=FALSE,P30=FALSE),,if(O30=P30,JOIN("""",""Static: "",O30),JOIN("""",""Min:  "",O30, CHAR(10),""Max: "",P30)))"),"")</f>
        <v/>
      </c>
      <c r="O30" s="42" t="str">
        <f t="array" ref="O30">_xlfn.XLOOKUP(B30,'Up Min'!A:A,'Up Min'!D:D,)</f>
        <v/>
      </c>
      <c r="P30" s="42" t="str">
        <f t="array" ref="P30">_xlfn.XLOOKUP(B30,'Up Max'!A:A,'Up Max'!D:D,)</f>
        <v/>
      </c>
      <c r="Q30" s="48" t="str">
        <f t="array" ref="Q30">_xlfn.XLOOKUP(B30,'Up Stats'!A:A,'Up Stats'!E:E,)</f>
        <v/>
      </c>
      <c r="R30" s="40" t="str">
        <f>IFERROR(__xludf.DUMMYFUNCTION("if(AND(S30=FALSE,T30=FALSE),,if(S30=T30,JOIN("""",""Static: "",S30),JOIN("""",""Min:  "",S30, CHAR(10),""Max: "",T30)))"),"")</f>
        <v/>
      </c>
      <c r="S30" s="42" t="str">
        <f t="array" ref="S30">_xlfn.XLOOKUP(B30,'Up Min'!A:A,'Up Min'!E:E,)</f>
        <v/>
      </c>
      <c r="T30" s="42" t="str">
        <f t="array" ref="T30">_xlfn.XLOOKUP(B30,'Up Max'!A:A,'Up Max'!E:E,)</f>
        <v/>
      </c>
      <c r="U30" s="48" t="str">
        <f t="array" ref="U30">_xlfn.XLOOKUP(B30,'Up Stats'!A:A,'Up Stats'!F:F,)</f>
        <v/>
      </c>
      <c r="V30" s="40" t="str">
        <f>IFERROR(__xludf.DUMMYFUNCTION("if(AND(W30=FALSE,X30=FALSE),,if(W30=X30,JOIN("""",""Static: "",W30),JOIN("""",""Min:  "",W30, CHAR(10),""Max: "",X30)))"),"")</f>
        <v/>
      </c>
      <c r="W30" s="42" t="str">
        <f t="array" ref="W30">_xlfn.XLOOKUP(B30,'Up Min'!A:A,'Up Min'!F:F,)</f>
        <v/>
      </c>
      <c r="X30" s="42" t="str">
        <f t="array" ref="X30">_xlfn.XLOOKUP(B30,'Up Max'!A:A,'Up Max'!F:F,)</f>
        <v/>
      </c>
      <c r="Y30" s="48" t="str">
        <f t="array" ref="Y30">_xlfn.XLOOKUP(B30,'Up Stats'!A:A,'Up Stats'!G:G,)</f>
        <v/>
      </c>
      <c r="Z30" s="40" t="str">
        <f>IFERROR(__xludf.DUMMYFUNCTION("if(AND(AA30=FALSE,AB30=FALSE),,if(AA30=AB30,JOIN("""",""Static: "",AA30),JOIN("""",""Min:  "",AA30, CHAR(10),""Max: "",AB30)))"),"")</f>
        <v/>
      </c>
      <c r="AA30" s="42" t="str">
        <f t="array" ref="AA30">_xlfn.XLOOKUP(B30,'Up Min'!A:A,'Up Min'!G:G,)</f>
        <v/>
      </c>
      <c r="AB30" s="42" t="str">
        <f t="array" ref="AB30">_xlfn.XLOOKUP(B30,'Up Max'!A:A,'Up Max'!G:G,)</f>
        <v/>
      </c>
      <c r="AC30" s="48" t="str">
        <f t="array" ref="AC30">_xlfn.XLOOKUP(B30,'Up Stats'!A:A,'Up Stats'!H:H,)</f>
        <v/>
      </c>
      <c r="AD30" s="40" t="str">
        <f>IFERROR(__xludf.DUMMYFUNCTION("if(AND(AE30=FALSE,AF30=FALSE),,if(AE30=AF30,JOIN("""",""Static: "",AE30),JOIN("""",""Min:  "",AE30, CHAR(10),""Max: "",AF30)))"),"")</f>
        <v/>
      </c>
      <c r="AE30" s="42" t="str">
        <f t="array" ref="AE30">_xlfn.XLOOKUP(B30,'Up Min'!A:A,'Up Min'!H:H,)</f>
        <v/>
      </c>
      <c r="AF30" s="42" t="str">
        <f t="array" ref="AF30">_xlfn.XLOOKUP(B30,'Up Max'!A:A,'Up Max'!H:H,)</f>
        <v/>
      </c>
      <c r="AG30" s="48" t="str">
        <f t="array" ref="AG30">_xlfn.XLOOKUP(B30,'Up Stats'!A:A,'Up Stats'!I:I,)</f>
        <v/>
      </c>
      <c r="AH30" s="40" t="str">
        <f>IFERROR(__xludf.DUMMYFUNCTION("if(AND(AI30=FALSE,AJ30=FALSE),,if(AI30=AJ30,JOIN("""",""Static: "",AI30),JOIN("""",""Min:  "",AI30, CHAR(10),""Max: "",AJ30)))"),"")</f>
        <v/>
      </c>
      <c r="AI30" s="42" t="str">
        <f t="array" ref="AI30">_xlfn.XLOOKUP(B30,'Up Min'!A:A,'Up Min'!I:I,)</f>
        <v/>
      </c>
      <c r="AJ30" s="42" t="str">
        <f t="array" ref="AJ30">_xlfn.XLOOKUP(B30,'Up Max'!A:A,'Up Max'!I:I,)</f>
        <v/>
      </c>
      <c r="AK30" s="48" t="str">
        <f t="array" ref="AK30">_xlfn.XLOOKUP(B30,'Up Stats'!A:A,'Up Stats'!J:J,)</f>
        <v/>
      </c>
      <c r="AL30" s="40" t="str">
        <f>IFERROR(__xludf.DUMMYFUNCTION("if(AND(AM30=FALSE,AN30=FALSE),,if(AM30=AN30,JOIN("""",""Static: "",AM30),JOIN("""",""Min:  "",AM30, CHAR(10),""Max: "",AN30)))"),"")</f>
        <v/>
      </c>
      <c r="AM30" s="42" t="str">
        <f t="array" ref="AM30">_xlfn.XLOOKUP(B30,'Up Min'!A:A,'Up Min'!J:J,)</f>
        <v/>
      </c>
      <c r="AN30" s="42" t="str">
        <f t="array" ref="AN30">_xlfn.XLOOKUP(B30,'Up Max'!A:A,'Up Max'!J:J,)</f>
        <v/>
      </c>
      <c r="AO30" s="34" t="str">
        <f t="array" ref="AO30">CONCATENATE(_xlfn.XLOOKUP(B30,'Up Cells'!A:A,'Up Cells'!B:B,))</f>
        <v/>
      </c>
      <c r="AP30" s="34" t="str">
        <f t="array" ref="AP30">CONCATENATE(_xlfn.XLOOKUP(B30,'Up Rarity'!A:A,'Up Rarity'!B:B,),CHAR(10),"-")</f>
        <v>
-</v>
      </c>
    </row>
    <row r="31">
      <c r="A31" s="86" t="str">
        <f t="array" ref="A31">_xlfn.XLOOKUP(B31,'Up Icon'!A:A,'Up Icon'!B:B,)</f>
        <v/>
      </c>
      <c r="B31" s="61" t="str">
        <f t="array" ref="B31">HYPERLINK(_xlfn.XLOOKUP('Up Names'!M31,'Up Wiki'!A:A,'Up Wiki'!B:B,),'Up Names'!M31)</f>
        <v/>
      </c>
      <c r="C31" s="52" t="str">
        <f t="array" ref="C31">_xlfn.XLOOKUP(B31,'Up Desc'!A:A,'Up Desc'!B:B,)</f>
        <v/>
      </c>
      <c r="D31" s="52" t="str">
        <f t="array" ref="D31">_xlfn.XLOOKUP(B31,'Up Turbo'!A:A,'Up Turbo'!B:B,)</f>
        <v/>
      </c>
      <c r="E31" s="53" t="str">
        <f t="array" ref="E31">_xlfn.XLOOKUP(B31,'Up Stats'!A:A,'Up Stats'!B:B,)</f>
        <v/>
      </c>
      <c r="F31" s="54" t="str">
        <f>IFERROR(__xludf.DUMMYFUNCTION("if(AND(G31=FALSE,H31=FALSE),,if(G31=H31,JOIN("""",""Static: "",G31),JOIN("""",""Min:  "",G31, CHAR(10),""Max: "",H31)))"),"")</f>
        <v/>
      </c>
      <c r="G31" s="55" t="str">
        <f t="array" ref="G31">_xlfn.XLOOKUP(B31,'Up Min'!A:A,'Up Min'!B:B,)</f>
        <v/>
      </c>
      <c r="H31" s="56" t="str">
        <f t="array" ref="H31">_xlfn.XLOOKUP(B31,'Up Max'!A:A,'Up Max'!B:B,)</f>
        <v/>
      </c>
      <c r="I31" s="53" t="str">
        <f t="array" ref="I31">_xlfn.XLOOKUP(B31,'Up Stats'!A:A,'Up Stats'!C:C,)</f>
        <v/>
      </c>
      <c r="J31" s="54" t="str">
        <f>IFERROR(__xludf.DUMMYFUNCTION("if(AND(K31=FALSE,L31=FALSE),,if(K31=L31,JOIN("""",""Static: "",K31),JOIN("""",""Min:  "",K31, CHAR(10),""Max: "",L31)))"),"")</f>
        <v/>
      </c>
      <c r="K31" s="55" t="str">
        <f t="array" ref="K31">_xlfn.XLOOKUP(B31,'Up Min'!A:A,'Up Min'!C:C,)</f>
        <v/>
      </c>
      <c r="L31" s="55" t="str">
        <f t="array" ref="L31">_xlfn.XLOOKUP(B31,'Up Max'!A:A,'Up Max'!C:C,)</f>
        <v/>
      </c>
      <c r="M31" s="53" t="str">
        <f t="array" ref="M31">_xlfn.XLOOKUP(B31,'Up Stats'!A:A,'Up Stats'!D:D,)</f>
        <v/>
      </c>
      <c r="N31" s="54" t="str">
        <f>IFERROR(__xludf.DUMMYFUNCTION("if(AND(O31=FALSE,P31=FALSE),,if(O31=P31,JOIN("""",""Static: "",O31),JOIN("""",""Min:  "",O31, CHAR(10),""Max: "",P31)))"),"")</f>
        <v/>
      </c>
      <c r="O31" s="55" t="str">
        <f t="array" ref="O31">_xlfn.XLOOKUP(B31,'Up Min'!A:A,'Up Min'!D:D,)</f>
        <v/>
      </c>
      <c r="P31" s="55" t="str">
        <f t="array" ref="P31">_xlfn.XLOOKUP(B31,'Up Max'!A:A,'Up Max'!D:D,)</f>
        <v/>
      </c>
      <c r="Q31" s="57" t="str">
        <f t="array" ref="Q31">_xlfn.XLOOKUP(B31,'Up Stats'!A:A,'Up Stats'!E:E,)</f>
        <v/>
      </c>
      <c r="R31" s="54" t="str">
        <f>IFERROR(__xludf.DUMMYFUNCTION("if(AND(S31=FALSE,T31=FALSE),,if(S31=T31,JOIN("""",""Static: "",S31),JOIN("""",""Min:  "",S31, CHAR(10),""Max: "",T31)))"),"")</f>
        <v/>
      </c>
      <c r="S31" s="55" t="str">
        <f t="array" ref="S31">_xlfn.XLOOKUP(B31,'Up Min'!A:A,'Up Min'!E:E,)</f>
        <v/>
      </c>
      <c r="T31" s="55" t="str">
        <f t="array" ref="T31">_xlfn.XLOOKUP(B31,'Up Max'!A:A,'Up Max'!E:E,)</f>
        <v/>
      </c>
      <c r="U31" s="57" t="str">
        <f t="array" ref="U31">_xlfn.XLOOKUP(B31,'Up Stats'!A:A,'Up Stats'!F:F,)</f>
        <v/>
      </c>
      <c r="V31" s="54" t="str">
        <f>IFERROR(__xludf.DUMMYFUNCTION("if(AND(W31=FALSE,X31=FALSE),,if(W31=X31,JOIN("""",""Static: "",W31),JOIN("""",""Min:  "",W31, CHAR(10),""Max: "",X31)))"),"")</f>
        <v/>
      </c>
      <c r="W31" s="55" t="str">
        <f t="array" ref="W31">_xlfn.XLOOKUP(B31,'Up Min'!A:A,'Up Min'!F:F,)</f>
        <v/>
      </c>
      <c r="X31" s="55" t="str">
        <f t="array" ref="X31">_xlfn.XLOOKUP(B31,'Up Max'!A:A,'Up Max'!F:F,)</f>
        <v/>
      </c>
      <c r="Y31" s="57" t="str">
        <f t="array" ref="Y31">_xlfn.XLOOKUP(B31,'Up Stats'!A:A,'Up Stats'!G:G,)</f>
        <v/>
      </c>
      <c r="Z31" s="54" t="str">
        <f>IFERROR(__xludf.DUMMYFUNCTION("if(AND(AA31=FALSE,AB31=FALSE),,if(AA31=AB31,JOIN("""",""Static: "",AA31),JOIN("""",""Min:  "",AA31, CHAR(10),""Max: "",AB31)))"),"")</f>
        <v/>
      </c>
      <c r="AA31" s="55" t="str">
        <f t="array" ref="AA31">_xlfn.XLOOKUP(B31,'Up Min'!A:A,'Up Min'!G:G,)</f>
        <v/>
      </c>
      <c r="AB31" s="55" t="str">
        <f t="array" ref="AB31">_xlfn.XLOOKUP(B31,'Up Max'!A:A,'Up Max'!G:G,)</f>
        <v/>
      </c>
      <c r="AC31" s="57" t="str">
        <f t="array" ref="AC31">_xlfn.XLOOKUP(B31,'Up Stats'!A:A,'Up Stats'!H:H,)</f>
        <v/>
      </c>
      <c r="AD31" s="54" t="str">
        <f>IFERROR(__xludf.DUMMYFUNCTION("if(AND(AE31=FALSE,AF31=FALSE),,if(AE31=AF31,JOIN("""",""Static: "",AE31),JOIN("""",""Min:  "",AE31, CHAR(10),""Max: "",AF31)))"),"")</f>
        <v/>
      </c>
      <c r="AE31" s="55" t="str">
        <f t="array" ref="AE31">_xlfn.XLOOKUP(B31,'Up Min'!A:A,'Up Min'!H:H,)</f>
        <v/>
      </c>
      <c r="AF31" s="55" t="str">
        <f t="array" ref="AF31">_xlfn.XLOOKUP(B31,'Up Max'!A:A,'Up Max'!H:H,)</f>
        <v/>
      </c>
      <c r="AG31" s="57" t="str">
        <f t="array" ref="AG31">_xlfn.XLOOKUP(B31,'Up Stats'!A:A,'Up Stats'!I:I,)</f>
        <v/>
      </c>
      <c r="AH31" s="54" t="str">
        <f>IFERROR(__xludf.DUMMYFUNCTION("if(AND(AI31=FALSE,AJ31=FALSE),,if(AI31=AJ31,JOIN("""",""Static: "",AI31),JOIN("""",""Min:  "",AI31, CHAR(10),""Max: "",AJ31)))"),"")</f>
        <v/>
      </c>
      <c r="AI31" s="55" t="str">
        <f t="array" ref="AI31">_xlfn.XLOOKUP(B31,'Up Min'!A:A,'Up Min'!I:I,)</f>
        <v/>
      </c>
      <c r="AJ31" s="55" t="str">
        <f t="array" ref="AJ31">_xlfn.XLOOKUP(B31,'Up Max'!A:A,'Up Max'!I:I,)</f>
        <v/>
      </c>
      <c r="AK31" s="57" t="str">
        <f t="array" ref="AK31">_xlfn.XLOOKUP(B31,'Up Stats'!A:A,'Up Stats'!J:J,)</f>
        <v/>
      </c>
      <c r="AL31" s="54" t="str">
        <f>IFERROR(__xludf.DUMMYFUNCTION("if(AND(AM31=FALSE,AN31=FALSE),,if(AM31=AN31,JOIN("""",""Static: "",AM31),JOIN("""",""Min:  "",AM31, CHAR(10),""Max: "",AN31)))"),"")</f>
        <v/>
      </c>
      <c r="AM31" s="55" t="str">
        <f t="array" ref="AM31">_xlfn.XLOOKUP(B31,'Up Min'!A:A,'Up Min'!J:J,)</f>
        <v/>
      </c>
      <c r="AN31" s="55" t="str">
        <f t="array" ref="AN31">_xlfn.XLOOKUP(B31,'Up Max'!A:A,'Up Max'!J:J,)</f>
        <v/>
      </c>
      <c r="AO31" s="51" t="str">
        <f t="array" ref="AO31">CONCATENATE(_xlfn.XLOOKUP(B31,'Up Cells'!A:A,'Up Cells'!B:B,))</f>
        <v/>
      </c>
      <c r="AP31" s="51" t="str">
        <f t="array" ref="AP31">CONCATENATE(_xlfn.XLOOKUP(B31,'Up Rarity'!A:A,'Up Rarity'!B:B,),CHAR(10),"-")</f>
        <v>
-</v>
      </c>
    </row>
    <row r="32">
      <c r="A32" s="87" t="str">
        <f t="array" ref="A32">_xlfn.XLOOKUP(B32,'Up Icon'!A:A,'Up Icon'!B:B,)</f>
        <v/>
      </c>
      <c r="B32" s="58" t="str">
        <f t="array" ref="B32">HYPERLINK(_xlfn.XLOOKUP('Up Names'!M32,'Up Wiki'!A:A,'Up Wiki'!B:B,),'Up Names'!M32)</f>
        <v/>
      </c>
      <c r="C32" s="37" t="str">
        <f t="array" ref="C32">_xlfn.XLOOKUP(B32,'Up Desc'!A:A,'Up Desc'!B:B,)</f>
        <v/>
      </c>
      <c r="D32" s="37" t="str">
        <f t="array" ref="D32">_xlfn.XLOOKUP(B32,'Up Turbo'!A:A,'Up Turbo'!B:B,)</f>
        <v/>
      </c>
      <c r="E32" s="39" t="str">
        <f t="array" ref="E32">_xlfn.XLOOKUP(B32,'Up Stats'!A:A,'Up Stats'!B:B,)</f>
        <v/>
      </c>
      <c r="F32" s="40" t="str">
        <f>IFERROR(__xludf.DUMMYFUNCTION("if(AND(G32=FALSE,H32=FALSE),,if(G32=H32,JOIN("""",""Static: "",G32),JOIN("""",""Min:  "",G32, CHAR(10),""Max: "",H32)))"),"")</f>
        <v/>
      </c>
      <c r="G32" s="42" t="str">
        <f t="array" ref="G32">_xlfn.XLOOKUP(B32,'Up Min'!A:A,'Up Min'!B:B,)</f>
        <v/>
      </c>
      <c r="H32" s="45" t="str">
        <f t="array" ref="H32">_xlfn.XLOOKUP(B32,'Up Max'!A:A,'Up Max'!B:B,)</f>
        <v/>
      </c>
      <c r="I32" s="39" t="str">
        <f t="array" ref="I32">_xlfn.XLOOKUP(B32,'Up Stats'!A:A,'Up Stats'!C:C,)</f>
        <v/>
      </c>
      <c r="J32" s="40" t="str">
        <f>IFERROR(__xludf.DUMMYFUNCTION("if(AND(K32=FALSE,L32=FALSE),,if(K32=L32,JOIN("""",""Static: "",K32),JOIN("""",""Min:  "",K32, CHAR(10),""Max: "",L32)))"),"")</f>
        <v/>
      </c>
      <c r="K32" s="42" t="str">
        <f t="array" ref="K32">_xlfn.XLOOKUP(B32,'Up Min'!A:A,'Up Min'!C:C,)</f>
        <v/>
      </c>
      <c r="L32" s="42" t="str">
        <f t="array" ref="L32">_xlfn.XLOOKUP(B32,'Up Max'!A:A,'Up Max'!C:C,)</f>
        <v/>
      </c>
      <c r="M32" s="39" t="str">
        <f t="array" ref="M32">_xlfn.XLOOKUP(B32,'Up Stats'!A:A,'Up Stats'!D:D,)</f>
        <v/>
      </c>
      <c r="N32" s="40" t="str">
        <f>IFERROR(__xludf.DUMMYFUNCTION("if(AND(O32=FALSE,P32=FALSE),,if(O32=P32,JOIN("""",""Static: "",O32),JOIN("""",""Min:  "",O32, CHAR(10),""Max: "",P32)))"),"")</f>
        <v/>
      </c>
      <c r="O32" s="42" t="str">
        <f t="array" ref="O32">_xlfn.XLOOKUP(B32,'Up Min'!A:A,'Up Min'!D:D,)</f>
        <v/>
      </c>
      <c r="P32" s="42" t="str">
        <f t="array" ref="P32">_xlfn.XLOOKUP(B32,'Up Max'!A:A,'Up Max'!D:D,)</f>
        <v/>
      </c>
      <c r="Q32" s="48" t="str">
        <f t="array" ref="Q32">_xlfn.XLOOKUP(B32,'Up Stats'!A:A,'Up Stats'!E:E,)</f>
        <v/>
      </c>
      <c r="R32" s="40" t="str">
        <f>IFERROR(__xludf.DUMMYFUNCTION("if(AND(S32=FALSE,T32=FALSE),,if(S32=T32,JOIN("""",""Static: "",S32),JOIN("""",""Min:  "",S32, CHAR(10),""Max: "",T32)))"),"")</f>
        <v/>
      </c>
      <c r="S32" s="42" t="str">
        <f t="array" ref="S32">_xlfn.XLOOKUP(B32,'Up Min'!A:A,'Up Min'!E:E,)</f>
        <v/>
      </c>
      <c r="T32" s="42" t="str">
        <f t="array" ref="T32">_xlfn.XLOOKUP(B32,'Up Max'!A:A,'Up Max'!E:E,)</f>
        <v/>
      </c>
      <c r="U32" s="48" t="str">
        <f t="array" ref="U32">_xlfn.XLOOKUP(B32,'Up Stats'!A:A,'Up Stats'!F:F,)</f>
        <v/>
      </c>
      <c r="V32" s="40" t="str">
        <f>IFERROR(__xludf.DUMMYFUNCTION("if(AND(W32=FALSE,X32=FALSE),,if(W32=X32,JOIN("""",""Static: "",W32),JOIN("""",""Min:  "",W32, CHAR(10),""Max: "",X32)))"),"")</f>
        <v/>
      </c>
      <c r="W32" s="42" t="str">
        <f t="array" ref="W32">_xlfn.XLOOKUP(B32,'Up Min'!A:A,'Up Min'!F:F,)</f>
        <v/>
      </c>
      <c r="X32" s="42" t="str">
        <f t="array" ref="X32">_xlfn.XLOOKUP(B32,'Up Max'!A:A,'Up Max'!F:F,)</f>
        <v/>
      </c>
      <c r="Y32" s="48" t="str">
        <f t="array" ref="Y32">_xlfn.XLOOKUP(B32,'Up Stats'!A:A,'Up Stats'!G:G,)</f>
        <v/>
      </c>
      <c r="Z32" s="40" t="str">
        <f>IFERROR(__xludf.DUMMYFUNCTION("if(AND(AA32=FALSE,AB32=FALSE),,if(AA32=AB32,JOIN("""",""Static: "",AA32),JOIN("""",""Min:  "",AA32, CHAR(10),""Max: "",AB32)))"),"")</f>
        <v/>
      </c>
      <c r="AA32" s="42" t="str">
        <f t="array" ref="AA32">_xlfn.XLOOKUP(B32,'Up Min'!A:A,'Up Min'!G:G,)</f>
        <v/>
      </c>
      <c r="AB32" s="42" t="str">
        <f t="array" ref="AB32">_xlfn.XLOOKUP(B32,'Up Max'!A:A,'Up Max'!G:G,)</f>
        <v/>
      </c>
      <c r="AC32" s="48" t="str">
        <f t="array" ref="AC32">_xlfn.XLOOKUP(B32,'Up Stats'!A:A,'Up Stats'!H:H,)</f>
        <v/>
      </c>
      <c r="AD32" s="40" t="str">
        <f>IFERROR(__xludf.DUMMYFUNCTION("if(AND(AE32=FALSE,AF32=FALSE),,if(AE32=AF32,JOIN("""",""Static: "",AE32),JOIN("""",""Min:  "",AE32, CHAR(10),""Max: "",AF32)))"),"")</f>
        <v/>
      </c>
      <c r="AE32" s="42" t="str">
        <f t="array" ref="AE32">_xlfn.XLOOKUP(B32,'Up Min'!A:A,'Up Min'!H:H,)</f>
        <v/>
      </c>
      <c r="AF32" s="42" t="str">
        <f t="array" ref="AF32">_xlfn.XLOOKUP(B32,'Up Max'!A:A,'Up Max'!H:H,)</f>
        <v/>
      </c>
      <c r="AG32" s="48" t="str">
        <f t="array" ref="AG32">_xlfn.XLOOKUP(B32,'Up Stats'!A:A,'Up Stats'!I:I,)</f>
        <v/>
      </c>
      <c r="AH32" s="40" t="str">
        <f>IFERROR(__xludf.DUMMYFUNCTION("if(AND(AI32=FALSE,AJ32=FALSE),,if(AI32=AJ32,JOIN("""",""Static: "",AI32),JOIN("""",""Min:  "",AI32, CHAR(10),""Max: "",AJ32)))"),"")</f>
        <v/>
      </c>
      <c r="AI32" s="42" t="str">
        <f t="array" ref="AI32">_xlfn.XLOOKUP(B32,'Up Min'!A:A,'Up Min'!I:I,)</f>
        <v/>
      </c>
      <c r="AJ32" s="42" t="str">
        <f t="array" ref="AJ32">_xlfn.XLOOKUP(B32,'Up Max'!A:A,'Up Max'!I:I,)</f>
        <v/>
      </c>
      <c r="AK32" s="48" t="str">
        <f t="array" ref="AK32">_xlfn.XLOOKUP(B32,'Up Stats'!A:A,'Up Stats'!J:J,)</f>
        <v/>
      </c>
      <c r="AL32" s="40" t="str">
        <f>IFERROR(__xludf.DUMMYFUNCTION("if(AND(AM32=FALSE,AN32=FALSE),,if(AM32=AN32,JOIN("""",""Static: "",AM32),JOIN("""",""Min:  "",AM32, CHAR(10),""Max: "",AN32)))"),"")</f>
        <v/>
      </c>
      <c r="AM32" s="42" t="str">
        <f t="array" ref="AM32">_xlfn.XLOOKUP(B32,'Up Min'!A:A,'Up Min'!J:J,)</f>
        <v/>
      </c>
      <c r="AN32" s="42" t="str">
        <f t="array" ref="AN32">_xlfn.XLOOKUP(B32,'Up Max'!A:A,'Up Max'!J:J,)</f>
        <v/>
      </c>
      <c r="AO32" s="34" t="str">
        <f t="array" ref="AO32">CONCATENATE(_xlfn.XLOOKUP(B32,'Up Cells'!A:A,'Up Cells'!B:B,))</f>
        <v/>
      </c>
      <c r="AP32" s="34" t="str">
        <f t="array" ref="AP32">CONCATENATE(_xlfn.XLOOKUP(B32,'Up Rarity'!A:A,'Up Rarity'!B:B,),CHAR(10),"-")</f>
        <v>
-</v>
      </c>
    </row>
    <row r="33">
      <c r="A33" s="86" t="str">
        <f t="array" ref="A33">_xlfn.XLOOKUP(B33,'Up Icon'!A:A,'Up Icon'!B:B,)</f>
        <v/>
      </c>
      <c r="B33" s="61" t="str">
        <f t="array" ref="B33">HYPERLINK(_xlfn.XLOOKUP('Up Names'!M33,'Up Wiki'!A:A,'Up Wiki'!B:B,),'Up Names'!M33)</f>
        <v/>
      </c>
      <c r="C33" s="52" t="str">
        <f t="array" ref="C33">_xlfn.XLOOKUP(B33,'Up Desc'!A:A,'Up Desc'!B:B,)</f>
        <v/>
      </c>
      <c r="D33" s="52" t="str">
        <f t="array" ref="D33">_xlfn.XLOOKUP(B33,'Up Turbo'!A:A,'Up Turbo'!B:B,)</f>
        <v/>
      </c>
      <c r="E33" s="53" t="str">
        <f t="array" ref="E33">_xlfn.XLOOKUP(B33,'Up Stats'!A:A,'Up Stats'!B:B,)</f>
        <v/>
      </c>
      <c r="F33" s="54" t="str">
        <f>IFERROR(__xludf.DUMMYFUNCTION("if(AND(G33=FALSE,H33=FALSE),,if(G33=H33,JOIN("""",""Static: "",G33),JOIN("""",""Min:  "",G33, CHAR(10),""Max: "",H33)))"),"")</f>
        <v/>
      </c>
      <c r="G33" s="55" t="str">
        <f t="array" ref="G33">_xlfn.XLOOKUP(B33,'Up Min'!A:A,'Up Min'!B:B,)</f>
        <v/>
      </c>
      <c r="H33" s="56" t="str">
        <f t="array" ref="H33">_xlfn.XLOOKUP(B33,'Up Max'!A:A,'Up Max'!B:B,)</f>
        <v/>
      </c>
      <c r="I33" s="53" t="str">
        <f t="array" ref="I33">_xlfn.XLOOKUP(B33,'Up Stats'!A:A,'Up Stats'!C:C,)</f>
        <v/>
      </c>
      <c r="J33" s="54" t="str">
        <f>IFERROR(__xludf.DUMMYFUNCTION("if(AND(K33=FALSE,L33=FALSE),,if(K33=L33,JOIN("""",""Static: "",K33),JOIN("""",""Min:  "",K33, CHAR(10),""Max: "",L33)))"),"")</f>
        <v/>
      </c>
      <c r="K33" s="55" t="str">
        <f t="array" ref="K33">_xlfn.XLOOKUP(B33,'Up Min'!A:A,'Up Min'!C:C,)</f>
        <v/>
      </c>
      <c r="L33" s="55" t="str">
        <f t="array" ref="L33">_xlfn.XLOOKUP(B33,'Up Max'!A:A,'Up Max'!C:C,)</f>
        <v/>
      </c>
      <c r="M33" s="53" t="str">
        <f t="array" ref="M33">_xlfn.XLOOKUP(B33,'Up Stats'!A:A,'Up Stats'!D:D,)</f>
        <v/>
      </c>
      <c r="N33" s="54" t="str">
        <f>IFERROR(__xludf.DUMMYFUNCTION("if(AND(O33=FALSE,P33=FALSE),,if(O33=P33,JOIN("""",""Static: "",O33),JOIN("""",""Min:  "",O33, CHAR(10),""Max: "",P33)))"),"")</f>
        <v/>
      </c>
      <c r="O33" s="55" t="str">
        <f t="array" ref="O33">_xlfn.XLOOKUP(B33,'Up Min'!A:A,'Up Min'!D:D,)</f>
        <v/>
      </c>
      <c r="P33" s="55" t="str">
        <f t="array" ref="P33">_xlfn.XLOOKUP(B33,'Up Max'!A:A,'Up Max'!D:D,)</f>
        <v/>
      </c>
      <c r="Q33" s="57" t="str">
        <f t="array" ref="Q33">_xlfn.XLOOKUP(B33,'Up Stats'!A:A,'Up Stats'!E:E,)</f>
        <v/>
      </c>
      <c r="R33" s="54" t="str">
        <f>IFERROR(__xludf.DUMMYFUNCTION("if(AND(S33=FALSE,T33=FALSE),,if(S33=T33,JOIN("""",""Static: "",S33),JOIN("""",""Min:  "",S33, CHAR(10),""Max: "",T33)))"),"")</f>
        <v/>
      </c>
      <c r="S33" s="55" t="str">
        <f t="array" ref="S33">_xlfn.XLOOKUP(B33,'Up Min'!A:A,'Up Min'!E:E,)</f>
        <v/>
      </c>
      <c r="T33" s="55" t="str">
        <f t="array" ref="T33">_xlfn.XLOOKUP(B33,'Up Max'!A:A,'Up Max'!E:E,)</f>
        <v/>
      </c>
      <c r="U33" s="57" t="str">
        <f t="array" ref="U33">_xlfn.XLOOKUP(B33,'Up Stats'!A:A,'Up Stats'!F:F,)</f>
        <v/>
      </c>
      <c r="V33" s="54" t="str">
        <f>IFERROR(__xludf.DUMMYFUNCTION("if(AND(W33=FALSE,X33=FALSE),,if(W33=X33,JOIN("""",""Static: "",W33),JOIN("""",""Min:  "",W33, CHAR(10),""Max: "",X33)))"),"")</f>
        <v/>
      </c>
      <c r="W33" s="55" t="str">
        <f t="array" ref="W33">_xlfn.XLOOKUP(B33,'Up Min'!A:A,'Up Min'!F:F,)</f>
        <v/>
      </c>
      <c r="X33" s="55" t="str">
        <f t="array" ref="X33">_xlfn.XLOOKUP(B33,'Up Max'!A:A,'Up Max'!F:F,)</f>
        <v/>
      </c>
      <c r="Y33" s="57" t="str">
        <f t="array" ref="Y33">_xlfn.XLOOKUP(B33,'Up Stats'!A:A,'Up Stats'!G:G,)</f>
        <v/>
      </c>
      <c r="Z33" s="54" t="str">
        <f>IFERROR(__xludf.DUMMYFUNCTION("if(AND(AA33=FALSE,AB33=FALSE),,if(AA33=AB33,JOIN("""",""Static: "",AA33),JOIN("""",""Min:  "",AA33, CHAR(10),""Max: "",AB33)))"),"")</f>
        <v/>
      </c>
      <c r="AA33" s="55" t="str">
        <f t="array" ref="AA33">_xlfn.XLOOKUP(B33,'Up Min'!A:A,'Up Min'!G:G,)</f>
        <v/>
      </c>
      <c r="AB33" s="55" t="str">
        <f t="array" ref="AB33">_xlfn.XLOOKUP(B33,'Up Max'!A:A,'Up Max'!G:G,)</f>
        <v/>
      </c>
      <c r="AC33" s="57" t="str">
        <f t="array" ref="AC33">_xlfn.XLOOKUP(B33,'Up Stats'!A:A,'Up Stats'!H:H,)</f>
        <v/>
      </c>
      <c r="AD33" s="54" t="str">
        <f>IFERROR(__xludf.DUMMYFUNCTION("if(AND(AE33=FALSE,AF33=FALSE),,if(AE33=AF33,JOIN("""",""Static: "",AE33),JOIN("""",""Min:  "",AE33, CHAR(10),""Max: "",AF33)))"),"")</f>
        <v/>
      </c>
      <c r="AE33" s="55" t="str">
        <f t="array" ref="AE33">_xlfn.XLOOKUP(B33,'Up Min'!A:A,'Up Min'!H:H,)</f>
        <v/>
      </c>
      <c r="AF33" s="55" t="str">
        <f t="array" ref="AF33">_xlfn.XLOOKUP(B33,'Up Max'!A:A,'Up Max'!H:H,)</f>
        <v/>
      </c>
      <c r="AG33" s="57" t="str">
        <f t="array" ref="AG33">_xlfn.XLOOKUP(B33,'Up Stats'!A:A,'Up Stats'!I:I,)</f>
        <v/>
      </c>
      <c r="AH33" s="54" t="str">
        <f>IFERROR(__xludf.DUMMYFUNCTION("if(AND(AI33=FALSE,AJ33=FALSE),,if(AI33=AJ33,JOIN("""",""Static: "",AI33),JOIN("""",""Min:  "",AI33, CHAR(10),""Max: "",AJ33)))"),"")</f>
        <v/>
      </c>
      <c r="AI33" s="55" t="str">
        <f t="array" ref="AI33">_xlfn.XLOOKUP(B33,'Up Min'!A:A,'Up Min'!I:I,)</f>
        <v/>
      </c>
      <c r="AJ33" s="55" t="str">
        <f t="array" ref="AJ33">_xlfn.XLOOKUP(B33,'Up Max'!A:A,'Up Max'!I:I,)</f>
        <v/>
      </c>
      <c r="AK33" s="57" t="str">
        <f t="array" ref="AK33">_xlfn.XLOOKUP(B33,'Up Stats'!A:A,'Up Stats'!J:J,)</f>
        <v/>
      </c>
      <c r="AL33" s="54" t="str">
        <f>IFERROR(__xludf.DUMMYFUNCTION("if(AND(AM33=FALSE,AN33=FALSE),,if(AM33=AN33,JOIN("""",""Static: "",AM33),JOIN("""",""Min:  "",AM33, CHAR(10),""Max: "",AN33)))"),"")</f>
        <v/>
      </c>
      <c r="AM33" s="55" t="str">
        <f t="array" ref="AM33">_xlfn.XLOOKUP(B33,'Up Min'!A:A,'Up Min'!J:J,)</f>
        <v/>
      </c>
      <c r="AN33" s="55" t="str">
        <f t="array" ref="AN33">_xlfn.XLOOKUP(B33,'Up Max'!A:A,'Up Max'!J:J,)</f>
        <v/>
      </c>
      <c r="AO33" s="51" t="str">
        <f t="array" ref="AO33">CONCATENATE(_xlfn.XLOOKUP(B33,'Up Cells'!A:A,'Up Cells'!B:B,))</f>
        <v/>
      </c>
      <c r="AP33" s="51" t="str">
        <f t="array" ref="AP33">CONCATENATE(_xlfn.XLOOKUP(B33,'Up Rarity'!A:A,'Up Rarity'!B:B,),CHAR(10),"-")</f>
        <v>
-</v>
      </c>
    </row>
    <row r="34">
      <c r="A34" s="87" t="str">
        <f t="array" ref="A34">_xlfn.XLOOKUP(B34,'Up Icon'!A:A,'Up Icon'!B:B,)</f>
        <v/>
      </c>
      <c r="B34" s="58" t="str">
        <f t="array" ref="B34">HYPERLINK(_xlfn.XLOOKUP('Up Names'!M34,'Up Wiki'!A:A,'Up Wiki'!B:B,),'Up Names'!M34)</f>
        <v/>
      </c>
      <c r="C34" s="37" t="str">
        <f t="array" ref="C34">_xlfn.XLOOKUP(B34,'Up Desc'!A:A,'Up Desc'!B:B,)</f>
        <v/>
      </c>
      <c r="D34" s="37" t="str">
        <f t="array" ref="D34">_xlfn.XLOOKUP(B34,'Up Turbo'!A:A,'Up Turbo'!B:B,)</f>
        <v/>
      </c>
      <c r="E34" s="39" t="str">
        <f t="array" ref="E34">_xlfn.XLOOKUP(B34,'Up Stats'!A:A,'Up Stats'!B:B,)</f>
        <v/>
      </c>
      <c r="F34" s="40" t="str">
        <f>IFERROR(__xludf.DUMMYFUNCTION("if(AND(G34=FALSE,H34=FALSE),,if(G34=H34,JOIN("""",""Static: "",G34),JOIN("""",""Min:  "",G34, CHAR(10),""Max: "",H34)))"),"")</f>
        <v/>
      </c>
      <c r="G34" s="42" t="str">
        <f t="array" ref="G34">_xlfn.XLOOKUP(B34,'Up Min'!A:A,'Up Min'!B:B,)</f>
        <v/>
      </c>
      <c r="H34" s="45" t="str">
        <f t="array" ref="H34">_xlfn.XLOOKUP(B34,'Up Max'!A:A,'Up Max'!B:B,)</f>
        <v/>
      </c>
      <c r="I34" s="39" t="str">
        <f t="array" ref="I34">_xlfn.XLOOKUP(B34,'Up Stats'!A:A,'Up Stats'!C:C,)</f>
        <v/>
      </c>
      <c r="J34" s="40" t="str">
        <f>IFERROR(__xludf.DUMMYFUNCTION("if(AND(K34=FALSE,L34=FALSE),,if(K34=L34,JOIN("""",""Static: "",K34),JOIN("""",""Min:  "",K34, CHAR(10),""Max: "",L34)))"),"")</f>
        <v/>
      </c>
      <c r="K34" s="42" t="str">
        <f t="array" ref="K34">_xlfn.XLOOKUP(B34,'Up Min'!A:A,'Up Min'!C:C,)</f>
        <v/>
      </c>
      <c r="L34" s="42" t="str">
        <f t="array" ref="L34">_xlfn.XLOOKUP(B34,'Up Max'!A:A,'Up Max'!C:C,)</f>
        <v/>
      </c>
      <c r="M34" s="39" t="str">
        <f t="array" ref="M34">_xlfn.XLOOKUP(B34,'Up Stats'!A:A,'Up Stats'!D:D,)</f>
        <v/>
      </c>
      <c r="N34" s="40" t="str">
        <f>IFERROR(__xludf.DUMMYFUNCTION("if(AND(O34=FALSE,P34=FALSE),,if(O34=P34,JOIN("""",""Static: "",O34),JOIN("""",""Min:  "",O34, CHAR(10),""Max: "",P34)))"),"")</f>
        <v/>
      </c>
      <c r="O34" s="42" t="str">
        <f t="array" ref="O34">_xlfn.XLOOKUP(B34,'Up Min'!A:A,'Up Min'!D:D,)</f>
        <v/>
      </c>
      <c r="P34" s="42" t="str">
        <f t="array" ref="P34">_xlfn.XLOOKUP(B34,'Up Max'!A:A,'Up Max'!D:D,)</f>
        <v/>
      </c>
      <c r="Q34" s="48" t="str">
        <f t="array" ref="Q34">_xlfn.XLOOKUP(B34,'Up Stats'!A:A,'Up Stats'!E:E,)</f>
        <v/>
      </c>
      <c r="R34" s="40" t="str">
        <f>IFERROR(__xludf.DUMMYFUNCTION("if(AND(S34=FALSE,T34=FALSE),,if(S34=T34,JOIN("""",""Static: "",S34),JOIN("""",""Min:  "",S34, CHAR(10),""Max: "",T34)))"),"")</f>
        <v/>
      </c>
      <c r="S34" s="42" t="str">
        <f t="array" ref="S34">_xlfn.XLOOKUP(B34,'Up Min'!A:A,'Up Min'!E:E,)</f>
        <v/>
      </c>
      <c r="T34" s="42" t="str">
        <f t="array" ref="T34">_xlfn.XLOOKUP(B34,'Up Max'!A:A,'Up Max'!E:E,)</f>
        <v/>
      </c>
      <c r="U34" s="48" t="str">
        <f t="array" ref="U34">_xlfn.XLOOKUP(B34,'Up Stats'!A:A,'Up Stats'!F:F,)</f>
        <v/>
      </c>
      <c r="V34" s="40" t="str">
        <f>IFERROR(__xludf.DUMMYFUNCTION("if(AND(W34=FALSE,X34=FALSE),,if(W34=X34,JOIN("""",""Static: "",W34),JOIN("""",""Min:  "",W34, CHAR(10),""Max: "",X34)))"),"")</f>
        <v/>
      </c>
      <c r="W34" s="42" t="str">
        <f t="array" ref="W34">_xlfn.XLOOKUP(B34,'Up Min'!A:A,'Up Min'!F:F,)</f>
        <v/>
      </c>
      <c r="X34" s="42" t="str">
        <f t="array" ref="X34">_xlfn.XLOOKUP(B34,'Up Max'!A:A,'Up Max'!F:F,)</f>
        <v/>
      </c>
      <c r="Y34" s="48" t="str">
        <f t="array" ref="Y34">_xlfn.XLOOKUP(B34,'Up Stats'!A:A,'Up Stats'!G:G,)</f>
        <v/>
      </c>
      <c r="Z34" s="40" t="str">
        <f>IFERROR(__xludf.DUMMYFUNCTION("if(AND(AA34=FALSE,AB34=FALSE),,if(AA34=AB34,JOIN("""",""Static: "",AA34),JOIN("""",""Min:  "",AA34, CHAR(10),""Max: "",AB34)))"),"")</f>
        <v/>
      </c>
      <c r="AA34" s="42" t="str">
        <f t="array" ref="AA34">_xlfn.XLOOKUP(B34,'Up Min'!A:A,'Up Min'!G:G,)</f>
        <v/>
      </c>
      <c r="AB34" s="42" t="str">
        <f t="array" ref="AB34">_xlfn.XLOOKUP(B34,'Up Max'!A:A,'Up Max'!G:G,)</f>
        <v/>
      </c>
      <c r="AC34" s="48" t="str">
        <f t="array" ref="AC34">_xlfn.XLOOKUP(B34,'Up Stats'!A:A,'Up Stats'!H:H,)</f>
        <v/>
      </c>
      <c r="AD34" s="40" t="str">
        <f>IFERROR(__xludf.DUMMYFUNCTION("if(AND(AE34=FALSE,AF34=FALSE),,if(AE34=AF34,JOIN("""",""Static: "",AE34),JOIN("""",""Min:  "",AE34, CHAR(10),""Max: "",AF34)))"),"")</f>
        <v/>
      </c>
      <c r="AE34" s="42" t="str">
        <f t="array" ref="AE34">_xlfn.XLOOKUP(B34,'Up Min'!A:A,'Up Min'!H:H,)</f>
        <v/>
      </c>
      <c r="AF34" s="42" t="str">
        <f t="array" ref="AF34">_xlfn.XLOOKUP(B34,'Up Max'!A:A,'Up Max'!H:H,)</f>
        <v/>
      </c>
      <c r="AG34" s="48" t="str">
        <f t="array" ref="AG34">_xlfn.XLOOKUP(B34,'Up Stats'!A:A,'Up Stats'!I:I,)</f>
        <v/>
      </c>
      <c r="AH34" s="40" t="str">
        <f>IFERROR(__xludf.DUMMYFUNCTION("if(AND(AI34=FALSE,AJ34=FALSE),,if(AI34=AJ34,JOIN("""",""Static: "",AI34),JOIN("""",""Min:  "",AI34, CHAR(10),""Max: "",AJ34)))"),"")</f>
        <v/>
      </c>
      <c r="AI34" s="42" t="str">
        <f t="array" ref="AI34">_xlfn.XLOOKUP(B34,'Up Min'!A:A,'Up Min'!I:I,)</f>
        <v/>
      </c>
      <c r="AJ34" s="42" t="str">
        <f t="array" ref="AJ34">_xlfn.XLOOKUP(B34,'Up Max'!A:A,'Up Max'!I:I,)</f>
        <v/>
      </c>
      <c r="AK34" s="48" t="str">
        <f t="array" ref="AK34">_xlfn.XLOOKUP(B34,'Up Stats'!A:A,'Up Stats'!J:J,)</f>
        <v/>
      </c>
      <c r="AL34" s="40" t="str">
        <f>IFERROR(__xludf.DUMMYFUNCTION("if(AND(AM34=FALSE,AN34=FALSE),,if(AM34=AN34,JOIN("""",""Static: "",AM34),JOIN("""",""Min:  "",AM34, CHAR(10),""Max: "",AN34)))"),"")</f>
        <v/>
      </c>
      <c r="AM34" s="42" t="str">
        <f t="array" ref="AM34">_xlfn.XLOOKUP(B34,'Up Min'!A:A,'Up Min'!J:J,)</f>
        <v/>
      </c>
      <c r="AN34" s="42" t="str">
        <f t="array" ref="AN34">_xlfn.XLOOKUP(B34,'Up Max'!A:A,'Up Max'!J:J,)</f>
        <v/>
      </c>
      <c r="AO34" s="34" t="str">
        <f t="array" ref="AO34">CONCATENATE(_xlfn.XLOOKUP(B34,'Up Cells'!A:A,'Up Cells'!B:B,))</f>
        <v/>
      </c>
      <c r="AP34" s="34" t="str">
        <f t="array" ref="AP34">CONCATENATE(_xlfn.XLOOKUP(B34,'Up Rarity'!A:A,'Up Rarity'!B:B,),CHAR(10),"-")</f>
        <v>
-</v>
      </c>
    </row>
    <row r="35">
      <c r="A35" s="86" t="str">
        <f t="array" ref="A35">_xlfn.XLOOKUP(B35,'Up Icon'!A:A,'Up Icon'!B:B,)</f>
        <v/>
      </c>
      <c r="B35" s="61" t="str">
        <f t="array" ref="B35">HYPERLINK(_xlfn.XLOOKUP('Up Names'!M35,'Up Wiki'!A:A,'Up Wiki'!B:B,),'Up Names'!M35)</f>
        <v/>
      </c>
      <c r="C35" s="52" t="str">
        <f t="array" ref="C35">_xlfn.XLOOKUP(B35,'Up Desc'!A:A,'Up Desc'!B:B,)</f>
        <v/>
      </c>
      <c r="D35" s="52" t="str">
        <f t="array" ref="D35">_xlfn.XLOOKUP(B35,'Up Turbo'!A:A,'Up Turbo'!B:B,)</f>
        <v/>
      </c>
      <c r="E35" s="53" t="str">
        <f t="array" ref="E35">_xlfn.XLOOKUP(B35,'Up Stats'!A:A,'Up Stats'!B:B,)</f>
        <v/>
      </c>
      <c r="F35" s="54" t="str">
        <f>IFERROR(__xludf.DUMMYFUNCTION("if(AND(G35=FALSE,H35=FALSE),,if(G35=H35,JOIN("""",""Static: "",G35),JOIN("""",""Min:  "",G35, CHAR(10),""Max: "",H35)))"),"")</f>
        <v/>
      </c>
      <c r="G35" s="55" t="str">
        <f t="array" ref="G35">_xlfn.XLOOKUP(B35,'Up Min'!A:A,'Up Min'!B:B,)</f>
        <v/>
      </c>
      <c r="H35" s="56" t="str">
        <f t="array" ref="H35">_xlfn.XLOOKUP(B35,'Up Max'!A:A,'Up Max'!B:B,)</f>
        <v/>
      </c>
      <c r="I35" s="53" t="str">
        <f t="array" ref="I35">_xlfn.XLOOKUP(B35,'Up Stats'!A:A,'Up Stats'!C:C,)</f>
        <v/>
      </c>
      <c r="J35" s="54" t="str">
        <f>IFERROR(__xludf.DUMMYFUNCTION("if(AND(K35=FALSE,L35=FALSE),,if(K35=L35,JOIN("""",""Static: "",K35),JOIN("""",""Min:  "",K35, CHAR(10),""Max: "",L35)))"),"")</f>
        <v/>
      </c>
      <c r="K35" s="55" t="str">
        <f t="array" ref="K35">_xlfn.XLOOKUP(B35,'Up Min'!A:A,'Up Min'!C:C,)</f>
        <v/>
      </c>
      <c r="L35" s="55" t="str">
        <f t="array" ref="L35">_xlfn.XLOOKUP(B35,'Up Max'!A:A,'Up Max'!C:C,)</f>
        <v/>
      </c>
      <c r="M35" s="53" t="str">
        <f t="array" ref="M35">_xlfn.XLOOKUP(B35,'Up Stats'!A:A,'Up Stats'!D:D,)</f>
        <v/>
      </c>
      <c r="N35" s="54" t="str">
        <f>IFERROR(__xludf.DUMMYFUNCTION("if(AND(O35=FALSE,P35=FALSE),,if(O35=P35,JOIN("""",""Static: "",O35),JOIN("""",""Min:  "",O35, CHAR(10),""Max: "",P35)))"),"")</f>
        <v/>
      </c>
      <c r="O35" s="55" t="str">
        <f t="array" ref="O35">_xlfn.XLOOKUP(B35,'Up Min'!A:A,'Up Min'!D:D,)</f>
        <v/>
      </c>
      <c r="P35" s="55" t="str">
        <f t="array" ref="P35">_xlfn.XLOOKUP(B35,'Up Max'!A:A,'Up Max'!D:D,)</f>
        <v/>
      </c>
      <c r="Q35" s="57" t="str">
        <f t="array" ref="Q35">_xlfn.XLOOKUP(B35,'Up Stats'!A:A,'Up Stats'!E:E,)</f>
        <v/>
      </c>
      <c r="R35" s="54" t="str">
        <f>IFERROR(__xludf.DUMMYFUNCTION("if(AND(S35=FALSE,T35=FALSE),,if(S35=T35,JOIN("""",""Static: "",S35),JOIN("""",""Min:  "",S35, CHAR(10),""Max: "",T35)))"),"")</f>
        <v/>
      </c>
      <c r="S35" s="55" t="str">
        <f t="array" ref="S35">_xlfn.XLOOKUP(B35,'Up Min'!A:A,'Up Min'!E:E,)</f>
        <v/>
      </c>
      <c r="T35" s="55" t="str">
        <f t="array" ref="T35">_xlfn.XLOOKUP(B35,'Up Max'!A:A,'Up Max'!E:E,)</f>
        <v/>
      </c>
      <c r="U35" s="57" t="str">
        <f t="array" ref="U35">_xlfn.XLOOKUP(B35,'Up Stats'!A:A,'Up Stats'!F:F,)</f>
        <v/>
      </c>
      <c r="V35" s="54" t="str">
        <f>IFERROR(__xludf.DUMMYFUNCTION("if(AND(W35=FALSE,X35=FALSE),,if(W35=X35,JOIN("""",""Static: "",W35),JOIN("""",""Min:  "",W35, CHAR(10),""Max: "",X35)))"),"")</f>
        <v/>
      </c>
      <c r="W35" s="55" t="str">
        <f t="array" ref="W35">_xlfn.XLOOKUP(B35,'Up Min'!A:A,'Up Min'!F:F,)</f>
        <v/>
      </c>
      <c r="X35" s="55" t="str">
        <f t="array" ref="X35">_xlfn.XLOOKUP(B35,'Up Max'!A:A,'Up Max'!F:F,)</f>
        <v/>
      </c>
      <c r="Y35" s="57" t="str">
        <f t="array" ref="Y35">_xlfn.XLOOKUP(B35,'Up Stats'!A:A,'Up Stats'!G:G,)</f>
        <v/>
      </c>
      <c r="Z35" s="54" t="str">
        <f>IFERROR(__xludf.DUMMYFUNCTION("if(AND(AA35=FALSE,AB35=FALSE),,if(AA35=AB35,JOIN("""",""Static: "",AA35),JOIN("""",""Min:  "",AA35, CHAR(10),""Max: "",AB35)))"),"")</f>
        <v/>
      </c>
      <c r="AA35" s="55" t="str">
        <f t="array" ref="AA35">_xlfn.XLOOKUP(B35,'Up Min'!A:A,'Up Min'!G:G,)</f>
        <v/>
      </c>
      <c r="AB35" s="55" t="str">
        <f t="array" ref="AB35">_xlfn.XLOOKUP(B35,'Up Max'!A:A,'Up Max'!G:G,)</f>
        <v/>
      </c>
      <c r="AC35" s="57" t="str">
        <f t="array" ref="AC35">_xlfn.XLOOKUP(B35,'Up Stats'!A:A,'Up Stats'!H:H,)</f>
        <v/>
      </c>
      <c r="AD35" s="54" t="str">
        <f>IFERROR(__xludf.DUMMYFUNCTION("if(AND(AE35=FALSE,AF35=FALSE),,if(AE35=AF35,JOIN("""",""Static: "",AE35),JOIN("""",""Min:  "",AE35, CHAR(10),""Max: "",AF35)))"),"")</f>
        <v/>
      </c>
      <c r="AE35" s="55" t="str">
        <f t="array" ref="AE35">_xlfn.XLOOKUP(B35,'Up Min'!A:A,'Up Min'!H:H,)</f>
        <v/>
      </c>
      <c r="AF35" s="55" t="str">
        <f t="array" ref="AF35">_xlfn.XLOOKUP(B35,'Up Max'!A:A,'Up Max'!H:H,)</f>
        <v/>
      </c>
      <c r="AG35" s="57" t="str">
        <f t="array" ref="AG35">_xlfn.XLOOKUP(B35,'Up Stats'!A:A,'Up Stats'!I:I,)</f>
        <v/>
      </c>
      <c r="AH35" s="54" t="str">
        <f>IFERROR(__xludf.DUMMYFUNCTION("if(AND(AI35=FALSE,AJ35=FALSE),,if(AI35=AJ35,JOIN("""",""Static: "",AI35),JOIN("""",""Min:  "",AI35, CHAR(10),""Max: "",AJ35)))"),"")</f>
        <v/>
      </c>
      <c r="AI35" s="55" t="str">
        <f t="array" ref="AI35">_xlfn.XLOOKUP(B35,'Up Min'!A:A,'Up Min'!I:I,)</f>
        <v/>
      </c>
      <c r="AJ35" s="55" t="str">
        <f t="array" ref="AJ35">_xlfn.XLOOKUP(B35,'Up Max'!A:A,'Up Max'!I:I,)</f>
        <v/>
      </c>
      <c r="AK35" s="57" t="str">
        <f t="array" ref="AK35">_xlfn.XLOOKUP(B35,'Up Stats'!A:A,'Up Stats'!J:J,)</f>
        <v/>
      </c>
      <c r="AL35" s="54" t="str">
        <f>IFERROR(__xludf.DUMMYFUNCTION("if(AND(AM35=FALSE,AN35=FALSE),,if(AM35=AN35,JOIN("""",""Static: "",AM35),JOIN("""",""Min:  "",AM35, CHAR(10),""Max: "",AN35)))"),"")</f>
        <v/>
      </c>
      <c r="AM35" s="55" t="str">
        <f t="array" ref="AM35">_xlfn.XLOOKUP(B35,'Up Min'!A:A,'Up Min'!J:J,)</f>
        <v/>
      </c>
      <c r="AN35" s="55" t="str">
        <f t="array" ref="AN35">_xlfn.XLOOKUP(B35,'Up Max'!A:A,'Up Max'!J:J,)</f>
        <v/>
      </c>
      <c r="AO35" s="51" t="str">
        <f t="array" ref="AO35">CONCATENATE(_xlfn.XLOOKUP(B35,'Up Cells'!A:A,'Up Cells'!B:B,))</f>
        <v/>
      </c>
      <c r="AP35" s="51" t="str">
        <f t="array" ref="AP35">CONCATENATE(_xlfn.XLOOKUP(B35,'Up Rarity'!A:A,'Up Rarity'!B:B,),CHAR(10),"-")</f>
        <v>
-</v>
      </c>
    </row>
    <row r="36">
      <c r="A36" s="87" t="str">
        <f t="array" ref="A36">_xlfn.XLOOKUP(B36,'Up Icon'!A:A,'Up Icon'!B:B,)</f>
        <v/>
      </c>
      <c r="B36" s="58" t="str">
        <f t="array" ref="B36">HYPERLINK(_xlfn.XLOOKUP('Up Names'!M36,'Up Wiki'!A:A,'Up Wiki'!B:B,),'Up Names'!M36)</f>
        <v/>
      </c>
      <c r="C36" s="37" t="str">
        <f t="array" ref="C36">_xlfn.XLOOKUP(B36,'Up Desc'!A:A,'Up Desc'!B:B,)</f>
        <v/>
      </c>
      <c r="D36" s="37" t="str">
        <f t="array" ref="D36">_xlfn.XLOOKUP(B36,'Up Turbo'!A:A,'Up Turbo'!B:B,)</f>
        <v/>
      </c>
      <c r="E36" s="39" t="str">
        <f t="array" ref="E36">_xlfn.XLOOKUP(B36,'Up Stats'!A:A,'Up Stats'!B:B,)</f>
        <v/>
      </c>
      <c r="F36" s="40" t="str">
        <f>IFERROR(__xludf.DUMMYFUNCTION("if(AND(G36=FALSE,H36=FALSE),,if(G36=H36,JOIN("""",""Static: "",G36),JOIN("""",""Min:  "",G36, CHAR(10),""Max: "",H36)))"),"")</f>
        <v/>
      </c>
      <c r="G36" s="42" t="str">
        <f t="array" ref="G36">_xlfn.XLOOKUP(B36,'Up Min'!A:A,'Up Min'!B:B,)</f>
        <v/>
      </c>
      <c r="H36" s="45" t="str">
        <f t="array" ref="H36">_xlfn.XLOOKUP(B36,'Up Max'!A:A,'Up Max'!B:B,)</f>
        <v/>
      </c>
      <c r="I36" s="39" t="str">
        <f t="array" ref="I36">_xlfn.XLOOKUP(B36,'Up Stats'!A:A,'Up Stats'!C:C,)</f>
        <v/>
      </c>
      <c r="J36" s="40" t="str">
        <f>IFERROR(__xludf.DUMMYFUNCTION("if(AND(K36=FALSE,L36=FALSE),,if(K36=L36,JOIN("""",""Static: "",K36),JOIN("""",""Min:  "",K36, CHAR(10),""Max: "",L36)))"),"")</f>
        <v/>
      </c>
      <c r="K36" s="42" t="str">
        <f t="array" ref="K36">_xlfn.XLOOKUP(B36,'Up Min'!A:A,'Up Min'!C:C,)</f>
        <v/>
      </c>
      <c r="L36" s="42" t="str">
        <f t="array" ref="L36">_xlfn.XLOOKUP(B36,'Up Max'!A:A,'Up Max'!C:C,)</f>
        <v/>
      </c>
      <c r="M36" s="39" t="str">
        <f t="array" ref="M36">_xlfn.XLOOKUP(B36,'Up Stats'!A:A,'Up Stats'!D:D,)</f>
        <v/>
      </c>
      <c r="N36" s="40" t="str">
        <f>IFERROR(__xludf.DUMMYFUNCTION("if(AND(O36=FALSE,P36=FALSE),,if(O36=P36,JOIN("""",""Static: "",O36),JOIN("""",""Min:  "",O36, CHAR(10),""Max: "",P36)))"),"")</f>
        <v/>
      </c>
      <c r="O36" s="42" t="str">
        <f t="array" ref="O36">_xlfn.XLOOKUP(B36,'Up Min'!A:A,'Up Min'!D:D,)</f>
        <v/>
      </c>
      <c r="P36" s="42" t="str">
        <f t="array" ref="P36">_xlfn.XLOOKUP(B36,'Up Max'!A:A,'Up Max'!D:D,)</f>
        <v/>
      </c>
      <c r="Q36" s="48" t="str">
        <f t="array" ref="Q36">_xlfn.XLOOKUP(B36,'Up Stats'!A:A,'Up Stats'!E:E,)</f>
        <v/>
      </c>
      <c r="R36" s="40" t="str">
        <f>IFERROR(__xludf.DUMMYFUNCTION("if(AND(S36=FALSE,T36=FALSE),,if(S36=T36,JOIN("""",""Static: "",S36),JOIN("""",""Min:  "",S36, CHAR(10),""Max: "",T36)))"),"")</f>
        <v/>
      </c>
      <c r="S36" s="42" t="str">
        <f t="array" ref="S36">_xlfn.XLOOKUP(B36,'Up Min'!A:A,'Up Min'!E:E,)</f>
        <v/>
      </c>
      <c r="T36" s="42" t="str">
        <f t="array" ref="T36">_xlfn.XLOOKUP(B36,'Up Max'!A:A,'Up Max'!E:E,)</f>
        <v/>
      </c>
      <c r="U36" s="48" t="str">
        <f t="array" ref="U36">_xlfn.XLOOKUP(B36,'Up Stats'!A:A,'Up Stats'!F:F,)</f>
        <v/>
      </c>
      <c r="V36" s="40" t="str">
        <f>IFERROR(__xludf.DUMMYFUNCTION("if(AND(W36=FALSE,X36=FALSE),,if(W36=X36,JOIN("""",""Static: "",W36),JOIN("""",""Min:  "",W36, CHAR(10),""Max: "",X36)))"),"")</f>
        <v/>
      </c>
      <c r="W36" s="42" t="str">
        <f t="array" ref="W36">_xlfn.XLOOKUP(B36,'Up Min'!A:A,'Up Min'!F:F,)</f>
        <v/>
      </c>
      <c r="X36" s="42" t="str">
        <f t="array" ref="X36">_xlfn.XLOOKUP(B36,'Up Max'!A:A,'Up Max'!F:F,)</f>
        <v/>
      </c>
      <c r="Y36" s="48" t="str">
        <f t="array" ref="Y36">_xlfn.XLOOKUP(B36,'Up Stats'!A:A,'Up Stats'!G:G,)</f>
        <v/>
      </c>
      <c r="Z36" s="40" t="str">
        <f>IFERROR(__xludf.DUMMYFUNCTION("if(AND(AA36=FALSE,AB36=FALSE),,if(AA36=AB36,JOIN("""",""Static: "",AA36),JOIN("""",""Min:  "",AA36, CHAR(10),""Max: "",AB36)))"),"")</f>
        <v/>
      </c>
      <c r="AA36" s="42" t="str">
        <f t="array" ref="AA36">_xlfn.XLOOKUP(B36,'Up Min'!A:A,'Up Min'!G:G,)</f>
        <v/>
      </c>
      <c r="AB36" s="42" t="str">
        <f t="array" ref="AB36">_xlfn.XLOOKUP(B36,'Up Max'!A:A,'Up Max'!G:G,)</f>
        <v/>
      </c>
      <c r="AC36" s="48" t="str">
        <f t="array" ref="AC36">_xlfn.XLOOKUP(B36,'Up Stats'!A:A,'Up Stats'!H:H,)</f>
        <v/>
      </c>
      <c r="AD36" s="40" t="str">
        <f>IFERROR(__xludf.DUMMYFUNCTION("if(AND(AE36=FALSE,AF36=FALSE),,if(AE36=AF36,JOIN("""",""Static: "",AE36),JOIN("""",""Min:  "",AE36, CHAR(10),""Max: "",AF36)))"),"")</f>
        <v/>
      </c>
      <c r="AE36" s="42" t="str">
        <f t="array" ref="AE36">_xlfn.XLOOKUP(B36,'Up Min'!A:A,'Up Min'!H:H,)</f>
        <v/>
      </c>
      <c r="AF36" s="42" t="str">
        <f t="array" ref="AF36">_xlfn.XLOOKUP(B36,'Up Max'!A:A,'Up Max'!H:H,)</f>
        <v/>
      </c>
      <c r="AG36" s="48" t="str">
        <f t="array" ref="AG36">_xlfn.XLOOKUP(B36,'Up Stats'!A:A,'Up Stats'!I:I,)</f>
        <v/>
      </c>
      <c r="AH36" s="40" t="str">
        <f>IFERROR(__xludf.DUMMYFUNCTION("if(AND(AI36=FALSE,AJ36=FALSE),,if(AI36=AJ36,JOIN("""",""Static: "",AI36),JOIN("""",""Min:  "",AI36, CHAR(10),""Max: "",AJ36)))"),"")</f>
        <v/>
      </c>
      <c r="AI36" s="42" t="str">
        <f t="array" ref="AI36">_xlfn.XLOOKUP(B36,'Up Min'!A:A,'Up Min'!I:I,)</f>
        <v/>
      </c>
      <c r="AJ36" s="42" t="str">
        <f t="array" ref="AJ36">_xlfn.XLOOKUP(B36,'Up Max'!A:A,'Up Max'!I:I,)</f>
        <v/>
      </c>
      <c r="AK36" s="48" t="str">
        <f t="array" ref="AK36">_xlfn.XLOOKUP(B36,'Up Stats'!A:A,'Up Stats'!J:J,)</f>
        <v/>
      </c>
      <c r="AL36" s="40" t="str">
        <f>IFERROR(__xludf.DUMMYFUNCTION("if(AND(AM36=FALSE,AN36=FALSE),,if(AM36=AN36,JOIN("""",""Static: "",AM36),JOIN("""",""Min:  "",AM36, CHAR(10),""Max: "",AN36)))"),"")</f>
        <v/>
      </c>
      <c r="AM36" s="42" t="str">
        <f t="array" ref="AM36">_xlfn.XLOOKUP(B36,'Up Min'!A:A,'Up Min'!J:J,)</f>
        <v/>
      </c>
      <c r="AN36" s="42" t="str">
        <f t="array" ref="AN36">_xlfn.XLOOKUP(B36,'Up Max'!A:A,'Up Max'!J:J,)</f>
        <v/>
      </c>
      <c r="AO36" s="34" t="str">
        <f t="array" ref="AO36">CONCATENATE(_xlfn.XLOOKUP(B36,'Up Cells'!A:A,'Up Cells'!B:B,))</f>
        <v/>
      </c>
      <c r="AP36" s="34" t="str">
        <f t="array" ref="AP36">CONCATENATE(_xlfn.XLOOKUP(B36,'Up Rarity'!A:A,'Up Rarity'!B:B,),CHAR(10),"-")</f>
        <v>
-</v>
      </c>
    </row>
    <row r="37">
      <c r="A37" s="86" t="str">
        <f t="array" ref="A37">_xlfn.XLOOKUP(B37,'Up Icon'!A:A,'Up Icon'!B:B,)</f>
        <v/>
      </c>
      <c r="B37" s="61" t="str">
        <f t="array" ref="B37">HYPERLINK(_xlfn.XLOOKUP('Up Names'!M37,'Up Wiki'!A:A,'Up Wiki'!B:B,),'Up Names'!M37)</f>
        <v/>
      </c>
      <c r="C37" s="52" t="str">
        <f t="array" ref="C37">_xlfn.XLOOKUP(B37,'Up Desc'!A:A,'Up Desc'!B:B,)</f>
        <v/>
      </c>
      <c r="D37" s="52" t="str">
        <f t="array" ref="D37">_xlfn.XLOOKUP(B37,'Up Turbo'!A:A,'Up Turbo'!B:B,)</f>
        <v/>
      </c>
      <c r="E37" s="53" t="str">
        <f t="array" ref="E37">_xlfn.XLOOKUP(B37,'Up Stats'!A:A,'Up Stats'!B:B,)</f>
        <v/>
      </c>
      <c r="F37" s="54" t="str">
        <f>IFERROR(__xludf.DUMMYFUNCTION("if(AND(G37=FALSE,H37=FALSE),,if(G37=H37,JOIN("""",""Static: "",G37),JOIN("""",""Min:  "",G37, CHAR(10),""Max: "",H37)))"),"")</f>
        <v/>
      </c>
      <c r="G37" s="55" t="str">
        <f t="array" ref="G37">_xlfn.XLOOKUP(B37,'Up Min'!A:A,'Up Min'!B:B,)</f>
        <v/>
      </c>
      <c r="H37" s="56" t="str">
        <f t="array" ref="H37">_xlfn.XLOOKUP(B37,'Up Max'!A:A,'Up Max'!B:B,)</f>
        <v/>
      </c>
      <c r="I37" s="53" t="str">
        <f t="array" ref="I37">_xlfn.XLOOKUP(B37,'Up Stats'!A:A,'Up Stats'!C:C,)</f>
        <v/>
      </c>
      <c r="J37" s="54" t="str">
        <f>IFERROR(__xludf.DUMMYFUNCTION("if(AND(K37=FALSE,L37=FALSE),,if(K37=L37,JOIN("""",""Static: "",K37),JOIN("""",""Min:  "",K37, CHAR(10),""Max: "",L37)))"),"")</f>
        <v/>
      </c>
      <c r="K37" s="55" t="str">
        <f t="array" ref="K37">_xlfn.XLOOKUP(B37,'Up Min'!A:A,'Up Min'!C:C,)</f>
        <v/>
      </c>
      <c r="L37" s="55" t="str">
        <f t="array" ref="L37">_xlfn.XLOOKUP(B37,'Up Max'!A:A,'Up Max'!C:C,)</f>
        <v/>
      </c>
      <c r="M37" s="53" t="str">
        <f t="array" ref="M37">_xlfn.XLOOKUP(B37,'Up Stats'!A:A,'Up Stats'!D:D,)</f>
        <v/>
      </c>
      <c r="N37" s="54" t="str">
        <f>IFERROR(__xludf.DUMMYFUNCTION("if(AND(O37=FALSE,P37=FALSE),,if(O37=P37,JOIN("""",""Static: "",O37),JOIN("""",""Min:  "",O37, CHAR(10),""Max: "",P37)))"),"")</f>
        <v/>
      </c>
      <c r="O37" s="55" t="str">
        <f t="array" ref="O37">_xlfn.XLOOKUP(B37,'Up Min'!A:A,'Up Min'!D:D,)</f>
        <v/>
      </c>
      <c r="P37" s="55" t="str">
        <f t="array" ref="P37">_xlfn.XLOOKUP(B37,'Up Max'!A:A,'Up Max'!D:D,)</f>
        <v/>
      </c>
      <c r="Q37" s="57" t="str">
        <f t="array" ref="Q37">_xlfn.XLOOKUP(B37,'Up Stats'!A:A,'Up Stats'!E:E,)</f>
        <v/>
      </c>
      <c r="R37" s="54" t="str">
        <f>IFERROR(__xludf.DUMMYFUNCTION("if(AND(S37=FALSE,T37=FALSE),,if(S37=T37,JOIN("""",""Static: "",S37),JOIN("""",""Min:  "",S37, CHAR(10),""Max: "",T37)))"),"")</f>
        <v/>
      </c>
      <c r="S37" s="55" t="str">
        <f t="array" ref="S37">_xlfn.XLOOKUP(B37,'Up Min'!A:A,'Up Min'!E:E,)</f>
        <v/>
      </c>
      <c r="T37" s="55" t="str">
        <f t="array" ref="T37">_xlfn.XLOOKUP(B37,'Up Max'!A:A,'Up Max'!E:E,)</f>
        <v/>
      </c>
      <c r="U37" s="57" t="str">
        <f t="array" ref="U37">_xlfn.XLOOKUP(B37,'Up Stats'!A:A,'Up Stats'!F:F,)</f>
        <v/>
      </c>
      <c r="V37" s="54" t="str">
        <f>IFERROR(__xludf.DUMMYFUNCTION("if(AND(W37=FALSE,X37=FALSE),,if(W37=X37,JOIN("""",""Static: "",W37),JOIN("""",""Min:  "",W37, CHAR(10),""Max: "",X37)))"),"")</f>
        <v/>
      </c>
      <c r="W37" s="55" t="str">
        <f t="array" ref="W37">_xlfn.XLOOKUP(B37,'Up Min'!A:A,'Up Min'!F:F,)</f>
        <v/>
      </c>
      <c r="X37" s="55" t="str">
        <f t="array" ref="X37">_xlfn.XLOOKUP(B37,'Up Max'!A:A,'Up Max'!F:F,)</f>
        <v/>
      </c>
      <c r="Y37" s="57" t="str">
        <f t="array" ref="Y37">_xlfn.XLOOKUP(B37,'Up Stats'!A:A,'Up Stats'!G:G,)</f>
        <v/>
      </c>
      <c r="Z37" s="54" t="str">
        <f>IFERROR(__xludf.DUMMYFUNCTION("if(AND(AA37=FALSE,AB37=FALSE),,if(AA37=AB37,JOIN("""",""Static: "",AA37),JOIN("""",""Min:  "",AA37, CHAR(10),""Max: "",AB37)))"),"")</f>
        <v/>
      </c>
      <c r="AA37" s="55" t="str">
        <f t="array" ref="AA37">_xlfn.XLOOKUP(B37,'Up Min'!A:A,'Up Min'!G:G,)</f>
        <v/>
      </c>
      <c r="AB37" s="55" t="str">
        <f t="array" ref="AB37">_xlfn.XLOOKUP(B37,'Up Max'!A:A,'Up Max'!G:G,)</f>
        <v/>
      </c>
      <c r="AC37" s="57" t="str">
        <f t="array" ref="AC37">_xlfn.XLOOKUP(B37,'Up Stats'!A:A,'Up Stats'!H:H,)</f>
        <v/>
      </c>
      <c r="AD37" s="54" t="str">
        <f>IFERROR(__xludf.DUMMYFUNCTION("if(AND(AE37=FALSE,AF37=FALSE),,if(AE37=AF37,JOIN("""",""Static: "",AE37),JOIN("""",""Min:  "",AE37, CHAR(10),""Max: "",AF37)))"),"")</f>
        <v/>
      </c>
      <c r="AE37" s="55" t="str">
        <f t="array" ref="AE37">_xlfn.XLOOKUP(B37,'Up Min'!A:A,'Up Min'!H:H,)</f>
        <v/>
      </c>
      <c r="AF37" s="55" t="str">
        <f t="array" ref="AF37">_xlfn.XLOOKUP(B37,'Up Max'!A:A,'Up Max'!H:H,)</f>
        <v/>
      </c>
      <c r="AG37" s="57" t="str">
        <f t="array" ref="AG37">_xlfn.XLOOKUP(B37,'Up Stats'!A:A,'Up Stats'!I:I,)</f>
        <v/>
      </c>
      <c r="AH37" s="54" t="str">
        <f>IFERROR(__xludf.DUMMYFUNCTION("if(AND(AI37=FALSE,AJ37=FALSE),,if(AI37=AJ37,JOIN("""",""Static: "",AI37),JOIN("""",""Min:  "",AI37, CHAR(10),""Max: "",AJ37)))"),"")</f>
        <v/>
      </c>
      <c r="AI37" s="55" t="str">
        <f t="array" ref="AI37">_xlfn.XLOOKUP(B37,'Up Min'!A:A,'Up Min'!I:I,)</f>
        <v/>
      </c>
      <c r="AJ37" s="55" t="str">
        <f t="array" ref="AJ37">_xlfn.XLOOKUP(B37,'Up Max'!A:A,'Up Max'!I:I,)</f>
        <v/>
      </c>
      <c r="AK37" s="57" t="str">
        <f t="array" ref="AK37">_xlfn.XLOOKUP(B37,'Up Stats'!A:A,'Up Stats'!J:J,)</f>
        <v/>
      </c>
      <c r="AL37" s="54" t="str">
        <f>IFERROR(__xludf.DUMMYFUNCTION("if(AND(AM37=FALSE,AN37=FALSE),,if(AM37=AN37,JOIN("""",""Static: "",AM37),JOIN("""",""Min:  "",AM37, CHAR(10),""Max: "",AN37)))"),"")</f>
        <v/>
      </c>
      <c r="AM37" s="55" t="str">
        <f t="array" ref="AM37">_xlfn.XLOOKUP(B37,'Up Min'!A:A,'Up Min'!J:J,)</f>
        <v/>
      </c>
      <c r="AN37" s="55" t="str">
        <f t="array" ref="AN37">_xlfn.XLOOKUP(B37,'Up Max'!A:A,'Up Max'!J:J,)</f>
        <v/>
      </c>
      <c r="AO37" s="51" t="str">
        <f t="array" ref="AO37">CONCATENATE(_xlfn.XLOOKUP(B37,'Up Cells'!A:A,'Up Cells'!B:B,))</f>
        <v/>
      </c>
      <c r="AP37" s="51" t="str">
        <f t="array" ref="AP37">CONCATENATE(_xlfn.XLOOKUP(B37,'Up Rarity'!A:A,'Up Rarity'!B:B,),CHAR(10),"-")</f>
        <v>
-</v>
      </c>
    </row>
    <row r="38">
      <c r="A38" s="87" t="str">
        <f t="array" ref="A38">_xlfn.XLOOKUP(B38,'Up Icon'!A:A,'Up Icon'!B:B,)</f>
        <v/>
      </c>
      <c r="B38" s="58" t="str">
        <f t="array" ref="B38">HYPERLINK(_xlfn.XLOOKUP('Up Names'!M38,'Up Wiki'!A:A,'Up Wiki'!B:B,),'Up Names'!M38)</f>
        <v/>
      </c>
      <c r="C38" s="37" t="str">
        <f t="array" ref="C38">_xlfn.XLOOKUP(B38,'Up Desc'!A:A,'Up Desc'!B:B,)</f>
        <v/>
      </c>
      <c r="D38" s="37" t="str">
        <f t="array" ref="D38">_xlfn.XLOOKUP(B38,'Up Turbo'!A:A,'Up Turbo'!B:B,)</f>
        <v/>
      </c>
      <c r="E38" s="39" t="str">
        <f t="array" ref="E38">_xlfn.XLOOKUP(B38,'Up Stats'!A:A,'Up Stats'!B:B,)</f>
        <v/>
      </c>
      <c r="F38" s="40" t="str">
        <f>IFERROR(__xludf.DUMMYFUNCTION("if(AND(G38=FALSE,H38=FALSE),,if(G38=H38,JOIN("""",""Static: "",G38),JOIN("""",""Min:  "",G38, CHAR(10),""Max: "",H38)))"),"")</f>
        <v/>
      </c>
      <c r="G38" s="42" t="str">
        <f t="array" ref="G38">_xlfn.XLOOKUP(B38,'Up Min'!A:A,'Up Min'!B:B,)</f>
        <v/>
      </c>
      <c r="H38" s="45" t="str">
        <f t="array" ref="H38">_xlfn.XLOOKUP(B38,'Up Max'!A:A,'Up Max'!B:B,)</f>
        <v/>
      </c>
      <c r="I38" s="39" t="str">
        <f t="array" ref="I38">_xlfn.XLOOKUP(B38,'Up Stats'!A:A,'Up Stats'!C:C,)</f>
        <v/>
      </c>
      <c r="J38" s="40" t="str">
        <f>IFERROR(__xludf.DUMMYFUNCTION("if(AND(K38=FALSE,L38=FALSE),,if(K38=L38,JOIN("""",""Static: "",K38),JOIN("""",""Min:  "",K38, CHAR(10),""Max: "",L38)))"),"")</f>
        <v/>
      </c>
      <c r="K38" s="42" t="str">
        <f t="array" ref="K38">_xlfn.XLOOKUP(B38,'Up Min'!A:A,'Up Min'!C:C,)</f>
        <v/>
      </c>
      <c r="L38" s="42" t="str">
        <f t="array" ref="L38">_xlfn.XLOOKUP(B38,'Up Max'!A:A,'Up Max'!C:C,)</f>
        <v/>
      </c>
      <c r="M38" s="39" t="str">
        <f t="array" ref="M38">_xlfn.XLOOKUP(B38,'Up Stats'!A:A,'Up Stats'!D:D,)</f>
        <v/>
      </c>
      <c r="N38" s="40" t="str">
        <f>IFERROR(__xludf.DUMMYFUNCTION("if(AND(O38=FALSE,P38=FALSE),,if(O38=P38,JOIN("""",""Static: "",O38),JOIN("""",""Min:  "",O38, CHAR(10),""Max: "",P38)))"),"")</f>
        <v/>
      </c>
      <c r="O38" s="42" t="str">
        <f t="array" ref="O38">_xlfn.XLOOKUP(B38,'Up Min'!A:A,'Up Min'!D:D,)</f>
        <v/>
      </c>
      <c r="P38" s="42" t="str">
        <f t="array" ref="P38">_xlfn.XLOOKUP(B38,'Up Max'!A:A,'Up Max'!D:D,)</f>
        <v/>
      </c>
      <c r="Q38" s="48" t="str">
        <f t="array" ref="Q38">_xlfn.XLOOKUP(B38,'Up Stats'!A:A,'Up Stats'!E:E,)</f>
        <v/>
      </c>
      <c r="R38" s="40" t="str">
        <f>IFERROR(__xludf.DUMMYFUNCTION("if(AND(S38=FALSE,T38=FALSE),,if(S38=T38,JOIN("""",""Static: "",S38),JOIN("""",""Min:  "",S38, CHAR(10),""Max: "",T38)))"),"")</f>
        <v/>
      </c>
      <c r="S38" s="42" t="str">
        <f t="array" ref="S38">_xlfn.XLOOKUP(B38,'Up Min'!A:A,'Up Min'!E:E,)</f>
        <v/>
      </c>
      <c r="T38" s="42" t="str">
        <f t="array" ref="T38">_xlfn.XLOOKUP(B38,'Up Max'!A:A,'Up Max'!E:E,)</f>
        <v/>
      </c>
      <c r="U38" s="48" t="str">
        <f t="array" ref="U38">_xlfn.XLOOKUP(B38,'Up Stats'!A:A,'Up Stats'!F:F,)</f>
        <v/>
      </c>
      <c r="V38" s="40" t="str">
        <f>IFERROR(__xludf.DUMMYFUNCTION("if(AND(W38=FALSE,X38=FALSE),,if(W38=X38,JOIN("""",""Static: "",W38),JOIN("""",""Min:  "",W38, CHAR(10),""Max: "",X38)))"),"")</f>
        <v/>
      </c>
      <c r="W38" s="42" t="str">
        <f t="array" ref="W38">_xlfn.XLOOKUP(B38,'Up Min'!A:A,'Up Min'!F:F,)</f>
        <v/>
      </c>
      <c r="X38" s="42" t="str">
        <f t="array" ref="X38">_xlfn.XLOOKUP(B38,'Up Max'!A:A,'Up Max'!F:F,)</f>
        <v/>
      </c>
      <c r="Y38" s="48" t="str">
        <f t="array" ref="Y38">_xlfn.XLOOKUP(B38,'Up Stats'!A:A,'Up Stats'!G:G,)</f>
        <v/>
      </c>
      <c r="Z38" s="40" t="str">
        <f>IFERROR(__xludf.DUMMYFUNCTION("if(AND(AA38=FALSE,AB38=FALSE),,if(AA38=AB38,JOIN("""",""Static: "",AA38),JOIN("""",""Min:  "",AA38, CHAR(10),""Max: "",AB38)))"),"")</f>
        <v/>
      </c>
      <c r="AA38" s="42" t="str">
        <f t="array" ref="AA38">_xlfn.XLOOKUP(B38,'Up Min'!A:A,'Up Min'!G:G,)</f>
        <v/>
      </c>
      <c r="AB38" s="42" t="str">
        <f t="array" ref="AB38">_xlfn.XLOOKUP(B38,'Up Max'!A:A,'Up Max'!G:G,)</f>
        <v/>
      </c>
      <c r="AC38" s="48" t="str">
        <f t="array" ref="AC38">_xlfn.XLOOKUP(B38,'Up Stats'!A:A,'Up Stats'!H:H,)</f>
        <v/>
      </c>
      <c r="AD38" s="40" t="str">
        <f>IFERROR(__xludf.DUMMYFUNCTION("if(AND(AE38=FALSE,AF38=FALSE),,if(AE38=AF38,JOIN("""",""Static: "",AE38),JOIN("""",""Min:  "",AE38, CHAR(10),""Max: "",AF38)))"),"")</f>
        <v/>
      </c>
      <c r="AE38" s="42" t="str">
        <f t="array" ref="AE38">_xlfn.XLOOKUP(B38,'Up Min'!A:A,'Up Min'!H:H,)</f>
        <v/>
      </c>
      <c r="AF38" s="42" t="str">
        <f t="array" ref="AF38">_xlfn.XLOOKUP(B38,'Up Max'!A:A,'Up Max'!H:H,)</f>
        <v/>
      </c>
      <c r="AG38" s="48" t="str">
        <f t="array" ref="AG38">_xlfn.XLOOKUP(B38,'Up Stats'!A:A,'Up Stats'!I:I,)</f>
        <v/>
      </c>
      <c r="AH38" s="40" t="str">
        <f>IFERROR(__xludf.DUMMYFUNCTION("if(AND(AI38=FALSE,AJ38=FALSE),,if(AI38=AJ38,JOIN("""",""Static: "",AI38),JOIN("""",""Min:  "",AI38, CHAR(10),""Max: "",AJ38)))"),"")</f>
        <v/>
      </c>
      <c r="AI38" s="42" t="str">
        <f t="array" ref="AI38">_xlfn.XLOOKUP(B38,'Up Min'!A:A,'Up Min'!I:I,)</f>
        <v/>
      </c>
      <c r="AJ38" s="42" t="str">
        <f t="array" ref="AJ38">_xlfn.XLOOKUP(B38,'Up Max'!A:A,'Up Max'!I:I,)</f>
        <v/>
      </c>
      <c r="AK38" s="48" t="str">
        <f t="array" ref="AK38">_xlfn.XLOOKUP(B38,'Up Stats'!A:A,'Up Stats'!J:J,)</f>
        <v/>
      </c>
      <c r="AL38" s="40" t="str">
        <f>IFERROR(__xludf.DUMMYFUNCTION("if(AND(AM38=FALSE,AN38=FALSE),,if(AM38=AN38,JOIN("""",""Static: "",AM38),JOIN("""",""Min:  "",AM38, CHAR(10),""Max: "",AN38)))"),"")</f>
        <v/>
      </c>
      <c r="AM38" s="42" t="str">
        <f t="array" ref="AM38">_xlfn.XLOOKUP(B38,'Up Min'!A:A,'Up Min'!J:J,)</f>
        <v/>
      </c>
      <c r="AN38" s="42" t="str">
        <f t="array" ref="AN38">_xlfn.XLOOKUP(B38,'Up Max'!A:A,'Up Max'!J:J,)</f>
        <v/>
      </c>
      <c r="AO38" s="34" t="str">
        <f t="array" ref="AO38">CONCATENATE(_xlfn.XLOOKUP(B38,'Up Cells'!A:A,'Up Cells'!B:B,))</f>
        <v/>
      </c>
      <c r="AP38" s="34" t="str">
        <f t="array" ref="AP38">CONCATENATE(_xlfn.XLOOKUP(B38,'Up Rarity'!A:A,'Up Rarity'!B:B,),CHAR(10),"-")</f>
        <v>
-</v>
      </c>
    </row>
    <row r="39">
      <c r="A39" s="86" t="str">
        <f t="array" ref="A39">_xlfn.XLOOKUP(B39,'Up Icon'!A:A,'Up Icon'!B:B,)</f>
        <v/>
      </c>
      <c r="B39" s="61" t="str">
        <f t="array" ref="B39">HYPERLINK(_xlfn.XLOOKUP('Up Names'!M39,'Up Wiki'!A:A,'Up Wiki'!B:B,),'Up Names'!M39)</f>
        <v/>
      </c>
      <c r="C39" s="52" t="str">
        <f t="array" ref="C39">_xlfn.XLOOKUP(B39,'Up Desc'!A:A,'Up Desc'!B:B,)</f>
        <v/>
      </c>
      <c r="D39" s="52" t="str">
        <f t="array" ref="D39">_xlfn.XLOOKUP(B39,'Up Turbo'!A:A,'Up Turbo'!B:B,)</f>
        <v/>
      </c>
      <c r="E39" s="53" t="str">
        <f t="array" ref="E39">_xlfn.XLOOKUP(B39,'Up Stats'!A:A,'Up Stats'!B:B,)</f>
        <v/>
      </c>
      <c r="F39" s="54" t="str">
        <f>IFERROR(__xludf.DUMMYFUNCTION("if(AND(G39=FALSE,H39=FALSE),,if(G39=H39,JOIN("""",""Static: "",G39),JOIN("""",""Min:  "",G39, CHAR(10),""Max: "",H39)))"),"")</f>
        <v/>
      </c>
      <c r="G39" s="55" t="str">
        <f t="array" ref="G39">_xlfn.XLOOKUP(B39,'Up Min'!A:A,'Up Min'!B:B,)</f>
        <v/>
      </c>
      <c r="H39" s="56" t="str">
        <f t="array" ref="H39">_xlfn.XLOOKUP(B39,'Up Max'!A:A,'Up Max'!B:B,)</f>
        <v/>
      </c>
      <c r="I39" s="53" t="str">
        <f t="array" ref="I39">_xlfn.XLOOKUP(B39,'Up Stats'!A:A,'Up Stats'!C:C,)</f>
        <v/>
      </c>
      <c r="J39" s="54" t="str">
        <f>IFERROR(__xludf.DUMMYFUNCTION("if(AND(K39=FALSE,L39=FALSE),,if(K39=L39,JOIN("""",""Static: "",K39),JOIN("""",""Min:  "",K39, CHAR(10),""Max: "",L39)))"),"")</f>
        <v/>
      </c>
      <c r="K39" s="55" t="str">
        <f t="array" ref="K39">_xlfn.XLOOKUP(B39,'Up Min'!A:A,'Up Min'!C:C,)</f>
        <v/>
      </c>
      <c r="L39" s="55" t="str">
        <f t="array" ref="L39">_xlfn.XLOOKUP(B39,'Up Max'!A:A,'Up Max'!C:C,)</f>
        <v/>
      </c>
      <c r="M39" s="53" t="str">
        <f t="array" ref="M39">_xlfn.XLOOKUP(B39,'Up Stats'!A:A,'Up Stats'!D:D,)</f>
        <v/>
      </c>
      <c r="N39" s="54" t="str">
        <f>IFERROR(__xludf.DUMMYFUNCTION("if(AND(O39=FALSE,P39=FALSE),,if(O39=P39,JOIN("""",""Static: "",O39),JOIN("""",""Min:  "",O39, CHAR(10),""Max: "",P39)))"),"")</f>
        <v/>
      </c>
      <c r="O39" s="55" t="str">
        <f t="array" ref="O39">_xlfn.XLOOKUP(B39,'Up Min'!A:A,'Up Min'!D:D,)</f>
        <v/>
      </c>
      <c r="P39" s="55" t="str">
        <f t="array" ref="P39">_xlfn.XLOOKUP(B39,'Up Max'!A:A,'Up Max'!D:D,)</f>
        <v/>
      </c>
      <c r="Q39" s="57" t="str">
        <f t="array" ref="Q39">_xlfn.XLOOKUP(B39,'Up Stats'!A:A,'Up Stats'!E:E,)</f>
        <v/>
      </c>
      <c r="R39" s="54" t="str">
        <f>IFERROR(__xludf.DUMMYFUNCTION("if(AND(S39=FALSE,T39=FALSE),,if(S39=T39,JOIN("""",""Static: "",S39),JOIN("""",""Min:  "",S39, CHAR(10),""Max: "",T39)))"),"")</f>
        <v/>
      </c>
      <c r="S39" s="55" t="str">
        <f t="array" ref="S39">_xlfn.XLOOKUP(B39,'Up Min'!A:A,'Up Min'!E:E,)</f>
        <v/>
      </c>
      <c r="T39" s="55" t="str">
        <f t="array" ref="T39">_xlfn.XLOOKUP(B39,'Up Max'!A:A,'Up Max'!E:E,)</f>
        <v/>
      </c>
      <c r="U39" s="57" t="str">
        <f t="array" ref="U39">_xlfn.XLOOKUP(B39,'Up Stats'!A:A,'Up Stats'!F:F,)</f>
        <v/>
      </c>
      <c r="V39" s="54" t="str">
        <f>IFERROR(__xludf.DUMMYFUNCTION("if(AND(W39=FALSE,X39=FALSE),,if(W39=X39,JOIN("""",""Static: "",W39),JOIN("""",""Min:  "",W39, CHAR(10),""Max: "",X39)))"),"")</f>
        <v/>
      </c>
      <c r="W39" s="55" t="str">
        <f t="array" ref="W39">_xlfn.XLOOKUP(B39,'Up Min'!A:A,'Up Min'!F:F,)</f>
        <v/>
      </c>
      <c r="X39" s="55" t="str">
        <f t="array" ref="X39">_xlfn.XLOOKUP(B39,'Up Max'!A:A,'Up Max'!F:F,)</f>
        <v/>
      </c>
      <c r="Y39" s="57" t="str">
        <f t="array" ref="Y39">_xlfn.XLOOKUP(B39,'Up Stats'!A:A,'Up Stats'!G:G,)</f>
        <v/>
      </c>
      <c r="Z39" s="54" t="str">
        <f>IFERROR(__xludf.DUMMYFUNCTION("if(AND(AA39=FALSE,AB39=FALSE),,if(AA39=AB39,JOIN("""",""Static: "",AA39),JOIN("""",""Min:  "",AA39, CHAR(10),""Max: "",AB39)))"),"")</f>
        <v/>
      </c>
      <c r="AA39" s="55" t="str">
        <f t="array" ref="AA39">_xlfn.XLOOKUP(B39,'Up Min'!A:A,'Up Min'!G:G,)</f>
        <v/>
      </c>
      <c r="AB39" s="55" t="str">
        <f t="array" ref="AB39">_xlfn.XLOOKUP(B39,'Up Max'!A:A,'Up Max'!G:G,)</f>
        <v/>
      </c>
      <c r="AC39" s="57" t="str">
        <f t="array" ref="AC39">_xlfn.XLOOKUP(B39,'Up Stats'!A:A,'Up Stats'!H:H,)</f>
        <v/>
      </c>
      <c r="AD39" s="54" t="str">
        <f>IFERROR(__xludf.DUMMYFUNCTION("if(AND(AE39=FALSE,AF39=FALSE),,if(AE39=AF39,JOIN("""",""Static: "",AE39),JOIN("""",""Min:  "",AE39, CHAR(10),""Max: "",AF39)))"),"")</f>
        <v/>
      </c>
      <c r="AE39" s="55" t="str">
        <f t="array" ref="AE39">_xlfn.XLOOKUP(B39,'Up Min'!A:A,'Up Min'!H:H,)</f>
        <v/>
      </c>
      <c r="AF39" s="55" t="str">
        <f t="array" ref="AF39">_xlfn.XLOOKUP(B39,'Up Max'!A:A,'Up Max'!H:H,)</f>
        <v/>
      </c>
      <c r="AG39" s="57" t="str">
        <f t="array" ref="AG39">_xlfn.XLOOKUP(B39,'Up Stats'!A:A,'Up Stats'!I:I,)</f>
        <v/>
      </c>
      <c r="AH39" s="54" t="str">
        <f>IFERROR(__xludf.DUMMYFUNCTION("if(AND(AI39=FALSE,AJ39=FALSE),,if(AI39=AJ39,JOIN("""",""Static: "",AI39),JOIN("""",""Min:  "",AI39, CHAR(10),""Max: "",AJ39)))"),"")</f>
        <v/>
      </c>
      <c r="AI39" s="55" t="str">
        <f t="array" ref="AI39">_xlfn.XLOOKUP(B39,'Up Min'!A:A,'Up Min'!I:I,)</f>
        <v/>
      </c>
      <c r="AJ39" s="55" t="str">
        <f t="array" ref="AJ39">_xlfn.XLOOKUP(B39,'Up Max'!A:A,'Up Max'!I:I,)</f>
        <v/>
      </c>
      <c r="AK39" s="57" t="str">
        <f t="array" ref="AK39">_xlfn.XLOOKUP(B39,'Up Stats'!A:A,'Up Stats'!J:J,)</f>
        <v/>
      </c>
      <c r="AL39" s="54" t="str">
        <f>IFERROR(__xludf.DUMMYFUNCTION("if(AND(AM39=FALSE,AN39=FALSE),,if(AM39=AN39,JOIN("""",""Static: "",AM39),JOIN("""",""Min:  "",AM39, CHAR(10),""Max: "",AN39)))"),"")</f>
        <v/>
      </c>
      <c r="AM39" s="55" t="str">
        <f t="array" ref="AM39">_xlfn.XLOOKUP(B39,'Up Min'!A:A,'Up Min'!J:J,)</f>
        <v/>
      </c>
      <c r="AN39" s="55" t="str">
        <f t="array" ref="AN39">_xlfn.XLOOKUP(B39,'Up Max'!A:A,'Up Max'!J:J,)</f>
        <v/>
      </c>
      <c r="AO39" s="51" t="str">
        <f t="array" ref="AO39">CONCATENATE(_xlfn.XLOOKUP(B39,'Up Cells'!A:A,'Up Cells'!B:B,))</f>
        <v/>
      </c>
      <c r="AP39" s="51" t="str">
        <f t="array" ref="AP39">CONCATENATE(_xlfn.XLOOKUP(B39,'Up Rarity'!A:A,'Up Rarity'!B:B,),CHAR(10),"-")</f>
        <v>
-</v>
      </c>
    </row>
    <row r="40">
      <c r="A40" s="87" t="str">
        <f t="array" ref="A40">_xlfn.XLOOKUP(B40,'Up Icon'!A:A,'Up Icon'!B:B,)</f>
        <v/>
      </c>
      <c r="B40" s="58" t="str">
        <f t="array" ref="B40">HYPERLINK(_xlfn.XLOOKUP('Up Names'!M40,'Up Wiki'!A:A,'Up Wiki'!B:B,),'Up Names'!M40)</f>
        <v/>
      </c>
      <c r="C40" s="37" t="str">
        <f t="array" ref="C40">_xlfn.XLOOKUP(B40,'Up Desc'!A:A,'Up Desc'!B:B,)</f>
        <v/>
      </c>
      <c r="D40" s="37" t="str">
        <f t="array" ref="D40">_xlfn.XLOOKUP(B40,'Up Turbo'!A:A,'Up Turbo'!B:B,)</f>
        <v/>
      </c>
      <c r="E40" s="39" t="str">
        <f t="array" ref="E40">_xlfn.XLOOKUP(B40,'Up Stats'!A:A,'Up Stats'!B:B,)</f>
        <v/>
      </c>
      <c r="F40" s="40" t="str">
        <f>IFERROR(__xludf.DUMMYFUNCTION("if(AND(G40=FALSE,H40=FALSE),,if(G40=H40,JOIN("""",""Static: "",G40),JOIN("""",""Min:  "",G40, CHAR(10),""Max: "",H40)))"),"")</f>
        <v/>
      </c>
      <c r="G40" s="42" t="str">
        <f t="array" ref="G40">_xlfn.XLOOKUP(B40,'Up Min'!A:A,'Up Min'!B:B,)</f>
        <v/>
      </c>
      <c r="H40" s="45" t="str">
        <f t="array" ref="H40">_xlfn.XLOOKUP(B40,'Up Max'!A:A,'Up Max'!B:B,)</f>
        <v/>
      </c>
      <c r="I40" s="39" t="str">
        <f t="array" ref="I40">_xlfn.XLOOKUP(B40,'Up Stats'!A:A,'Up Stats'!C:C,)</f>
        <v/>
      </c>
      <c r="J40" s="40" t="str">
        <f>IFERROR(__xludf.DUMMYFUNCTION("if(AND(K40=FALSE,L40=FALSE),,if(K40=L40,JOIN("""",""Static: "",K40),JOIN("""",""Min:  "",K40, CHAR(10),""Max: "",L40)))"),"")</f>
        <v/>
      </c>
      <c r="K40" s="42" t="str">
        <f t="array" ref="K40">_xlfn.XLOOKUP(B40,'Up Min'!A:A,'Up Min'!C:C,)</f>
        <v/>
      </c>
      <c r="L40" s="42" t="str">
        <f t="array" ref="L40">_xlfn.XLOOKUP(B40,'Up Max'!A:A,'Up Max'!C:C,)</f>
        <v/>
      </c>
      <c r="M40" s="39" t="str">
        <f t="array" ref="M40">_xlfn.XLOOKUP(B40,'Up Stats'!A:A,'Up Stats'!D:D,)</f>
        <v/>
      </c>
      <c r="N40" s="40" t="str">
        <f>IFERROR(__xludf.DUMMYFUNCTION("if(AND(O40=FALSE,P40=FALSE),,if(O40=P40,JOIN("""",""Static: "",O40),JOIN("""",""Min:  "",O40, CHAR(10),""Max: "",P40)))"),"")</f>
        <v/>
      </c>
      <c r="O40" s="42" t="str">
        <f t="array" ref="O40">_xlfn.XLOOKUP(B40,'Up Min'!A:A,'Up Min'!D:D,)</f>
        <v/>
      </c>
      <c r="P40" s="42" t="str">
        <f t="array" ref="P40">_xlfn.XLOOKUP(B40,'Up Max'!A:A,'Up Max'!D:D,)</f>
        <v/>
      </c>
      <c r="Q40" s="48" t="str">
        <f t="array" ref="Q40">_xlfn.XLOOKUP(B40,'Up Stats'!A:A,'Up Stats'!E:E,)</f>
        <v/>
      </c>
      <c r="R40" s="40" t="str">
        <f>IFERROR(__xludf.DUMMYFUNCTION("if(AND(S40=FALSE,T40=FALSE),,if(S40=T40,JOIN("""",""Static: "",S40),JOIN("""",""Min:  "",S40, CHAR(10),""Max: "",T40)))"),"")</f>
        <v/>
      </c>
      <c r="S40" s="42" t="str">
        <f t="array" ref="S40">_xlfn.XLOOKUP(B40,'Up Min'!A:A,'Up Min'!E:E,)</f>
        <v/>
      </c>
      <c r="T40" s="42" t="str">
        <f t="array" ref="T40">_xlfn.XLOOKUP(B40,'Up Max'!A:A,'Up Max'!E:E,)</f>
        <v/>
      </c>
      <c r="U40" s="48" t="str">
        <f t="array" ref="U40">_xlfn.XLOOKUP(B40,'Up Stats'!A:A,'Up Stats'!F:F,)</f>
        <v/>
      </c>
      <c r="V40" s="40" t="str">
        <f>IFERROR(__xludf.DUMMYFUNCTION("if(AND(W40=FALSE,X40=FALSE),,if(W40=X40,JOIN("""",""Static: "",W40),JOIN("""",""Min:  "",W40, CHAR(10),""Max: "",X40)))"),"")</f>
        <v/>
      </c>
      <c r="W40" s="42" t="str">
        <f t="array" ref="W40">_xlfn.XLOOKUP(B40,'Up Min'!A:A,'Up Min'!F:F,)</f>
        <v/>
      </c>
      <c r="X40" s="42" t="str">
        <f t="array" ref="X40">_xlfn.XLOOKUP(B40,'Up Max'!A:A,'Up Max'!F:F,)</f>
        <v/>
      </c>
      <c r="Y40" s="48" t="str">
        <f t="array" ref="Y40">_xlfn.XLOOKUP(B40,'Up Stats'!A:A,'Up Stats'!G:G,)</f>
        <v/>
      </c>
      <c r="Z40" s="40" t="str">
        <f>IFERROR(__xludf.DUMMYFUNCTION("if(AND(AA40=FALSE,AB40=FALSE),,if(AA40=AB40,JOIN("""",""Static: "",AA40),JOIN("""",""Min:  "",AA40, CHAR(10),""Max: "",AB40)))"),"")</f>
        <v/>
      </c>
      <c r="AA40" s="42" t="str">
        <f t="array" ref="AA40">_xlfn.XLOOKUP(B40,'Up Min'!A:A,'Up Min'!G:G,)</f>
        <v/>
      </c>
      <c r="AB40" s="42" t="str">
        <f t="array" ref="AB40">_xlfn.XLOOKUP(B40,'Up Max'!A:A,'Up Max'!G:G,)</f>
        <v/>
      </c>
      <c r="AC40" s="48" t="str">
        <f t="array" ref="AC40">_xlfn.XLOOKUP(B40,'Up Stats'!A:A,'Up Stats'!H:H,)</f>
        <v/>
      </c>
      <c r="AD40" s="40" t="str">
        <f>IFERROR(__xludf.DUMMYFUNCTION("if(AND(AE40=FALSE,AF40=FALSE),,if(AE40=AF40,JOIN("""",""Static: "",AE40),JOIN("""",""Min:  "",AE40, CHAR(10),""Max: "",AF40)))"),"")</f>
        <v/>
      </c>
      <c r="AE40" s="42" t="str">
        <f t="array" ref="AE40">_xlfn.XLOOKUP(B40,'Up Min'!A:A,'Up Min'!H:H,)</f>
        <v/>
      </c>
      <c r="AF40" s="42" t="str">
        <f t="array" ref="AF40">_xlfn.XLOOKUP(B40,'Up Max'!A:A,'Up Max'!H:H,)</f>
        <v/>
      </c>
      <c r="AG40" s="48" t="str">
        <f t="array" ref="AG40">_xlfn.XLOOKUP(B40,'Up Stats'!A:A,'Up Stats'!I:I,)</f>
        <v/>
      </c>
      <c r="AH40" s="40" t="str">
        <f>IFERROR(__xludf.DUMMYFUNCTION("if(AND(AI40=FALSE,AJ40=FALSE),,if(AI40=AJ40,JOIN("""",""Static: "",AI40),JOIN("""",""Min:  "",AI40, CHAR(10),""Max: "",AJ40)))"),"")</f>
        <v/>
      </c>
      <c r="AI40" s="42" t="str">
        <f t="array" ref="AI40">_xlfn.XLOOKUP(B40,'Up Min'!A:A,'Up Min'!I:I,)</f>
        <v/>
      </c>
      <c r="AJ40" s="42" t="str">
        <f t="array" ref="AJ40">_xlfn.XLOOKUP(B40,'Up Max'!A:A,'Up Max'!I:I,)</f>
        <v/>
      </c>
      <c r="AK40" s="48" t="str">
        <f t="array" ref="AK40">_xlfn.XLOOKUP(B40,'Up Stats'!A:A,'Up Stats'!J:J,)</f>
        <v/>
      </c>
      <c r="AL40" s="40" t="str">
        <f>IFERROR(__xludf.DUMMYFUNCTION("if(AND(AM40=FALSE,AN40=FALSE),,if(AM40=AN40,JOIN("""",""Static: "",AM40),JOIN("""",""Min:  "",AM40, CHAR(10),""Max: "",AN40)))"),"")</f>
        <v/>
      </c>
      <c r="AM40" s="42" t="str">
        <f t="array" ref="AM40">_xlfn.XLOOKUP(B40,'Up Min'!A:A,'Up Min'!J:J,)</f>
        <v/>
      </c>
      <c r="AN40" s="42" t="str">
        <f t="array" ref="AN40">_xlfn.XLOOKUP(B40,'Up Max'!A:A,'Up Max'!J:J,)</f>
        <v/>
      </c>
      <c r="AO40" s="34" t="str">
        <f t="array" ref="AO40">CONCATENATE(_xlfn.XLOOKUP(B40,'Up Cells'!A:A,'Up Cells'!B:B,))</f>
        <v/>
      </c>
      <c r="AP40" s="34" t="str">
        <f t="array" ref="AP40">CONCATENATE(_xlfn.XLOOKUP(B40,'Up Rarity'!A:A,'Up Rarity'!B:B,),CHAR(10),"-")</f>
        <v>
-</v>
      </c>
    </row>
    <row r="41">
      <c r="A41" s="86" t="str">
        <f t="array" ref="A41">_xlfn.XLOOKUP(B41,'Up Icon'!A:A,'Up Icon'!B:B,)</f>
        <v/>
      </c>
      <c r="B41" s="61" t="str">
        <f t="array" ref="B41">HYPERLINK(_xlfn.XLOOKUP('Up Names'!M41,'Up Wiki'!A:A,'Up Wiki'!B:B,),'Up Names'!M41)</f>
        <v/>
      </c>
      <c r="C41" s="52" t="str">
        <f t="array" ref="C41">_xlfn.XLOOKUP(B41,'Up Desc'!A:A,'Up Desc'!B:B,)</f>
        <v/>
      </c>
      <c r="D41" s="52" t="str">
        <f t="array" ref="D41">_xlfn.XLOOKUP(B41,'Up Turbo'!A:A,'Up Turbo'!B:B,)</f>
        <v/>
      </c>
      <c r="E41" s="53" t="str">
        <f t="array" ref="E41">_xlfn.XLOOKUP(B41,'Up Stats'!A:A,'Up Stats'!B:B,)</f>
        <v/>
      </c>
      <c r="F41" s="54" t="str">
        <f>IFERROR(__xludf.DUMMYFUNCTION("if(AND(G41=FALSE,H41=FALSE),,if(G41=H41,JOIN("""",""Static: "",G41),JOIN("""",""Min:  "",G41, CHAR(10),""Max: "",H41)))"),"")</f>
        <v/>
      </c>
      <c r="G41" s="55" t="str">
        <f t="array" ref="G41">_xlfn.XLOOKUP(B41,'Up Min'!A:A,'Up Min'!B:B,)</f>
        <v/>
      </c>
      <c r="H41" s="56" t="str">
        <f t="array" ref="H41">_xlfn.XLOOKUP(B41,'Up Max'!A:A,'Up Max'!B:B,)</f>
        <v/>
      </c>
      <c r="I41" s="53" t="str">
        <f t="array" ref="I41">_xlfn.XLOOKUP(B41,'Up Stats'!A:A,'Up Stats'!C:C,)</f>
        <v/>
      </c>
      <c r="J41" s="54" t="str">
        <f>IFERROR(__xludf.DUMMYFUNCTION("if(AND(K41=FALSE,L41=FALSE),,if(K41=L41,JOIN("""",""Static: "",K41),JOIN("""",""Min:  "",K41, CHAR(10),""Max: "",L41)))"),"")</f>
        <v/>
      </c>
      <c r="K41" s="55" t="str">
        <f t="array" ref="K41">_xlfn.XLOOKUP(B41,'Up Min'!A:A,'Up Min'!C:C,)</f>
        <v/>
      </c>
      <c r="L41" s="55" t="str">
        <f t="array" ref="L41">_xlfn.XLOOKUP(B41,'Up Max'!A:A,'Up Max'!C:C,)</f>
        <v/>
      </c>
      <c r="M41" s="53" t="str">
        <f t="array" ref="M41">_xlfn.XLOOKUP(B41,'Up Stats'!A:A,'Up Stats'!D:D,)</f>
        <v/>
      </c>
      <c r="N41" s="54" t="str">
        <f>IFERROR(__xludf.DUMMYFUNCTION("if(AND(O41=FALSE,P41=FALSE),,if(O41=P41,JOIN("""",""Static: "",O41),JOIN("""",""Min:  "",O41, CHAR(10),""Max: "",P41)))"),"")</f>
        <v/>
      </c>
      <c r="O41" s="55" t="str">
        <f t="array" ref="O41">_xlfn.XLOOKUP(B41,'Up Min'!A:A,'Up Min'!D:D,)</f>
        <v/>
      </c>
      <c r="P41" s="55" t="str">
        <f t="array" ref="P41">_xlfn.XLOOKUP(B41,'Up Max'!A:A,'Up Max'!D:D,)</f>
        <v/>
      </c>
      <c r="Q41" s="57" t="str">
        <f t="array" ref="Q41">_xlfn.XLOOKUP(B41,'Up Stats'!A:A,'Up Stats'!E:E,)</f>
        <v/>
      </c>
      <c r="R41" s="54" t="str">
        <f>IFERROR(__xludf.DUMMYFUNCTION("if(AND(S41=FALSE,T41=FALSE),,if(S41=T41,JOIN("""",""Static: "",S41),JOIN("""",""Min:  "",S41, CHAR(10),""Max: "",T41)))"),"")</f>
        <v/>
      </c>
      <c r="S41" s="55" t="str">
        <f t="array" ref="S41">_xlfn.XLOOKUP(B41,'Up Min'!A:A,'Up Min'!E:E,)</f>
        <v/>
      </c>
      <c r="T41" s="55" t="str">
        <f t="array" ref="T41">_xlfn.XLOOKUP(B41,'Up Max'!A:A,'Up Max'!E:E,)</f>
        <v/>
      </c>
      <c r="U41" s="57" t="str">
        <f t="array" ref="U41">_xlfn.XLOOKUP(B41,'Up Stats'!A:A,'Up Stats'!F:F,)</f>
        <v/>
      </c>
      <c r="V41" s="54" t="str">
        <f>IFERROR(__xludf.DUMMYFUNCTION("if(AND(W41=FALSE,X41=FALSE),,if(W41=X41,JOIN("""",""Static: "",W41),JOIN("""",""Min:  "",W41, CHAR(10),""Max: "",X41)))"),"")</f>
        <v/>
      </c>
      <c r="W41" s="55" t="str">
        <f t="array" ref="W41">_xlfn.XLOOKUP(B41,'Up Min'!A:A,'Up Min'!F:F,)</f>
        <v/>
      </c>
      <c r="X41" s="55" t="str">
        <f t="array" ref="X41">_xlfn.XLOOKUP(B41,'Up Max'!A:A,'Up Max'!F:F,)</f>
        <v/>
      </c>
      <c r="Y41" s="57" t="str">
        <f t="array" ref="Y41">_xlfn.XLOOKUP(B41,'Up Stats'!A:A,'Up Stats'!G:G,)</f>
        <v/>
      </c>
      <c r="Z41" s="54" t="str">
        <f>IFERROR(__xludf.DUMMYFUNCTION("if(AND(AA41=FALSE,AB41=FALSE),,if(AA41=AB41,JOIN("""",""Static: "",AA41),JOIN("""",""Min:  "",AA41, CHAR(10),""Max: "",AB41)))"),"")</f>
        <v/>
      </c>
      <c r="AA41" s="55" t="str">
        <f t="array" ref="AA41">_xlfn.XLOOKUP(B41,'Up Min'!A:A,'Up Min'!G:G,)</f>
        <v/>
      </c>
      <c r="AB41" s="55" t="str">
        <f t="array" ref="AB41">_xlfn.XLOOKUP(B41,'Up Max'!A:A,'Up Max'!G:G,)</f>
        <v/>
      </c>
      <c r="AC41" s="57" t="str">
        <f t="array" ref="AC41">_xlfn.XLOOKUP(B41,'Up Stats'!A:A,'Up Stats'!H:H,)</f>
        <v/>
      </c>
      <c r="AD41" s="54" t="str">
        <f>IFERROR(__xludf.DUMMYFUNCTION("if(AND(AE41=FALSE,AF41=FALSE),,if(AE41=AF41,JOIN("""",""Static: "",AE41),JOIN("""",""Min:  "",AE41, CHAR(10),""Max: "",AF41)))"),"")</f>
        <v/>
      </c>
      <c r="AE41" s="55" t="str">
        <f t="array" ref="AE41">_xlfn.XLOOKUP(B41,'Up Min'!A:A,'Up Min'!H:H,)</f>
        <v/>
      </c>
      <c r="AF41" s="55" t="str">
        <f t="array" ref="AF41">_xlfn.XLOOKUP(B41,'Up Max'!A:A,'Up Max'!H:H,)</f>
        <v/>
      </c>
      <c r="AG41" s="57" t="str">
        <f t="array" ref="AG41">_xlfn.XLOOKUP(B41,'Up Stats'!A:A,'Up Stats'!I:I,)</f>
        <v/>
      </c>
      <c r="AH41" s="54" t="str">
        <f>IFERROR(__xludf.DUMMYFUNCTION("if(AND(AI41=FALSE,AJ41=FALSE),,if(AI41=AJ41,JOIN("""",""Static: "",AI41),JOIN("""",""Min:  "",AI41, CHAR(10),""Max: "",AJ41)))"),"")</f>
        <v/>
      </c>
      <c r="AI41" s="55" t="str">
        <f t="array" ref="AI41">_xlfn.XLOOKUP(B41,'Up Min'!A:A,'Up Min'!I:I,)</f>
        <v/>
      </c>
      <c r="AJ41" s="55" t="str">
        <f t="array" ref="AJ41">_xlfn.XLOOKUP(B41,'Up Max'!A:A,'Up Max'!I:I,)</f>
        <v/>
      </c>
      <c r="AK41" s="57" t="str">
        <f t="array" ref="AK41">_xlfn.XLOOKUP(B41,'Up Stats'!A:A,'Up Stats'!J:J,)</f>
        <v/>
      </c>
      <c r="AL41" s="54" t="str">
        <f>IFERROR(__xludf.DUMMYFUNCTION("if(AND(AM41=FALSE,AN41=FALSE),,if(AM41=AN41,JOIN("""",""Static: "",AM41),JOIN("""",""Min:  "",AM41, CHAR(10),""Max: "",AN41)))"),"")</f>
        <v/>
      </c>
      <c r="AM41" s="55" t="str">
        <f t="array" ref="AM41">_xlfn.XLOOKUP(B41,'Up Min'!A:A,'Up Min'!J:J,)</f>
        <v/>
      </c>
      <c r="AN41" s="55" t="str">
        <f t="array" ref="AN41">_xlfn.XLOOKUP(B41,'Up Max'!A:A,'Up Max'!J:J,)</f>
        <v/>
      </c>
      <c r="AO41" s="51" t="str">
        <f t="array" ref="AO41">CONCATENATE(_xlfn.XLOOKUP(B41,'Up Cells'!A:A,'Up Cells'!B:B,))</f>
        <v/>
      </c>
      <c r="AP41" s="51" t="str">
        <f t="array" ref="AP41">CONCATENATE(_xlfn.XLOOKUP(B41,'Up Rarity'!A:A,'Up Rarity'!B:B,),CHAR(10),"-")</f>
        <v>
-</v>
      </c>
    </row>
    <row r="42">
      <c r="A42" s="87" t="str">
        <f t="array" ref="A42">_xlfn.XLOOKUP(B42,'Up Icon'!A:A,'Up Icon'!B:B,)</f>
        <v/>
      </c>
      <c r="B42" s="58" t="str">
        <f t="array" ref="B42">HYPERLINK(_xlfn.XLOOKUP('Up Names'!M42,'Up Wiki'!A:A,'Up Wiki'!B:B,),'Up Names'!M42)</f>
        <v/>
      </c>
      <c r="C42" s="37" t="str">
        <f t="array" ref="C42">_xlfn.XLOOKUP(B42,'Up Desc'!A:A,'Up Desc'!B:B,)</f>
        <v/>
      </c>
      <c r="D42" s="37" t="str">
        <f t="array" ref="D42">_xlfn.XLOOKUP(B42,'Up Turbo'!A:A,'Up Turbo'!B:B,)</f>
        <v/>
      </c>
      <c r="E42" s="39" t="str">
        <f t="array" ref="E42">_xlfn.XLOOKUP(B42,'Up Stats'!A:A,'Up Stats'!B:B,)</f>
        <v/>
      </c>
      <c r="F42" s="40" t="str">
        <f>IFERROR(__xludf.DUMMYFUNCTION("if(AND(G42=FALSE,H42=FALSE),,if(G42=H42,JOIN("""",""Static: "",G42),JOIN("""",""Min:  "",G42, CHAR(10),""Max: "",H42)))"),"")</f>
        <v/>
      </c>
      <c r="G42" s="42" t="str">
        <f t="array" ref="G42">_xlfn.XLOOKUP(B42,'Up Min'!A:A,'Up Min'!B:B,)</f>
        <v/>
      </c>
      <c r="H42" s="45" t="str">
        <f t="array" ref="H42">_xlfn.XLOOKUP(B42,'Up Max'!A:A,'Up Max'!B:B,)</f>
        <v/>
      </c>
      <c r="I42" s="39" t="str">
        <f t="array" ref="I42">_xlfn.XLOOKUP(B42,'Up Stats'!A:A,'Up Stats'!C:C,)</f>
        <v/>
      </c>
      <c r="J42" s="40" t="str">
        <f>IFERROR(__xludf.DUMMYFUNCTION("if(AND(K42=FALSE,L42=FALSE),,if(K42=L42,JOIN("""",""Static: "",K42),JOIN("""",""Min:  "",K42, CHAR(10),""Max: "",L42)))"),"")</f>
        <v/>
      </c>
      <c r="K42" s="42" t="str">
        <f t="array" ref="K42">_xlfn.XLOOKUP(B42,'Up Min'!A:A,'Up Min'!C:C,)</f>
        <v/>
      </c>
      <c r="L42" s="42" t="str">
        <f t="array" ref="L42">_xlfn.XLOOKUP(B42,'Up Max'!A:A,'Up Max'!C:C,)</f>
        <v/>
      </c>
      <c r="M42" s="39" t="str">
        <f t="array" ref="M42">_xlfn.XLOOKUP(B42,'Up Stats'!A:A,'Up Stats'!D:D,)</f>
        <v/>
      </c>
      <c r="N42" s="40" t="str">
        <f>IFERROR(__xludf.DUMMYFUNCTION("if(AND(O42=FALSE,P42=FALSE),,if(O42=P42,JOIN("""",""Static: "",O42),JOIN("""",""Min:  "",O42, CHAR(10),""Max: "",P42)))"),"")</f>
        <v/>
      </c>
      <c r="O42" s="42" t="str">
        <f t="array" ref="O42">_xlfn.XLOOKUP(B42,'Up Min'!A:A,'Up Min'!D:D,)</f>
        <v/>
      </c>
      <c r="P42" s="42" t="str">
        <f t="array" ref="P42">_xlfn.XLOOKUP(B42,'Up Max'!A:A,'Up Max'!D:D,)</f>
        <v/>
      </c>
      <c r="Q42" s="48" t="str">
        <f t="array" ref="Q42">_xlfn.XLOOKUP(B42,'Up Stats'!A:A,'Up Stats'!E:E,)</f>
        <v/>
      </c>
      <c r="R42" s="40" t="str">
        <f>IFERROR(__xludf.DUMMYFUNCTION("if(AND(S42=FALSE,T42=FALSE),,if(S42=T42,JOIN("""",""Static: "",S42),JOIN("""",""Min:  "",S42, CHAR(10),""Max: "",T42)))"),"")</f>
        <v/>
      </c>
      <c r="S42" s="42" t="str">
        <f t="array" ref="S42">_xlfn.XLOOKUP(B42,'Up Min'!A:A,'Up Min'!E:E,)</f>
        <v/>
      </c>
      <c r="T42" s="42" t="str">
        <f t="array" ref="T42">_xlfn.XLOOKUP(B42,'Up Max'!A:A,'Up Max'!E:E,)</f>
        <v/>
      </c>
      <c r="U42" s="48" t="str">
        <f t="array" ref="U42">_xlfn.XLOOKUP(B42,'Up Stats'!A:A,'Up Stats'!F:F,)</f>
        <v/>
      </c>
      <c r="V42" s="40" t="str">
        <f>IFERROR(__xludf.DUMMYFUNCTION("if(AND(W42=FALSE,X42=FALSE),,if(W42=X42,JOIN("""",""Static: "",W42),JOIN("""",""Min:  "",W42, CHAR(10),""Max: "",X42)))"),"")</f>
        <v/>
      </c>
      <c r="W42" s="42" t="str">
        <f t="array" ref="W42">_xlfn.XLOOKUP(B42,'Up Min'!A:A,'Up Min'!F:F,)</f>
        <v/>
      </c>
      <c r="X42" s="42" t="str">
        <f t="array" ref="X42">_xlfn.XLOOKUP(B42,'Up Max'!A:A,'Up Max'!F:F,)</f>
        <v/>
      </c>
      <c r="Y42" s="48" t="str">
        <f t="array" ref="Y42">_xlfn.XLOOKUP(B42,'Up Stats'!A:A,'Up Stats'!G:G,)</f>
        <v/>
      </c>
      <c r="Z42" s="40" t="str">
        <f>IFERROR(__xludf.DUMMYFUNCTION("if(AND(AA42=FALSE,AB42=FALSE),,if(AA42=AB42,JOIN("""",""Static: "",AA42),JOIN("""",""Min:  "",AA42, CHAR(10),""Max: "",AB42)))"),"")</f>
        <v/>
      </c>
      <c r="AA42" s="42" t="str">
        <f t="array" ref="AA42">_xlfn.XLOOKUP(B42,'Up Min'!A:A,'Up Min'!G:G,)</f>
        <v/>
      </c>
      <c r="AB42" s="42" t="str">
        <f t="array" ref="AB42">_xlfn.XLOOKUP(B42,'Up Max'!A:A,'Up Max'!G:G,)</f>
        <v/>
      </c>
      <c r="AC42" s="48" t="str">
        <f t="array" ref="AC42">_xlfn.XLOOKUP(B42,'Up Stats'!A:A,'Up Stats'!H:H,)</f>
        <v/>
      </c>
      <c r="AD42" s="40" t="str">
        <f>IFERROR(__xludf.DUMMYFUNCTION("if(AND(AE42=FALSE,AF42=FALSE),,if(AE42=AF42,JOIN("""",""Static: "",AE42),JOIN("""",""Min:  "",AE42, CHAR(10),""Max: "",AF42)))"),"")</f>
        <v/>
      </c>
      <c r="AE42" s="42" t="str">
        <f t="array" ref="AE42">_xlfn.XLOOKUP(B42,'Up Min'!A:A,'Up Min'!H:H,)</f>
        <v/>
      </c>
      <c r="AF42" s="42" t="str">
        <f t="array" ref="AF42">_xlfn.XLOOKUP(B42,'Up Max'!A:A,'Up Max'!H:H,)</f>
        <v/>
      </c>
      <c r="AG42" s="48" t="str">
        <f t="array" ref="AG42">_xlfn.XLOOKUP(B42,'Up Stats'!A:A,'Up Stats'!I:I,)</f>
        <v/>
      </c>
      <c r="AH42" s="40" t="str">
        <f>IFERROR(__xludf.DUMMYFUNCTION("if(AND(AI42=FALSE,AJ42=FALSE),,if(AI42=AJ42,JOIN("""",""Static: "",AI42),JOIN("""",""Min:  "",AI42, CHAR(10),""Max: "",AJ42)))"),"")</f>
        <v/>
      </c>
      <c r="AI42" s="42" t="str">
        <f t="array" ref="AI42">_xlfn.XLOOKUP(B42,'Up Min'!A:A,'Up Min'!I:I,)</f>
        <v/>
      </c>
      <c r="AJ42" s="42" t="str">
        <f t="array" ref="AJ42">_xlfn.XLOOKUP(B42,'Up Max'!A:A,'Up Max'!I:I,)</f>
        <v/>
      </c>
      <c r="AK42" s="48" t="str">
        <f t="array" ref="AK42">_xlfn.XLOOKUP(B42,'Up Stats'!A:A,'Up Stats'!J:J,)</f>
        <v/>
      </c>
      <c r="AL42" s="40" t="str">
        <f>IFERROR(__xludf.DUMMYFUNCTION("if(AND(AM42=FALSE,AN42=FALSE),,if(AM42=AN42,JOIN("""",""Static: "",AM42),JOIN("""",""Min:  "",AM42, CHAR(10),""Max: "",AN42)))"),"")</f>
        <v/>
      </c>
      <c r="AM42" s="42" t="str">
        <f t="array" ref="AM42">_xlfn.XLOOKUP(B42,'Up Min'!A:A,'Up Min'!J:J,)</f>
        <v/>
      </c>
      <c r="AN42" s="42" t="str">
        <f t="array" ref="AN42">_xlfn.XLOOKUP(B42,'Up Max'!A:A,'Up Max'!J:J,)</f>
        <v/>
      </c>
      <c r="AO42" s="34" t="str">
        <f t="array" ref="AO42">CONCATENATE(_xlfn.XLOOKUP(B42,'Up Cells'!A:A,'Up Cells'!B:B,))</f>
        <v/>
      </c>
      <c r="AP42" s="34" t="str">
        <f t="array" ref="AP42">CONCATENATE(_xlfn.XLOOKUP(B42,'Up Rarity'!A:A,'Up Rarity'!B:B,),CHAR(10),"-")</f>
        <v>
-</v>
      </c>
    </row>
    <row r="43">
      <c r="A43" s="86" t="str">
        <f t="array" ref="A43">_xlfn.XLOOKUP(B43,'Up Icon'!A:A,'Up Icon'!B:B,)</f>
        <v/>
      </c>
      <c r="B43" s="61" t="str">
        <f t="array" ref="B43">HYPERLINK(_xlfn.XLOOKUP('Up Names'!M43,'Up Wiki'!A:A,'Up Wiki'!B:B,),'Up Names'!M43)</f>
        <v/>
      </c>
      <c r="C43" s="52" t="str">
        <f t="array" ref="C43">_xlfn.XLOOKUP(B43,'Up Desc'!A:A,'Up Desc'!B:B,)</f>
        <v/>
      </c>
      <c r="D43" s="52" t="str">
        <f t="array" ref="D43">_xlfn.XLOOKUP(B43,'Up Turbo'!A:A,'Up Turbo'!B:B,)</f>
        <v/>
      </c>
      <c r="E43" s="53" t="str">
        <f t="array" ref="E43">_xlfn.XLOOKUP(B43,'Up Stats'!A:A,'Up Stats'!B:B,)</f>
        <v/>
      </c>
      <c r="F43" s="54" t="str">
        <f>IFERROR(__xludf.DUMMYFUNCTION("if(AND(G43=FALSE,H43=FALSE),,if(G43=H43,JOIN("""",""Static: "",G43),JOIN("""",""Min:  "",G43, CHAR(10),""Max: "",H43)))"),"")</f>
        <v/>
      </c>
      <c r="G43" s="55" t="str">
        <f t="array" ref="G43">_xlfn.XLOOKUP(B43,'Up Min'!A:A,'Up Min'!B:B,)</f>
        <v/>
      </c>
      <c r="H43" s="56" t="str">
        <f t="array" ref="H43">_xlfn.XLOOKUP(B43,'Up Max'!A:A,'Up Max'!B:B,)</f>
        <v/>
      </c>
      <c r="I43" s="53" t="str">
        <f t="array" ref="I43">_xlfn.XLOOKUP(B43,'Up Stats'!A:A,'Up Stats'!C:C,)</f>
        <v/>
      </c>
      <c r="J43" s="54" t="str">
        <f>IFERROR(__xludf.DUMMYFUNCTION("if(AND(K43=FALSE,L43=FALSE),,if(K43=L43,JOIN("""",""Static: "",K43),JOIN("""",""Min:  "",K43, CHAR(10),""Max: "",L43)))"),"")</f>
        <v/>
      </c>
      <c r="K43" s="55" t="str">
        <f t="array" ref="K43">_xlfn.XLOOKUP(B43,'Up Min'!A:A,'Up Min'!C:C,)</f>
        <v/>
      </c>
      <c r="L43" s="55" t="str">
        <f t="array" ref="L43">_xlfn.XLOOKUP(B43,'Up Max'!A:A,'Up Max'!C:C,)</f>
        <v/>
      </c>
      <c r="M43" s="53" t="str">
        <f t="array" ref="M43">_xlfn.XLOOKUP(B43,'Up Stats'!A:A,'Up Stats'!D:D,)</f>
        <v/>
      </c>
      <c r="N43" s="54" t="str">
        <f>IFERROR(__xludf.DUMMYFUNCTION("if(AND(O43=FALSE,P43=FALSE),,if(O43=P43,JOIN("""",""Static: "",O43),JOIN("""",""Min:  "",O43, CHAR(10),""Max: "",P43)))"),"")</f>
        <v/>
      </c>
      <c r="O43" s="55" t="str">
        <f t="array" ref="O43">_xlfn.XLOOKUP(B43,'Up Min'!A:A,'Up Min'!D:D,)</f>
        <v/>
      </c>
      <c r="P43" s="55" t="str">
        <f t="array" ref="P43">_xlfn.XLOOKUP(B43,'Up Max'!A:A,'Up Max'!D:D,)</f>
        <v/>
      </c>
      <c r="Q43" s="57" t="str">
        <f t="array" ref="Q43">_xlfn.XLOOKUP(B43,'Up Stats'!A:A,'Up Stats'!E:E,)</f>
        <v/>
      </c>
      <c r="R43" s="54" t="str">
        <f>IFERROR(__xludf.DUMMYFUNCTION("if(AND(S43=FALSE,T43=FALSE),,if(S43=T43,JOIN("""",""Static: "",S43),JOIN("""",""Min:  "",S43, CHAR(10),""Max: "",T43)))"),"")</f>
        <v/>
      </c>
      <c r="S43" s="55" t="str">
        <f t="array" ref="S43">_xlfn.XLOOKUP(B43,'Up Min'!A:A,'Up Min'!E:E,)</f>
        <v/>
      </c>
      <c r="T43" s="55" t="str">
        <f t="array" ref="T43">_xlfn.XLOOKUP(B43,'Up Max'!A:A,'Up Max'!E:E,)</f>
        <v/>
      </c>
      <c r="U43" s="57" t="str">
        <f t="array" ref="U43">_xlfn.XLOOKUP(B43,'Up Stats'!A:A,'Up Stats'!F:F,)</f>
        <v/>
      </c>
      <c r="V43" s="54" t="str">
        <f>IFERROR(__xludf.DUMMYFUNCTION("if(AND(W43=FALSE,X43=FALSE),,if(W43=X43,JOIN("""",""Static: "",W43),JOIN("""",""Min:  "",W43, CHAR(10),""Max: "",X43)))"),"")</f>
        <v/>
      </c>
      <c r="W43" s="55" t="str">
        <f t="array" ref="W43">_xlfn.XLOOKUP(B43,'Up Min'!A:A,'Up Min'!F:F,)</f>
        <v/>
      </c>
      <c r="X43" s="55" t="str">
        <f t="array" ref="X43">_xlfn.XLOOKUP(B43,'Up Max'!A:A,'Up Max'!F:F,)</f>
        <v/>
      </c>
      <c r="Y43" s="57" t="str">
        <f t="array" ref="Y43">_xlfn.XLOOKUP(B43,'Up Stats'!A:A,'Up Stats'!G:G,)</f>
        <v/>
      </c>
      <c r="Z43" s="54" t="str">
        <f>IFERROR(__xludf.DUMMYFUNCTION("if(AND(AA43=FALSE,AB43=FALSE),,if(AA43=AB43,JOIN("""",""Static: "",AA43),JOIN("""",""Min:  "",AA43, CHAR(10),""Max: "",AB43)))"),"")</f>
        <v/>
      </c>
      <c r="AA43" s="55" t="str">
        <f t="array" ref="AA43">_xlfn.XLOOKUP(B43,'Up Min'!A:A,'Up Min'!G:G,)</f>
        <v/>
      </c>
      <c r="AB43" s="55" t="str">
        <f t="array" ref="AB43">_xlfn.XLOOKUP(B43,'Up Max'!A:A,'Up Max'!G:G,)</f>
        <v/>
      </c>
      <c r="AC43" s="57" t="str">
        <f t="array" ref="AC43">_xlfn.XLOOKUP(B43,'Up Stats'!A:A,'Up Stats'!H:H,)</f>
        <v/>
      </c>
      <c r="AD43" s="54" t="str">
        <f>IFERROR(__xludf.DUMMYFUNCTION("if(AND(AE43=FALSE,AF43=FALSE),,if(AE43=AF43,JOIN("""",""Static: "",AE43),JOIN("""",""Min:  "",AE43, CHAR(10),""Max: "",AF43)))"),"")</f>
        <v/>
      </c>
      <c r="AE43" s="55" t="str">
        <f t="array" ref="AE43">_xlfn.XLOOKUP(B43,'Up Min'!A:A,'Up Min'!H:H,)</f>
        <v/>
      </c>
      <c r="AF43" s="55" t="str">
        <f t="array" ref="AF43">_xlfn.XLOOKUP(B43,'Up Max'!A:A,'Up Max'!H:H,)</f>
        <v/>
      </c>
      <c r="AG43" s="57" t="str">
        <f t="array" ref="AG43">_xlfn.XLOOKUP(B43,'Up Stats'!A:A,'Up Stats'!I:I,)</f>
        <v/>
      </c>
      <c r="AH43" s="54" t="str">
        <f>IFERROR(__xludf.DUMMYFUNCTION("if(AND(AI43=FALSE,AJ43=FALSE),,if(AI43=AJ43,JOIN("""",""Static: "",AI43),JOIN("""",""Min:  "",AI43, CHAR(10),""Max: "",AJ43)))"),"")</f>
        <v/>
      </c>
      <c r="AI43" s="55" t="str">
        <f t="array" ref="AI43">_xlfn.XLOOKUP(B43,'Up Min'!A:A,'Up Min'!I:I,)</f>
        <v/>
      </c>
      <c r="AJ43" s="55" t="str">
        <f t="array" ref="AJ43">_xlfn.XLOOKUP(B43,'Up Max'!A:A,'Up Max'!I:I,)</f>
        <v/>
      </c>
      <c r="AK43" s="57" t="str">
        <f t="array" ref="AK43">_xlfn.XLOOKUP(B43,'Up Stats'!A:A,'Up Stats'!J:J,)</f>
        <v/>
      </c>
      <c r="AL43" s="54" t="str">
        <f>IFERROR(__xludf.DUMMYFUNCTION("if(AND(AM43=FALSE,AN43=FALSE),,if(AM43=AN43,JOIN("""",""Static: "",AM43),JOIN("""",""Min:  "",AM43, CHAR(10),""Max: "",AN43)))"),"")</f>
        <v/>
      </c>
      <c r="AM43" s="55" t="str">
        <f t="array" ref="AM43">_xlfn.XLOOKUP(B43,'Up Min'!A:A,'Up Min'!J:J,)</f>
        <v/>
      </c>
      <c r="AN43" s="55" t="str">
        <f t="array" ref="AN43">_xlfn.XLOOKUP(B43,'Up Max'!A:A,'Up Max'!J:J,)</f>
        <v/>
      </c>
      <c r="AO43" s="51" t="str">
        <f t="array" ref="AO43">CONCATENATE(_xlfn.XLOOKUP(B43,'Up Cells'!A:A,'Up Cells'!B:B,))</f>
        <v/>
      </c>
      <c r="AP43" s="51" t="str">
        <f t="array" ref="AP43">CONCATENATE(_xlfn.XLOOKUP(B43,'Up Rarity'!A:A,'Up Rarity'!B:B,),CHAR(10),"-")</f>
        <v>
-</v>
      </c>
    </row>
    <row r="44">
      <c r="A44" s="87" t="str">
        <f t="array" ref="A44">_xlfn.XLOOKUP(B44,'Up Icon'!A:A,'Up Icon'!B:B,)</f>
        <v/>
      </c>
      <c r="B44" s="58" t="str">
        <f t="array" ref="B44">HYPERLINK(_xlfn.XLOOKUP('Up Names'!M44,'Up Wiki'!A:A,'Up Wiki'!B:B,),'Up Names'!M44)</f>
        <v/>
      </c>
      <c r="C44" s="37" t="str">
        <f t="array" ref="C44">_xlfn.XLOOKUP(B44,'Up Desc'!A:A,'Up Desc'!B:B,)</f>
        <v/>
      </c>
      <c r="D44" s="37" t="str">
        <f t="array" ref="D44">_xlfn.XLOOKUP(B44,'Up Turbo'!A:A,'Up Turbo'!B:B,)</f>
        <v/>
      </c>
      <c r="E44" s="39" t="str">
        <f t="array" ref="E44">_xlfn.XLOOKUP(B44,'Up Stats'!A:A,'Up Stats'!B:B,)</f>
        <v/>
      </c>
      <c r="F44" s="40" t="str">
        <f>IFERROR(__xludf.DUMMYFUNCTION("if(AND(G44=FALSE,H44=FALSE),,if(G44=H44,JOIN("""",""Static: "",G44),JOIN("""",""Min:  "",G44, CHAR(10),""Max: "",H44)))"),"")</f>
        <v/>
      </c>
      <c r="G44" s="42" t="str">
        <f t="array" ref="G44">_xlfn.XLOOKUP(B44,'Up Min'!A:A,'Up Min'!B:B,)</f>
        <v/>
      </c>
      <c r="H44" s="45" t="str">
        <f t="array" ref="H44">_xlfn.XLOOKUP(B44,'Up Max'!A:A,'Up Max'!B:B,)</f>
        <v/>
      </c>
      <c r="I44" s="39" t="str">
        <f t="array" ref="I44">_xlfn.XLOOKUP(B44,'Up Stats'!A:A,'Up Stats'!C:C,)</f>
        <v/>
      </c>
      <c r="J44" s="40" t="str">
        <f>IFERROR(__xludf.DUMMYFUNCTION("if(AND(K44=FALSE,L44=FALSE),,if(K44=L44,JOIN("""",""Static: "",K44),JOIN("""",""Min:  "",K44, CHAR(10),""Max: "",L44)))"),"")</f>
        <v/>
      </c>
      <c r="K44" s="42" t="str">
        <f t="array" ref="K44">_xlfn.XLOOKUP(B44,'Up Min'!A:A,'Up Min'!C:C,)</f>
        <v/>
      </c>
      <c r="L44" s="42" t="str">
        <f t="array" ref="L44">_xlfn.XLOOKUP(B44,'Up Max'!A:A,'Up Max'!C:C,)</f>
        <v/>
      </c>
      <c r="M44" s="39" t="str">
        <f t="array" ref="M44">_xlfn.XLOOKUP(B44,'Up Stats'!A:A,'Up Stats'!D:D,)</f>
        <v/>
      </c>
      <c r="N44" s="40" t="str">
        <f>IFERROR(__xludf.DUMMYFUNCTION("if(AND(O44=FALSE,P44=FALSE),,if(O44=P44,JOIN("""",""Static: "",O44),JOIN("""",""Min:  "",O44, CHAR(10),""Max: "",P44)))"),"")</f>
        <v/>
      </c>
      <c r="O44" s="42" t="str">
        <f t="array" ref="O44">_xlfn.XLOOKUP(B44,'Up Min'!A:A,'Up Min'!D:D,)</f>
        <v/>
      </c>
      <c r="P44" s="42" t="str">
        <f t="array" ref="P44">_xlfn.XLOOKUP(B44,'Up Max'!A:A,'Up Max'!D:D,)</f>
        <v/>
      </c>
      <c r="Q44" s="48" t="str">
        <f t="array" ref="Q44">_xlfn.XLOOKUP(B44,'Up Stats'!A:A,'Up Stats'!E:E,)</f>
        <v/>
      </c>
      <c r="R44" s="40" t="str">
        <f>IFERROR(__xludf.DUMMYFUNCTION("if(AND(S44=FALSE,T44=FALSE),,if(S44=T44,JOIN("""",""Static: "",S44),JOIN("""",""Min:  "",S44, CHAR(10),""Max: "",T44)))"),"")</f>
        <v/>
      </c>
      <c r="S44" s="42" t="str">
        <f t="array" ref="S44">_xlfn.XLOOKUP(B44,'Up Min'!A:A,'Up Min'!E:E,)</f>
        <v/>
      </c>
      <c r="T44" s="42" t="str">
        <f t="array" ref="T44">_xlfn.XLOOKUP(B44,'Up Max'!A:A,'Up Max'!E:E,)</f>
        <v/>
      </c>
      <c r="U44" s="48" t="str">
        <f t="array" ref="U44">_xlfn.XLOOKUP(B44,'Up Stats'!A:A,'Up Stats'!F:F,)</f>
        <v/>
      </c>
      <c r="V44" s="40" t="str">
        <f>IFERROR(__xludf.DUMMYFUNCTION("if(AND(W44=FALSE,X44=FALSE),,if(W44=X44,JOIN("""",""Static: "",W44),JOIN("""",""Min:  "",W44, CHAR(10),""Max: "",X44)))"),"")</f>
        <v/>
      </c>
      <c r="W44" s="42" t="str">
        <f t="array" ref="W44">_xlfn.XLOOKUP(B44,'Up Min'!A:A,'Up Min'!F:F,)</f>
        <v/>
      </c>
      <c r="X44" s="42" t="str">
        <f t="array" ref="X44">_xlfn.XLOOKUP(B44,'Up Max'!A:A,'Up Max'!F:F,)</f>
        <v/>
      </c>
      <c r="Y44" s="48" t="str">
        <f t="array" ref="Y44">_xlfn.XLOOKUP(B44,'Up Stats'!A:A,'Up Stats'!G:G,)</f>
        <v/>
      </c>
      <c r="Z44" s="40" t="str">
        <f>IFERROR(__xludf.DUMMYFUNCTION("if(AND(AA44=FALSE,AB44=FALSE),,if(AA44=AB44,JOIN("""",""Static: "",AA44),JOIN("""",""Min:  "",AA44, CHAR(10),""Max: "",AB44)))"),"")</f>
        <v/>
      </c>
      <c r="AA44" s="42" t="str">
        <f t="array" ref="AA44">_xlfn.XLOOKUP(B44,'Up Min'!A:A,'Up Min'!G:G,)</f>
        <v/>
      </c>
      <c r="AB44" s="42" t="str">
        <f t="array" ref="AB44">_xlfn.XLOOKUP(B44,'Up Max'!A:A,'Up Max'!G:G,)</f>
        <v/>
      </c>
      <c r="AC44" s="48" t="str">
        <f t="array" ref="AC44">_xlfn.XLOOKUP(B44,'Up Stats'!A:A,'Up Stats'!H:H,)</f>
        <v/>
      </c>
      <c r="AD44" s="40" t="str">
        <f>IFERROR(__xludf.DUMMYFUNCTION("if(AND(AE44=FALSE,AF44=FALSE),,if(AE44=AF44,JOIN("""",""Static: "",AE44),JOIN("""",""Min:  "",AE44, CHAR(10),""Max: "",AF44)))"),"")</f>
        <v/>
      </c>
      <c r="AE44" s="42" t="str">
        <f t="array" ref="AE44">_xlfn.XLOOKUP(B44,'Up Min'!A:A,'Up Min'!H:H,)</f>
        <v/>
      </c>
      <c r="AF44" s="42" t="str">
        <f t="array" ref="AF44">_xlfn.XLOOKUP(B44,'Up Max'!A:A,'Up Max'!H:H,)</f>
        <v/>
      </c>
      <c r="AG44" s="48" t="str">
        <f t="array" ref="AG44">_xlfn.XLOOKUP(B44,'Up Stats'!A:A,'Up Stats'!I:I,)</f>
        <v/>
      </c>
      <c r="AH44" s="40" t="str">
        <f>IFERROR(__xludf.DUMMYFUNCTION("if(AND(AI44=FALSE,AJ44=FALSE),,if(AI44=AJ44,JOIN("""",""Static: "",AI44),JOIN("""",""Min:  "",AI44, CHAR(10),""Max: "",AJ44)))"),"")</f>
        <v/>
      </c>
      <c r="AI44" s="42" t="str">
        <f t="array" ref="AI44">_xlfn.XLOOKUP(B44,'Up Min'!A:A,'Up Min'!I:I,)</f>
        <v/>
      </c>
      <c r="AJ44" s="42" t="str">
        <f t="array" ref="AJ44">_xlfn.XLOOKUP(B44,'Up Max'!A:A,'Up Max'!I:I,)</f>
        <v/>
      </c>
      <c r="AK44" s="48" t="str">
        <f t="array" ref="AK44">_xlfn.XLOOKUP(B44,'Up Stats'!A:A,'Up Stats'!J:J,)</f>
        <v/>
      </c>
      <c r="AL44" s="40" t="str">
        <f>IFERROR(__xludf.DUMMYFUNCTION("if(AND(AM44=FALSE,AN44=FALSE),,if(AM44=AN44,JOIN("""",""Static: "",AM44),JOIN("""",""Min:  "",AM44, CHAR(10),""Max: "",AN44)))"),"")</f>
        <v/>
      </c>
      <c r="AM44" s="42" t="str">
        <f t="array" ref="AM44">_xlfn.XLOOKUP(B44,'Up Min'!A:A,'Up Min'!J:J,)</f>
        <v/>
      </c>
      <c r="AN44" s="42" t="str">
        <f t="array" ref="AN44">_xlfn.XLOOKUP(B44,'Up Max'!A:A,'Up Max'!J:J,)</f>
        <v/>
      </c>
      <c r="AO44" s="34" t="str">
        <f t="array" ref="AO44">CONCATENATE(_xlfn.XLOOKUP(B44,'Up Cells'!A:A,'Up Cells'!B:B,))</f>
        <v/>
      </c>
      <c r="AP44" s="34" t="str">
        <f t="array" ref="AP44">CONCATENATE(_xlfn.XLOOKUP(B44,'Up Rarity'!A:A,'Up Rarity'!B:B,),CHAR(10),"-")</f>
        <v>
-</v>
      </c>
    </row>
    <row r="45">
      <c r="A45" s="86" t="str">
        <f t="array" ref="A45">_xlfn.XLOOKUP(B45,'Up Icon'!A:A,'Up Icon'!B:B,)</f>
        <v/>
      </c>
      <c r="B45" s="61" t="str">
        <f t="array" ref="B45">HYPERLINK(_xlfn.XLOOKUP('Up Names'!M45,'Up Wiki'!A:A,'Up Wiki'!B:B,),'Up Names'!M45)</f>
        <v/>
      </c>
      <c r="C45" s="52" t="str">
        <f t="array" ref="C45">_xlfn.XLOOKUP(B45,'Up Desc'!A:A,'Up Desc'!B:B,)</f>
        <v/>
      </c>
      <c r="D45" s="52" t="str">
        <f t="array" ref="D45">_xlfn.XLOOKUP(B45,'Up Turbo'!A:A,'Up Turbo'!B:B,)</f>
        <v/>
      </c>
      <c r="E45" s="53" t="str">
        <f t="array" ref="E45">_xlfn.XLOOKUP(B45,'Up Stats'!A:A,'Up Stats'!B:B,)</f>
        <v/>
      </c>
      <c r="F45" s="54" t="str">
        <f>IFERROR(__xludf.DUMMYFUNCTION("if(AND(G45=FALSE,H45=FALSE),,if(G45=H45,JOIN("""",""Static: "",G45),JOIN("""",""Min:  "",G45, CHAR(10),""Max: "",H45)))"),"")</f>
        <v/>
      </c>
      <c r="G45" s="55" t="str">
        <f t="array" ref="G45">_xlfn.XLOOKUP(B45,'Up Min'!A:A,'Up Min'!B:B,)</f>
        <v/>
      </c>
      <c r="H45" s="56" t="str">
        <f t="array" ref="H45">_xlfn.XLOOKUP(B45,'Up Max'!A:A,'Up Max'!B:B,)</f>
        <v/>
      </c>
      <c r="I45" s="53" t="str">
        <f t="array" ref="I45">_xlfn.XLOOKUP(B45,'Up Stats'!A:A,'Up Stats'!C:C,)</f>
        <v/>
      </c>
      <c r="J45" s="54" t="str">
        <f>IFERROR(__xludf.DUMMYFUNCTION("if(AND(K45=FALSE,L45=FALSE),,if(K45=L45,JOIN("""",""Static: "",K45),JOIN("""",""Min:  "",K45, CHAR(10),""Max: "",L45)))"),"")</f>
        <v/>
      </c>
      <c r="K45" s="55" t="str">
        <f t="array" ref="K45">_xlfn.XLOOKUP(B45,'Up Min'!A:A,'Up Min'!C:C,)</f>
        <v/>
      </c>
      <c r="L45" s="55" t="str">
        <f t="array" ref="L45">_xlfn.XLOOKUP(B45,'Up Max'!A:A,'Up Max'!C:C,)</f>
        <v/>
      </c>
      <c r="M45" s="53" t="str">
        <f t="array" ref="M45">_xlfn.XLOOKUP(B45,'Up Stats'!A:A,'Up Stats'!D:D,)</f>
        <v/>
      </c>
      <c r="N45" s="54" t="str">
        <f>IFERROR(__xludf.DUMMYFUNCTION("if(AND(O45=FALSE,P45=FALSE),,if(O45=P45,JOIN("""",""Static: "",O45),JOIN("""",""Min:  "",O45, CHAR(10),""Max: "",P45)))"),"")</f>
        <v/>
      </c>
      <c r="O45" s="55" t="str">
        <f t="array" ref="O45">_xlfn.XLOOKUP(B45,'Up Min'!A:A,'Up Min'!D:D,)</f>
        <v/>
      </c>
      <c r="P45" s="55" t="str">
        <f t="array" ref="P45">_xlfn.XLOOKUP(B45,'Up Max'!A:A,'Up Max'!D:D,)</f>
        <v/>
      </c>
      <c r="Q45" s="57" t="str">
        <f t="array" ref="Q45">_xlfn.XLOOKUP(B45,'Up Stats'!A:A,'Up Stats'!E:E,)</f>
        <v/>
      </c>
      <c r="R45" s="54" t="str">
        <f>IFERROR(__xludf.DUMMYFUNCTION("if(AND(S45=FALSE,T45=FALSE),,if(S45=T45,JOIN("""",""Static: "",S45),JOIN("""",""Min:  "",S45, CHAR(10),""Max: "",T45)))"),"")</f>
        <v/>
      </c>
      <c r="S45" s="55" t="str">
        <f t="array" ref="S45">_xlfn.XLOOKUP(B45,'Up Min'!A:A,'Up Min'!E:E,)</f>
        <v/>
      </c>
      <c r="T45" s="55" t="str">
        <f t="array" ref="T45">_xlfn.XLOOKUP(B45,'Up Max'!A:A,'Up Max'!E:E,)</f>
        <v/>
      </c>
      <c r="U45" s="57" t="str">
        <f t="array" ref="U45">_xlfn.XLOOKUP(B45,'Up Stats'!A:A,'Up Stats'!F:F,)</f>
        <v/>
      </c>
      <c r="V45" s="54" t="str">
        <f>IFERROR(__xludf.DUMMYFUNCTION("if(AND(W45=FALSE,X45=FALSE),,if(W45=X45,JOIN("""",""Static: "",W45),JOIN("""",""Min:  "",W45, CHAR(10),""Max: "",X45)))"),"")</f>
        <v/>
      </c>
      <c r="W45" s="55" t="str">
        <f t="array" ref="W45">_xlfn.XLOOKUP(B45,'Up Min'!A:A,'Up Min'!F:F,)</f>
        <v/>
      </c>
      <c r="X45" s="55" t="str">
        <f t="array" ref="X45">_xlfn.XLOOKUP(B45,'Up Max'!A:A,'Up Max'!F:F,)</f>
        <v/>
      </c>
      <c r="Y45" s="57" t="str">
        <f t="array" ref="Y45">_xlfn.XLOOKUP(B45,'Up Stats'!A:A,'Up Stats'!G:G,)</f>
        <v/>
      </c>
      <c r="Z45" s="54" t="str">
        <f>IFERROR(__xludf.DUMMYFUNCTION("if(AND(AA45=FALSE,AB45=FALSE),,if(AA45=AB45,JOIN("""",""Static: "",AA45),JOIN("""",""Min:  "",AA45, CHAR(10),""Max: "",AB45)))"),"")</f>
        <v/>
      </c>
      <c r="AA45" s="55" t="str">
        <f t="array" ref="AA45">_xlfn.XLOOKUP(B45,'Up Min'!A:A,'Up Min'!G:G,)</f>
        <v/>
      </c>
      <c r="AB45" s="55" t="str">
        <f t="array" ref="AB45">_xlfn.XLOOKUP(B45,'Up Max'!A:A,'Up Max'!G:G,)</f>
        <v/>
      </c>
      <c r="AC45" s="57" t="str">
        <f t="array" ref="AC45">_xlfn.XLOOKUP(B45,'Up Stats'!A:A,'Up Stats'!H:H,)</f>
        <v/>
      </c>
      <c r="AD45" s="54" t="str">
        <f>IFERROR(__xludf.DUMMYFUNCTION("if(AND(AE45=FALSE,AF45=FALSE),,if(AE45=AF45,JOIN("""",""Static: "",AE45),JOIN("""",""Min:  "",AE45, CHAR(10),""Max: "",AF45)))"),"")</f>
        <v/>
      </c>
      <c r="AE45" s="55" t="str">
        <f t="array" ref="AE45">_xlfn.XLOOKUP(B45,'Up Min'!A:A,'Up Min'!H:H,)</f>
        <v/>
      </c>
      <c r="AF45" s="55" t="str">
        <f t="array" ref="AF45">_xlfn.XLOOKUP(B45,'Up Max'!A:A,'Up Max'!H:H,)</f>
        <v/>
      </c>
      <c r="AG45" s="57" t="str">
        <f t="array" ref="AG45">_xlfn.XLOOKUP(B45,'Up Stats'!A:A,'Up Stats'!I:I,)</f>
        <v/>
      </c>
      <c r="AH45" s="54" t="str">
        <f>IFERROR(__xludf.DUMMYFUNCTION("if(AND(AI45=FALSE,AJ45=FALSE),,if(AI45=AJ45,JOIN("""",""Static: "",AI45),JOIN("""",""Min:  "",AI45, CHAR(10),""Max: "",AJ45)))"),"")</f>
        <v/>
      </c>
      <c r="AI45" s="55" t="str">
        <f t="array" ref="AI45">_xlfn.XLOOKUP(B45,'Up Min'!A:A,'Up Min'!I:I,)</f>
        <v/>
      </c>
      <c r="AJ45" s="55" t="str">
        <f t="array" ref="AJ45">_xlfn.XLOOKUP(B45,'Up Max'!A:A,'Up Max'!I:I,)</f>
        <v/>
      </c>
      <c r="AK45" s="57" t="str">
        <f t="array" ref="AK45">_xlfn.XLOOKUP(B45,'Up Stats'!A:A,'Up Stats'!J:J,)</f>
        <v/>
      </c>
      <c r="AL45" s="54" t="str">
        <f>IFERROR(__xludf.DUMMYFUNCTION("if(AND(AM45=FALSE,AN45=FALSE),,if(AM45=AN45,JOIN("""",""Static: "",AM45),JOIN("""",""Min:  "",AM45, CHAR(10),""Max: "",AN45)))"),"")</f>
        <v/>
      </c>
      <c r="AM45" s="55" t="str">
        <f t="array" ref="AM45">_xlfn.XLOOKUP(B45,'Up Min'!A:A,'Up Min'!J:J,)</f>
        <v/>
      </c>
      <c r="AN45" s="55" t="str">
        <f t="array" ref="AN45">_xlfn.XLOOKUP(B45,'Up Max'!A:A,'Up Max'!J:J,)</f>
        <v/>
      </c>
      <c r="AO45" s="51" t="str">
        <f t="array" ref="AO45">CONCATENATE(_xlfn.XLOOKUP(B45,'Up Cells'!A:A,'Up Cells'!B:B,))</f>
        <v/>
      </c>
      <c r="AP45" s="51" t="str">
        <f t="array" ref="AP45">CONCATENATE(_xlfn.XLOOKUP(B45,'Up Rarity'!A:A,'Up Rarity'!B:B,),CHAR(10),"-")</f>
        <v>
-</v>
      </c>
    </row>
    <row r="46">
      <c r="A46" s="87" t="str">
        <f t="array" ref="A46">_xlfn.XLOOKUP(B46,'Up Icon'!A:A,'Up Icon'!B:B,)</f>
        <v/>
      </c>
      <c r="B46" s="58" t="str">
        <f t="array" ref="B46">HYPERLINK(_xlfn.XLOOKUP('Up Names'!M46,'Up Wiki'!A:A,'Up Wiki'!B:B,),'Up Names'!M46)</f>
        <v/>
      </c>
      <c r="C46" s="37" t="str">
        <f t="array" ref="C46">_xlfn.XLOOKUP(B46,'Up Desc'!A:A,'Up Desc'!B:B,)</f>
        <v/>
      </c>
      <c r="D46" s="37" t="str">
        <f t="array" ref="D46">_xlfn.XLOOKUP(B46,'Up Turbo'!A:A,'Up Turbo'!B:B,)</f>
        <v/>
      </c>
      <c r="E46" s="39" t="str">
        <f t="array" ref="E46">_xlfn.XLOOKUP(B46,'Up Stats'!A:A,'Up Stats'!B:B,)</f>
        <v/>
      </c>
      <c r="F46" s="40" t="str">
        <f>IFERROR(__xludf.DUMMYFUNCTION("if(AND(G46=FALSE,H46=FALSE),,if(G46=H46,JOIN("""",""Static: "",G46),JOIN("""",""Min:  "",G46, CHAR(10),""Max: "",H46)))"),"")</f>
        <v/>
      </c>
      <c r="G46" s="42" t="str">
        <f t="array" ref="G46">_xlfn.XLOOKUP(B46,'Up Min'!A:A,'Up Min'!B:B,)</f>
        <v/>
      </c>
      <c r="H46" s="45" t="str">
        <f t="array" ref="H46">_xlfn.XLOOKUP(B46,'Up Max'!A:A,'Up Max'!B:B,)</f>
        <v/>
      </c>
      <c r="I46" s="39" t="str">
        <f t="array" ref="I46">_xlfn.XLOOKUP(B46,'Up Stats'!A:A,'Up Stats'!C:C,)</f>
        <v/>
      </c>
      <c r="J46" s="40" t="str">
        <f>IFERROR(__xludf.DUMMYFUNCTION("if(AND(K46=FALSE,L46=FALSE),,if(K46=L46,JOIN("""",""Static: "",K46),JOIN("""",""Min:  "",K46, CHAR(10),""Max: "",L46)))"),"")</f>
        <v/>
      </c>
      <c r="K46" s="42" t="str">
        <f t="array" ref="K46">_xlfn.XLOOKUP(B46,'Up Min'!A:A,'Up Min'!C:C,)</f>
        <v/>
      </c>
      <c r="L46" s="42" t="str">
        <f t="array" ref="L46">_xlfn.XLOOKUP(B46,'Up Max'!A:A,'Up Max'!C:C,)</f>
        <v/>
      </c>
      <c r="M46" s="39" t="str">
        <f t="array" ref="M46">_xlfn.XLOOKUP(B46,'Up Stats'!A:A,'Up Stats'!D:D,)</f>
        <v/>
      </c>
      <c r="N46" s="40" t="str">
        <f>IFERROR(__xludf.DUMMYFUNCTION("if(AND(O46=FALSE,P46=FALSE),,if(O46=P46,JOIN("""",""Static: "",O46),JOIN("""",""Min:  "",O46, CHAR(10),""Max: "",P46)))"),"")</f>
        <v/>
      </c>
      <c r="O46" s="42" t="str">
        <f t="array" ref="O46">_xlfn.XLOOKUP(B46,'Up Min'!A:A,'Up Min'!D:D,)</f>
        <v/>
      </c>
      <c r="P46" s="42" t="str">
        <f t="array" ref="P46">_xlfn.XLOOKUP(B46,'Up Max'!A:A,'Up Max'!D:D,)</f>
        <v/>
      </c>
      <c r="Q46" s="48" t="str">
        <f t="array" ref="Q46">_xlfn.XLOOKUP(B46,'Up Stats'!A:A,'Up Stats'!E:E,)</f>
        <v/>
      </c>
      <c r="R46" s="40" t="str">
        <f>IFERROR(__xludf.DUMMYFUNCTION("if(AND(S46=FALSE,T46=FALSE),,if(S46=T46,JOIN("""",""Static: "",S46),JOIN("""",""Min:  "",S46, CHAR(10),""Max: "",T46)))"),"")</f>
        <v/>
      </c>
      <c r="S46" s="42" t="str">
        <f t="array" ref="S46">_xlfn.XLOOKUP(B46,'Up Min'!A:A,'Up Min'!E:E,)</f>
        <v/>
      </c>
      <c r="T46" s="42" t="str">
        <f t="array" ref="T46">_xlfn.XLOOKUP(B46,'Up Max'!A:A,'Up Max'!E:E,)</f>
        <v/>
      </c>
      <c r="U46" s="48" t="str">
        <f t="array" ref="U46">_xlfn.XLOOKUP(B46,'Up Stats'!A:A,'Up Stats'!F:F,)</f>
        <v/>
      </c>
      <c r="V46" s="40" t="str">
        <f>IFERROR(__xludf.DUMMYFUNCTION("if(AND(W46=FALSE,X46=FALSE),,if(W46=X46,JOIN("""",""Static: "",W46),JOIN("""",""Min:  "",W46, CHAR(10),""Max: "",X46)))"),"")</f>
        <v/>
      </c>
      <c r="W46" s="42" t="str">
        <f t="array" ref="W46">_xlfn.XLOOKUP(B46,'Up Min'!A:A,'Up Min'!F:F,)</f>
        <v/>
      </c>
      <c r="X46" s="42" t="str">
        <f t="array" ref="X46">_xlfn.XLOOKUP(B46,'Up Max'!A:A,'Up Max'!F:F,)</f>
        <v/>
      </c>
      <c r="Y46" s="48" t="str">
        <f t="array" ref="Y46">_xlfn.XLOOKUP(B46,'Up Stats'!A:A,'Up Stats'!G:G,)</f>
        <v/>
      </c>
      <c r="Z46" s="40" t="str">
        <f>IFERROR(__xludf.DUMMYFUNCTION("if(AND(AA46=FALSE,AB46=FALSE),,if(AA46=AB46,JOIN("""",""Static: "",AA46),JOIN("""",""Min:  "",AA46, CHAR(10),""Max: "",AB46)))"),"")</f>
        <v/>
      </c>
      <c r="AA46" s="42" t="str">
        <f t="array" ref="AA46">_xlfn.XLOOKUP(B46,'Up Min'!A:A,'Up Min'!G:G,)</f>
        <v/>
      </c>
      <c r="AB46" s="42" t="str">
        <f t="array" ref="AB46">_xlfn.XLOOKUP(B46,'Up Max'!A:A,'Up Max'!G:G,)</f>
        <v/>
      </c>
      <c r="AC46" s="48" t="str">
        <f t="array" ref="AC46">_xlfn.XLOOKUP(B46,'Up Stats'!A:A,'Up Stats'!H:H,)</f>
        <v/>
      </c>
      <c r="AD46" s="40" t="str">
        <f>IFERROR(__xludf.DUMMYFUNCTION("if(AND(AE46=FALSE,AF46=FALSE),,if(AE46=AF46,JOIN("""",""Static: "",AE46),JOIN("""",""Min:  "",AE46, CHAR(10),""Max: "",AF46)))"),"")</f>
        <v/>
      </c>
      <c r="AE46" s="42" t="str">
        <f t="array" ref="AE46">_xlfn.XLOOKUP(B46,'Up Min'!A:A,'Up Min'!H:H,)</f>
        <v/>
      </c>
      <c r="AF46" s="42" t="str">
        <f t="array" ref="AF46">_xlfn.XLOOKUP(B46,'Up Max'!A:A,'Up Max'!H:H,)</f>
        <v/>
      </c>
      <c r="AG46" s="48" t="str">
        <f t="array" ref="AG46">_xlfn.XLOOKUP(B46,'Up Stats'!A:A,'Up Stats'!I:I,)</f>
        <v/>
      </c>
      <c r="AH46" s="40" t="str">
        <f>IFERROR(__xludf.DUMMYFUNCTION("if(AND(AI46=FALSE,AJ46=FALSE),,if(AI46=AJ46,JOIN("""",""Static: "",AI46),JOIN("""",""Min:  "",AI46, CHAR(10),""Max: "",AJ46)))"),"")</f>
        <v/>
      </c>
      <c r="AI46" s="42" t="str">
        <f t="array" ref="AI46">_xlfn.XLOOKUP(B46,'Up Min'!A:A,'Up Min'!I:I,)</f>
        <v/>
      </c>
      <c r="AJ46" s="42" t="str">
        <f t="array" ref="AJ46">_xlfn.XLOOKUP(B46,'Up Max'!A:A,'Up Max'!I:I,)</f>
        <v/>
      </c>
      <c r="AK46" s="48" t="str">
        <f t="array" ref="AK46">_xlfn.XLOOKUP(B46,'Up Stats'!A:A,'Up Stats'!J:J,)</f>
        <v/>
      </c>
      <c r="AL46" s="40" t="str">
        <f>IFERROR(__xludf.DUMMYFUNCTION("if(AND(AM46=FALSE,AN46=FALSE),,if(AM46=AN46,JOIN("""",""Static: "",AM46),JOIN("""",""Min:  "",AM46, CHAR(10),""Max: "",AN46)))"),"")</f>
        <v/>
      </c>
      <c r="AM46" s="42" t="str">
        <f t="array" ref="AM46">_xlfn.XLOOKUP(B46,'Up Min'!A:A,'Up Min'!J:J,)</f>
        <v/>
      </c>
      <c r="AN46" s="42" t="str">
        <f t="array" ref="AN46">_xlfn.XLOOKUP(B46,'Up Max'!A:A,'Up Max'!J:J,)</f>
        <v/>
      </c>
      <c r="AO46" s="34" t="str">
        <f t="array" ref="AO46">CONCATENATE(_xlfn.XLOOKUP(B46,'Up Cells'!A:A,'Up Cells'!B:B,))</f>
        <v/>
      </c>
      <c r="AP46" s="34" t="str">
        <f t="array" ref="AP46">CONCATENATE(_xlfn.XLOOKUP(B46,'Up Rarity'!A:A,'Up Rarity'!B:B,),CHAR(10),"-")</f>
        <v>
-</v>
      </c>
    </row>
    <row r="47">
      <c r="A47" s="86" t="str">
        <f t="array" ref="A47">_xlfn.XLOOKUP(B47,'Up Icon'!A:A,'Up Icon'!B:B,)</f>
        <v/>
      </c>
      <c r="B47" s="61" t="str">
        <f t="array" ref="B47">HYPERLINK(_xlfn.XLOOKUP('Up Names'!M47,'Up Wiki'!A:A,'Up Wiki'!B:B,),'Up Names'!M47)</f>
        <v/>
      </c>
      <c r="C47" s="52" t="str">
        <f t="array" ref="C47">_xlfn.XLOOKUP(B47,'Up Desc'!A:A,'Up Desc'!B:B,)</f>
        <v/>
      </c>
      <c r="D47" s="52" t="str">
        <f t="array" ref="D47">_xlfn.XLOOKUP(B47,'Up Turbo'!A:A,'Up Turbo'!B:B,)</f>
        <v/>
      </c>
      <c r="E47" s="53" t="str">
        <f t="array" ref="E47">_xlfn.XLOOKUP(B47,'Up Stats'!A:A,'Up Stats'!B:B,)</f>
        <v/>
      </c>
      <c r="F47" s="54" t="str">
        <f>IFERROR(__xludf.DUMMYFUNCTION("if(AND(G47=FALSE,H47=FALSE),,if(G47=H47,JOIN("""",""Static: "",G47),JOIN("""",""Min:  "",G47, CHAR(10),""Max: "",H47)))"),"")</f>
        <v/>
      </c>
      <c r="G47" s="55" t="str">
        <f t="array" ref="G47">_xlfn.XLOOKUP(B47,'Up Min'!A:A,'Up Min'!B:B,)</f>
        <v/>
      </c>
      <c r="H47" s="56" t="str">
        <f t="array" ref="H47">_xlfn.XLOOKUP(B47,'Up Max'!A:A,'Up Max'!B:B,)</f>
        <v/>
      </c>
      <c r="I47" s="53" t="str">
        <f t="array" ref="I47">_xlfn.XLOOKUP(B47,'Up Stats'!A:A,'Up Stats'!C:C,)</f>
        <v/>
      </c>
      <c r="J47" s="54" t="str">
        <f>IFERROR(__xludf.DUMMYFUNCTION("if(AND(K47=FALSE,L47=FALSE),,if(K47=L47,JOIN("""",""Static: "",K47),JOIN("""",""Min:  "",K47, CHAR(10),""Max: "",L47)))"),"")</f>
        <v/>
      </c>
      <c r="K47" s="55" t="str">
        <f t="array" ref="K47">_xlfn.XLOOKUP(B47,'Up Min'!A:A,'Up Min'!C:C,)</f>
        <v/>
      </c>
      <c r="L47" s="55" t="str">
        <f t="array" ref="L47">_xlfn.XLOOKUP(B47,'Up Max'!A:A,'Up Max'!C:C,)</f>
        <v/>
      </c>
      <c r="M47" s="53" t="str">
        <f t="array" ref="M47">_xlfn.XLOOKUP(B47,'Up Stats'!A:A,'Up Stats'!D:D,)</f>
        <v/>
      </c>
      <c r="N47" s="54" t="str">
        <f>IFERROR(__xludf.DUMMYFUNCTION("if(AND(O47=FALSE,P47=FALSE),,if(O47=P47,JOIN("""",""Static: "",O47),JOIN("""",""Min:  "",O47, CHAR(10),""Max: "",P47)))"),"")</f>
        <v/>
      </c>
      <c r="O47" s="55" t="str">
        <f t="array" ref="O47">_xlfn.XLOOKUP(B47,'Up Min'!A:A,'Up Min'!D:D,)</f>
        <v/>
      </c>
      <c r="P47" s="55" t="str">
        <f t="array" ref="P47">_xlfn.XLOOKUP(B47,'Up Max'!A:A,'Up Max'!D:D,)</f>
        <v/>
      </c>
      <c r="Q47" s="57" t="str">
        <f t="array" ref="Q47">_xlfn.XLOOKUP(B47,'Up Stats'!A:A,'Up Stats'!E:E,)</f>
        <v/>
      </c>
      <c r="R47" s="54" t="str">
        <f>IFERROR(__xludf.DUMMYFUNCTION("if(AND(S47=FALSE,T47=FALSE),,if(S47=T47,JOIN("""",""Static: "",S47),JOIN("""",""Min:  "",S47, CHAR(10),""Max: "",T47)))"),"")</f>
        <v/>
      </c>
      <c r="S47" s="55" t="str">
        <f t="array" ref="S47">_xlfn.XLOOKUP(B47,'Up Min'!A:A,'Up Min'!E:E,)</f>
        <v/>
      </c>
      <c r="T47" s="55" t="str">
        <f t="array" ref="T47">_xlfn.XLOOKUP(B47,'Up Max'!A:A,'Up Max'!E:E,)</f>
        <v/>
      </c>
      <c r="U47" s="57" t="str">
        <f t="array" ref="U47">_xlfn.XLOOKUP(B47,'Up Stats'!A:A,'Up Stats'!F:F,)</f>
        <v/>
      </c>
      <c r="V47" s="54" t="str">
        <f>IFERROR(__xludf.DUMMYFUNCTION("if(AND(W47=FALSE,X47=FALSE),,if(W47=X47,JOIN("""",""Static: "",W47),JOIN("""",""Min:  "",W47, CHAR(10),""Max: "",X47)))"),"")</f>
        <v/>
      </c>
      <c r="W47" s="55" t="str">
        <f t="array" ref="W47">_xlfn.XLOOKUP(B47,'Up Min'!A:A,'Up Min'!F:F,)</f>
        <v/>
      </c>
      <c r="X47" s="55" t="str">
        <f t="array" ref="X47">_xlfn.XLOOKUP(B47,'Up Max'!A:A,'Up Max'!F:F,)</f>
        <v/>
      </c>
      <c r="Y47" s="57" t="str">
        <f t="array" ref="Y47">_xlfn.XLOOKUP(B47,'Up Stats'!A:A,'Up Stats'!G:G,)</f>
        <v/>
      </c>
      <c r="Z47" s="54" t="str">
        <f>IFERROR(__xludf.DUMMYFUNCTION("if(AND(AA47=FALSE,AB47=FALSE),,if(AA47=AB47,JOIN("""",""Static: "",AA47),JOIN("""",""Min:  "",AA47, CHAR(10),""Max: "",AB47)))"),"")</f>
        <v/>
      </c>
      <c r="AA47" s="55" t="str">
        <f t="array" ref="AA47">_xlfn.XLOOKUP(B47,'Up Min'!A:A,'Up Min'!G:G,)</f>
        <v/>
      </c>
      <c r="AB47" s="55" t="str">
        <f t="array" ref="AB47">_xlfn.XLOOKUP(B47,'Up Max'!A:A,'Up Max'!G:G,)</f>
        <v/>
      </c>
      <c r="AC47" s="57" t="str">
        <f t="array" ref="AC47">_xlfn.XLOOKUP(B47,'Up Stats'!A:A,'Up Stats'!H:H,)</f>
        <v/>
      </c>
      <c r="AD47" s="54" t="str">
        <f>IFERROR(__xludf.DUMMYFUNCTION("if(AND(AE47=FALSE,AF47=FALSE),,if(AE47=AF47,JOIN("""",""Static: "",AE47),JOIN("""",""Min:  "",AE47, CHAR(10),""Max: "",AF47)))"),"")</f>
        <v/>
      </c>
      <c r="AE47" s="55" t="str">
        <f t="array" ref="AE47">_xlfn.XLOOKUP(B47,'Up Min'!A:A,'Up Min'!H:H,)</f>
        <v/>
      </c>
      <c r="AF47" s="55" t="str">
        <f t="array" ref="AF47">_xlfn.XLOOKUP(B47,'Up Max'!A:A,'Up Max'!H:H,)</f>
        <v/>
      </c>
      <c r="AG47" s="57" t="str">
        <f t="array" ref="AG47">_xlfn.XLOOKUP(B47,'Up Stats'!A:A,'Up Stats'!I:I,)</f>
        <v/>
      </c>
      <c r="AH47" s="54" t="str">
        <f>IFERROR(__xludf.DUMMYFUNCTION("if(AND(AI47=FALSE,AJ47=FALSE),,if(AI47=AJ47,JOIN("""",""Static: "",AI47),JOIN("""",""Min:  "",AI47, CHAR(10),""Max: "",AJ47)))"),"")</f>
        <v/>
      </c>
      <c r="AI47" s="55" t="str">
        <f t="array" ref="AI47">_xlfn.XLOOKUP(B47,'Up Min'!A:A,'Up Min'!I:I,)</f>
        <v/>
      </c>
      <c r="AJ47" s="55" t="str">
        <f t="array" ref="AJ47">_xlfn.XLOOKUP(B47,'Up Max'!A:A,'Up Max'!I:I,)</f>
        <v/>
      </c>
      <c r="AK47" s="57" t="str">
        <f t="array" ref="AK47">_xlfn.XLOOKUP(B47,'Up Stats'!A:A,'Up Stats'!J:J,)</f>
        <v/>
      </c>
      <c r="AL47" s="54" t="str">
        <f>IFERROR(__xludf.DUMMYFUNCTION("if(AND(AM47=FALSE,AN47=FALSE),,if(AM47=AN47,JOIN("""",""Static: "",AM47),JOIN("""",""Min:  "",AM47, CHAR(10),""Max: "",AN47)))"),"")</f>
        <v/>
      </c>
      <c r="AM47" s="55" t="str">
        <f t="array" ref="AM47">_xlfn.XLOOKUP(B47,'Up Min'!A:A,'Up Min'!J:J,)</f>
        <v/>
      </c>
      <c r="AN47" s="55" t="str">
        <f t="array" ref="AN47">_xlfn.XLOOKUP(B47,'Up Max'!A:A,'Up Max'!J:J,)</f>
        <v/>
      </c>
      <c r="AO47" s="51" t="str">
        <f t="array" ref="AO47">CONCATENATE(_xlfn.XLOOKUP(B47,'Up Cells'!A:A,'Up Cells'!B:B,))</f>
        <v/>
      </c>
      <c r="AP47" s="51" t="str">
        <f t="array" ref="AP47">CONCATENATE(_xlfn.XLOOKUP(B47,'Up Rarity'!A:A,'Up Rarity'!B:B,),CHAR(10),"-")</f>
        <v>
-</v>
      </c>
    </row>
  </sheetData>
  <autoFilter ref="$A$1:$AP$47">
    <sortState ref="A1:AP47">
      <sortCondition descending="1" sortBy="cellColor" ref="AP1:AP47" dxfId="2"/>
      <sortCondition ref="B1:B47"/>
    </sortState>
  </autoFilter>
  <conditionalFormatting sqref="AO1:AP47">
    <cfRule type="containsText" dxfId="3" priority="1" operator="containsText" text="Oddity">
      <formula>NOT(ISERROR(SEARCH(("Oddity"),(AO1))))</formula>
    </cfRule>
  </conditionalFormatting>
  <conditionalFormatting sqref="AO1:AP47">
    <cfRule type="containsText" dxfId="4" priority="2" operator="containsText" text="Exotic">
      <formula>NOT(ISERROR(SEARCH(("Exotic"),(AO1))))</formula>
    </cfRule>
  </conditionalFormatting>
  <conditionalFormatting sqref="AO1:AP47">
    <cfRule type="containsText" dxfId="5" priority="3" operator="containsText" text="Epic">
      <formula>NOT(ISERROR(SEARCH(("Epic"),(AO1))))</formula>
    </cfRule>
  </conditionalFormatting>
  <conditionalFormatting sqref="AO1:AP47">
    <cfRule type="containsText" dxfId="6" priority="4" operator="containsText" text="Rare">
      <formula>NOT(ISERROR(SEARCH(("Rare"),(AO1))))</formula>
    </cfRule>
  </conditionalFormatting>
  <conditionalFormatting sqref="AO1:AP47">
    <cfRule type="containsText" dxfId="7" priority="5" operator="containsText" text="Standard">
      <formula>NOT(ISERROR(SEARCH(("Standard"),(AO1))))</formula>
    </cfRule>
  </conditionalFormatting>
  <conditionalFormatting sqref="AO1:AP47">
    <cfRule type="containsText" dxfId="8" priority="6" operator="containsText" text="Contraband">
      <formula>NOT(ISERROR(SEARCH(("Contraband"),(AO1))))</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12.63"/>
    <col customWidth="1" min="3" max="4" width="31.38"/>
    <col customWidth="1" min="5" max="6" width="12.63"/>
    <col customWidth="1" hidden="1" min="7" max="8" width="12.63"/>
    <col customWidth="1" min="9" max="10" width="12.63"/>
    <col customWidth="1" hidden="1" min="11" max="12" width="12.63"/>
    <col customWidth="1" min="13" max="14" width="12.63"/>
    <col customWidth="1" hidden="1" min="15" max="16" width="12.63"/>
    <col customWidth="1" min="17" max="18" width="12.63"/>
    <col customWidth="1" hidden="1" min="19" max="20" width="12.63"/>
    <col customWidth="1" min="21" max="22" width="12.63"/>
    <col customWidth="1" hidden="1" min="23" max="24" width="12.63"/>
    <col customWidth="1" min="25" max="26" width="12.63"/>
    <col customWidth="1" hidden="1" min="27" max="28" width="12.63"/>
    <col customWidth="1" min="29" max="30" width="12.63"/>
    <col customWidth="1" hidden="1" min="31" max="32" width="12.63"/>
    <col customWidth="1" min="33" max="34" width="12.63"/>
    <col customWidth="1" hidden="1" min="35" max="36" width="12.63"/>
    <col customWidth="1" min="37" max="38" width="12.63"/>
    <col customWidth="1" hidden="1" min="39" max="40" width="12.63"/>
    <col customWidth="1" min="41" max="42" width="8.25"/>
  </cols>
  <sheetData>
    <row r="1">
      <c r="A1" s="28" t="s">
        <v>1</v>
      </c>
      <c r="B1" s="9" t="s">
        <v>2</v>
      </c>
      <c r="C1" s="9" t="s">
        <v>3</v>
      </c>
      <c r="D1" s="11" t="s">
        <v>4</v>
      </c>
      <c r="E1" s="16" t="s">
        <v>6</v>
      </c>
      <c r="F1" s="19" t="s">
        <v>7</v>
      </c>
      <c r="G1" s="21" t="s">
        <v>8</v>
      </c>
      <c r="H1" s="25" t="s">
        <v>9</v>
      </c>
      <c r="I1" s="29" t="s">
        <v>6</v>
      </c>
      <c r="J1" s="19" t="s">
        <v>7</v>
      </c>
      <c r="K1" s="21" t="s">
        <v>8</v>
      </c>
      <c r="L1" s="21" t="s">
        <v>9</v>
      </c>
      <c r="M1" s="29" t="s">
        <v>6</v>
      </c>
      <c r="N1" s="19" t="s">
        <v>7</v>
      </c>
      <c r="O1" s="21" t="s">
        <v>8</v>
      </c>
      <c r="P1" s="21" t="s">
        <v>9</v>
      </c>
      <c r="Q1" s="16" t="s">
        <v>6</v>
      </c>
      <c r="R1" s="19" t="s">
        <v>7</v>
      </c>
      <c r="S1" s="21" t="s">
        <v>8</v>
      </c>
      <c r="T1" s="21" t="s">
        <v>9</v>
      </c>
      <c r="U1" s="16" t="s">
        <v>6</v>
      </c>
      <c r="V1" s="19" t="s">
        <v>7</v>
      </c>
      <c r="W1" s="21" t="s">
        <v>8</v>
      </c>
      <c r="X1" s="21" t="s">
        <v>9</v>
      </c>
      <c r="Y1" s="16" t="s">
        <v>6</v>
      </c>
      <c r="Z1" s="19" t="s">
        <v>7</v>
      </c>
      <c r="AA1" s="21" t="s">
        <v>8</v>
      </c>
      <c r="AB1" s="21" t="s">
        <v>9</v>
      </c>
      <c r="AC1" s="16" t="s">
        <v>6</v>
      </c>
      <c r="AD1" s="19" t="s">
        <v>7</v>
      </c>
      <c r="AE1" s="21" t="s">
        <v>8</v>
      </c>
      <c r="AF1" s="21" t="s">
        <v>9</v>
      </c>
      <c r="AG1" s="16" t="s">
        <v>6</v>
      </c>
      <c r="AH1" s="19" t="s">
        <v>7</v>
      </c>
      <c r="AI1" s="21" t="s">
        <v>8</v>
      </c>
      <c r="AJ1" s="21" t="s">
        <v>9</v>
      </c>
      <c r="AK1" s="16" t="s">
        <v>6</v>
      </c>
      <c r="AL1" s="19" t="s">
        <v>7</v>
      </c>
      <c r="AM1" s="21" t="s">
        <v>8</v>
      </c>
      <c r="AN1" s="21" t="s">
        <v>9</v>
      </c>
      <c r="AO1" s="11" t="s">
        <v>12</v>
      </c>
      <c r="AP1" s="22" t="s">
        <v>13</v>
      </c>
    </row>
    <row r="2">
      <c r="A2" s="31" t="str">
        <f t="array" ref="A2">_xlfn.XLOOKUP(B2,'Up Icon'!A:A,'Up Icon'!B:B,)</f>
        <v/>
      </c>
      <c r="B2" s="34" t="str">
        <f t="array" ref="B2">HYPERLINK(_xlfn.XLOOKUP('Up Names'!N26,'Up Wiki'!A:A,'Up Wiki'!B:B,),'Up Names'!N26)</f>
        <v>Edge Fault</v>
      </c>
      <c r="C2" s="37" t="str">
        <f t="array" ref="C2">_xlfn.XLOOKUP(B2,'Up Desc'!A:A,'Up Desc'!B:B,)</f>
        <v>Increases the size of your upgrade grid.</v>
      </c>
      <c r="D2" s="37" t="str">
        <f t="array" ref="D2">_xlfn.XLOOKUP(B2,'Up Turbo'!A:A,'Up Turbo'!B:B,)</f>
        <v>n/a</v>
      </c>
      <c r="E2" s="39" t="str">
        <f t="array" ref="E2">_xlfn.XLOOKUP(B2,'Up Stats'!A:A,'Up Stats'!B:B,)</f>
        <v/>
      </c>
      <c r="F2" s="40" t="str">
        <f>IFERROR(__xludf.DUMMYFUNCTION("if(AND(G2=FALSE,H2=FALSE),,if(G2=H2,JOIN("""",""Static: "",G2),JOIN("""",""Min:  "",G2, CHAR(10),""Max: "",H2)))"),"")</f>
        <v/>
      </c>
      <c r="G2" s="42" t="str">
        <f t="array" ref="G2">_xlfn.XLOOKUP(B2,'Up Min'!A:A,'Up Min'!B:B,)</f>
        <v/>
      </c>
      <c r="H2" s="45" t="str">
        <f t="array" ref="H2">_xlfn.XLOOKUP(B2,'Up Max'!A:A,'Up Max'!B:B,)</f>
        <v/>
      </c>
      <c r="I2" s="39" t="str">
        <f t="array" ref="I2">_xlfn.XLOOKUP(B2,'Up Stats'!A:A,'Up Stats'!C:C,)</f>
        <v/>
      </c>
      <c r="J2" s="40" t="str">
        <f>IFERROR(__xludf.DUMMYFUNCTION("if(AND(K2=FALSE,L2=FALSE),,if(K2=L2,JOIN("""",""Static: "",K2),JOIN("""",""Min:  "",K2, CHAR(10),""Max: "",L2)))"),"")</f>
        <v/>
      </c>
      <c r="K2" s="42" t="str">
        <f t="array" ref="K2">_xlfn.XLOOKUP(B2,'Up Min'!A:A,'Up Min'!C:C,)</f>
        <v/>
      </c>
      <c r="L2" s="42" t="str">
        <f t="array" ref="L2">_xlfn.XLOOKUP(B2,'Up Max'!A:A,'Up Max'!C:C,)</f>
        <v/>
      </c>
      <c r="M2" s="48" t="str">
        <f t="array" ref="M2">_xlfn.XLOOKUP(B2,'Up Stats'!A:A,'Up Stats'!D:D,)</f>
        <v/>
      </c>
      <c r="N2" s="40" t="str">
        <f>IFERROR(__xludf.DUMMYFUNCTION("if(AND(O2=FALSE,P2=FALSE),,if(O2=P2,JOIN("""",""Static: "",O2),JOIN("""",""Min:  "",O2, CHAR(10),""Max: "",P2)))"),"")</f>
        <v/>
      </c>
      <c r="O2" s="42" t="str">
        <f t="array" ref="O2">_xlfn.XLOOKUP(B2,'Up Min'!A:A,'Up Min'!D:D,)</f>
        <v/>
      </c>
      <c r="P2" s="42" t="str">
        <f t="array" ref="P2">_xlfn.XLOOKUP(B2,'Up Max'!A:A,'Up Max'!D:D,)</f>
        <v/>
      </c>
      <c r="Q2" s="48" t="str">
        <f t="array" ref="Q2">_xlfn.XLOOKUP(B2,'Up Stats'!A:A,'Up Stats'!E:E,)</f>
        <v/>
      </c>
      <c r="R2" s="40" t="str">
        <f>IFERROR(__xludf.DUMMYFUNCTION("if(AND(S2=FALSE,T2=FALSE),,if(S2=T2,JOIN("""",""Static: "",S2),JOIN("""",""Min:  "",S2, CHAR(10),""Max: "",T2)))"),"")</f>
        <v/>
      </c>
      <c r="S2" s="42" t="str">
        <f t="array" ref="S2">_xlfn.XLOOKUP(B2,'Up Min'!A:A,'Up Min'!E:E,)</f>
        <v/>
      </c>
      <c r="T2" s="42" t="str">
        <f t="array" ref="T2">_xlfn.XLOOKUP(B2,'Up Max'!A:A,'Up Max'!E:E,)</f>
        <v/>
      </c>
      <c r="U2" s="48" t="str">
        <f t="array" ref="U2">_xlfn.XLOOKUP(B2,'Up Stats'!A:A,'Up Stats'!F:F,)</f>
        <v/>
      </c>
      <c r="V2" s="40" t="str">
        <f>IFERROR(__xludf.DUMMYFUNCTION("if(AND(W2=FALSE,X2=FALSE),,if(W2=X2,JOIN("""",""Static: "",W2),JOIN("""",""Min:  "",W2, CHAR(10),""Max: "",X2)))"),"")</f>
        <v/>
      </c>
      <c r="W2" s="42" t="str">
        <f t="array" ref="W2">_xlfn.XLOOKUP(B2,'Up Min'!A:A,'Up Min'!F:F,)</f>
        <v/>
      </c>
      <c r="X2" s="42" t="str">
        <f t="array" ref="X2">_xlfn.XLOOKUP(B2,'Up Max'!A:A,'Up Max'!F:F,)</f>
        <v/>
      </c>
      <c r="Y2" s="48" t="str">
        <f t="array" ref="Y2">_xlfn.XLOOKUP(B2,'Up Stats'!A:A,'Up Stats'!G:G,)</f>
        <v/>
      </c>
      <c r="Z2" s="40" t="str">
        <f>IFERROR(__xludf.DUMMYFUNCTION("if(AND(AA2=FALSE,AB2=FALSE),,if(AA2=AB2,JOIN("""",""Static: "",AA2),JOIN("""",""Min:  "",AA2, CHAR(10),""Max: "",AB2)))"),"")</f>
        <v/>
      </c>
      <c r="AA2" s="42" t="str">
        <f t="array" ref="AA2">_xlfn.XLOOKUP(B2,'Up Min'!A:A,'Up Min'!G:G,)</f>
        <v/>
      </c>
      <c r="AB2" s="42" t="str">
        <f t="array" ref="AB2">_xlfn.XLOOKUP(B2,'Up Max'!A:A,'Up Max'!G:G,)</f>
        <v/>
      </c>
      <c r="AC2" s="48" t="str">
        <f t="array" ref="AC2">_xlfn.XLOOKUP(B2,'Up Stats'!A:A,'Up Stats'!H:H,)</f>
        <v/>
      </c>
      <c r="AD2" s="40" t="str">
        <f>IFERROR(__xludf.DUMMYFUNCTION("if(AND(AE2=FALSE,AF2=FALSE),,if(AE2=AF2,JOIN("""",""Static: "",AE2),JOIN("""",""Min:  "",AE2, CHAR(10),""Max: "",AF2)))"),"")</f>
        <v/>
      </c>
      <c r="AE2" s="42" t="str">
        <f t="array" ref="AE2">_xlfn.XLOOKUP(B2,'Up Min'!A:A,'Up Min'!H:H,)</f>
        <v/>
      </c>
      <c r="AF2" s="42" t="str">
        <f t="array" ref="AF2">_xlfn.XLOOKUP(B2,'Up Max'!A:A,'Up Max'!H:H,)</f>
        <v/>
      </c>
      <c r="AG2" s="48" t="str">
        <f t="array" ref="AG2">_xlfn.XLOOKUP(B2,'Up Stats'!A:A,'Up Stats'!I:I,)</f>
        <v/>
      </c>
      <c r="AH2" s="40" t="str">
        <f>IFERROR(__xludf.DUMMYFUNCTION("if(AND(AI2=FALSE,AJ2=FALSE),,if(AI2=AJ2,JOIN("""",""Static: "",AI2),JOIN("""",""Min:  "",AI2, CHAR(10),""Max: "",AJ2)))"),"")</f>
        <v/>
      </c>
      <c r="AI2" s="42" t="str">
        <f t="array" ref="AI2">_xlfn.XLOOKUP(B2,'Up Min'!A:A,'Up Min'!I:I,)</f>
        <v/>
      </c>
      <c r="AJ2" s="42" t="str">
        <f t="array" ref="AJ2">_xlfn.XLOOKUP(B2,'Up Max'!A:A,'Up Max'!I:I,)</f>
        <v/>
      </c>
      <c r="AK2" s="48" t="str">
        <f t="array" ref="AK2">_xlfn.XLOOKUP(B2,'Up Stats'!A:A,'Up Stats'!J:J,)</f>
        <v/>
      </c>
      <c r="AL2" s="40" t="str">
        <f>IFERROR(__xludf.DUMMYFUNCTION("if(AND(AM2=FALSE,AN2=FALSE),,if(AM2=AN2,JOIN("""",""Static: "",AM2),JOIN("""",""Min:  "",AM2, CHAR(10),""Max: "",AN2)))"),"")</f>
        <v/>
      </c>
      <c r="AM2" s="42" t="str">
        <f t="array" ref="AM2">_xlfn.XLOOKUP(B2,'Up Min'!A:A,'Up Min'!J:J,)</f>
        <v/>
      </c>
      <c r="AN2" s="42" t="str">
        <f t="array" ref="AN2">_xlfn.XLOOKUP(B2,'Up Max'!A:A,'Up Max'!J:J,)</f>
        <v/>
      </c>
      <c r="AO2" s="34" t="str">
        <f t="array" ref="AO2">CONCATENATE(_xlfn.XLOOKUP(B2,'Up Cells'!A:A,'Up Cells'!B:B,))</f>
        <v>1</v>
      </c>
      <c r="AP2" s="34" t="str">
        <f t="array" ref="AP2">CONCATENATE(_xlfn.XLOOKUP(B2,'Up Rarity'!A:A,'Up Rarity'!B:B,),CHAR(10),"-")</f>
        <v>Contraband
-</v>
      </c>
    </row>
    <row r="3">
      <c r="A3" s="31" t="str">
        <f t="array" ref="A3">_xlfn.XLOOKUP(B3,'Up Icon'!A:A,'Up Icon'!B:B,)</f>
        <v/>
      </c>
      <c r="B3" s="51" t="str">
        <f t="array" ref="B3">HYPERLINK(_xlfn.XLOOKUP('Up Names'!N25,'Up Wiki'!A:A,'Up Wiki'!B:B,),'Up Names'!N25)</f>
        <v>In for a Pound</v>
      </c>
      <c r="C3" s="52" t="str">
        <f t="array" ref="C3">_xlfn.XLOOKUP(B3,'Up Desc'!A:A,'Up Desc'!B:B,)</f>
        <v>Grenades cost health to fire and no longer have a cooldown</v>
      </c>
      <c r="D3" s="52" t="str">
        <f t="array" ref="D3">_xlfn.XLOOKUP(B3,'Up Turbo'!A:A,'Up Turbo'!B:B,)</f>
        <v>n/a</v>
      </c>
      <c r="E3" s="53" t="str">
        <f t="array" ref="E3">_xlfn.XLOOKUP(B3,'Up Stats'!A:A,'Up Stats'!B:B,)</f>
        <v/>
      </c>
      <c r="F3" s="54" t="str">
        <f>IFERROR(__xludf.DUMMYFUNCTION("if(AND(G3=FALSE,H3=FALSE),,if(G3=H3,JOIN("""",""Static: "",G3),JOIN("""",""Min:  "",G3, CHAR(10),""Max: "",H3)))"),"")</f>
        <v/>
      </c>
      <c r="G3" s="55" t="str">
        <f t="array" ref="G3">_xlfn.XLOOKUP(B3,'Up Min'!A:A,'Up Min'!B:B,)</f>
        <v/>
      </c>
      <c r="H3" s="56" t="str">
        <f t="array" ref="H3">_xlfn.XLOOKUP(B3,'Up Max'!A:A,'Up Max'!B:B,)</f>
        <v/>
      </c>
      <c r="I3" s="53" t="str">
        <f t="array" ref="I3">_xlfn.XLOOKUP(B3,'Up Stats'!A:A,'Up Stats'!C:C,)</f>
        <v/>
      </c>
      <c r="J3" s="54" t="str">
        <f>IFERROR(__xludf.DUMMYFUNCTION("if(AND(K3=FALSE,L3=FALSE),,if(K3=L3,JOIN("""",""Static: "",K3),JOIN("""",""Min:  "",K3, CHAR(10),""Max: "",L3)))"),"")</f>
        <v/>
      </c>
      <c r="K3" s="72" t="str">
        <f t="array" ref="K3">_xlfn.XLOOKUP(B3,'Up Min'!A:A,'Up Min'!C:C,)</f>
        <v/>
      </c>
      <c r="L3" s="72" t="str">
        <f t="array" ref="L3">_xlfn.XLOOKUP(B3,'Up Max'!A:A,'Up Max'!C:C,)</f>
        <v/>
      </c>
      <c r="M3" s="57" t="str">
        <f t="array" ref="M3">_xlfn.XLOOKUP(B3,'Up Stats'!A:A,'Up Stats'!D:D,)</f>
        <v/>
      </c>
      <c r="N3" s="54" t="str">
        <f>IFERROR(__xludf.DUMMYFUNCTION("if(AND(O3=FALSE,P3=FALSE),,if(O3=P3,JOIN("""",""Static: "",O3),JOIN("""",""Min:  "",O3, CHAR(10),""Max: "",P3)))"),"")</f>
        <v/>
      </c>
      <c r="O3" s="55" t="str">
        <f t="array" ref="O3">_xlfn.XLOOKUP(B3,'Up Min'!A:A,'Up Min'!D:D,)</f>
        <v/>
      </c>
      <c r="P3" s="55" t="str">
        <f t="array" ref="P3">_xlfn.XLOOKUP(B3,'Up Max'!A:A,'Up Max'!D:D,)</f>
        <v/>
      </c>
      <c r="Q3" s="57" t="str">
        <f t="array" ref="Q3">_xlfn.XLOOKUP(B3,'Up Stats'!A:A,'Up Stats'!E:E,)</f>
        <v/>
      </c>
      <c r="R3" s="54" t="str">
        <f>IFERROR(__xludf.DUMMYFUNCTION("if(AND(S3=FALSE,T3=FALSE),,if(S3=T3,JOIN("""",""Static: "",S3),JOIN("""",""Min:  "",S3, CHAR(10),""Max: "",T3)))"),"")</f>
        <v/>
      </c>
      <c r="S3" s="55" t="str">
        <f t="array" ref="S3">_xlfn.XLOOKUP(B3,'Up Min'!A:A,'Up Min'!E:E,)</f>
        <v/>
      </c>
      <c r="T3" s="55" t="str">
        <f t="array" ref="T3">_xlfn.XLOOKUP(B3,'Up Max'!A:A,'Up Max'!E:E,)</f>
        <v/>
      </c>
      <c r="U3" s="57" t="str">
        <f t="array" ref="U3">_xlfn.XLOOKUP(B3,'Up Stats'!A:A,'Up Stats'!F:F,)</f>
        <v/>
      </c>
      <c r="V3" s="54" t="str">
        <f>IFERROR(__xludf.DUMMYFUNCTION("if(AND(W3=FALSE,X3=FALSE),,if(W3=X3,JOIN("""",""Static: "",W3),JOIN("""",""Min:  "",W3, CHAR(10),""Max: "",X3)))"),"")</f>
        <v/>
      </c>
      <c r="W3" s="55" t="str">
        <f t="array" ref="W3">_xlfn.XLOOKUP(B3,'Up Min'!A:A,'Up Min'!F:F,)</f>
        <v/>
      </c>
      <c r="X3" s="55" t="str">
        <f t="array" ref="X3">_xlfn.XLOOKUP(B3,'Up Max'!A:A,'Up Max'!F:F,)</f>
        <v/>
      </c>
      <c r="Y3" s="57" t="str">
        <f t="array" ref="Y3">_xlfn.XLOOKUP(B3,'Up Stats'!A:A,'Up Stats'!G:G,)</f>
        <v/>
      </c>
      <c r="Z3" s="54" t="str">
        <f>IFERROR(__xludf.DUMMYFUNCTION("if(AND(AA3=FALSE,AB3=FALSE),,if(AA3=AB3,JOIN("""",""Static: "",AA3),JOIN("""",""Min:  "",AA3, CHAR(10),""Max: "",AB3)))"),"")</f>
        <v/>
      </c>
      <c r="AA3" s="55" t="str">
        <f t="array" ref="AA3">_xlfn.XLOOKUP(B3,'Up Min'!A:A,'Up Min'!G:G,)</f>
        <v/>
      </c>
      <c r="AB3" s="55" t="str">
        <f t="array" ref="AB3">_xlfn.XLOOKUP(B3,'Up Max'!A:A,'Up Max'!G:G,)</f>
        <v/>
      </c>
      <c r="AC3" s="57" t="str">
        <f t="array" ref="AC3">_xlfn.XLOOKUP(B3,'Up Stats'!A:A,'Up Stats'!H:H,)</f>
        <v/>
      </c>
      <c r="AD3" s="54" t="str">
        <f>IFERROR(__xludf.DUMMYFUNCTION("if(AND(AE3=FALSE,AF3=FALSE),,if(AE3=AF3,JOIN("""",""Static: "",AE3),JOIN("""",""Min:  "",AE3, CHAR(10),""Max: "",AF3)))"),"")</f>
        <v/>
      </c>
      <c r="AE3" s="55" t="str">
        <f t="array" ref="AE3">_xlfn.XLOOKUP(B3,'Up Min'!A:A,'Up Min'!H:H,)</f>
        <v/>
      </c>
      <c r="AF3" s="55" t="str">
        <f t="array" ref="AF3">_xlfn.XLOOKUP(B3,'Up Max'!A:A,'Up Max'!H:H,)</f>
        <v/>
      </c>
      <c r="AG3" s="57" t="str">
        <f t="array" ref="AG3">_xlfn.XLOOKUP(B3,'Up Stats'!A:A,'Up Stats'!I:I,)</f>
        <v/>
      </c>
      <c r="AH3" s="54" t="str">
        <f>IFERROR(__xludf.DUMMYFUNCTION("if(AND(AI3=FALSE,AJ3=FALSE),,if(AI3=AJ3,JOIN("""",""Static: "",AI3),JOIN("""",""Min:  "",AI3, CHAR(10),""Max: "",AJ3)))"),"")</f>
        <v/>
      </c>
      <c r="AI3" s="55" t="str">
        <f t="array" ref="AI3">_xlfn.XLOOKUP(B3,'Up Min'!A:A,'Up Min'!I:I,)</f>
        <v/>
      </c>
      <c r="AJ3" s="55" t="str">
        <f t="array" ref="AJ3">_xlfn.XLOOKUP(B3,'Up Max'!A:A,'Up Max'!I:I,)</f>
        <v/>
      </c>
      <c r="AK3" s="57" t="str">
        <f t="array" ref="AK3">_xlfn.XLOOKUP(B3,'Up Stats'!A:A,'Up Stats'!J:J,)</f>
        <v/>
      </c>
      <c r="AL3" s="54" t="str">
        <f>IFERROR(__xludf.DUMMYFUNCTION("if(AND(AM3=FALSE,AN3=FALSE),,if(AM3=AN3,JOIN("""",""Static: "",AM3),JOIN("""",""Min:  "",AM3, CHAR(10),""Max: "",AN3)))"),"")</f>
        <v/>
      </c>
      <c r="AM3" s="55" t="str">
        <f t="array" ref="AM3">_xlfn.XLOOKUP(B3,'Up Min'!A:A,'Up Min'!J:J,)</f>
        <v/>
      </c>
      <c r="AN3" s="55" t="str">
        <f t="array" ref="AN3">_xlfn.XLOOKUP(B3,'Up Max'!A:A,'Up Max'!J:J,)</f>
        <v/>
      </c>
      <c r="AO3" s="51" t="str">
        <f t="array" ref="AO3">CONCATENATE(_xlfn.XLOOKUP(B3,'Up Cells'!A:A,'Up Cells'!B:B,))</f>
        <v>3</v>
      </c>
      <c r="AP3" s="51" t="str">
        <f t="array" ref="AP3">CONCATENATE(_xlfn.XLOOKUP(B3,'Up Rarity'!A:A,'Up Rarity'!B:B,),CHAR(10),"-")</f>
        <v>Contraband
-</v>
      </c>
    </row>
    <row r="4">
      <c r="A4" s="31" t="str">
        <f t="array" ref="A4">_xlfn.XLOOKUP(B4,'Up Icon'!A:A,'Up Icon'!B:B,)</f>
        <v/>
      </c>
      <c r="B4" s="34" t="str">
        <f t="array" ref="B4">HYPERLINK(_xlfn.XLOOKUP('Up Names'!N27,'Up Wiki'!A:A,'Up Wiki'!B:B,),'Up Names'!N27)</f>
        <v>Multiversal Thievery</v>
      </c>
      <c r="C4" s="37" t="str">
        <f t="array" ref="C4">_xlfn.XLOOKUP(B4,'Up Desc'!A:A,'Up Desc'!B:B,)</f>
        <v>Commandeers 1 column from each of your other upgrade grids.</v>
      </c>
      <c r="D4" s="37" t="str">
        <f t="array" ref="D4">_xlfn.XLOOKUP(B4,'Up Turbo'!A:A,'Up Turbo'!B:B,)</f>
        <v>n/a</v>
      </c>
      <c r="E4" s="39" t="str">
        <f t="array" ref="E4">_xlfn.XLOOKUP(B4,'Up Stats'!A:A,'Up Stats'!B:B,)</f>
        <v/>
      </c>
      <c r="F4" s="40" t="str">
        <f>IFERROR(__xludf.DUMMYFUNCTION("if(AND(G4=FALSE,H4=FALSE),,if(G4=H4,JOIN("""",""Static: "",G4),JOIN("""",""Min:  "",G4, CHAR(10),""Max: "",H4)))"),"")</f>
        <v/>
      </c>
      <c r="G4" s="42" t="str">
        <f t="array" ref="G4">_xlfn.XLOOKUP(B4,'Up Min'!A:A,'Up Min'!B:B,)</f>
        <v/>
      </c>
      <c r="H4" s="45" t="str">
        <f t="array" ref="H4">_xlfn.XLOOKUP(B4,'Up Max'!A:A,'Up Max'!B:B,)</f>
        <v/>
      </c>
      <c r="I4" s="39" t="str">
        <f t="array" ref="I4">_xlfn.XLOOKUP(B4,'Up Stats'!A:A,'Up Stats'!C:C,)</f>
        <v/>
      </c>
      <c r="J4" s="40" t="str">
        <f>IFERROR(__xludf.DUMMYFUNCTION("if(AND(K4=FALSE,L4=FALSE),,if(K4=L4,JOIN("""",""Static: "",K4),JOIN("""",""Min:  "",K4, CHAR(10),""Max: "",L4)))"),"")</f>
        <v/>
      </c>
      <c r="K4" s="42" t="str">
        <f t="array" ref="K4">_xlfn.XLOOKUP(B4,'Up Min'!A:A,'Up Min'!C:C,)</f>
        <v/>
      </c>
      <c r="L4" s="42" t="str">
        <f t="array" ref="L4">_xlfn.XLOOKUP(B4,'Up Max'!A:A,'Up Max'!C:C,)</f>
        <v/>
      </c>
      <c r="M4" s="48" t="str">
        <f t="array" ref="M4">_xlfn.XLOOKUP(B4,'Up Stats'!A:A,'Up Stats'!D:D,)</f>
        <v/>
      </c>
      <c r="N4" s="40" t="str">
        <f>IFERROR(__xludf.DUMMYFUNCTION("if(AND(O4=FALSE,P4=FALSE),,if(O4=P4,JOIN("""",""Static: "",O4),JOIN("""",""Min:  "",O4, CHAR(10),""Max: "",P4)))"),"")</f>
        <v/>
      </c>
      <c r="O4" s="42" t="str">
        <f t="array" ref="O4">_xlfn.XLOOKUP(B4,'Up Min'!A:A,'Up Min'!D:D,)</f>
        <v/>
      </c>
      <c r="P4" s="42" t="str">
        <f t="array" ref="P4">_xlfn.XLOOKUP(B4,'Up Max'!A:A,'Up Max'!D:D,)</f>
        <v/>
      </c>
      <c r="Q4" s="48" t="str">
        <f t="array" ref="Q4">_xlfn.XLOOKUP(B4,'Up Stats'!A:A,'Up Stats'!E:E,)</f>
        <v/>
      </c>
      <c r="R4" s="40" t="str">
        <f>IFERROR(__xludf.DUMMYFUNCTION("if(AND(S4=FALSE,T4=FALSE),,if(S4=T4,JOIN("""",""Static: "",S4),JOIN("""",""Min:  "",S4, CHAR(10),""Max: "",T4)))"),"")</f>
        <v/>
      </c>
      <c r="S4" s="42" t="str">
        <f t="array" ref="S4">_xlfn.XLOOKUP(B4,'Up Min'!A:A,'Up Min'!E:E,)</f>
        <v/>
      </c>
      <c r="T4" s="42" t="str">
        <f t="array" ref="T4">_xlfn.XLOOKUP(B4,'Up Max'!A:A,'Up Max'!E:E,)</f>
        <v/>
      </c>
      <c r="U4" s="48" t="str">
        <f t="array" ref="U4">_xlfn.XLOOKUP(B4,'Up Stats'!A:A,'Up Stats'!F:F,)</f>
        <v/>
      </c>
      <c r="V4" s="40" t="str">
        <f>IFERROR(__xludf.DUMMYFUNCTION("if(AND(W4=FALSE,X4=FALSE),,if(W4=X4,JOIN("""",""Static: "",W4),JOIN("""",""Min:  "",W4, CHAR(10),""Max: "",X4)))"),"")</f>
        <v/>
      </c>
      <c r="W4" s="42" t="str">
        <f t="array" ref="W4">_xlfn.XLOOKUP(B4,'Up Min'!A:A,'Up Min'!F:F,)</f>
        <v/>
      </c>
      <c r="X4" s="42" t="str">
        <f t="array" ref="X4">_xlfn.XLOOKUP(B4,'Up Max'!A:A,'Up Max'!F:F,)</f>
        <v/>
      </c>
      <c r="Y4" s="48" t="str">
        <f t="array" ref="Y4">_xlfn.XLOOKUP(B4,'Up Stats'!A:A,'Up Stats'!G:G,)</f>
        <v/>
      </c>
      <c r="Z4" s="40" t="str">
        <f>IFERROR(__xludf.DUMMYFUNCTION("if(AND(AA4=FALSE,AB4=FALSE),,if(AA4=AB4,JOIN("""",""Static: "",AA4),JOIN("""",""Min:  "",AA4, CHAR(10),""Max: "",AB4)))"),"")</f>
        <v/>
      </c>
      <c r="AA4" s="42" t="str">
        <f t="array" ref="AA4">_xlfn.XLOOKUP(B4,'Up Min'!A:A,'Up Min'!G:G,)</f>
        <v/>
      </c>
      <c r="AB4" s="42" t="str">
        <f t="array" ref="AB4">_xlfn.XLOOKUP(B4,'Up Max'!A:A,'Up Max'!G:G,)</f>
        <v/>
      </c>
      <c r="AC4" s="48" t="str">
        <f t="array" ref="AC4">_xlfn.XLOOKUP(B4,'Up Stats'!A:A,'Up Stats'!H:H,)</f>
        <v/>
      </c>
      <c r="AD4" s="40" t="str">
        <f>IFERROR(__xludf.DUMMYFUNCTION("if(AND(AE4=FALSE,AF4=FALSE),,if(AE4=AF4,JOIN("""",""Static: "",AE4),JOIN("""",""Min:  "",AE4, CHAR(10),""Max: "",AF4)))"),"")</f>
        <v/>
      </c>
      <c r="AE4" s="42" t="str">
        <f t="array" ref="AE4">_xlfn.XLOOKUP(B4,'Up Min'!A:A,'Up Min'!H:H,)</f>
        <v/>
      </c>
      <c r="AF4" s="42" t="str">
        <f t="array" ref="AF4">_xlfn.XLOOKUP(B4,'Up Max'!A:A,'Up Max'!H:H,)</f>
        <v/>
      </c>
      <c r="AG4" s="48" t="str">
        <f t="array" ref="AG4">_xlfn.XLOOKUP(B4,'Up Stats'!A:A,'Up Stats'!I:I,)</f>
        <v/>
      </c>
      <c r="AH4" s="40" t="str">
        <f>IFERROR(__xludf.DUMMYFUNCTION("if(AND(AI4=FALSE,AJ4=FALSE),,if(AI4=AJ4,JOIN("""",""Static: "",AI4),JOIN("""",""Min:  "",AI4, CHAR(10),""Max: "",AJ4)))"),"")</f>
        <v/>
      </c>
      <c r="AI4" s="42" t="str">
        <f t="array" ref="AI4">_xlfn.XLOOKUP(B4,'Up Min'!A:A,'Up Min'!I:I,)</f>
        <v/>
      </c>
      <c r="AJ4" s="42" t="str">
        <f t="array" ref="AJ4">_xlfn.XLOOKUP(B4,'Up Max'!A:A,'Up Max'!I:I,)</f>
        <v/>
      </c>
      <c r="AK4" s="48" t="str">
        <f t="array" ref="AK4">_xlfn.XLOOKUP(B4,'Up Stats'!A:A,'Up Stats'!J:J,)</f>
        <v/>
      </c>
      <c r="AL4" s="40" t="str">
        <f>IFERROR(__xludf.DUMMYFUNCTION("if(AND(AM4=FALSE,AN4=FALSE),,if(AM4=AN4,JOIN("""",""Static: "",AM4),JOIN("""",""Min:  "",AM4, CHAR(10),""Max: "",AN4)))"),"")</f>
        <v/>
      </c>
      <c r="AM4" s="42" t="str">
        <f t="array" ref="AM4">_xlfn.XLOOKUP(B4,'Up Min'!A:A,'Up Min'!J:J,)</f>
        <v/>
      </c>
      <c r="AN4" s="42" t="str">
        <f t="array" ref="AN4">_xlfn.XLOOKUP(B4,'Up Max'!A:A,'Up Max'!J:J,)</f>
        <v/>
      </c>
      <c r="AO4" s="34" t="str">
        <f t="array" ref="AO4">CONCATENATE(_xlfn.XLOOKUP(B4,'Up Cells'!A:A,'Up Cells'!B:B,))</f>
        <v>1</v>
      </c>
      <c r="AP4" s="34" t="str">
        <f t="array" ref="AP4">CONCATENATE(_xlfn.XLOOKUP(B4,'Up Rarity'!A:A,'Up Rarity'!B:B,),CHAR(10),"-")</f>
        <v>Contraband
-</v>
      </c>
    </row>
    <row r="5">
      <c r="A5" s="60" t="str">
        <f t="array" ref="A5">_xlfn.XLOOKUP(B5,'Up Icon'!A:A,'Up Icon'!B:B,)</f>
        <v/>
      </c>
      <c r="B5" s="51" t="str">
        <f t="array" ref="B5">HYPERLINK(_xlfn.XLOOKUP('Up Names'!N28,'Up Wiki'!A:A,'Up Wiki'!B:B,),'Up Names'!N28)</f>
        <v>Boundary Incursion</v>
      </c>
      <c r="C5" s="52" t="str">
        <f t="array" ref="C5">_xlfn.XLOOKUP(B5,'Up Desc'!A:A,'Up Desc'!B:B,)</f>
        <v>Increases the size of your upgrade grid.</v>
      </c>
      <c r="D5" s="52" t="str">
        <f t="array" ref="D5">_xlfn.XLOOKUP(B5,'Up Turbo'!A:A,'Up Turbo'!B:B,)</f>
        <v>n/a</v>
      </c>
      <c r="E5" s="53" t="str">
        <f t="array" ref="E5">_xlfn.XLOOKUP(B5,'Up Stats'!A:A,'Up Stats'!B:B,)</f>
        <v/>
      </c>
      <c r="F5" s="54" t="str">
        <f>IFERROR(__xludf.DUMMYFUNCTION("if(AND(G5=FALSE,H5=FALSE),,if(G5=H5,JOIN("""",""Static: "",G5),JOIN("""",""Min:  "",G5, CHAR(10),""Max: "",H5)))"),"")</f>
        <v/>
      </c>
      <c r="G5" s="55" t="str">
        <f t="array" ref="G5">_xlfn.XLOOKUP(B5,'Up Min'!A:A,'Up Min'!B:B,)</f>
        <v/>
      </c>
      <c r="H5" s="56" t="str">
        <f t="array" ref="H5">_xlfn.XLOOKUP(B5,'Up Max'!A:A,'Up Max'!B:B,)</f>
        <v/>
      </c>
      <c r="I5" s="53" t="str">
        <f t="array" ref="I5">_xlfn.XLOOKUP(B5,'Up Stats'!A:A,'Up Stats'!C:C,)</f>
        <v/>
      </c>
      <c r="J5" s="54" t="str">
        <f>IFERROR(__xludf.DUMMYFUNCTION("if(AND(K5=FALSE,L5=FALSE),,if(K5=L5,JOIN("""",""Static: "",K5),JOIN("""",""Min:  "",K5, CHAR(10),""Max: "",L5)))"),"")</f>
        <v/>
      </c>
      <c r="K5" s="55" t="str">
        <f t="array" ref="K5">_xlfn.XLOOKUP(B5,'Up Min'!A:A,'Up Min'!C:C,)</f>
        <v/>
      </c>
      <c r="L5" s="55" t="str">
        <f t="array" ref="L5">_xlfn.XLOOKUP(B5,'Up Max'!A:A,'Up Max'!C:C,)</f>
        <v/>
      </c>
      <c r="M5" s="57" t="str">
        <f t="array" ref="M5">_xlfn.XLOOKUP(B5,'Up Stats'!A:A,'Up Stats'!D:D,)</f>
        <v/>
      </c>
      <c r="N5" s="54" t="str">
        <f>IFERROR(__xludf.DUMMYFUNCTION("if(AND(O5=FALSE,P5=FALSE),,if(O5=P5,JOIN("""",""Static: "",O5),JOIN("""",""Min:  "",O5, CHAR(10),""Max: "",P5)))"),"")</f>
        <v/>
      </c>
      <c r="O5" s="55" t="str">
        <f t="array" ref="O5">_xlfn.XLOOKUP(B5,'Up Min'!A:A,'Up Min'!D:D,)</f>
        <v/>
      </c>
      <c r="P5" s="55" t="str">
        <f t="array" ref="P5">_xlfn.XLOOKUP(B5,'Up Max'!A:A,'Up Max'!D:D,)</f>
        <v/>
      </c>
      <c r="Q5" s="57" t="str">
        <f t="array" ref="Q5">_xlfn.XLOOKUP(B5,'Up Stats'!A:A,'Up Stats'!E:E,)</f>
        <v/>
      </c>
      <c r="R5" s="54" t="str">
        <f>IFERROR(__xludf.DUMMYFUNCTION("if(AND(S5=FALSE,T5=FALSE),,if(S5=T5,JOIN("""",""Static: "",S5),JOIN("""",""Min:  "",S5, CHAR(10),""Max: "",T5)))"),"")</f>
        <v/>
      </c>
      <c r="S5" s="55" t="str">
        <f t="array" ref="S5">_xlfn.XLOOKUP(B5,'Up Min'!A:A,'Up Min'!E:E,)</f>
        <v/>
      </c>
      <c r="T5" s="55" t="str">
        <f t="array" ref="T5">_xlfn.XLOOKUP(B5,'Up Max'!A:A,'Up Max'!E:E,)</f>
        <v/>
      </c>
      <c r="U5" s="57" t="str">
        <f t="array" ref="U5">_xlfn.XLOOKUP(B5,'Up Stats'!A:A,'Up Stats'!F:F,)</f>
        <v/>
      </c>
      <c r="V5" s="54" t="str">
        <f>IFERROR(__xludf.DUMMYFUNCTION("if(AND(W5=FALSE,X5=FALSE),,if(W5=X5,JOIN("""",""Static: "",W5),JOIN("""",""Min:  "",W5, CHAR(10),""Max: "",X5)))"),"")</f>
        <v/>
      </c>
      <c r="W5" s="55" t="str">
        <f t="array" ref="W5">_xlfn.XLOOKUP(B5,'Up Min'!A:A,'Up Min'!F:F,)</f>
        <v/>
      </c>
      <c r="X5" s="55" t="str">
        <f t="array" ref="X5">_xlfn.XLOOKUP(B5,'Up Max'!A:A,'Up Max'!F:F,)</f>
        <v/>
      </c>
      <c r="Y5" s="57" t="str">
        <f t="array" ref="Y5">_xlfn.XLOOKUP(B5,'Up Stats'!A:A,'Up Stats'!G:G,)</f>
        <v/>
      </c>
      <c r="Z5" s="54" t="str">
        <f>IFERROR(__xludf.DUMMYFUNCTION("if(AND(AA5=FALSE,AB5=FALSE),,if(AA5=AB5,JOIN("""",""Static: "",AA5),JOIN("""",""Min:  "",AA5, CHAR(10),""Max: "",AB5)))"),"")</f>
        <v/>
      </c>
      <c r="AA5" s="55" t="str">
        <f t="array" ref="AA5">_xlfn.XLOOKUP(B5,'Up Min'!A:A,'Up Min'!G:G,)</f>
        <v/>
      </c>
      <c r="AB5" s="55" t="str">
        <f t="array" ref="AB5">_xlfn.XLOOKUP(B5,'Up Max'!A:A,'Up Max'!G:G,)</f>
        <v/>
      </c>
      <c r="AC5" s="57" t="str">
        <f t="array" ref="AC5">_xlfn.XLOOKUP(B5,'Up Stats'!A:A,'Up Stats'!H:H,)</f>
        <v/>
      </c>
      <c r="AD5" s="54" t="str">
        <f>IFERROR(__xludf.DUMMYFUNCTION("if(AND(AE5=FALSE,AF5=FALSE),,if(AE5=AF5,JOIN("""",""Static: "",AE5),JOIN("""",""Min:  "",AE5, CHAR(10),""Max: "",AF5)))"),"")</f>
        <v/>
      </c>
      <c r="AE5" s="55" t="str">
        <f t="array" ref="AE5">_xlfn.XLOOKUP(B5,'Up Min'!A:A,'Up Min'!H:H,)</f>
        <v/>
      </c>
      <c r="AF5" s="55" t="str">
        <f t="array" ref="AF5">_xlfn.XLOOKUP(B5,'Up Max'!A:A,'Up Max'!H:H,)</f>
        <v/>
      </c>
      <c r="AG5" s="57" t="str">
        <f t="array" ref="AG5">_xlfn.XLOOKUP(B5,'Up Stats'!A:A,'Up Stats'!I:I,)</f>
        <v/>
      </c>
      <c r="AH5" s="54" t="str">
        <f>IFERROR(__xludf.DUMMYFUNCTION("if(AND(AI5=FALSE,AJ5=FALSE),,if(AI5=AJ5,JOIN("""",""Static: "",AI5),JOIN("""",""Min:  "",AI5, CHAR(10),""Max: "",AJ5)))"),"")</f>
        <v/>
      </c>
      <c r="AI5" s="55" t="str">
        <f t="array" ref="AI5">_xlfn.XLOOKUP(B5,'Up Min'!A:A,'Up Min'!I:I,)</f>
        <v/>
      </c>
      <c r="AJ5" s="55" t="str">
        <f t="array" ref="AJ5">_xlfn.XLOOKUP(B5,'Up Max'!A:A,'Up Max'!I:I,)</f>
        <v/>
      </c>
      <c r="AK5" s="57" t="str">
        <f t="array" ref="AK5">_xlfn.XLOOKUP(B5,'Up Stats'!A:A,'Up Stats'!J:J,)</f>
        <v/>
      </c>
      <c r="AL5" s="54" t="str">
        <f>IFERROR(__xludf.DUMMYFUNCTION("if(AND(AM5=FALSE,AN5=FALSE),,if(AM5=AN5,JOIN("""",""Static: "",AM5),JOIN("""",""Min:  "",AM5, CHAR(10),""Max: "",AN5)))"),"")</f>
        <v/>
      </c>
      <c r="AM5" s="55" t="str">
        <f t="array" ref="AM5">_xlfn.XLOOKUP(B5,'Up Min'!A:A,'Up Min'!J:J,)</f>
        <v/>
      </c>
      <c r="AN5" s="55" t="str">
        <f t="array" ref="AN5">_xlfn.XLOOKUP(B5,'Up Max'!A:A,'Up Max'!J:J,)</f>
        <v/>
      </c>
      <c r="AO5" s="51" t="str">
        <f t="array" ref="AO5">CONCATENATE(_xlfn.XLOOKUP(B5,'Up Cells'!A:A,'Up Cells'!B:B,))</f>
        <v>1</v>
      </c>
      <c r="AP5" s="51" t="str">
        <f t="array" ref="AP5">CONCATENATE(_xlfn.XLOOKUP(B5,'Up Rarity'!A:A,'Up Rarity'!B:B,),CHAR(10),"-")</f>
        <v>Oddity
-</v>
      </c>
    </row>
    <row r="6">
      <c r="A6" s="62" t="str">
        <f t="array" ref="A6">_xlfn.XLOOKUP(B6,'Up Icon'!A:A,'Up Icon'!B:B,)</f>
        <v/>
      </c>
      <c r="B6" s="66" t="str">
        <f t="array" ref="B6">HYPERLINK(_xlfn.XLOOKUP('Up Names'!N2,'Up Wiki'!A:A,'Up Wiki'!B:B,),'Up Names'!N2)</f>
        <v>Flash Storm</v>
      </c>
      <c r="C6" s="37" t="str">
        <f t="array" ref="C6">_xlfn.XLOOKUP(B6,'Up Desc'!A:A,'Up Desc'!B:B,)</f>
        <v>Grenades fire lightning strikes downward as they fly.</v>
      </c>
      <c r="D6" s="37" t="str">
        <f t="array" ref="D6">_xlfn.XLOOKUP(B6,'Up Turbo'!A:A,'Up Turbo'!B:B,)</f>
        <v/>
      </c>
      <c r="E6" s="39" t="str">
        <f t="array" ref="E6">_xlfn.XLOOKUP(B6,'Up Stats'!A:A,'Up Stats'!B:B,)</f>
        <v>Interval</v>
      </c>
      <c r="F6" s="40" t="str">
        <f>IFERROR(__xludf.DUMMYFUNCTION("if(AND(G6=FALSE,H6=FALSE),,if(G6=H6,JOIN("""",""Static: "",G6),JOIN("""",""Min:  "",G6, CHAR(10),""Max: "",H6)))"),"Min:  0.08
Max: 0.12")</f>
        <v>Min:  0.08
Max: 0.12</v>
      </c>
      <c r="G6" s="69">
        <f t="array" ref="G6">_xlfn.XLOOKUP(B6,'Up Min'!A:A,'Up Min'!B:B,)</f>
        <v>0.08</v>
      </c>
      <c r="H6" s="68">
        <f t="array" ref="H6">_xlfn.XLOOKUP(B6,'Up Max'!A:A,'Up Max'!B:B,)</f>
        <v>0.12</v>
      </c>
      <c r="I6" s="39" t="str">
        <f t="array" ref="I6">_xlfn.XLOOKUP(B6,'Up Stats'!A:A,'Up Stats'!C:C,)</f>
        <v/>
      </c>
      <c r="J6" s="40" t="str">
        <f>IFERROR(__xludf.DUMMYFUNCTION("if(AND(K6=FALSE,L6=FALSE),,if(K6=L6,JOIN("""",""Static: "",K6),JOIN("""",""Min:  "",K6, CHAR(10),""Max: "",L6)))"),"")</f>
        <v/>
      </c>
      <c r="K6" s="74" t="str">
        <f t="array" ref="K6">_xlfn.XLOOKUP(B6,'Up Min'!A:A,'Up Min'!C:C,)</f>
        <v/>
      </c>
      <c r="L6" s="74" t="str">
        <f t="array" ref="L6">_xlfn.XLOOKUP(B6,'Up Max'!A:A,'Up Max'!C:C,)</f>
        <v/>
      </c>
      <c r="M6" s="48" t="str">
        <f t="array" ref="M6">_xlfn.XLOOKUP(B6,'Up Stats'!A:A,'Up Stats'!D:D,)</f>
        <v/>
      </c>
      <c r="N6" s="40" t="str">
        <f>IFERROR(__xludf.DUMMYFUNCTION("if(AND(O6=FALSE,P6=FALSE),,if(O6=P6,JOIN("""",""Static: "",O6),JOIN("""",""Min:  "",O6, CHAR(10),""Max: "",P6)))"),"")</f>
        <v/>
      </c>
      <c r="O6" s="42" t="str">
        <f t="array" ref="O6">_xlfn.XLOOKUP(B6,'Up Min'!A:A,'Up Min'!D:D,)</f>
        <v/>
      </c>
      <c r="P6" s="42" t="str">
        <f t="array" ref="P6">_xlfn.XLOOKUP(B6,'Up Max'!A:A,'Up Max'!D:D,)</f>
        <v/>
      </c>
      <c r="Q6" s="48" t="str">
        <f t="array" ref="Q6">_xlfn.XLOOKUP(B6,'Up Stats'!A:A,'Up Stats'!E:E,)</f>
        <v/>
      </c>
      <c r="R6" s="40" t="str">
        <f>IFERROR(__xludf.DUMMYFUNCTION("if(AND(S6=FALSE,T6=FALSE),,if(S6=T6,JOIN("""",""Static: "",S6),JOIN("""",""Min:  "",S6, CHAR(10),""Max: "",T6)))"),"")</f>
        <v/>
      </c>
      <c r="S6" s="42" t="str">
        <f t="array" ref="S6">_xlfn.XLOOKUP(B6,'Up Min'!A:A,'Up Min'!E:E,)</f>
        <v/>
      </c>
      <c r="T6" s="42" t="str">
        <f t="array" ref="T6">_xlfn.XLOOKUP(B6,'Up Max'!A:A,'Up Max'!E:E,)</f>
        <v/>
      </c>
      <c r="U6" s="48" t="str">
        <f t="array" ref="U6">_xlfn.XLOOKUP(B6,'Up Stats'!A:A,'Up Stats'!F:F,)</f>
        <v/>
      </c>
      <c r="V6" s="40" t="str">
        <f>IFERROR(__xludf.DUMMYFUNCTION("if(AND(W6=FALSE,X6=FALSE),,if(W6=X6,JOIN("""",""Static: "",W6),JOIN("""",""Min:  "",W6, CHAR(10),""Max: "",X6)))"),"")</f>
        <v/>
      </c>
      <c r="W6" s="42" t="str">
        <f t="array" ref="W6">_xlfn.XLOOKUP(B6,'Up Min'!A:A,'Up Min'!F:F,)</f>
        <v/>
      </c>
      <c r="X6" s="42" t="str">
        <f t="array" ref="X6">_xlfn.XLOOKUP(B6,'Up Max'!A:A,'Up Max'!F:F,)</f>
        <v/>
      </c>
      <c r="Y6" s="48" t="str">
        <f t="array" ref="Y6">_xlfn.XLOOKUP(B6,'Up Stats'!A:A,'Up Stats'!G:G,)</f>
        <v/>
      </c>
      <c r="Z6" s="40" t="str">
        <f>IFERROR(__xludf.DUMMYFUNCTION("if(AND(AA6=FALSE,AB6=FALSE),,if(AA6=AB6,JOIN("""",""Static: "",AA6),JOIN("""",""Min:  "",AA6, CHAR(10),""Max: "",AB6)))"),"")</f>
        <v/>
      </c>
      <c r="AA6" s="42" t="str">
        <f t="array" ref="AA6">_xlfn.XLOOKUP(B6,'Up Min'!A:A,'Up Min'!G:G,)</f>
        <v/>
      </c>
      <c r="AB6" s="42" t="str">
        <f t="array" ref="AB6">_xlfn.XLOOKUP(B6,'Up Max'!A:A,'Up Max'!G:G,)</f>
        <v/>
      </c>
      <c r="AC6" s="48" t="str">
        <f t="array" ref="AC6">_xlfn.XLOOKUP(B6,'Up Stats'!A:A,'Up Stats'!H:H,)</f>
        <v/>
      </c>
      <c r="AD6" s="40" t="str">
        <f>IFERROR(__xludf.DUMMYFUNCTION("if(AND(AE6=FALSE,AF6=FALSE),,if(AE6=AF6,JOIN("""",""Static: "",AE6),JOIN("""",""Min:  "",AE6, CHAR(10),""Max: "",AF6)))"),"")</f>
        <v/>
      </c>
      <c r="AE6" s="42" t="str">
        <f t="array" ref="AE6">_xlfn.XLOOKUP(B6,'Up Min'!A:A,'Up Min'!H:H,)</f>
        <v/>
      </c>
      <c r="AF6" s="42" t="str">
        <f t="array" ref="AF6">_xlfn.XLOOKUP(B6,'Up Max'!A:A,'Up Max'!H:H,)</f>
        <v/>
      </c>
      <c r="AG6" s="48" t="str">
        <f t="array" ref="AG6">_xlfn.XLOOKUP(B6,'Up Stats'!A:A,'Up Stats'!I:I,)</f>
        <v/>
      </c>
      <c r="AH6" s="40" t="str">
        <f>IFERROR(__xludf.DUMMYFUNCTION("if(AND(AI6=FALSE,AJ6=FALSE),,if(AI6=AJ6,JOIN("""",""Static: "",AI6),JOIN("""",""Min:  "",AI6, CHAR(10),""Max: "",AJ6)))"),"")</f>
        <v/>
      </c>
      <c r="AI6" s="42" t="str">
        <f t="array" ref="AI6">_xlfn.XLOOKUP(B6,'Up Min'!A:A,'Up Min'!I:I,)</f>
        <v/>
      </c>
      <c r="AJ6" s="42" t="str">
        <f t="array" ref="AJ6">_xlfn.XLOOKUP(B6,'Up Max'!A:A,'Up Max'!I:I,)</f>
        <v/>
      </c>
      <c r="AK6" s="48" t="str">
        <f t="array" ref="AK6">_xlfn.XLOOKUP(B6,'Up Stats'!A:A,'Up Stats'!J:J,)</f>
        <v/>
      </c>
      <c r="AL6" s="40" t="str">
        <f>IFERROR(__xludf.DUMMYFUNCTION("if(AND(AM6=FALSE,AN6=FALSE),,if(AM6=AN6,JOIN("""",""Static: "",AM6),JOIN("""",""Min:  "",AM6, CHAR(10),""Max: "",AN6)))"),"")</f>
        <v/>
      </c>
      <c r="AM6" s="42" t="str">
        <f t="array" ref="AM6">_xlfn.XLOOKUP(B6,'Up Min'!A:A,'Up Min'!J:J,)</f>
        <v/>
      </c>
      <c r="AN6" s="42" t="str">
        <f t="array" ref="AN6">_xlfn.XLOOKUP(B6,'Up Max'!A:A,'Up Max'!J:J,)</f>
        <v/>
      </c>
      <c r="AO6" s="34" t="str">
        <f t="array" ref="AO6">CONCATENATE(_xlfn.XLOOKUP(B6,'Up Cells'!A:A,'Up Cells'!B:B,))</f>
        <v>7</v>
      </c>
      <c r="AP6" s="34" t="str">
        <f t="array" ref="AP6">CONCATENATE(_xlfn.XLOOKUP(B6,'Up Rarity'!A:A,'Up Rarity'!B:B,),CHAR(10),"-")</f>
        <v>Exotic
-</v>
      </c>
    </row>
    <row r="7">
      <c r="A7" s="62" t="str">
        <f t="array" ref="A7">_xlfn.XLOOKUP(B7,'Up Icon'!A:A,'Up Icon'!B:B,)</f>
        <v/>
      </c>
      <c r="B7" s="51" t="str">
        <f t="array" ref="B7">HYPERLINK(_xlfn.XLOOKUP('Up Names'!N24,'Up Wiki'!A:A,'Up Wiki'!B:B,),'Up Names'!N24)</f>
        <v>Grenade Belt</v>
      </c>
      <c r="C7" s="52" t="str">
        <f t="array" ref="C7">_xlfn.XLOOKUP(B7,'Up Desc'!A:A,'Up Desc'!B:B,)</f>
        <v>Sliding will periodically throw out your grenade without consuming a charge. Stacking this upgrade throws additional grenades.</v>
      </c>
      <c r="D7" s="52" t="str">
        <f t="array" ref="D7">_xlfn.XLOOKUP(B7,'Up Turbo'!A:A,'Up Turbo'!B:B,)</f>
        <v/>
      </c>
      <c r="E7" s="53" t="str">
        <f t="array" ref="E7">_xlfn.XLOOKUP(B7,'Up Stats'!A:A,'Up Stats'!B:B,)</f>
        <v/>
      </c>
      <c r="F7" s="54" t="str">
        <f>IFERROR(__xludf.DUMMYFUNCTION("if(AND(G7=FALSE,H7=FALSE),,if(G7=H7,JOIN("""",""Static: "",G7),JOIN("""",""Min:  "",G7, CHAR(10),""Max: "",H7)))"),"")</f>
        <v/>
      </c>
      <c r="G7" s="55" t="str">
        <f t="array" ref="G7">_xlfn.XLOOKUP(B7,'Up Min'!A:A,'Up Min'!B:B,)</f>
        <v/>
      </c>
      <c r="H7" s="56" t="str">
        <f t="array" ref="H7">_xlfn.XLOOKUP(B7,'Up Max'!A:A,'Up Max'!B:B,)</f>
        <v/>
      </c>
      <c r="I7" s="53" t="str">
        <f t="array" ref="I7">_xlfn.XLOOKUP(B7,'Up Stats'!A:A,'Up Stats'!C:C,)</f>
        <v/>
      </c>
      <c r="J7" s="54" t="str">
        <f>IFERROR(__xludf.DUMMYFUNCTION("if(AND(K7=FALSE,L7=FALSE),,if(K7=L7,JOIN("""",""Static: "",K7),JOIN("""",""Min:  "",K7, CHAR(10),""Max: "",L7)))"),"")</f>
        <v/>
      </c>
      <c r="K7" s="72" t="str">
        <f t="array" ref="K7">_xlfn.XLOOKUP(B7,'Up Min'!A:A,'Up Min'!C:C,)</f>
        <v/>
      </c>
      <c r="L7" s="72" t="str">
        <f t="array" ref="L7">_xlfn.XLOOKUP(B7,'Up Max'!A:A,'Up Max'!C:C,)</f>
        <v/>
      </c>
      <c r="M7" s="57" t="str">
        <f t="array" ref="M7">_xlfn.XLOOKUP(B7,'Up Stats'!A:A,'Up Stats'!D:D,)</f>
        <v/>
      </c>
      <c r="N7" s="54" t="str">
        <f>IFERROR(__xludf.DUMMYFUNCTION("if(AND(O7=FALSE,P7=FALSE),,if(O7=P7,JOIN("""",""Static: "",O7),JOIN("""",""Min:  "",O7, CHAR(10),""Max: "",P7)))"),"")</f>
        <v/>
      </c>
      <c r="O7" s="55" t="str">
        <f t="array" ref="O7">_xlfn.XLOOKUP(B7,'Up Min'!A:A,'Up Min'!D:D,)</f>
        <v/>
      </c>
      <c r="P7" s="55" t="str">
        <f t="array" ref="P7">_xlfn.XLOOKUP(B7,'Up Max'!A:A,'Up Max'!D:D,)</f>
        <v/>
      </c>
      <c r="Q7" s="57" t="str">
        <f t="array" ref="Q7">_xlfn.XLOOKUP(B7,'Up Stats'!A:A,'Up Stats'!E:E,)</f>
        <v/>
      </c>
      <c r="R7" s="54" t="str">
        <f>IFERROR(__xludf.DUMMYFUNCTION("if(AND(S7=FALSE,T7=FALSE),,if(S7=T7,JOIN("""",""Static: "",S7),JOIN("""",""Min:  "",S7, CHAR(10),""Max: "",T7)))"),"")</f>
        <v/>
      </c>
      <c r="S7" s="55" t="str">
        <f t="array" ref="S7">_xlfn.XLOOKUP(B7,'Up Min'!A:A,'Up Min'!E:E,)</f>
        <v/>
      </c>
      <c r="T7" s="55" t="str">
        <f t="array" ref="T7">_xlfn.XLOOKUP(B7,'Up Max'!A:A,'Up Max'!E:E,)</f>
        <v/>
      </c>
      <c r="U7" s="57" t="str">
        <f t="array" ref="U7">_xlfn.XLOOKUP(B7,'Up Stats'!A:A,'Up Stats'!F:F,)</f>
        <v/>
      </c>
      <c r="V7" s="54" t="str">
        <f>IFERROR(__xludf.DUMMYFUNCTION("if(AND(W7=FALSE,X7=FALSE),,if(W7=X7,JOIN("""",""Static: "",W7),JOIN("""",""Min:  "",W7, CHAR(10),""Max: "",X7)))"),"")</f>
        <v/>
      </c>
      <c r="W7" s="55" t="str">
        <f t="array" ref="W7">_xlfn.XLOOKUP(B7,'Up Min'!A:A,'Up Min'!F:F,)</f>
        <v/>
      </c>
      <c r="X7" s="55" t="str">
        <f t="array" ref="X7">_xlfn.XLOOKUP(B7,'Up Max'!A:A,'Up Max'!F:F,)</f>
        <v/>
      </c>
      <c r="Y7" s="57" t="str">
        <f t="array" ref="Y7">_xlfn.XLOOKUP(B7,'Up Stats'!A:A,'Up Stats'!G:G,)</f>
        <v/>
      </c>
      <c r="Z7" s="54" t="str">
        <f>IFERROR(__xludf.DUMMYFUNCTION("if(AND(AA7=FALSE,AB7=FALSE),,if(AA7=AB7,JOIN("""",""Static: "",AA7),JOIN("""",""Min:  "",AA7, CHAR(10),""Max: "",AB7)))"),"")</f>
        <v/>
      </c>
      <c r="AA7" s="55" t="str">
        <f t="array" ref="AA7">_xlfn.XLOOKUP(B7,'Up Min'!A:A,'Up Min'!G:G,)</f>
        <v/>
      </c>
      <c r="AB7" s="55" t="str">
        <f t="array" ref="AB7">_xlfn.XLOOKUP(B7,'Up Max'!A:A,'Up Max'!G:G,)</f>
        <v/>
      </c>
      <c r="AC7" s="57" t="str">
        <f t="array" ref="AC7">_xlfn.XLOOKUP(B7,'Up Stats'!A:A,'Up Stats'!H:H,)</f>
        <v/>
      </c>
      <c r="AD7" s="54" t="str">
        <f>IFERROR(__xludf.DUMMYFUNCTION("if(AND(AE7=FALSE,AF7=FALSE),,if(AE7=AF7,JOIN("""",""Static: "",AE7),JOIN("""",""Min:  "",AE7, CHAR(10),""Max: "",AF7)))"),"")</f>
        <v/>
      </c>
      <c r="AE7" s="55" t="str">
        <f t="array" ref="AE7">_xlfn.XLOOKUP(B7,'Up Min'!A:A,'Up Min'!H:H,)</f>
        <v/>
      </c>
      <c r="AF7" s="55" t="str">
        <f t="array" ref="AF7">_xlfn.XLOOKUP(B7,'Up Max'!A:A,'Up Max'!H:H,)</f>
        <v/>
      </c>
      <c r="AG7" s="57" t="str">
        <f t="array" ref="AG7">_xlfn.XLOOKUP(B7,'Up Stats'!A:A,'Up Stats'!I:I,)</f>
        <v/>
      </c>
      <c r="AH7" s="54" t="str">
        <f>IFERROR(__xludf.DUMMYFUNCTION("if(AND(AI7=FALSE,AJ7=FALSE),,if(AI7=AJ7,JOIN("""",""Static: "",AI7),JOIN("""",""Min:  "",AI7, CHAR(10),""Max: "",AJ7)))"),"")</f>
        <v/>
      </c>
      <c r="AI7" s="55" t="str">
        <f t="array" ref="AI7">_xlfn.XLOOKUP(B7,'Up Min'!A:A,'Up Min'!I:I,)</f>
        <v/>
      </c>
      <c r="AJ7" s="55" t="str">
        <f t="array" ref="AJ7">_xlfn.XLOOKUP(B7,'Up Max'!A:A,'Up Max'!I:I,)</f>
        <v/>
      </c>
      <c r="AK7" s="57" t="str">
        <f t="array" ref="AK7">_xlfn.XLOOKUP(B7,'Up Stats'!A:A,'Up Stats'!J:J,)</f>
        <v/>
      </c>
      <c r="AL7" s="54" t="str">
        <f>IFERROR(__xludf.DUMMYFUNCTION("if(AND(AM7=FALSE,AN7=FALSE),,if(AM7=AN7,JOIN("""",""Static: "",AM7),JOIN("""",""Min:  "",AM7, CHAR(10),""Max: "",AN7)))"),"")</f>
        <v/>
      </c>
      <c r="AM7" s="55" t="str">
        <f t="array" ref="AM7">_xlfn.XLOOKUP(B7,'Up Min'!A:A,'Up Min'!J:J,)</f>
        <v/>
      </c>
      <c r="AN7" s="55" t="str">
        <f t="array" ref="AN7">_xlfn.XLOOKUP(B7,'Up Max'!A:A,'Up Max'!J:J,)</f>
        <v/>
      </c>
      <c r="AO7" s="51" t="str">
        <f t="array" ref="AO7">CONCATENATE(_xlfn.XLOOKUP(B7,'Up Cells'!A:A,'Up Cells'!B:B,))</f>
        <v>6</v>
      </c>
      <c r="AP7" s="51" t="str">
        <f t="array" ref="AP7">CONCATENATE(_xlfn.XLOOKUP(B7,'Up Rarity'!A:A,'Up Rarity'!B:B,),CHAR(10),"-")</f>
        <v>Exotic
-</v>
      </c>
    </row>
    <row r="8">
      <c r="A8" s="62" t="str">
        <f t="array" ref="A8">_xlfn.XLOOKUP(B8,'Up Icon'!A:A,'Up Icon'!B:B,)</f>
        <v/>
      </c>
      <c r="B8" s="66" t="str">
        <f t="array" ref="B8">HYPERLINK(_xlfn.XLOOKUP('Up Names'!N3,'Up Wiki'!A:A,'Up Wiki'!B:B,),'Up Names'!N3)</f>
        <v>Illegal Pocket Grenade</v>
      </c>
      <c r="C8" s="37" t="str">
        <f t="array" ref="C8">_xlfn.XLOOKUP(B8,'Up Desc'!A:A,'Up Desc'!B:B,)</f>
        <v>Grenades deal way less damage in a very small radius, but recharge much faster.</v>
      </c>
      <c r="D8" s="37" t="str">
        <f t="array" ref="D8">_xlfn.XLOOKUP(B8,'Up Turbo'!A:A,'Up Turbo'!B:B,)</f>
        <v/>
      </c>
      <c r="E8" s="39" t="str">
        <f t="array" ref="E8">_xlfn.XLOOKUP(B8,'Up Stats'!A:A,'Up Stats'!B:B,)</f>
        <v>Recharge Speed</v>
      </c>
      <c r="F8" s="40" t="str">
        <f>IFERROR(__xludf.DUMMYFUNCTION("if(AND(G8=FALSE,H8=FALSE),,if(G8=H8,JOIN("""",""Static: "",G8),JOIN("""",""Min:  "",G8, CHAR(10),""Max: "",H8)))"),"Min:  2677.78%
Max: 2172.73%")</f>
        <v>Min:  2677.78%
Max: 2172.73%</v>
      </c>
      <c r="G8" s="78">
        <f t="array" ref="G8">_xlfn.XLOOKUP(B8,'Up Min'!A:A,'Up Min'!B:B,)</f>
        <v>26.7778</v>
      </c>
      <c r="H8" s="78">
        <f t="array" ref="H8">_xlfn.XLOOKUP(B8,'Up Max'!A:A,'Up Max'!B:B,)</f>
        <v>21.7273</v>
      </c>
      <c r="I8" s="39" t="str">
        <f t="array" ref="I8">_xlfn.XLOOKUP(B8,'Up Stats'!A:A,'Up Stats'!C:C,)</f>
        <v>Explosion Size</v>
      </c>
      <c r="J8" s="40" t="str">
        <f>IFERROR(__xludf.DUMMYFUNCTION("if(AND(K8=FALSE,L8=FALSE),,if(K8=L8,JOIN("""",""Static: "",K8),JOIN("""",""Min:  "",K8, CHAR(10),""Max: "",L8)))"),"Min:  -77%
Max: -72%")</f>
        <v>Min:  -77%
Max: -72%</v>
      </c>
      <c r="K8" s="41">
        <f t="array" ref="K8">_xlfn.XLOOKUP(B8,'Up Min'!A:A,'Up Min'!C:C,)</f>
        <v>-0.77</v>
      </c>
      <c r="L8" s="41">
        <f t="array" ref="L8">_xlfn.XLOOKUP(B8,'Up Max'!A:A,'Up Max'!C:C,)</f>
        <v>-0.72</v>
      </c>
      <c r="M8" s="39" t="str">
        <f t="array" ref="M8">_xlfn.XLOOKUP(B8,'Up Stats'!A:A,'Up Stats'!D:D,)</f>
        <v>Damage</v>
      </c>
      <c r="N8" s="40" t="str">
        <f>IFERROR(__xludf.DUMMYFUNCTION("if(AND(O8=FALSE,P8=FALSE),,if(O8=P8,JOIN("""",""Static: "",O8),JOIN("""",""Min:  "",O8, CHAR(10),""Max: "",P8)))"),"Min:  -82%
Max: -76%")</f>
        <v>Min:  -82%
Max: -76%</v>
      </c>
      <c r="O8" s="41">
        <f t="array" ref="O8">_xlfn.XLOOKUP(B8,'Up Min'!A:A,'Up Min'!D:D,)</f>
        <v>-0.82</v>
      </c>
      <c r="P8" s="41">
        <f t="array" ref="P8">_xlfn.XLOOKUP(B8,'Up Max'!A:A,'Up Max'!D:D,)</f>
        <v>-0.76</v>
      </c>
      <c r="Q8" s="48" t="str">
        <f t="array" ref="Q8">_xlfn.XLOOKUP(B8,'Up Stats'!A:A,'Up Stats'!E:E,)</f>
        <v/>
      </c>
      <c r="R8" s="40" t="str">
        <f>IFERROR(__xludf.DUMMYFUNCTION("if(AND(S8=FALSE,T8=FALSE),,if(S8=T8,JOIN("""",""Static: "",S8),JOIN("""",""Min:  "",S8, CHAR(10),""Max: "",T8)))"),"")</f>
        <v/>
      </c>
      <c r="S8" s="42" t="str">
        <f t="array" ref="S8">_xlfn.XLOOKUP(B8,'Up Min'!A:A,'Up Min'!E:E,)</f>
        <v/>
      </c>
      <c r="T8" s="42" t="str">
        <f t="array" ref="T8">_xlfn.XLOOKUP(B8,'Up Max'!A:A,'Up Max'!E:E,)</f>
        <v/>
      </c>
      <c r="U8" s="48" t="str">
        <f t="array" ref="U8">_xlfn.XLOOKUP(B8,'Up Stats'!A:A,'Up Stats'!F:F,)</f>
        <v/>
      </c>
      <c r="V8" s="40" t="str">
        <f>IFERROR(__xludf.DUMMYFUNCTION("if(AND(W8=FALSE,X8=FALSE),,if(W8=X8,JOIN("""",""Static: "",W8),JOIN("""",""Min:  "",W8, CHAR(10),""Max: "",X8)))"),"")</f>
        <v/>
      </c>
      <c r="W8" s="42" t="str">
        <f t="array" ref="W8">_xlfn.XLOOKUP(B8,'Up Min'!A:A,'Up Min'!F:F,)</f>
        <v/>
      </c>
      <c r="X8" s="42" t="str">
        <f t="array" ref="X8">_xlfn.XLOOKUP(B8,'Up Max'!A:A,'Up Max'!F:F,)</f>
        <v/>
      </c>
      <c r="Y8" s="48" t="str">
        <f t="array" ref="Y8">_xlfn.XLOOKUP(B8,'Up Stats'!A:A,'Up Stats'!G:G,)</f>
        <v/>
      </c>
      <c r="Z8" s="40" t="str">
        <f>IFERROR(__xludf.DUMMYFUNCTION("if(AND(AA8=FALSE,AB8=FALSE),,if(AA8=AB8,JOIN("""",""Static: "",AA8),JOIN("""",""Min:  "",AA8, CHAR(10),""Max: "",AB8)))"),"")</f>
        <v/>
      </c>
      <c r="AA8" s="42" t="str">
        <f t="array" ref="AA8">_xlfn.XLOOKUP(B8,'Up Min'!A:A,'Up Min'!G:G,)</f>
        <v/>
      </c>
      <c r="AB8" s="42" t="str">
        <f t="array" ref="AB8">_xlfn.XLOOKUP(B8,'Up Max'!A:A,'Up Max'!G:G,)</f>
        <v/>
      </c>
      <c r="AC8" s="48" t="str">
        <f t="array" ref="AC8">_xlfn.XLOOKUP(B8,'Up Stats'!A:A,'Up Stats'!H:H,)</f>
        <v/>
      </c>
      <c r="AD8" s="40" t="str">
        <f>IFERROR(__xludf.DUMMYFUNCTION("if(AND(AE8=FALSE,AF8=FALSE),,if(AE8=AF8,JOIN("""",""Static: "",AE8),JOIN("""",""Min:  "",AE8, CHAR(10),""Max: "",AF8)))"),"")</f>
        <v/>
      </c>
      <c r="AE8" s="42" t="str">
        <f t="array" ref="AE8">_xlfn.XLOOKUP(B8,'Up Min'!A:A,'Up Min'!H:H,)</f>
        <v/>
      </c>
      <c r="AF8" s="42" t="str">
        <f t="array" ref="AF8">_xlfn.XLOOKUP(B8,'Up Max'!A:A,'Up Max'!H:H,)</f>
        <v/>
      </c>
      <c r="AG8" s="48" t="str">
        <f t="array" ref="AG8">_xlfn.XLOOKUP(B8,'Up Stats'!A:A,'Up Stats'!I:I,)</f>
        <v/>
      </c>
      <c r="AH8" s="40" t="str">
        <f>IFERROR(__xludf.DUMMYFUNCTION("if(AND(AI8=FALSE,AJ8=FALSE),,if(AI8=AJ8,JOIN("""",""Static: "",AI8),JOIN("""",""Min:  "",AI8, CHAR(10),""Max: "",AJ8)))"),"")</f>
        <v/>
      </c>
      <c r="AI8" s="42" t="str">
        <f t="array" ref="AI8">_xlfn.XLOOKUP(B8,'Up Min'!A:A,'Up Min'!I:I,)</f>
        <v/>
      </c>
      <c r="AJ8" s="42" t="str">
        <f t="array" ref="AJ8">_xlfn.XLOOKUP(B8,'Up Max'!A:A,'Up Max'!I:I,)</f>
        <v/>
      </c>
      <c r="AK8" s="48" t="str">
        <f t="array" ref="AK8">_xlfn.XLOOKUP(B8,'Up Stats'!A:A,'Up Stats'!J:J,)</f>
        <v/>
      </c>
      <c r="AL8" s="40" t="str">
        <f>IFERROR(__xludf.DUMMYFUNCTION("if(AND(AM8=FALSE,AN8=FALSE),,if(AM8=AN8,JOIN("""",""Static: "",AM8),JOIN("""",""Min:  "",AM8, CHAR(10),""Max: "",AN8)))"),"")</f>
        <v/>
      </c>
      <c r="AM8" s="42" t="str">
        <f t="array" ref="AM8">_xlfn.XLOOKUP(B8,'Up Min'!A:A,'Up Min'!J:J,)</f>
        <v/>
      </c>
      <c r="AN8" s="42" t="str">
        <f t="array" ref="AN8">_xlfn.XLOOKUP(B8,'Up Max'!A:A,'Up Max'!J:J,)</f>
        <v/>
      </c>
      <c r="AO8" s="34" t="str">
        <f t="array" ref="AO8">CONCATENATE(_xlfn.XLOOKUP(B8,'Up Cells'!A:A,'Up Cells'!B:B,))</f>
        <v>5</v>
      </c>
      <c r="AP8" s="34" t="str">
        <f t="array" ref="AP8">CONCATENATE(_xlfn.XLOOKUP(B8,'Up Rarity'!A:A,'Up Rarity'!B:B,),CHAR(10),"-")</f>
        <v>Exotic
-</v>
      </c>
    </row>
    <row r="9">
      <c r="A9" s="62" t="str">
        <f t="array" ref="A9">_xlfn.XLOOKUP(B9,'Up Icon'!A:A,'Up Icon'!B:B,)</f>
        <v/>
      </c>
      <c r="B9" s="51" t="str">
        <f t="array" ref="B9">HYPERLINK(_xlfn.XLOOKUP('Up Names'!N23,'Up Wiki'!A:A,'Up Wiki'!B:B,),'Up Names'!N23)</f>
        <v>In for a Penny, In for a Pound</v>
      </c>
      <c r="C9" s="52" t="str">
        <f t="array" ref="C9">_xlfn.XLOOKUP(B9,'Up Desc'!A:A,'Up Desc'!B:B,)</f>
        <v>Taking damage from any source other than your grenade has a small chance to toss out a grenade. This chance is proportional to the amount of damage taken.</v>
      </c>
      <c r="D9" s="52" t="str">
        <f t="array" ref="D9">_xlfn.XLOOKUP(B9,'Up Turbo'!A:A,'Up Turbo'!B:B,)</f>
        <v/>
      </c>
      <c r="E9" s="53" t="str">
        <f t="array" ref="E9">_xlfn.XLOOKUP(B9,'Up Stats'!A:A,'Up Stats'!B:B,)</f>
        <v/>
      </c>
      <c r="F9" s="54" t="str">
        <f>IFERROR(__xludf.DUMMYFUNCTION("if(AND(G9=FALSE,H9=FALSE),,if(G9=H9,JOIN("""",""Static: "",G9),JOIN("""",""Min:  "",G9, CHAR(10),""Max: "",H9)))"),"")</f>
        <v/>
      </c>
      <c r="G9" s="72" t="str">
        <f t="array" ref="G9">_xlfn.XLOOKUP(B9,'Up Min'!A:A,'Up Min'!B:B,)</f>
        <v/>
      </c>
      <c r="H9" s="72" t="str">
        <f t="array" ref="H9">_xlfn.XLOOKUP(B9,'Up Max'!A:A,'Up Max'!B:B,)</f>
        <v/>
      </c>
      <c r="I9" s="53" t="str">
        <f t="array" ref="I9">_xlfn.XLOOKUP(B9,'Up Stats'!A:A,'Up Stats'!C:C,)</f>
        <v/>
      </c>
      <c r="J9" s="54" t="str">
        <f>IFERROR(__xludf.DUMMYFUNCTION("if(AND(K9=FALSE,L9=FALSE),,if(K9=L9,JOIN("""",""Static: "",K9),JOIN("""",""Min:  "",K9, CHAR(10),""Max: "",L9)))"),"")</f>
        <v/>
      </c>
      <c r="K9" s="55" t="str">
        <f t="array" ref="K9">_xlfn.XLOOKUP(B9,'Up Min'!A:A,'Up Min'!C:C,)</f>
        <v/>
      </c>
      <c r="L9" s="55" t="str">
        <f t="array" ref="L9">_xlfn.XLOOKUP(B9,'Up Max'!A:A,'Up Max'!C:C,)</f>
        <v/>
      </c>
      <c r="M9" s="57" t="str">
        <f t="array" ref="M9">_xlfn.XLOOKUP(B9,'Up Stats'!A:A,'Up Stats'!D:D,)</f>
        <v/>
      </c>
      <c r="N9" s="54" t="str">
        <f>IFERROR(__xludf.DUMMYFUNCTION("if(AND(O9=FALSE,P9=FALSE),,if(O9=P9,JOIN("""",""Static: "",O9),JOIN("""",""Min:  "",O9, CHAR(10),""Max: "",P9)))"),"")</f>
        <v/>
      </c>
      <c r="O9" s="55" t="str">
        <f t="array" ref="O9">_xlfn.XLOOKUP(B9,'Up Min'!A:A,'Up Min'!D:D,)</f>
        <v/>
      </c>
      <c r="P9" s="55" t="str">
        <f t="array" ref="P9">_xlfn.XLOOKUP(B9,'Up Max'!A:A,'Up Max'!D:D,)</f>
        <v/>
      </c>
      <c r="Q9" s="57" t="str">
        <f t="array" ref="Q9">_xlfn.XLOOKUP(B9,'Up Stats'!A:A,'Up Stats'!E:E,)</f>
        <v/>
      </c>
      <c r="R9" s="54" t="str">
        <f>IFERROR(__xludf.DUMMYFUNCTION("if(AND(S9=FALSE,T9=FALSE),,if(S9=T9,JOIN("""",""Static: "",S9),JOIN("""",""Min:  "",S9, CHAR(10),""Max: "",T9)))"),"")</f>
        <v/>
      </c>
      <c r="S9" s="55" t="str">
        <f t="array" ref="S9">_xlfn.XLOOKUP(B9,'Up Min'!A:A,'Up Min'!E:E,)</f>
        <v/>
      </c>
      <c r="T9" s="55" t="str">
        <f t="array" ref="T9">_xlfn.XLOOKUP(B9,'Up Max'!A:A,'Up Max'!E:E,)</f>
        <v/>
      </c>
      <c r="U9" s="57" t="str">
        <f t="array" ref="U9">_xlfn.XLOOKUP(B9,'Up Stats'!A:A,'Up Stats'!F:F,)</f>
        <v/>
      </c>
      <c r="V9" s="54" t="str">
        <f>IFERROR(__xludf.DUMMYFUNCTION("if(AND(W9=FALSE,X9=FALSE),,if(W9=X9,JOIN("""",""Static: "",W9),JOIN("""",""Min:  "",W9, CHAR(10),""Max: "",X9)))"),"")</f>
        <v/>
      </c>
      <c r="W9" s="55" t="str">
        <f t="array" ref="W9">_xlfn.XLOOKUP(B9,'Up Min'!A:A,'Up Min'!F:F,)</f>
        <v/>
      </c>
      <c r="X9" s="55" t="str">
        <f t="array" ref="X9">_xlfn.XLOOKUP(B9,'Up Max'!A:A,'Up Max'!F:F,)</f>
        <v/>
      </c>
      <c r="Y9" s="57" t="str">
        <f t="array" ref="Y9">_xlfn.XLOOKUP(B9,'Up Stats'!A:A,'Up Stats'!G:G,)</f>
        <v/>
      </c>
      <c r="Z9" s="54" t="str">
        <f>IFERROR(__xludf.DUMMYFUNCTION("if(AND(AA9=FALSE,AB9=FALSE),,if(AA9=AB9,JOIN("""",""Static: "",AA9),JOIN("""",""Min:  "",AA9, CHAR(10),""Max: "",AB9)))"),"")</f>
        <v/>
      </c>
      <c r="AA9" s="55" t="str">
        <f t="array" ref="AA9">_xlfn.XLOOKUP(B9,'Up Min'!A:A,'Up Min'!G:G,)</f>
        <v/>
      </c>
      <c r="AB9" s="55" t="str">
        <f t="array" ref="AB9">_xlfn.XLOOKUP(B9,'Up Max'!A:A,'Up Max'!G:G,)</f>
        <v/>
      </c>
      <c r="AC9" s="57" t="str">
        <f t="array" ref="AC9">_xlfn.XLOOKUP(B9,'Up Stats'!A:A,'Up Stats'!H:H,)</f>
        <v/>
      </c>
      <c r="AD9" s="54" t="str">
        <f>IFERROR(__xludf.DUMMYFUNCTION("if(AND(AE9=FALSE,AF9=FALSE),,if(AE9=AF9,JOIN("""",""Static: "",AE9),JOIN("""",""Min:  "",AE9, CHAR(10),""Max: "",AF9)))"),"")</f>
        <v/>
      </c>
      <c r="AE9" s="55" t="str">
        <f t="array" ref="AE9">_xlfn.XLOOKUP(B9,'Up Min'!A:A,'Up Min'!H:H,)</f>
        <v/>
      </c>
      <c r="AF9" s="55" t="str">
        <f t="array" ref="AF9">_xlfn.XLOOKUP(B9,'Up Max'!A:A,'Up Max'!H:H,)</f>
        <v/>
      </c>
      <c r="AG9" s="57" t="str">
        <f t="array" ref="AG9">_xlfn.XLOOKUP(B9,'Up Stats'!A:A,'Up Stats'!I:I,)</f>
        <v/>
      </c>
      <c r="AH9" s="54" t="str">
        <f>IFERROR(__xludf.DUMMYFUNCTION("if(AND(AI9=FALSE,AJ9=FALSE),,if(AI9=AJ9,JOIN("""",""Static: "",AI9),JOIN("""",""Min:  "",AI9, CHAR(10),""Max: "",AJ9)))"),"")</f>
        <v/>
      </c>
      <c r="AI9" s="55" t="str">
        <f t="array" ref="AI9">_xlfn.XLOOKUP(B9,'Up Min'!A:A,'Up Min'!I:I,)</f>
        <v/>
      </c>
      <c r="AJ9" s="55" t="str">
        <f t="array" ref="AJ9">_xlfn.XLOOKUP(B9,'Up Max'!A:A,'Up Max'!I:I,)</f>
        <v/>
      </c>
      <c r="AK9" s="57" t="str">
        <f t="array" ref="AK9">_xlfn.XLOOKUP(B9,'Up Stats'!A:A,'Up Stats'!J:J,)</f>
        <v/>
      </c>
      <c r="AL9" s="54" t="str">
        <f>IFERROR(__xludf.DUMMYFUNCTION("if(AND(AM9=FALSE,AN9=FALSE),,if(AM9=AN9,JOIN("""",""Static: "",AM9),JOIN("""",""Min:  "",AM9, CHAR(10),""Max: "",AN9)))"),"")</f>
        <v/>
      </c>
      <c r="AM9" s="55" t="str">
        <f t="array" ref="AM9">_xlfn.XLOOKUP(B9,'Up Min'!A:A,'Up Min'!J:J,)</f>
        <v/>
      </c>
      <c r="AN9" s="55" t="str">
        <f t="array" ref="AN9">_xlfn.XLOOKUP(B9,'Up Max'!A:A,'Up Max'!J:J,)</f>
        <v/>
      </c>
      <c r="AO9" s="51" t="str">
        <f t="array" ref="AO9">CONCATENATE(_xlfn.XLOOKUP(B9,'Up Cells'!A:A,'Up Cells'!B:B,))</f>
        <v>6</v>
      </c>
      <c r="AP9" s="51" t="str">
        <f t="array" ref="AP9">CONCATENATE(_xlfn.XLOOKUP(B9,'Up Rarity'!A:A,'Up Rarity'!B:B,),CHAR(10),"-")</f>
        <v>Exotic
-</v>
      </c>
    </row>
    <row r="10">
      <c r="A10" s="62" t="str">
        <f t="array" ref="A10">_xlfn.XLOOKUP(B10,'Up Icon'!A:A,'Up Icon'!B:B,)</f>
        <v/>
      </c>
      <c r="B10" s="66" t="str">
        <f t="array" ref="B10">HYPERLINK(_xlfn.XLOOKUP('Up Names'!N4,'Up Wiki'!A:A,'Up Wiki'!B:B,),'Up Names'!N4)</f>
        <v>Live Wire</v>
      </c>
      <c r="C10" s="37" t="str">
        <f t="array" ref="C10">_xlfn.XLOOKUP(B10,'Up Desc'!A:A,'Up Desc'!B:B,)</f>
        <v>You become the grenade, exploding multiple times and gaining increased move speed.</v>
      </c>
      <c r="D10" s="37" t="str">
        <f t="array" ref="D10">_xlfn.XLOOKUP(B10,'Up Turbo'!A:A,'Up Turbo'!B:B,)</f>
        <v/>
      </c>
      <c r="E10" s="39" t="str">
        <f t="array" ref="E10">_xlfn.XLOOKUP(B10,'Up Stats'!A:A,'Up Stats'!B:B,)</f>
        <v>Duration</v>
      </c>
      <c r="F10" s="40" t="str">
        <f>IFERROR(__xludf.DUMMYFUNCTION("if(AND(G10=FALSE,H10=FALSE),,if(G10=H10,JOIN("""",""Static: "",G10),JOIN("""",""Min:  "",G10, CHAR(10),""Max: "",H10)))"),"Min:  4
Max: 7")</f>
        <v>Min:  4
Max: 7</v>
      </c>
      <c r="G10" s="69">
        <f t="array" ref="G10">_xlfn.XLOOKUP(B10,'Up Min'!A:A,'Up Min'!B:B,)</f>
        <v>4</v>
      </c>
      <c r="H10" s="68">
        <f t="array" ref="H10">_xlfn.XLOOKUP(B10,'Up Max'!A:A,'Up Max'!B:B,)</f>
        <v>7</v>
      </c>
      <c r="I10" s="39" t="str">
        <f t="array" ref="I10">_xlfn.XLOOKUP(B10,'Up Stats'!A:A,'Up Stats'!C:C,)</f>
        <v>Explosion Interval</v>
      </c>
      <c r="J10" s="40" t="str">
        <f>IFERROR(__xludf.DUMMYFUNCTION("if(AND(K10=FALSE,L10=FALSE),,if(K10=L10,JOIN("""",""Static: "",K10),JOIN("""",""Min:  "",K10, CHAR(10),""Max: "",L10)))"),"Min:  1.3
Max: 1.6")</f>
        <v>Min:  1.3
Max: 1.6</v>
      </c>
      <c r="K10" s="68">
        <f t="array" ref="K10">_xlfn.XLOOKUP(B10,'Up Min'!A:A,'Up Min'!C:C,)</f>
        <v>1.3</v>
      </c>
      <c r="L10" s="69">
        <f t="array" ref="L10">_xlfn.XLOOKUP(B10,'Up Max'!A:A,'Up Max'!C:C,)</f>
        <v>1.6</v>
      </c>
      <c r="M10" s="39" t="str">
        <f t="array" ref="M10">_xlfn.XLOOKUP(B10,'Up Stats'!A:A,'Up Stats'!D:D,)</f>
        <v>Speed</v>
      </c>
      <c r="N10" s="40" t="str">
        <f>IFERROR(__xludf.DUMMYFUNCTION("if(AND(O10=FALSE,P10=FALSE),,if(O10=P10,JOIN("""",""Static: "",O10),JOIN("""",""Min:  "",O10, CHAR(10),""Max: "",P10)))"),"Min:  2.5
Max: 5.5")</f>
        <v>Min:  2.5
Max: 5.5</v>
      </c>
      <c r="O10" s="68">
        <f t="array" ref="O10">_xlfn.XLOOKUP(B10,'Up Min'!A:A,'Up Min'!D:D,)</f>
        <v>2.5</v>
      </c>
      <c r="P10" s="68">
        <f t="array" ref="P10">_xlfn.XLOOKUP(B10,'Up Max'!A:A,'Up Max'!D:D,)</f>
        <v>5.5</v>
      </c>
      <c r="Q10" s="48" t="str">
        <f t="array" ref="Q10">_xlfn.XLOOKUP(B10,'Up Stats'!A:A,'Up Stats'!E:E,)</f>
        <v/>
      </c>
      <c r="R10" s="40" t="str">
        <f>IFERROR(__xludf.DUMMYFUNCTION("if(AND(S10=FALSE,T10=FALSE),,if(S10=T10,JOIN("""",""Static: "",S10),JOIN("""",""Min:  "",S10, CHAR(10),""Max: "",T10)))"),"")</f>
        <v/>
      </c>
      <c r="S10" s="42" t="str">
        <f t="array" ref="S10">_xlfn.XLOOKUP(B10,'Up Min'!A:A,'Up Min'!E:E,)</f>
        <v/>
      </c>
      <c r="T10" s="42" t="str">
        <f t="array" ref="T10">_xlfn.XLOOKUP(B10,'Up Max'!A:A,'Up Max'!E:E,)</f>
        <v/>
      </c>
      <c r="U10" s="48" t="str">
        <f t="array" ref="U10">_xlfn.XLOOKUP(B10,'Up Stats'!A:A,'Up Stats'!F:F,)</f>
        <v/>
      </c>
      <c r="V10" s="40" t="str">
        <f>IFERROR(__xludf.DUMMYFUNCTION("if(AND(W10=FALSE,X10=FALSE),,if(W10=X10,JOIN("""",""Static: "",W10),JOIN("""",""Min:  "",W10, CHAR(10),""Max: "",X10)))"),"")</f>
        <v/>
      </c>
      <c r="W10" s="42" t="str">
        <f t="array" ref="W10">_xlfn.XLOOKUP(B10,'Up Min'!A:A,'Up Min'!F:F,)</f>
        <v/>
      </c>
      <c r="X10" s="42" t="str">
        <f t="array" ref="X10">_xlfn.XLOOKUP(B10,'Up Max'!A:A,'Up Max'!F:F,)</f>
        <v/>
      </c>
      <c r="Y10" s="48" t="str">
        <f t="array" ref="Y10">_xlfn.XLOOKUP(B10,'Up Stats'!A:A,'Up Stats'!G:G,)</f>
        <v/>
      </c>
      <c r="Z10" s="40" t="str">
        <f>IFERROR(__xludf.DUMMYFUNCTION("if(AND(AA10=FALSE,AB10=FALSE),,if(AA10=AB10,JOIN("""",""Static: "",AA10),JOIN("""",""Min:  "",AA10, CHAR(10),""Max: "",AB10)))"),"")</f>
        <v/>
      </c>
      <c r="AA10" s="42" t="str">
        <f t="array" ref="AA10">_xlfn.XLOOKUP(B10,'Up Min'!A:A,'Up Min'!G:G,)</f>
        <v/>
      </c>
      <c r="AB10" s="42" t="str">
        <f t="array" ref="AB10">_xlfn.XLOOKUP(B10,'Up Max'!A:A,'Up Max'!G:G,)</f>
        <v/>
      </c>
      <c r="AC10" s="48" t="str">
        <f t="array" ref="AC10">_xlfn.XLOOKUP(B10,'Up Stats'!A:A,'Up Stats'!H:H,)</f>
        <v/>
      </c>
      <c r="AD10" s="40" t="str">
        <f>IFERROR(__xludf.DUMMYFUNCTION("if(AND(AE10=FALSE,AF10=FALSE),,if(AE10=AF10,JOIN("""",""Static: "",AE10),JOIN("""",""Min:  "",AE10, CHAR(10),""Max: "",AF10)))"),"")</f>
        <v/>
      </c>
      <c r="AE10" s="42" t="str">
        <f t="array" ref="AE10">_xlfn.XLOOKUP(B10,'Up Min'!A:A,'Up Min'!H:H,)</f>
        <v/>
      </c>
      <c r="AF10" s="42" t="str">
        <f t="array" ref="AF10">_xlfn.XLOOKUP(B10,'Up Max'!A:A,'Up Max'!H:H,)</f>
        <v/>
      </c>
      <c r="AG10" s="48" t="str">
        <f t="array" ref="AG10">_xlfn.XLOOKUP(B10,'Up Stats'!A:A,'Up Stats'!I:I,)</f>
        <v/>
      </c>
      <c r="AH10" s="40" t="str">
        <f>IFERROR(__xludf.DUMMYFUNCTION("if(AND(AI10=FALSE,AJ10=FALSE),,if(AI10=AJ10,JOIN("""",""Static: "",AI10),JOIN("""",""Min:  "",AI10, CHAR(10),""Max: "",AJ10)))"),"")</f>
        <v/>
      </c>
      <c r="AI10" s="42" t="str">
        <f t="array" ref="AI10">_xlfn.XLOOKUP(B10,'Up Min'!A:A,'Up Min'!I:I,)</f>
        <v/>
      </c>
      <c r="AJ10" s="42" t="str">
        <f t="array" ref="AJ10">_xlfn.XLOOKUP(B10,'Up Max'!A:A,'Up Max'!I:I,)</f>
        <v/>
      </c>
      <c r="AK10" s="48" t="str">
        <f t="array" ref="AK10">_xlfn.XLOOKUP(B10,'Up Stats'!A:A,'Up Stats'!J:J,)</f>
        <v/>
      </c>
      <c r="AL10" s="40" t="str">
        <f>IFERROR(__xludf.DUMMYFUNCTION("if(AND(AM10=FALSE,AN10=FALSE),,if(AM10=AN10,JOIN("""",""Static: "",AM10),JOIN("""",""Min:  "",AM10, CHAR(10),""Max: "",AN10)))"),"")</f>
        <v/>
      </c>
      <c r="AM10" s="42" t="str">
        <f t="array" ref="AM10">_xlfn.XLOOKUP(B10,'Up Min'!A:A,'Up Min'!J:J,)</f>
        <v/>
      </c>
      <c r="AN10" s="42" t="str">
        <f t="array" ref="AN10">_xlfn.XLOOKUP(B10,'Up Max'!A:A,'Up Max'!J:J,)</f>
        <v/>
      </c>
      <c r="AO10" s="34" t="str">
        <f t="array" ref="AO10">CONCATENATE(_xlfn.XLOOKUP(B10,'Up Cells'!A:A,'Up Cells'!B:B,))</f>
        <v>9</v>
      </c>
      <c r="AP10" s="34" t="str">
        <f t="array" ref="AP10">CONCATENATE(_xlfn.XLOOKUP(B10,'Up Rarity'!A:A,'Up Rarity'!B:B,),CHAR(10),"-")</f>
        <v>Exotic
-</v>
      </c>
    </row>
    <row r="11">
      <c r="A11" s="75" t="str">
        <f t="array" ref="A11">_xlfn.XLOOKUP(B11,'Up Icon'!A:A,'Up Icon'!B:B,)</f>
        <v/>
      </c>
      <c r="B11" s="63" t="str">
        <f t="array" ref="B11">HYPERLINK(_xlfn.XLOOKUP('Up Names'!N5,'Up Wiki'!A:A,'Up Wiki'!B:B,),'Up Names'!N5)</f>
        <v>Cloud Skip</v>
      </c>
      <c r="C11" s="70" t="str">
        <f t="array" ref="C11">_xlfn.XLOOKUP(B11,'Up Desc'!A:A,'Up Desc'!B:B,)</f>
        <v>Gain a small double jump.</v>
      </c>
      <c r="D11" s="52" t="str">
        <f t="array" ref="D11">_xlfn.XLOOKUP(B11,'Up Turbo'!A:A,'Up Turbo'!B:B,)</f>
        <v>n/a</v>
      </c>
      <c r="E11" s="53" t="str">
        <f t="array" ref="E11">_xlfn.XLOOKUP(B11,'Up Stats'!A:A,'Up Stats'!B:B,)</f>
        <v>Speed</v>
      </c>
      <c r="F11" s="54" t="str">
        <f>IFERROR(__xludf.DUMMYFUNCTION("if(AND(G11=FALSE,H11=FALSE),,if(G11=H11,JOIN("""",""Static: "",G11),JOIN("""",""Min:  "",G11, CHAR(10),""Max: "",H11)))"),"Min:  14
Max: 18.3")</f>
        <v>Min:  14
Max: 18.3</v>
      </c>
      <c r="G11" s="64">
        <f t="array" ref="G11">_xlfn.XLOOKUP(B11,'Up Min'!A:A,'Up Min'!B:B,)</f>
        <v>14</v>
      </c>
      <c r="H11" s="65">
        <f t="array" ref="H11">_xlfn.XLOOKUP(B11,'Up Max'!A:A,'Up Max'!B:B,)</f>
        <v>18.3</v>
      </c>
      <c r="I11" s="53" t="str">
        <f t="array" ref="I11">_xlfn.XLOOKUP(B11,'Up Stats'!A:A,'Up Stats'!C:C,)</f>
        <v/>
      </c>
      <c r="J11" s="54" t="str">
        <f>IFERROR(__xludf.DUMMYFUNCTION("if(AND(K11=FALSE,L11=FALSE),,if(K11=L11,JOIN("""",""Static: "",K11),JOIN("""",""Min:  "",K11, CHAR(10),""Max: "",L11)))"),"")</f>
        <v/>
      </c>
      <c r="K11" s="72" t="str">
        <f t="array" ref="K11">_xlfn.XLOOKUP(B11,'Up Min'!A:A,'Up Min'!C:C,)</f>
        <v/>
      </c>
      <c r="L11" s="72" t="str">
        <f t="array" ref="L11">_xlfn.XLOOKUP(B11,'Up Max'!A:A,'Up Max'!C:C,)</f>
        <v/>
      </c>
      <c r="M11" s="57" t="str">
        <f t="array" ref="M11">_xlfn.XLOOKUP(B11,'Up Stats'!A:A,'Up Stats'!D:D,)</f>
        <v/>
      </c>
      <c r="N11" s="54" t="str">
        <f>IFERROR(__xludf.DUMMYFUNCTION("if(AND(O11=FALSE,P11=FALSE),,if(O11=P11,JOIN("""",""Static: "",O11),JOIN("""",""Min:  "",O11, CHAR(10),""Max: "",P11)))"),"")</f>
        <v/>
      </c>
      <c r="O11" s="55" t="str">
        <f t="array" ref="O11">_xlfn.XLOOKUP(B11,'Up Min'!A:A,'Up Min'!D:D,)</f>
        <v/>
      </c>
      <c r="P11" s="55" t="str">
        <f t="array" ref="P11">_xlfn.XLOOKUP(B11,'Up Max'!A:A,'Up Max'!D:D,)</f>
        <v/>
      </c>
      <c r="Q11" s="57" t="str">
        <f t="array" ref="Q11">_xlfn.XLOOKUP(B11,'Up Stats'!A:A,'Up Stats'!E:E,)</f>
        <v/>
      </c>
      <c r="R11" s="54" t="str">
        <f>IFERROR(__xludf.DUMMYFUNCTION("if(AND(S11=FALSE,T11=FALSE),,if(S11=T11,JOIN("""",""Static: "",S11),JOIN("""",""Min:  "",S11, CHAR(10),""Max: "",T11)))"),"")</f>
        <v/>
      </c>
      <c r="S11" s="55" t="str">
        <f t="array" ref="S11">_xlfn.XLOOKUP(B11,'Up Min'!A:A,'Up Min'!E:E,)</f>
        <v/>
      </c>
      <c r="T11" s="55" t="str">
        <f t="array" ref="T11">_xlfn.XLOOKUP(B11,'Up Max'!A:A,'Up Max'!E:E,)</f>
        <v/>
      </c>
      <c r="U11" s="57" t="str">
        <f t="array" ref="U11">_xlfn.XLOOKUP(B11,'Up Stats'!A:A,'Up Stats'!F:F,)</f>
        <v/>
      </c>
      <c r="V11" s="54" t="str">
        <f>IFERROR(__xludf.DUMMYFUNCTION("if(AND(W11=FALSE,X11=FALSE),,if(W11=X11,JOIN("""",""Static: "",W11),JOIN("""",""Min:  "",W11, CHAR(10),""Max: "",X11)))"),"")</f>
        <v/>
      </c>
      <c r="W11" s="55" t="str">
        <f t="array" ref="W11">_xlfn.XLOOKUP(B11,'Up Min'!A:A,'Up Min'!F:F,)</f>
        <v/>
      </c>
      <c r="X11" s="55" t="str">
        <f t="array" ref="X11">_xlfn.XLOOKUP(B11,'Up Max'!A:A,'Up Max'!F:F,)</f>
        <v/>
      </c>
      <c r="Y11" s="57" t="str">
        <f t="array" ref="Y11">_xlfn.XLOOKUP(B11,'Up Stats'!A:A,'Up Stats'!G:G,)</f>
        <v/>
      </c>
      <c r="Z11" s="54" t="str">
        <f>IFERROR(__xludf.DUMMYFUNCTION("if(AND(AA11=FALSE,AB11=FALSE),,if(AA11=AB11,JOIN("""",""Static: "",AA11),JOIN("""",""Min:  "",AA11, CHAR(10),""Max: "",AB11)))"),"")</f>
        <v/>
      </c>
      <c r="AA11" s="55" t="str">
        <f t="array" ref="AA11">_xlfn.XLOOKUP(B11,'Up Min'!A:A,'Up Min'!G:G,)</f>
        <v/>
      </c>
      <c r="AB11" s="55" t="str">
        <f t="array" ref="AB11">_xlfn.XLOOKUP(B11,'Up Max'!A:A,'Up Max'!G:G,)</f>
        <v/>
      </c>
      <c r="AC11" s="57" t="str">
        <f t="array" ref="AC11">_xlfn.XLOOKUP(B11,'Up Stats'!A:A,'Up Stats'!H:H,)</f>
        <v/>
      </c>
      <c r="AD11" s="54" t="str">
        <f>IFERROR(__xludf.DUMMYFUNCTION("if(AND(AE11=FALSE,AF11=FALSE),,if(AE11=AF11,JOIN("""",""Static: "",AE11),JOIN("""",""Min:  "",AE11, CHAR(10),""Max: "",AF11)))"),"")</f>
        <v/>
      </c>
      <c r="AE11" s="55" t="str">
        <f t="array" ref="AE11">_xlfn.XLOOKUP(B11,'Up Min'!A:A,'Up Min'!H:H,)</f>
        <v/>
      </c>
      <c r="AF11" s="55" t="str">
        <f t="array" ref="AF11">_xlfn.XLOOKUP(B11,'Up Max'!A:A,'Up Max'!H:H,)</f>
        <v/>
      </c>
      <c r="AG11" s="57" t="str">
        <f t="array" ref="AG11">_xlfn.XLOOKUP(B11,'Up Stats'!A:A,'Up Stats'!I:I,)</f>
        <v/>
      </c>
      <c r="AH11" s="54" t="str">
        <f>IFERROR(__xludf.DUMMYFUNCTION("if(AND(AI11=FALSE,AJ11=FALSE),,if(AI11=AJ11,JOIN("""",""Static: "",AI11),JOIN("""",""Min:  "",AI11, CHAR(10),""Max: "",AJ11)))"),"")</f>
        <v/>
      </c>
      <c r="AI11" s="55" t="str">
        <f t="array" ref="AI11">_xlfn.XLOOKUP(B11,'Up Min'!A:A,'Up Min'!I:I,)</f>
        <v/>
      </c>
      <c r="AJ11" s="55" t="str">
        <f t="array" ref="AJ11">_xlfn.XLOOKUP(B11,'Up Max'!A:A,'Up Max'!I:I,)</f>
        <v/>
      </c>
      <c r="AK11" s="57" t="str">
        <f t="array" ref="AK11">_xlfn.XLOOKUP(B11,'Up Stats'!A:A,'Up Stats'!J:J,)</f>
        <v/>
      </c>
      <c r="AL11" s="54" t="str">
        <f>IFERROR(__xludf.DUMMYFUNCTION("if(AND(AM11=FALSE,AN11=FALSE),,if(AM11=AN11,JOIN("""",""Static: "",AM11),JOIN("""",""Min:  "",AM11, CHAR(10),""Max: "",AN11)))"),"")</f>
        <v/>
      </c>
      <c r="AM11" s="55" t="str">
        <f t="array" ref="AM11">_xlfn.XLOOKUP(B11,'Up Min'!A:A,'Up Min'!J:J,)</f>
        <v/>
      </c>
      <c r="AN11" s="55" t="str">
        <f t="array" ref="AN11">_xlfn.XLOOKUP(B11,'Up Max'!A:A,'Up Max'!J:J,)</f>
        <v/>
      </c>
      <c r="AO11" s="51" t="str">
        <f t="array" ref="AO11">CONCATENATE(_xlfn.XLOOKUP(B11,'Up Cells'!A:A,'Up Cells'!B:B,))</f>
        <v>5</v>
      </c>
      <c r="AP11" s="51" t="str">
        <f t="array" ref="AP11">CONCATENATE(_xlfn.XLOOKUP(B11,'Up Rarity'!A:A,'Up Rarity'!B:B,),CHAR(10),"-")</f>
        <v>Epic
-</v>
      </c>
    </row>
    <row r="12">
      <c r="A12" s="75" t="str">
        <f t="array" ref="A12">_xlfn.XLOOKUP(B12,'Up Icon'!A:A,'Up Icon'!B:B,)</f>
        <v/>
      </c>
      <c r="B12" s="66" t="str">
        <f t="array" ref="B12">HYPERLINK(_xlfn.XLOOKUP('Up Names'!N6,'Up Wiki'!A:A,'Up Wiki'!B:B,),'Up Names'!N6)</f>
        <v>Electromagnet</v>
      </c>
      <c r="C12" s="37" t="str">
        <f t="array" ref="C12">_xlfn.XLOOKUP(B12,'Up Desc'!A:A,'Up Desc'!B:B,)</f>
        <v>Grenades magnetize toward enemies.</v>
      </c>
      <c r="D12" s="37" t="str">
        <f t="array" ref="D12">_xlfn.XLOOKUP(B12,'Up Turbo'!A:A,'Up Turbo'!B:B,)</f>
        <v>n/a</v>
      </c>
      <c r="E12" s="39" t="str">
        <f t="array" ref="E12">_xlfn.XLOOKUP(B12,'Up Stats'!A:A,'Up Stats'!B:B,)</f>
        <v>Force</v>
      </c>
      <c r="F12" s="40" t="str">
        <f>IFERROR(__xludf.DUMMYFUNCTION("if(AND(G12=FALSE,H12=FALSE),,if(G12=H12,JOIN("""",""Static: "",G12),JOIN("""",""Min:  "",G12, CHAR(10),""Max: "",H12)))"),"Min:  1.5
Max: 4")</f>
        <v>Min:  1.5
Max: 4</v>
      </c>
      <c r="G12" s="69">
        <f t="array" ref="G12">_xlfn.XLOOKUP(B12,'Up Min'!A:A,'Up Min'!B:B,)</f>
        <v>1.5</v>
      </c>
      <c r="H12" s="68">
        <f t="array" ref="H12">_xlfn.XLOOKUP(B12,'Up Max'!A:A,'Up Max'!B:B,)</f>
        <v>4</v>
      </c>
      <c r="I12" s="39" t="str">
        <f t="array" ref="I12">_xlfn.XLOOKUP(B12,'Up Stats'!A:A,'Up Stats'!C:C,)</f>
        <v/>
      </c>
      <c r="J12" s="40" t="str">
        <f>IFERROR(__xludf.DUMMYFUNCTION("if(AND(K12=FALSE,L12=FALSE),,if(K12=L12,JOIN("""",""Static: "",K12),JOIN("""",""Min:  "",K12, CHAR(10),""Max: "",L12)))"),"")</f>
        <v/>
      </c>
      <c r="K12" s="74" t="str">
        <f t="array" ref="K12">_xlfn.XLOOKUP(B12,'Up Min'!A:A,'Up Min'!C:C,)</f>
        <v/>
      </c>
      <c r="L12" s="74" t="str">
        <f t="array" ref="L12">_xlfn.XLOOKUP(B12,'Up Max'!A:A,'Up Max'!C:C,)</f>
        <v/>
      </c>
      <c r="M12" s="48" t="str">
        <f t="array" ref="M12">_xlfn.XLOOKUP(B12,'Up Stats'!A:A,'Up Stats'!D:D,)</f>
        <v/>
      </c>
      <c r="N12" s="40" t="str">
        <f>IFERROR(__xludf.DUMMYFUNCTION("if(AND(O12=FALSE,P12=FALSE),,if(O12=P12,JOIN("""",""Static: "",O12),JOIN("""",""Min:  "",O12, CHAR(10),""Max: "",P12)))"),"")</f>
        <v/>
      </c>
      <c r="O12" s="42" t="str">
        <f t="array" ref="O12">_xlfn.XLOOKUP(B12,'Up Min'!A:A,'Up Min'!D:D,)</f>
        <v/>
      </c>
      <c r="P12" s="42" t="str">
        <f t="array" ref="P12">_xlfn.XLOOKUP(B12,'Up Max'!A:A,'Up Max'!D:D,)</f>
        <v/>
      </c>
      <c r="Q12" s="48" t="str">
        <f t="array" ref="Q12">_xlfn.XLOOKUP(B12,'Up Stats'!A:A,'Up Stats'!E:E,)</f>
        <v/>
      </c>
      <c r="R12" s="40" t="str">
        <f>IFERROR(__xludf.DUMMYFUNCTION("if(AND(S12=FALSE,T12=FALSE),,if(S12=T12,JOIN("""",""Static: "",S12),JOIN("""",""Min:  "",S12, CHAR(10),""Max: "",T12)))"),"")</f>
        <v/>
      </c>
      <c r="S12" s="42" t="str">
        <f t="array" ref="S12">_xlfn.XLOOKUP(B12,'Up Min'!A:A,'Up Min'!E:E,)</f>
        <v/>
      </c>
      <c r="T12" s="42" t="str">
        <f t="array" ref="T12">_xlfn.XLOOKUP(B12,'Up Max'!A:A,'Up Max'!E:E,)</f>
        <v/>
      </c>
      <c r="U12" s="48" t="str">
        <f t="array" ref="U12">_xlfn.XLOOKUP(B12,'Up Stats'!A:A,'Up Stats'!F:F,)</f>
        <v/>
      </c>
      <c r="V12" s="40" t="str">
        <f>IFERROR(__xludf.DUMMYFUNCTION("if(AND(W12=FALSE,X12=FALSE),,if(W12=X12,JOIN("""",""Static: "",W12),JOIN("""",""Min:  "",W12, CHAR(10),""Max: "",X12)))"),"")</f>
        <v/>
      </c>
      <c r="W12" s="42" t="str">
        <f t="array" ref="W12">_xlfn.XLOOKUP(B12,'Up Min'!A:A,'Up Min'!F:F,)</f>
        <v/>
      </c>
      <c r="X12" s="42" t="str">
        <f t="array" ref="X12">_xlfn.XLOOKUP(B12,'Up Max'!A:A,'Up Max'!F:F,)</f>
        <v/>
      </c>
      <c r="Y12" s="48" t="str">
        <f t="array" ref="Y12">_xlfn.XLOOKUP(B12,'Up Stats'!A:A,'Up Stats'!G:G,)</f>
        <v/>
      </c>
      <c r="Z12" s="40" t="str">
        <f>IFERROR(__xludf.DUMMYFUNCTION("if(AND(AA12=FALSE,AB12=FALSE),,if(AA12=AB12,JOIN("""",""Static: "",AA12),JOIN("""",""Min:  "",AA12, CHAR(10),""Max: "",AB12)))"),"")</f>
        <v/>
      </c>
      <c r="AA12" s="42" t="str">
        <f t="array" ref="AA12">_xlfn.XLOOKUP(B12,'Up Min'!A:A,'Up Min'!G:G,)</f>
        <v/>
      </c>
      <c r="AB12" s="42" t="str">
        <f t="array" ref="AB12">_xlfn.XLOOKUP(B12,'Up Max'!A:A,'Up Max'!G:G,)</f>
        <v/>
      </c>
      <c r="AC12" s="48" t="str">
        <f t="array" ref="AC12">_xlfn.XLOOKUP(B12,'Up Stats'!A:A,'Up Stats'!H:H,)</f>
        <v/>
      </c>
      <c r="AD12" s="40" t="str">
        <f>IFERROR(__xludf.DUMMYFUNCTION("if(AND(AE12=FALSE,AF12=FALSE),,if(AE12=AF12,JOIN("""",""Static: "",AE12),JOIN("""",""Min:  "",AE12, CHAR(10),""Max: "",AF12)))"),"")</f>
        <v/>
      </c>
      <c r="AE12" s="42" t="str">
        <f t="array" ref="AE12">_xlfn.XLOOKUP(B12,'Up Min'!A:A,'Up Min'!H:H,)</f>
        <v/>
      </c>
      <c r="AF12" s="42" t="str">
        <f t="array" ref="AF12">_xlfn.XLOOKUP(B12,'Up Max'!A:A,'Up Max'!H:H,)</f>
        <v/>
      </c>
      <c r="AG12" s="48" t="str">
        <f t="array" ref="AG12">_xlfn.XLOOKUP(B12,'Up Stats'!A:A,'Up Stats'!I:I,)</f>
        <v/>
      </c>
      <c r="AH12" s="40" t="str">
        <f>IFERROR(__xludf.DUMMYFUNCTION("if(AND(AI12=FALSE,AJ12=FALSE),,if(AI12=AJ12,JOIN("""",""Static: "",AI12),JOIN("""",""Min:  "",AI12, CHAR(10),""Max: "",AJ12)))"),"")</f>
        <v/>
      </c>
      <c r="AI12" s="42" t="str">
        <f t="array" ref="AI12">_xlfn.XLOOKUP(B12,'Up Min'!A:A,'Up Min'!I:I,)</f>
        <v/>
      </c>
      <c r="AJ12" s="42" t="str">
        <f t="array" ref="AJ12">_xlfn.XLOOKUP(B12,'Up Max'!A:A,'Up Max'!I:I,)</f>
        <v/>
      </c>
      <c r="AK12" s="48" t="str">
        <f t="array" ref="AK12">_xlfn.XLOOKUP(B12,'Up Stats'!A:A,'Up Stats'!J:J,)</f>
        <v/>
      </c>
      <c r="AL12" s="40" t="str">
        <f>IFERROR(__xludf.DUMMYFUNCTION("if(AND(AM12=FALSE,AN12=FALSE),,if(AM12=AN12,JOIN("""",""Static: "",AM12),JOIN("""",""Min:  "",AM12, CHAR(10),""Max: "",AN12)))"),"")</f>
        <v/>
      </c>
      <c r="AM12" s="42" t="str">
        <f t="array" ref="AM12">_xlfn.XLOOKUP(B12,'Up Min'!A:A,'Up Min'!J:J,)</f>
        <v/>
      </c>
      <c r="AN12" s="42" t="str">
        <f t="array" ref="AN12">_xlfn.XLOOKUP(B12,'Up Max'!A:A,'Up Max'!J:J,)</f>
        <v/>
      </c>
      <c r="AO12" s="34" t="str">
        <f t="array" ref="AO12">CONCATENATE(_xlfn.XLOOKUP(B12,'Up Cells'!A:A,'Up Cells'!B:B,))</f>
        <v>4</v>
      </c>
      <c r="AP12" s="34" t="str">
        <f t="array" ref="AP12">CONCATENATE(_xlfn.XLOOKUP(B12,'Up Rarity'!A:A,'Up Rarity'!B:B,),CHAR(10),"-")</f>
        <v>Epic
-</v>
      </c>
    </row>
    <row r="13">
      <c r="A13" s="75" t="str">
        <f t="array" ref="A13">_xlfn.XLOOKUP(B13,'Up Icon'!A:A,'Up Icon'!B:B,)</f>
        <v/>
      </c>
      <c r="B13" s="63" t="str">
        <f t="array" ref="B13">HYPERLINK(_xlfn.XLOOKUP('Up Names'!N7,'Up Wiki'!A:A,'Up Wiki'!B:B,),'Up Names'!N7)</f>
        <v>Emergency Evac</v>
      </c>
      <c r="C13" s="52" t="str">
        <f t="array" ref="C13">_xlfn.XLOOKUP(B13,'Up Desc'!A:A,'Up Desc'!B:B,)</f>
        <v>When you're at critical health, throwing your grenade partially recharges your movement ability.</v>
      </c>
      <c r="D13" s="52" t="str">
        <f t="array" ref="D13">_xlfn.XLOOKUP(B13,'Up Turbo'!A:A,'Up Turbo'!B:B,)</f>
        <v>n/a</v>
      </c>
      <c r="E13" s="53" t="str">
        <f t="array" ref="E13">_xlfn.XLOOKUP(B13,'Up Stats'!A:A,'Up Stats'!B:B,)</f>
        <v>Charge</v>
      </c>
      <c r="F13" s="54" t="str">
        <f>IFERROR(__xludf.DUMMYFUNCTION("if(AND(G13=FALSE,H13=FALSE),,if(G13=H13,JOIN("""",""Static: "",G13),JOIN("""",""Min:  "",G13, CHAR(10),""Max: "",H13)))"),"Min:  40%
Max: 70%")</f>
        <v>Min:  40%
Max: 70%</v>
      </c>
      <c r="G13" s="59">
        <f t="array" ref="G13">_xlfn.XLOOKUP(B13,'Up Min'!A:A,'Up Min'!B:B,)</f>
        <v>0.4</v>
      </c>
      <c r="H13" s="59">
        <f t="array" ref="H13">_xlfn.XLOOKUP(B13,'Up Max'!A:A,'Up Max'!B:B,)</f>
        <v>0.7</v>
      </c>
      <c r="I13" s="53" t="str">
        <f t="array" ref="I13">_xlfn.XLOOKUP(B13,'Up Stats'!A:A,'Up Stats'!C:C,)</f>
        <v/>
      </c>
      <c r="J13" s="54" t="str">
        <f>IFERROR(__xludf.DUMMYFUNCTION("if(AND(K13=FALSE,L13=FALSE),,if(K13=L13,JOIN("""",""Static: "",K13),JOIN("""",""Min:  "",K13, CHAR(10),""Max: "",L13)))"),"")</f>
        <v/>
      </c>
      <c r="K13" s="72" t="str">
        <f t="array" ref="K13">_xlfn.XLOOKUP(B13,'Up Min'!A:A,'Up Min'!C:C,)</f>
        <v/>
      </c>
      <c r="L13" s="72" t="str">
        <f t="array" ref="L13">_xlfn.XLOOKUP(B13,'Up Max'!A:A,'Up Max'!C:C,)</f>
        <v/>
      </c>
      <c r="M13" s="57" t="str">
        <f t="array" ref="M13">_xlfn.XLOOKUP(B13,'Up Stats'!A:A,'Up Stats'!D:D,)</f>
        <v/>
      </c>
      <c r="N13" s="54" t="str">
        <f>IFERROR(__xludf.DUMMYFUNCTION("if(AND(O13=FALSE,P13=FALSE),,if(O13=P13,JOIN("""",""Static: "",O13),JOIN("""",""Min:  "",O13, CHAR(10),""Max: "",P13)))"),"")</f>
        <v/>
      </c>
      <c r="O13" s="55" t="str">
        <f t="array" ref="O13">_xlfn.XLOOKUP(B13,'Up Min'!A:A,'Up Min'!D:D,)</f>
        <v/>
      </c>
      <c r="P13" s="55" t="str">
        <f t="array" ref="P13">_xlfn.XLOOKUP(B13,'Up Max'!A:A,'Up Max'!D:D,)</f>
        <v/>
      </c>
      <c r="Q13" s="57" t="str">
        <f t="array" ref="Q13">_xlfn.XLOOKUP(B13,'Up Stats'!A:A,'Up Stats'!E:E,)</f>
        <v/>
      </c>
      <c r="R13" s="54" t="str">
        <f>IFERROR(__xludf.DUMMYFUNCTION("if(AND(S13=FALSE,T13=FALSE),,if(S13=T13,JOIN("""",""Static: "",S13),JOIN("""",""Min:  "",S13, CHAR(10),""Max: "",T13)))"),"")</f>
        <v/>
      </c>
      <c r="S13" s="55" t="str">
        <f t="array" ref="S13">_xlfn.XLOOKUP(B13,'Up Min'!A:A,'Up Min'!E:E,)</f>
        <v/>
      </c>
      <c r="T13" s="55" t="str">
        <f t="array" ref="T13">_xlfn.XLOOKUP(B13,'Up Max'!A:A,'Up Max'!E:E,)</f>
        <v/>
      </c>
      <c r="U13" s="57" t="str">
        <f t="array" ref="U13">_xlfn.XLOOKUP(B13,'Up Stats'!A:A,'Up Stats'!F:F,)</f>
        <v/>
      </c>
      <c r="V13" s="54" t="str">
        <f>IFERROR(__xludf.DUMMYFUNCTION("if(AND(W13=FALSE,X13=FALSE),,if(W13=X13,JOIN("""",""Static: "",W13),JOIN("""",""Min:  "",W13, CHAR(10),""Max: "",X13)))"),"")</f>
        <v/>
      </c>
      <c r="W13" s="55" t="str">
        <f t="array" ref="W13">_xlfn.XLOOKUP(B13,'Up Min'!A:A,'Up Min'!F:F,)</f>
        <v/>
      </c>
      <c r="X13" s="55" t="str">
        <f t="array" ref="X13">_xlfn.XLOOKUP(B13,'Up Max'!A:A,'Up Max'!F:F,)</f>
        <v/>
      </c>
      <c r="Y13" s="57" t="str">
        <f t="array" ref="Y13">_xlfn.XLOOKUP(B13,'Up Stats'!A:A,'Up Stats'!G:G,)</f>
        <v/>
      </c>
      <c r="Z13" s="54" t="str">
        <f>IFERROR(__xludf.DUMMYFUNCTION("if(AND(AA13=FALSE,AB13=FALSE),,if(AA13=AB13,JOIN("""",""Static: "",AA13),JOIN("""",""Min:  "",AA13, CHAR(10),""Max: "",AB13)))"),"")</f>
        <v/>
      </c>
      <c r="AA13" s="55" t="str">
        <f t="array" ref="AA13">_xlfn.XLOOKUP(B13,'Up Min'!A:A,'Up Min'!G:G,)</f>
        <v/>
      </c>
      <c r="AB13" s="55" t="str">
        <f t="array" ref="AB13">_xlfn.XLOOKUP(B13,'Up Max'!A:A,'Up Max'!G:G,)</f>
        <v/>
      </c>
      <c r="AC13" s="57" t="str">
        <f t="array" ref="AC13">_xlfn.XLOOKUP(B13,'Up Stats'!A:A,'Up Stats'!H:H,)</f>
        <v/>
      </c>
      <c r="AD13" s="54" t="str">
        <f>IFERROR(__xludf.DUMMYFUNCTION("if(AND(AE13=FALSE,AF13=FALSE),,if(AE13=AF13,JOIN("""",""Static: "",AE13),JOIN("""",""Min:  "",AE13, CHAR(10),""Max: "",AF13)))"),"")</f>
        <v/>
      </c>
      <c r="AE13" s="55" t="str">
        <f t="array" ref="AE13">_xlfn.XLOOKUP(B13,'Up Min'!A:A,'Up Min'!H:H,)</f>
        <v/>
      </c>
      <c r="AF13" s="55" t="str">
        <f t="array" ref="AF13">_xlfn.XLOOKUP(B13,'Up Max'!A:A,'Up Max'!H:H,)</f>
        <v/>
      </c>
      <c r="AG13" s="57" t="str">
        <f t="array" ref="AG13">_xlfn.XLOOKUP(B13,'Up Stats'!A:A,'Up Stats'!I:I,)</f>
        <v/>
      </c>
      <c r="AH13" s="54" t="str">
        <f>IFERROR(__xludf.DUMMYFUNCTION("if(AND(AI13=FALSE,AJ13=FALSE),,if(AI13=AJ13,JOIN("""",""Static: "",AI13),JOIN("""",""Min:  "",AI13, CHAR(10),""Max: "",AJ13)))"),"")</f>
        <v/>
      </c>
      <c r="AI13" s="55" t="str">
        <f t="array" ref="AI13">_xlfn.XLOOKUP(B13,'Up Min'!A:A,'Up Min'!I:I,)</f>
        <v/>
      </c>
      <c r="AJ13" s="55" t="str">
        <f t="array" ref="AJ13">_xlfn.XLOOKUP(B13,'Up Max'!A:A,'Up Max'!I:I,)</f>
        <v/>
      </c>
      <c r="AK13" s="57" t="str">
        <f t="array" ref="AK13">_xlfn.XLOOKUP(B13,'Up Stats'!A:A,'Up Stats'!J:J,)</f>
        <v/>
      </c>
      <c r="AL13" s="54" t="str">
        <f>IFERROR(__xludf.DUMMYFUNCTION("if(AND(AM13=FALSE,AN13=FALSE),,if(AM13=AN13,JOIN("""",""Static: "",AM13),JOIN("""",""Min:  "",AM13, CHAR(10),""Max: "",AN13)))"),"")</f>
        <v/>
      </c>
      <c r="AM13" s="55" t="str">
        <f t="array" ref="AM13">_xlfn.XLOOKUP(B13,'Up Min'!A:A,'Up Min'!J:J,)</f>
        <v/>
      </c>
      <c r="AN13" s="55" t="str">
        <f t="array" ref="AN13">_xlfn.XLOOKUP(B13,'Up Max'!A:A,'Up Max'!J:J,)</f>
        <v/>
      </c>
      <c r="AO13" s="51" t="str">
        <f t="array" ref="AO13">CONCATENATE(_xlfn.XLOOKUP(B13,'Up Cells'!A:A,'Up Cells'!B:B,))</f>
        <v>4</v>
      </c>
      <c r="AP13" s="51" t="str">
        <f t="array" ref="AP13">CONCATENATE(_xlfn.XLOOKUP(B13,'Up Rarity'!A:A,'Up Rarity'!B:B,),CHAR(10),"-")</f>
        <v>Epic
-</v>
      </c>
    </row>
    <row r="14">
      <c r="A14" s="75" t="str">
        <f t="array" ref="A14">_xlfn.XLOOKUP(B14,'Up Icon'!A:A,'Up Icon'!B:B,)</f>
        <v/>
      </c>
      <c r="B14" s="66" t="str">
        <f t="array" ref="B14">HYPERLINK(_xlfn.XLOOKUP('Up Names'!N8,'Up Wiki'!A:A,'Up Wiki'!B:B,),'Up Names'!N8)</f>
        <v>Excited Plasma</v>
      </c>
      <c r="C14" s="37" t="str">
        <f t="array" ref="C14">_xlfn.XLOOKUP(B14,'Up Desc'!A:A,'Up Desc'!B:B,)</f>
        <v>If your grenade explosion hits an ignited target, it creates a second damaging explosion.</v>
      </c>
      <c r="D14" s="37" t="str">
        <f t="array" ref="D14">_xlfn.XLOOKUP(B14,'Up Turbo'!A:A,'Up Turbo'!B:B,)</f>
        <v>n/a</v>
      </c>
      <c r="E14" s="39" t="str">
        <f t="array" ref="E14">_xlfn.XLOOKUP(B14,'Up Stats'!A:A,'Up Stats'!B:B,)</f>
        <v>Damage</v>
      </c>
      <c r="F14" s="40" t="str">
        <f>IFERROR(__xludf.DUMMYFUNCTION("if(AND(G14=FALSE,H14=FALSE),,if(G14=H14,JOIN("""",""Static: "",G14),JOIN("""",""Min:  "",G14, CHAR(10),""Max: "",H14)))"),"Min:  15
Max: 25")</f>
        <v>Min:  15
Max: 25</v>
      </c>
      <c r="G14" s="69">
        <f t="array" ref="G14">_xlfn.XLOOKUP(B14,'Up Min'!A:A,'Up Min'!B:B,)</f>
        <v>15</v>
      </c>
      <c r="H14" s="68">
        <f t="array" ref="H14">_xlfn.XLOOKUP(B14,'Up Max'!A:A,'Up Max'!B:B,)</f>
        <v>25</v>
      </c>
      <c r="I14" s="39" t="str">
        <f t="array" ref="I14">_xlfn.XLOOKUP(B14,'Up Stats'!A:A,'Up Stats'!C:C,)</f>
        <v/>
      </c>
      <c r="J14" s="40" t="str">
        <f>IFERROR(__xludf.DUMMYFUNCTION("if(AND(K14=FALSE,L14=FALSE),,if(K14=L14,JOIN("""",""Static: "",K14),JOIN("""",""Min:  "",K14, CHAR(10),""Max: "",L14)))"),"")</f>
        <v/>
      </c>
      <c r="K14" s="74" t="str">
        <f t="array" ref="K14">_xlfn.XLOOKUP(B14,'Up Min'!A:A,'Up Min'!C:C,)</f>
        <v/>
      </c>
      <c r="L14" s="74" t="str">
        <f t="array" ref="L14">_xlfn.XLOOKUP(B14,'Up Max'!A:A,'Up Max'!C:C,)</f>
        <v/>
      </c>
      <c r="M14" s="48" t="str">
        <f t="array" ref="M14">_xlfn.XLOOKUP(B14,'Up Stats'!A:A,'Up Stats'!D:D,)</f>
        <v/>
      </c>
      <c r="N14" s="40" t="str">
        <f>IFERROR(__xludf.DUMMYFUNCTION("if(AND(O14=FALSE,P14=FALSE),,if(O14=P14,JOIN("""",""Static: "",O14),JOIN("""",""Min:  "",O14, CHAR(10),""Max: "",P14)))"),"")</f>
        <v/>
      </c>
      <c r="O14" s="42" t="str">
        <f t="array" ref="O14">_xlfn.XLOOKUP(B14,'Up Min'!A:A,'Up Min'!D:D,)</f>
        <v/>
      </c>
      <c r="P14" s="42" t="str">
        <f t="array" ref="P14">_xlfn.XLOOKUP(B14,'Up Max'!A:A,'Up Max'!D:D,)</f>
        <v/>
      </c>
      <c r="Q14" s="48" t="str">
        <f t="array" ref="Q14">_xlfn.XLOOKUP(B14,'Up Stats'!A:A,'Up Stats'!E:E,)</f>
        <v/>
      </c>
      <c r="R14" s="40" t="str">
        <f>IFERROR(__xludf.DUMMYFUNCTION("if(AND(S14=FALSE,T14=FALSE),,if(S14=T14,JOIN("""",""Static: "",S14),JOIN("""",""Min:  "",S14, CHAR(10),""Max: "",T14)))"),"")</f>
        <v/>
      </c>
      <c r="S14" s="42" t="str">
        <f t="array" ref="S14">_xlfn.XLOOKUP(B14,'Up Min'!A:A,'Up Min'!E:E,)</f>
        <v/>
      </c>
      <c r="T14" s="42" t="str">
        <f t="array" ref="T14">_xlfn.XLOOKUP(B14,'Up Max'!A:A,'Up Max'!E:E,)</f>
        <v/>
      </c>
      <c r="U14" s="48" t="str">
        <f t="array" ref="U14">_xlfn.XLOOKUP(B14,'Up Stats'!A:A,'Up Stats'!F:F,)</f>
        <v/>
      </c>
      <c r="V14" s="40" t="str">
        <f>IFERROR(__xludf.DUMMYFUNCTION("if(AND(W14=FALSE,X14=FALSE),,if(W14=X14,JOIN("""",""Static: "",W14),JOIN("""",""Min:  "",W14, CHAR(10),""Max: "",X14)))"),"")</f>
        <v/>
      </c>
      <c r="W14" s="42" t="str">
        <f t="array" ref="W14">_xlfn.XLOOKUP(B14,'Up Min'!A:A,'Up Min'!F:F,)</f>
        <v/>
      </c>
      <c r="X14" s="42" t="str">
        <f t="array" ref="X14">_xlfn.XLOOKUP(B14,'Up Max'!A:A,'Up Max'!F:F,)</f>
        <v/>
      </c>
      <c r="Y14" s="48" t="str">
        <f t="array" ref="Y14">_xlfn.XLOOKUP(B14,'Up Stats'!A:A,'Up Stats'!G:G,)</f>
        <v/>
      </c>
      <c r="Z14" s="40" t="str">
        <f>IFERROR(__xludf.DUMMYFUNCTION("if(AND(AA14=FALSE,AB14=FALSE),,if(AA14=AB14,JOIN("""",""Static: "",AA14),JOIN("""",""Min:  "",AA14, CHAR(10),""Max: "",AB14)))"),"")</f>
        <v/>
      </c>
      <c r="AA14" s="42" t="str">
        <f t="array" ref="AA14">_xlfn.XLOOKUP(B14,'Up Min'!A:A,'Up Min'!G:G,)</f>
        <v/>
      </c>
      <c r="AB14" s="42" t="str">
        <f t="array" ref="AB14">_xlfn.XLOOKUP(B14,'Up Max'!A:A,'Up Max'!G:G,)</f>
        <v/>
      </c>
      <c r="AC14" s="48" t="str">
        <f t="array" ref="AC14">_xlfn.XLOOKUP(B14,'Up Stats'!A:A,'Up Stats'!H:H,)</f>
        <v/>
      </c>
      <c r="AD14" s="40" t="str">
        <f>IFERROR(__xludf.DUMMYFUNCTION("if(AND(AE14=FALSE,AF14=FALSE),,if(AE14=AF14,JOIN("""",""Static: "",AE14),JOIN("""",""Min:  "",AE14, CHAR(10),""Max: "",AF14)))"),"")</f>
        <v/>
      </c>
      <c r="AE14" s="42" t="str">
        <f t="array" ref="AE14">_xlfn.XLOOKUP(B14,'Up Min'!A:A,'Up Min'!H:H,)</f>
        <v/>
      </c>
      <c r="AF14" s="42" t="str">
        <f t="array" ref="AF14">_xlfn.XLOOKUP(B14,'Up Max'!A:A,'Up Max'!H:H,)</f>
        <v/>
      </c>
      <c r="AG14" s="48" t="str">
        <f t="array" ref="AG14">_xlfn.XLOOKUP(B14,'Up Stats'!A:A,'Up Stats'!I:I,)</f>
        <v/>
      </c>
      <c r="AH14" s="40" t="str">
        <f>IFERROR(__xludf.DUMMYFUNCTION("if(AND(AI14=FALSE,AJ14=FALSE),,if(AI14=AJ14,JOIN("""",""Static: "",AI14),JOIN("""",""Min:  "",AI14, CHAR(10),""Max: "",AJ14)))"),"")</f>
        <v/>
      </c>
      <c r="AI14" s="42" t="str">
        <f t="array" ref="AI14">_xlfn.XLOOKUP(B14,'Up Min'!A:A,'Up Min'!I:I,)</f>
        <v/>
      </c>
      <c r="AJ14" s="42" t="str">
        <f t="array" ref="AJ14">_xlfn.XLOOKUP(B14,'Up Max'!A:A,'Up Max'!I:I,)</f>
        <v/>
      </c>
      <c r="AK14" s="48" t="str">
        <f t="array" ref="AK14">_xlfn.XLOOKUP(B14,'Up Stats'!A:A,'Up Stats'!J:J,)</f>
        <v/>
      </c>
      <c r="AL14" s="40" t="str">
        <f>IFERROR(__xludf.DUMMYFUNCTION("if(AND(AM14=FALSE,AN14=FALSE),,if(AM14=AN14,JOIN("""",""Static: "",AM14),JOIN("""",""Min:  "",AM14, CHAR(10),""Max: "",AN14)))"),"")</f>
        <v/>
      </c>
      <c r="AM14" s="42" t="str">
        <f t="array" ref="AM14">_xlfn.XLOOKUP(B14,'Up Min'!A:A,'Up Min'!J:J,)</f>
        <v/>
      </c>
      <c r="AN14" s="42" t="str">
        <f t="array" ref="AN14">_xlfn.XLOOKUP(B14,'Up Max'!A:A,'Up Max'!J:J,)</f>
        <v/>
      </c>
      <c r="AO14" s="34" t="str">
        <f t="array" ref="AO14">CONCATENATE(_xlfn.XLOOKUP(B14,'Up Cells'!A:A,'Up Cells'!B:B,))</f>
        <v>4</v>
      </c>
      <c r="AP14" s="34" t="str">
        <f t="array" ref="AP14">CONCATENATE(_xlfn.XLOOKUP(B14,'Up Rarity'!A:A,'Up Rarity'!B:B,),CHAR(10),"-")</f>
        <v>Epic
-</v>
      </c>
    </row>
    <row r="15">
      <c r="A15" s="75" t="str">
        <f t="array" ref="A15">_xlfn.XLOOKUP(B15,'Up Icon'!A:A,'Up Icon'!B:B,)</f>
        <v/>
      </c>
      <c r="B15" s="51" t="str">
        <f t="array" ref="B15">HYPERLINK(_xlfn.XLOOKUP('Up Names'!N22,'Up Wiki'!A:A,'Up Wiki'!B:B,),'Up Names'!N22)</f>
        <v>In for a Penny</v>
      </c>
      <c r="C15" s="52" t="str">
        <f t="array" ref="C15">_xlfn.XLOOKUP(B15,'Up Desc'!A:A,'Up Desc'!B:B,)</f>
        <v>Taking damage from any source other than your grenade provides some grenade charge.</v>
      </c>
      <c r="D15" s="52" t="str">
        <f t="array" ref="D15">_xlfn.XLOOKUP(B15,'Up Turbo'!A:A,'Up Turbo'!B:B,)</f>
        <v>n/a</v>
      </c>
      <c r="E15" s="53" t="str">
        <f t="array" ref="E15">_xlfn.XLOOKUP(B15,'Up Stats'!A:A,'Up Stats'!B:B,)</f>
        <v/>
      </c>
      <c r="F15" s="54" t="str">
        <f>IFERROR(__xludf.DUMMYFUNCTION("if(AND(G15=FALSE,H15=FALSE),,if(G15=H15,JOIN("""",""Static: "",G15),JOIN("""",""Min:  "",G15, CHAR(10),""Max: "",H15)))"),"")</f>
        <v/>
      </c>
      <c r="G15" s="72" t="str">
        <f t="array" ref="G15">_xlfn.XLOOKUP(B15,'Up Min'!A:A,'Up Min'!B:B,)</f>
        <v/>
      </c>
      <c r="H15" s="72" t="str">
        <f t="array" ref="H15">_xlfn.XLOOKUP(B15,'Up Max'!A:A,'Up Max'!B:B,)</f>
        <v/>
      </c>
      <c r="I15" s="53" t="str">
        <f t="array" ref="I15">_xlfn.XLOOKUP(B15,'Up Stats'!A:A,'Up Stats'!C:C,)</f>
        <v/>
      </c>
      <c r="J15" s="54" t="str">
        <f>IFERROR(__xludf.DUMMYFUNCTION("if(AND(K15=FALSE,L15=FALSE),,if(K15=L15,JOIN("""",""Static: "",K15),JOIN("""",""Min:  "",K15, CHAR(10),""Max: "",L15)))"),"")</f>
        <v/>
      </c>
      <c r="K15" s="55" t="str">
        <f t="array" ref="K15">_xlfn.XLOOKUP(B15,'Up Min'!A:A,'Up Min'!C:C,)</f>
        <v/>
      </c>
      <c r="L15" s="55" t="str">
        <f t="array" ref="L15">_xlfn.XLOOKUP(B15,'Up Max'!A:A,'Up Max'!C:C,)</f>
        <v/>
      </c>
      <c r="M15" s="57" t="str">
        <f t="array" ref="M15">_xlfn.XLOOKUP(B15,'Up Stats'!A:A,'Up Stats'!D:D,)</f>
        <v/>
      </c>
      <c r="N15" s="54" t="str">
        <f>IFERROR(__xludf.DUMMYFUNCTION("if(AND(O15=FALSE,P15=FALSE),,if(O15=P15,JOIN("""",""Static: "",O15),JOIN("""",""Min:  "",O15, CHAR(10),""Max: "",P15)))"),"")</f>
        <v/>
      </c>
      <c r="O15" s="55" t="str">
        <f t="array" ref="O15">_xlfn.XLOOKUP(B15,'Up Min'!A:A,'Up Min'!D:D,)</f>
        <v/>
      </c>
      <c r="P15" s="55" t="str">
        <f t="array" ref="P15">_xlfn.XLOOKUP(B15,'Up Max'!A:A,'Up Max'!D:D,)</f>
        <v/>
      </c>
      <c r="Q15" s="57" t="str">
        <f t="array" ref="Q15">_xlfn.XLOOKUP(B15,'Up Stats'!A:A,'Up Stats'!E:E,)</f>
        <v/>
      </c>
      <c r="R15" s="54" t="str">
        <f>IFERROR(__xludf.DUMMYFUNCTION("if(AND(S15=FALSE,T15=FALSE),,if(S15=T15,JOIN("""",""Static: "",S15),JOIN("""",""Min:  "",S15, CHAR(10),""Max: "",T15)))"),"")</f>
        <v/>
      </c>
      <c r="S15" s="55" t="str">
        <f t="array" ref="S15">_xlfn.XLOOKUP(B15,'Up Min'!A:A,'Up Min'!E:E,)</f>
        <v/>
      </c>
      <c r="T15" s="55" t="str">
        <f t="array" ref="T15">_xlfn.XLOOKUP(B15,'Up Max'!A:A,'Up Max'!E:E,)</f>
        <v/>
      </c>
      <c r="U15" s="57" t="str">
        <f t="array" ref="U15">_xlfn.XLOOKUP(B15,'Up Stats'!A:A,'Up Stats'!F:F,)</f>
        <v/>
      </c>
      <c r="V15" s="54" t="str">
        <f>IFERROR(__xludf.DUMMYFUNCTION("if(AND(W15=FALSE,X15=FALSE),,if(W15=X15,JOIN("""",""Static: "",W15),JOIN("""",""Min:  "",W15, CHAR(10),""Max: "",X15)))"),"")</f>
        <v/>
      </c>
      <c r="W15" s="55" t="str">
        <f t="array" ref="W15">_xlfn.XLOOKUP(B15,'Up Min'!A:A,'Up Min'!F:F,)</f>
        <v/>
      </c>
      <c r="X15" s="55" t="str">
        <f t="array" ref="X15">_xlfn.XLOOKUP(B15,'Up Max'!A:A,'Up Max'!F:F,)</f>
        <v/>
      </c>
      <c r="Y15" s="57" t="str">
        <f t="array" ref="Y15">_xlfn.XLOOKUP(B15,'Up Stats'!A:A,'Up Stats'!G:G,)</f>
        <v/>
      </c>
      <c r="Z15" s="54" t="str">
        <f>IFERROR(__xludf.DUMMYFUNCTION("if(AND(AA15=FALSE,AB15=FALSE),,if(AA15=AB15,JOIN("""",""Static: "",AA15),JOIN("""",""Min:  "",AA15, CHAR(10),""Max: "",AB15)))"),"")</f>
        <v/>
      </c>
      <c r="AA15" s="55" t="str">
        <f t="array" ref="AA15">_xlfn.XLOOKUP(B15,'Up Min'!A:A,'Up Min'!G:G,)</f>
        <v/>
      </c>
      <c r="AB15" s="55" t="str">
        <f t="array" ref="AB15">_xlfn.XLOOKUP(B15,'Up Max'!A:A,'Up Max'!G:G,)</f>
        <v/>
      </c>
      <c r="AC15" s="57" t="str">
        <f t="array" ref="AC15">_xlfn.XLOOKUP(B15,'Up Stats'!A:A,'Up Stats'!H:H,)</f>
        <v/>
      </c>
      <c r="AD15" s="54" t="str">
        <f>IFERROR(__xludf.DUMMYFUNCTION("if(AND(AE15=FALSE,AF15=FALSE),,if(AE15=AF15,JOIN("""",""Static: "",AE15),JOIN("""",""Min:  "",AE15, CHAR(10),""Max: "",AF15)))"),"")</f>
        <v/>
      </c>
      <c r="AE15" s="55" t="str">
        <f t="array" ref="AE15">_xlfn.XLOOKUP(B15,'Up Min'!A:A,'Up Min'!H:H,)</f>
        <v/>
      </c>
      <c r="AF15" s="55" t="str">
        <f t="array" ref="AF15">_xlfn.XLOOKUP(B15,'Up Max'!A:A,'Up Max'!H:H,)</f>
        <v/>
      </c>
      <c r="AG15" s="57" t="str">
        <f t="array" ref="AG15">_xlfn.XLOOKUP(B15,'Up Stats'!A:A,'Up Stats'!I:I,)</f>
        <v/>
      </c>
      <c r="AH15" s="54" t="str">
        <f>IFERROR(__xludf.DUMMYFUNCTION("if(AND(AI15=FALSE,AJ15=FALSE),,if(AI15=AJ15,JOIN("""",""Static: "",AI15),JOIN("""",""Min:  "",AI15, CHAR(10),""Max: "",AJ15)))"),"")</f>
        <v/>
      </c>
      <c r="AI15" s="55" t="str">
        <f t="array" ref="AI15">_xlfn.XLOOKUP(B15,'Up Min'!A:A,'Up Min'!I:I,)</f>
        <v/>
      </c>
      <c r="AJ15" s="55" t="str">
        <f t="array" ref="AJ15">_xlfn.XLOOKUP(B15,'Up Max'!A:A,'Up Max'!I:I,)</f>
        <v/>
      </c>
      <c r="AK15" s="57" t="str">
        <f t="array" ref="AK15">_xlfn.XLOOKUP(B15,'Up Stats'!A:A,'Up Stats'!J:J,)</f>
        <v/>
      </c>
      <c r="AL15" s="54" t="str">
        <f>IFERROR(__xludf.DUMMYFUNCTION("if(AND(AM15=FALSE,AN15=FALSE),,if(AM15=AN15,JOIN("""",""Static: "",AM15),JOIN("""",""Min:  "",AM15, CHAR(10),""Max: "",AN15)))"),"")</f>
        <v/>
      </c>
      <c r="AM15" s="55" t="str">
        <f t="array" ref="AM15">_xlfn.XLOOKUP(B15,'Up Min'!A:A,'Up Min'!J:J,)</f>
        <v/>
      </c>
      <c r="AN15" s="55" t="str">
        <f t="array" ref="AN15">_xlfn.XLOOKUP(B15,'Up Max'!A:A,'Up Max'!J:J,)</f>
        <v/>
      </c>
      <c r="AO15" s="51" t="str">
        <f t="array" ref="AO15">CONCATENATE(_xlfn.XLOOKUP(B15,'Up Cells'!A:A,'Up Cells'!B:B,))</f>
        <v>5</v>
      </c>
      <c r="AP15" s="51" t="str">
        <f t="array" ref="AP15">CONCATENATE(_xlfn.XLOOKUP(B15,'Up Rarity'!A:A,'Up Rarity'!B:B,),CHAR(10),"-")</f>
        <v>Epic
-</v>
      </c>
    </row>
    <row r="16">
      <c r="A16" s="75" t="str">
        <f t="array" ref="A16">_xlfn.XLOOKUP(B16,'Up Icon'!A:A,'Up Icon'!B:B,)</f>
        <v/>
      </c>
      <c r="B16" s="66" t="str">
        <f t="array" ref="B16">HYPERLINK(_xlfn.XLOOKUP('Up Names'!N9,'Up Wiki'!A:A,'Up Wiki'!B:B,),'Up Names'!N9)</f>
        <v>Launch Charge</v>
      </c>
      <c r="C16" s="67" t="str">
        <f t="array" ref="C16">_xlfn.XLOOKUP(B16,'Up Desc'!A:A,'Up Desc'!B:B,)</f>
        <v>Your grenades launch you straight up when hitting you.</v>
      </c>
      <c r="D16" s="37" t="str">
        <f t="array" ref="D16">_xlfn.XLOOKUP(B16,'Up Turbo'!A:A,'Up Turbo'!B:B,)</f>
        <v>n/a</v>
      </c>
      <c r="E16" s="39" t="str">
        <f t="array" ref="E16">_xlfn.XLOOKUP(B16,'Up Stats'!A:A,'Up Stats'!B:B,)</f>
        <v>Force</v>
      </c>
      <c r="F16" s="40" t="str">
        <f>IFERROR(__xludf.DUMMYFUNCTION("if(AND(G16=FALSE,H16=FALSE),,if(G16=H16,JOIN("""",""Static: "",G16),JOIN("""",""Min:  "",G16, CHAR(10),""Max: "",H16)))"),"Min:  34
Max: 46")</f>
        <v>Min:  34
Max: 46</v>
      </c>
      <c r="G16" s="69">
        <f t="array" ref="G16">_xlfn.XLOOKUP(B16,'Up Min'!A:A,'Up Min'!B:B,)</f>
        <v>34</v>
      </c>
      <c r="H16" s="68">
        <f t="array" ref="H16">_xlfn.XLOOKUP(B16,'Up Max'!A:A,'Up Max'!B:B,)</f>
        <v>46</v>
      </c>
      <c r="I16" s="39" t="str">
        <f t="array" ref="I16">_xlfn.XLOOKUP(B16,'Up Stats'!A:A,'Up Stats'!C:C,)</f>
        <v/>
      </c>
      <c r="J16" s="40" t="str">
        <f>IFERROR(__xludf.DUMMYFUNCTION("if(AND(K16=FALSE,L16=FALSE),,if(K16=L16,JOIN("""",""Static: "",K16),JOIN("""",""Min:  "",K16, CHAR(10),""Max: "",L16)))"),"")</f>
        <v/>
      </c>
      <c r="K16" s="74" t="str">
        <f t="array" ref="K16">_xlfn.XLOOKUP(B16,'Up Min'!A:A,'Up Min'!C:C,)</f>
        <v/>
      </c>
      <c r="L16" s="74" t="str">
        <f t="array" ref="L16">_xlfn.XLOOKUP(B16,'Up Max'!A:A,'Up Max'!C:C,)</f>
        <v/>
      </c>
      <c r="M16" s="48" t="str">
        <f t="array" ref="M16">_xlfn.XLOOKUP(B16,'Up Stats'!A:A,'Up Stats'!D:D,)</f>
        <v/>
      </c>
      <c r="N16" s="40" t="str">
        <f>IFERROR(__xludf.DUMMYFUNCTION("if(AND(O16=FALSE,P16=FALSE),,if(O16=P16,JOIN("""",""Static: "",O16),JOIN("""",""Min:  "",O16, CHAR(10),""Max: "",P16)))"),"")</f>
        <v/>
      </c>
      <c r="O16" s="42" t="str">
        <f t="array" ref="O16">_xlfn.XLOOKUP(B16,'Up Min'!A:A,'Up Min'!D:D,)</f>
        <v/>
      </c>
      <c r="P16" s="42" t="str">
        <f t="array" ref="P16">_xlfn.XLOOKUP(B16,'Up Max'!A:A,'Up Max'!D:D,)</f>
        <v/>
      </c>
      <c r="Q16" s="48" t="str">
        <f t="array" ref="Q16">_xlfn.XLOOKUP(B16,'Up Stats'!A:A,'Up Stats'!E:E,)</f>
        <v/>
      </c>
      <c r="R16" s="40" t="str">
        <f>IFERROR(__xludf.DUMMYFUNCTION("if(AND(S16=FALSE,T16=FALSE),,if(S16=T16,JOIN("""",""Static: "",S16),JOIN("""",""Min:  "",S16, CHAR(10),""Max: "",T16)))"),"")</f>
        <v/>
      </c>
      <c r="S16" s="42" t="str">
        <f t="array" ref="S16">_xlfn.XLOOKUP(B16,'Up Min'!A:A,'Up Min'!E:E,)</f>
        <v/>
      </c>
      <c r="T16" s="42" t="str">
        <f t="array" ref="T16">_xlfn.XLOOKUP(B16,'Up Max'!A:A,'Up Max'!E:E,)</f>
        <v/>
      </c>
      <c r="U16" s="48" t="str">
        <f t="array" ref="U16">_xlfn.XLOOKUP(B16,'Up Stats'!A:A,'Up Stats'!F:F,)</f>
        <v/>
      </c>
      <c r="V16" s="40" t="str">
        <f>IFERROR(__xludf.DUMMYFUNCTION("if(AND(W16=FALSE,X16=FALSE),,if(W16=X16,JOIN("""",""Static: "",W16),JOIN("""",""Min:  "",W16, CHAR(10),""Max: "",X16)))"),"")</f>
        <v/>
      </c>
      <c r="W16" s="42" t="str">
        <f t="array" ref="W16">_xlfn.XLOOKUP(B16,'Up Min'!A:A,'Up Min'!F:F,)</f>
        <v/>
      </c>
      <c r="X16" s="42" t="str">
        <f t="array" ref="X16">_xlfn.XLOOKUP(B16,'Up Max'!A:A,'Up Max'!F:F,)</f>
        <v/>
      </c>
      <c r="Y16" s="48" t="str">
        <f t="array" ref="Y16">_xlfn.XLOOKUP(B16,'Up Stats'!A:A,'Up Stats'!G:G,)</f>
        <v/>
      </c>
      <c r="Z16" s="40" t="str">
        <f>IFERROR(__xludf.DUMMYFUNCTION("if(AND(AA16=FALSE,AB16=FALSE),,if(AA16=AB16,JOIN("""",""Static: "",AA16),JOIN("""",""Min:  "",AA16, CHAR(10),""Max: "",AB16)))"),"")</f>
        <v/>
      </c>
      <c r="AA16" s="42" t="str">
        <f t="array" ref="AA16">_xlfn.XLOOKUP(B16,'Up Min'!A:A,'Up Min'!G:G,)</f>
        <v/>
      </c>
      <c r="AB16" s="42" t="str">
        <f t="array" ref="AB16">_xlfn.XLOOKUP(B16,'Up Max'!A:A,'Up Max'!G:G,)</f>
        <v/>
      </c>
      <c r="AC16" s="48" t="str">
        <f t="array" ref="AC16">_xlfn.XLOOKUP(B16,'Up Stats'!A:A,'Up Stats'!H:H,)</f>
        <v/>
      </c>
      <c r="AD16" s="40" t="str">
        <f>IFERROR(__xludf.DUMMYFUNCTION("if(AND(AE16=FALSE,AF16=FALSE),,if(AE16=AF16,JOIN("""",""Static: "",AE16),JOIN("""",""Min:  "",AE16, CHAR(10),""Max: "",AF16)))"),"")</f>
        <v/>
      </c>
      <c r="AE16" s="42" t="str">
        <f t="array" ref="AE16">_xlfn.XLOOKUP(B16,'Up Min'!A:A,'Up Min'!H:H,)</f>
        <v/>
      </c>
      <c r="AF16" s="42" t="str">
        <f t="array" ref="AF16">_xlfn.XLOOKUP(B16,'Up Max'!A:A,'Up Max'!H:H,)</f>
        <v/>
      </c>
      <c r="AG16" s="48" t="str">
        <f t="array" ref="AG16">_xlfn.XLOOKUP(B16,'Up Stats'!A:A,'Up Stats'!I:I,)</f>
        <v/>
      </c>
      <c r="AH16" s="40" t="str">
        <f>IFERROR(__xludf.DUMMYFUNCTION("if(AND(AI16=FALSE,AJ16=FALSE),,if(AI16=AJ16,JOIN("""",""Static: "",AI16),JOIN("""",""Min:  "",AI16, CHAR(10),""Max: "",AJ16)))"),"")</f>
        <v/>
      </c>
      <c r="AI16" s="42" t="str">
        <f t="array" ref="AI16">_xlfn.XLOOKUP(B16,'Up Min'!A:A,'Up Min'!I:I,)</f>
        <v/>
      </c>
      <c r="AJ16" s="42" t="str">
        <f t="array" ref="AJ16">_xlfn.XLOOKUP(B16,'Up Max'!A:A,'Up Max'!I:I,)</f>
        <v/>
      </c>
      <c r="AK16" s="48" t="str">
        <f t="array" ref="AK16">_xlfn.XLOOKUP(B16,'Up Stats'!A:A,'Up Stats'!J:J,)</f>
        <v/>
      </c>
      <c r="AL16" s="40" t="str">
        <f>IFERROR(__xludf.DUMMYFUNCTION("if(AND(AM16=FALSE,AN16=FALSE),,if(AM16=AN16,JOIN("""",""Static: "",AM16),JOIN("""",""Min:  "",AM16, CHAR(10),""Max: "",AN16)))"),"")</f>
        <v/>
      </c>
      <c r="AM16" s="42" t="str">
        <f t="array" ref="AM16">_xlfn.XLOOKUP(B16,'Up Min'!A:A,'Up Min'!J:J,)</f>
        <v/>
      </c>
      <c r="AN16" s="42" t="str">
        <f t="array" ref="AN16">_xlfn.XLOOKUP(B16,'Up Max'!A:A,'Up Max'!J:J,)</f>
        <v/>
      </c>
      <c r="AO16" s="34" t="str">
        <f t="array" ref="AO16">CONCATENATE(_xlfn.XLOOKUP(B16,'Up Cells'!A:A,'Up Cells'!B:B,))</f>
        <v>5</v>
      </c>
      <c r="AP16" s="34" t="str">
        <f t="array" ref="AP16">CONCATENATE(_xlfn.XLOOKUP(B16,'Up Rarity'!A:A,'Up Rarity'!B:B,),CHAR(10),"-")</f>
        <v>Epic
-</v>
      </c>
    </row>
    <row r="17">
      <c r="A17" s="75" t="str">
        <f t="array" ref="A17">_xlfn.XLOOKUP(B17,'Up Icon'!A:A,'Up Icon'!B:B,)</f>
        <v/>
      </c>
      <c r="B17" s="63" t="str">
        <f t="array" ref="B17">HYPERLINK(_xlfn.XLOOKUP('Up Names'!N10,'Up Wiki'!A:A,'Up Wiki'!B:B,),'Up Names'!N10)</f>
        <v>Livelier</v>
      </c>
      <c r="C17" s="70" t="str">
        <f t="array" ref="C17">_xlfn.XLOOKUP(B17,'Up Desc'!A:A,'Up Desc'!B:B,)</f>
        <v>When Livewire is active, you move even faster and can't stop sprinting.</v>
      </c>
      <c r="D17" s="52" t="str">
        <f t="array" ref="D17">_xlfn.XLOOKUP(B17,'Up Turbo'!A:A,'Up Turbo'!B:B,)</f>
        <v>n/a</v>
      </c>
      <c r="E17" s="53" t="str">
        <f t="array" ref="E17">_xlfn.XLOOKUP(B17,'Up Stats'!A:A,'Up Stats'!B:B,)</f>
        <v>Speed</v>
      </c>
      <c r="F17" s="54" t="str">
        <f>IFERROR(__xludf.DUMMYFUNCTION("if(AND(G17=FALSE,H17=FALSE),,if(G17=H17,JOIN("""",""Static: "",G17),JOIN("""",""Min:  "",G17, CHAR(10),""Max: "",H17)))"),"Min:  6.5
Max: 9.5")</f>
        <v>Min:  6.5
Max: 9.5</v>
      </c>
      <c r="G17" s="64">
        <f t="array" ref="G17">_xlfn.XLOOKUP(B17,'Up Min'!A:A,'Up Min'!B:B,)</f>
        <v>6.5</v>
      </c>
      <c r="H17" s="65">
        <f t="array" ref="H17">_xlfn.XLOOKUP(B17,'Up Max'!A:A,'Up Max'!B:B,)</f>
        <v>9.5</v>
      </c>
      <c r="I17" s="53" t="str">
        <f t="array" ref="I17">_xlfn.XLOOKUP(B17,'Up Stats'!A:A,'Up Stats'!C:C,)</f>
        <v/>
      </c>
      <c r="J17" s="54" t="str">
        <f>IFERROR(__xludf.DUMMYFUNCTION("if(AND(K17=FALSE,L17=FALSE),,if(K17=L17,JOIN("""",""Static: "",K17),JOIN("""",""Min:  "",K17, CHAR(10),""Max: "",L17)))"),"")</f>
        <v/>
      </c>
      <c r="K17" s="72" t="str">
        <f t="array" ref="K17">_xlfn.XLOOKUP(B17,'Up Min'!A:A,'Up Min'!C:C,)</f>
        <v/>
      </c>
      <c r="L17" s="72" t="str">
        <f t="array" ref="L17">_xlfn.XLOOKUP(B17,'Up Max'!A:A,'Up Max'!C:C,)</f>
        <v/>
      </c>
      <c r="M17" s="57" t="str">
        <f t="array" ref="M17">_xlfn.XLOOKUP(B17,'Up Stats'!A:A,'Up Stats'!D:D,)</f>
        <v/>
      </c>
      <c r="N17" s="54" t="str">
        <f>IFERROR(__xludf.DUMMYFUNCTION("if(AND(O17=FALSE,P17=FALSE),,if(O17=P17,JOIN("""",""Static: "",O17),JOIN("""",""Min:  "",O17, CHAR(10),""Max: "",P17)))"),"")</f>
        <v/>
      </c>
      <c r="O17" s="55" t="str">
        <f t="array" ref="O17">_xlfn.XLOOKUP(B17,'Up Min'!A:A,'Up Min'!D:D,)</f>
        <v/>
      </c>
      <c r="P17" s="55" t="str">
        <f t="array" ref="P17">_xlfn.XLOOKUP(B17,'Up Max'!A:A,'Up Max'!D:D,)</f>
        <v/>
      </c>
      <c r="Q17" s="57" t="str">
        <f t="array" ref="Q17">_xlfn.XLOOKUP(B17,'Up Stats'!A:A,'Up Stats'!E:E,)</f>
        <v/>
      </c>
      <c r="R17" s="54" t="str">
        <f>IFERROR(__xludf.DUMMYFUNCTION("if(AND(S17=FALSE,T17=FALSE),,if(S17=T17,JOIN("""",""Static: "",S17),JOIN("""",""Min:  "",S17, CHAR(10),""Max: "",T17)))"),"")</f>
        <v/>
      </c>
      <c r="S17" s="55" t="str">
        <f t="array" ref="S17">_xlfn.XLOOKUP(B17,'Up Min'!A:A,'Up Min'!E:E,)</f>
        <v/>
      </c>
      <c r="T17" s="55" t="str">
        <f t="array" ref="T17">_xlfn.XLOOKUP(B17,'Up Max'!A:A,'Up Max'!E:E,)</f>
        <v/>
      </c>
      <c r="U17" s="57" t="str">
        <f t="array" ref="U17">_xlfn.XLOOKUP(B17,'Up Stats'!A:A,'Up Stats'!F:F,)</f>
        <v/>
      </c>
      <c r="V17" s="54" t="str">
        <f>IFERROR(__xludf.DUMMYFUNCTION("if(AND(W17=FALSE,X17=FALSE),,if(W17=X17,JOIN("""",""Static: "",W17),JOIN("""",""Min:  "",W17, CHAR(10),""Max: "",X17)))"),"")</f>
        <v/>
      </c>
      <c r="W17" s="55" t="str">
        <f t="array" ref="W17">_xlfn.XLOOKUP(B17,'Up Min'!A:A,'Up Min'!F:F,)</f>
        <v/>
      </c>
      <c r="X17" s="55" t="str">
        <f t="array" ref="X17">_xlfn.XLOOKUP(B17,'Up Max'!A:A,'Up Max'!F:F,)</f>
        <v/>
      </c>
      <c r="Y17" s="57" t="str">
        <f t="array" ref="Y17">_xlfn.XLOOKUP(B17,'Up Stats'!A:A,'Up Stats'!G:G,)</f>
        <v/>
      </c>
      <c r="Z17" s="54" t="str">
        <f>IFERROR(__xludf.DUMMYFUNCTION("if(AND(AA17=FALSE,AB17=FALSE),,if(AA17=AB17,JOIN("""",""Static: "",AA17),JOIN("""",""Min:  "",AA17, CHAR(10),""Max: "",AB17)))"),"")</f>
        <v/>
      </c>
      <c r="AA17" s="55" t="str">
        <f t="array" ref="AA17">_xlfn.XLOOKUP(B17,'Up Min'!A:A,'Up Min'!G:G,)</f>
        <v/>
      </c>
      <c r="AB17" s="55" t="str">
        <f t="array" ref="AB17">_xlfn.XLOOKUP(B17,'Up Max'!A:A,'Up Max'!G:G,)</f>
        <v/>
      </c>
      <c r="AC17" s="57" t="str">
        <f t="array" ref="AC17">_xlfn.XLOOKUP(B17,'Up Stats'!A:A,'Up Stats'!H:H,)</f>
        <v/>
      </c>
      <c r="AD17" s="54" t="str">
        <f>IFERROR(__xludf.DUMMYFUNCTION("if(AND(AE17=FALSE,AF17=FALSE),,if(AE17=AF17,JOIN("""",""Static: "",AE17),JOIN("""",""Min:  "",AE17, CHAR(10),""Max: "",AF17)))"),"")</f>
        <v/>
      </c>
      <c r="AE17" s="55" t="str">
        <f t="array" ref="AE17">_xlfn.XLOOKUP(B17,'Up Min'!A:A,'Up Min'!H:H,)</f>
        <v/>
      </c>
      <c r="AF17" s="55" t="str">
        <f t="array" ref="AF17">_xlfn.XLOOKUP(B17,'Up Max'!A:A,'Up Max'!H:H,)</f>
        <v/>
      </c>
      <c r="AG17" s="57" t="str">
        <f t="array" ref="AG17">_xlfn.XLOOKUP(B17,'Up Stats'!A:A,'Up Stats'!I:I,)</f>
        <v/>
      </c>
      <c r="AH17" s="54" t="str">
        <f>IFERROR(__xludf.DUMMYFUNCTION("if(AND(AI17=FALSE,AJ17=FALSE),,if(AI17=AJ17,JOIN("""",""Static: "",AI17),JOIN("""",""Min:  "",AI17, CHAR(10),""Max: "",AJ17)))"),"")</f>
        <v/>
      </c>
      <c r="AI17" s="55" t="str">
        <f t="array" ref="AI17">_xlfn.XLOOKUP(B17,'Up Min'!A:A,'Up Min'!I:I,)</f>
        <v/>
      </c>
      <c r="AJ17" s="55" t="str">
        <f t="array" ref="AJ17">_xlfn.XLOOKUP(B17,'Up Max'!A:A,'Up Max'!I:I,)</f>
        <v/>
      </c>
      <c r="AK17" s="57" t="str">
        <f t="array" ref="AK17">_xlfn.XLOOKUP(B17,'Up Stats'!A:A,'Up Stats'!J:J,)</f>
        <v/>
      </c>
      <c r="AL17" s="54" t="str">
        <f>IFERROR(__xludf.DUMMYFUNCTION("if(AND(AM17=FALSE,AN17=FALSE),,if(AM17=AN17,JOIN("""",""Static: "",AM17),JOIN("""",""Min:  "",AM17, CHAR(10),""Max: "",AN17)))"),"")</f>
        <v/>
      </c>
      <c r="AM17" s="55" t="str">
        <f t="array" ref="AM17">_xlfn.XLOOKUP(B17,'Up Min'!A:A,'Up Min'!J:J,)</f>
        <v/>
      </c>
      <c r="AN17" s="55" t="str">
        <f t="array" ref="AN17">_xlfn.XLOOKUP(B17,'Up Max'!A:A,'Up Max'!J:J,)</f>
        <v/>
      </c>
      <c r="AO17" s="51" t="str">
        <f t="array" ref="AO17">CONCATENATE(_xlfn.XLOOKUP(B17,'Up Cells'!A:A,'Up Cells'!B:B,))</f>
        <v>4</v>
      </c>
      <c r="AP17" s="51" t="str">
        <f t="array" ref="AP17">CONCATENATE(_xlfn.XLOOKUP(B17,'Up Rarity'!A:A,'Up Rarity'!B:B,),CHAR(10),"-")</f>
        <v>Epic
-</v>
      </c>
    </row>
    <row r="18">
      <c r="A18" s="75" t="str">
        <f t="array" ref="A18">_xlfn.XLOOKUP(B18,'Up Icon'!A:A,'Up Icon'!B:B,)</f>
        <v/>
      </c>
      <c r="B18" s="66" t="str">
        <f t="array" ref="B18">HYPERLINK(_xlfn.XLOOKUP('Up Names'!N11,'Up Wiki'!A:A,'Up Wiki'!B:B,),'Up Names'!N11)</f>
        <v>Shock Funnel</v>
      </c>
      <c r="C18" s="37" t="str">
        <f t="array" ref="C18">_xlfn.XLOOKUP(B18,'Up Desc'!A:A,'Up Desc'!B:B,)</f>
        <v>Gain grenade energy when you electrocute a target with another weapon.</v>
      </c>
      <c r="D18" s="37" t="str">
        <f t="array" ref="D18">_xlfn.XLOOKUP(B18,'Up Turbo'!A:A,'Up Turbo'!B:B,)</f>
        <v>n/a</v>
      </c>
      <c r="E18" s="39" t="str">
        <f t="array" ref="E18">_xlfn.XLOOKUP(B18,'Up Stats'!A:A,'Up Stats'!B:B,)</f>
        <v>Electrocute Charge</v>
      </c>
      <c r="F18" s="40" t="str">
        <f>IFERROR(__xludf.DUMMYFUNCTION("if(AND(G18=FALSE,H18=FALSE),,if(G18=H18,JOIN("""",""Static: "",G18),JOIN("""",""Min:  "",G18, CHAR(10),""Max: "",H18)))"),"Min:  0.6
Max: 1.6")</f>
        <v>Min:  0.6
Max: 1.6</v>
      </c>
      <c r="G18" s="69">
        <f t="array" ref="G18">_xlfn.XLOOKUP(B18,'Up Min'!A:A,'Up Min'!B:B,)</f>
        <v>0.6</v>
      </c>
      <c r="H18" s="68">
        <f t="array" ref="H18">_xlfn.XLOOKUP(B18,'Up Max'!A:A,'Up Max'!B:B,)</f>
        <v>1.6</v>
      </c>
      <c r="I18" s="39" t="str">
        <f t="array" ref="I18">_xlfn.XLOOKUP(B18,'Up Stats'!A:A,'Up Stats'!C:C,)</f>
        <v/>
      </c>
      <c r="J18" s="40" t="str">
        <f>IFERROR(__xludf.DUMMYFUNCTION("if(AND(K18=FALSE,L18=FALSE),,if(K18=L18,JOIN("""",""Static: "",K18),JOIN("""",""Min:  "",K18, CHAR(10),""Max: "",L18)))"),"")</f>
        <v/>
      </c>
      <c r="K18" s="74" t="str">
        <f t="array" ref="K18">_xlfn.XLOOKUP(B18,'Up Min'!A:A,'Up Min'!C:C,)</f>
        <v/>
      </c>
      <c r="L18" s="74" t="str">
        <f t="array" ref="L18">_xlfn.XLOOKUP(B18,'Up Max'!A:A,'Up Max'!C:C,)</f>
        <v/>
      </c>
      <c r="M18" s="48" t="str">
        <f t="array" ref="M18">_xlfn.XLOOKUP(B18,'Up Stats'!A:A,'Up Stats'!D:D,)</f>
        <v/>
      </c>
      <c r="N18" s="40" t="str">
        <f>IFERROR(__xludf.DUMMYFUNCTION("if(AND(O18=FALSE,P18=FALSE),,if(O18=P18,JOIN("""",""Static: "",O18),JOIN("""",""Min:  "",O18, CHAR(10),""Max: "",P18)))"),"")</f>
        <v/>
      </c>
      <c r="O18" s="42" t="str">
        <f t="array" ref="O18">_xlfn.XLOOKUP(B18,'Up Min'!A:A,'Up Min'!D:D,)</f>
        <v/>
      </c>
      <c r="P18" s="42" t="str">
        <f t="array" ref="P18">_xlfn.XLOOKUP(B18,'Up Max'!A:A,'Up Max'!D:D,)</f>
        <v/>
      </c>
      <c r="Q18" s="48" t="str">
        <f t="array" ref="Q18">_xlfn.XLOOKUP(B18,'Up Stats'!A:A,'Up Stats'!E:E,)</f>
        <v/>
      </c>
      <c r="R18" s="40" t="str">
        <f>IFERROR(__xludf.DUMMYFUNCTION("if(AND(S18=FALSE,T18=FALSE),,if(S18=T18,JOIN("""",""Static: "",S18),JOIN("""",""Min:  "",S18, CHAR(10),""Max: "",T18)))"),"")</f>
        <v/>
      </c>
      <c r="S18" s="42" t="str">
        <f t="array" ref="S18">_xlfn.XLOOKUP(B18,'Up Min'!A:A,'Up Min'!E:E,)</f>
        <v/>
      </c>
      <c r="T18" s="42" t="str">
        <f t="array" ref="T18">_xlfn.XLOOKUP(B18,'Up Max'!A:A,'Up Max'!E:E,)</f>
        <v/>
      </c>
      <c r="U18" s="48" t="str">
        <f t="array" ref="U18">_xlfn.XLOOKUP(B18,'Up Stats'!A:A,'Up Stats'!F:F,)</f>
        <v/>
      </c>
      <c r="V18" s="40" t="str">
        <f>IFERROR(__xludf.DUMMYFUNCTION("if(AND(W18=FALSE,X18=FALSE),,if(W18=X18,JOIN("""",""Static: "",W18),JOIN("""",""Min:  "",W18, CHAR(10),""Max: "",X18)))"),"")</f>
        <v/>
      </c>
      <c r="W18" s="42" t="str">
        <f t="array" ref="W18">_xlfn.XLOOKUP(B18,'Up Min'!A:A,'Up Min'!F:F,)</f>
        <v/>
      </c>
      <c r="X18" s="42" t="str">
        <f t="array" ref="X18">_xlfn.XLOOKUP(B18,'Up Max'!A:A,'Up Max'!F:F,)</f>
        <v/>
      </c>
      <c r="Y18" s="48" t="str">
        <f t="array" ref="Y18">_xlfn.XLOOKUP(B18,'Up Stats'!A:A,'Up Stats'!G:G,)</f>
        <v/>
      </c>
      <c r="Z18" s="40" t="str">
        <f>IFERROR(__xludf.DUMMYFUNCTION("if(AND(AA18=FALSE,AB18=FALSE),,if(AA18=AB18,JOIN("""",""Static: "",AA18),JOIN("""",""Min:  "",AA18, CHAR(10),""Max: "",AB18)))"),"")</f>
        <v/>
      </c>
      <c r="AA18" s="42" t="str">
        <f t="array" ref="AA18">_xlfn.XLOOKUP(B18,'Up Min'!A:A,'Up Min'!G:G,)</f>
        <v/>
      </c>
      <c r="AB18" s="42" t="str">
        <f t="array" ref="AB18">_xlfn.XLOOKUP(B18,'Up Max'!A:A,'Up Max'!G:G,)</f>
        <v/>
      </c>
      <c r="AC18" s="48" t="str">
        <f t="array" ref="AC18">_xlfn.XLOOKUP(B18,'Up Stats'!A:A,'Up Stats'!H:H,)</f>
        <v/>
      </c>
      <c r="AD18" s="40" t="str">
        <f>IFERROR(__xludf.DUMMYFUNCTION("if(AND(AE18=FALSE,AF18=FALSE),,if(AE18=AF18,JOIN("""",""Static: "",AE18),JOIN("""",""Min:  "",AE18, CHAR(10),""Max: "",AF18)))"),"")</f>
        <v/>
      </c>
      <c r="AE18" s="42" t="str">
        <f t="array" ref="AE18">_xlfn.XLOOKUP(B18,'Up Min'!A:A,'Up Min'!H:H,)</f>
        <v/>
      </c>
      <c r="AF18" s="42" t="str">
        <f t="array" ref="AF18">_xlfn.XLOOKUP(B18,'Up Max'!A:A,'Up Max'!H:H,)</f>
        <v/>
      </c>
      <c r="AG18" s="48" t="str">
        <f t="array" ref="AG18">_xlfn.XLOOKUP(B18,'Up Stats'!A:A,'Up Stats'!I:I,)</f>
        <v/>
      </c>
      <c r="AH18" s="40" t="str">
        <f>IFERROR(__xludf.DUMMYFUNCTION("if(AND(AI18=FALSE,AJ18=FALSE),,if(AI18=AJ18,JOIN("""",""Static: "",AI18),JOIN("""",""Min:  "",AI18, CHAR(10),""Max: "",AJ18)))"),"")</f>
        <v/>
      </c>
      <c r="AI18" s="42" t="str">
        <f t="array" ref="AI18">_xlfn.XLOOKUP(B18,'Up Min'!A:A,'Up Min'!I:I,)</f>
        <v/>
      </c>
      <c r="AJ18" s="42" t="str">
        <f t="array" ref="AJ18">_xlfn.XLOOKUP(B18,'Up Max'!A:A,'Up Max'!I:I,)</f>
        <v/>
      </c>
      <c r="AK18" s="48" t="str">
        <f t="array" ref="AK18">_xlfn.XLOOKUP(B18,'Up Stats'!A:A,'Up Stats'!J:J,)</f>
        <v/>
      </c>
      <c r="AL18" s="40" t="str">
        <f>IFERROR(__xludf.DUMMYFUNCTION("if(AND(AM18=FALSE,AN18=FALSE),,if(AM18=AN18,JOIN("""",""Static: "",AM18),JOIN("""",""Min:  "",AM18, CHAR(10),""Max: "",AN18)))"),"")</f>
        <v/>
      </c>
      <c r="AM18" s="42" t="str">
        <f t="array" ref="AM18">_xlfn.XLOOKUP(B18,'Up Min'!A:A,'Up Min'!J:J,)</f>
        <v/>
      </c>
      <c r="AN18" s="42" t="str">
        <f t="array" ref="AN18">_xlfn.XLOOKUP(B18,'Up Max'!A:A,'Up Max'!J:J,)</f>
        <v/>
      </c>
      <c r="AO18" s="34" t="str">
        <f t="array" ref="AO18">CONCATENATE(_xlfn.XLOOKUP(B18,'Up Cells'!A:A,'Up Cells'!B:B,))</f>
        <v>7</v>
      </c>
      <c r="AP18" s="34" t="str">
        <f t="array" ref="AP18">CONCATENATE(_xlfn.XLOOKUP(B18,'Up Rarity'!A:A,'Up Rarity'!B:B,),CHAR(10),"-")</f>
        <v>Epic
-</v>
      </c>
    </row>
    <row r="19">
      <c r="A19" s="75" t="str">
        <f t="array" ref="A19">_xlfn.XLOOKUP(B19,'Up Icon'!A:A,'Up Icon'!B:B,)</f>
        <v/>
      </c>
      <c r="B19" s="63" t="str">
        <f t="array" ref="B19">HYPERLINK(_xlfn.XLOOKUP('Up Names'!N12,'Up Wiki'!A:A,'Up Wiki'!B:B,),'Up Names'!N12)</f>
        <v>Thunder Pressure</v>
      </c>
      <c r="C19" s="70" t="str">
        <f t="array" ref="C19">_xlfn.XLOOKUP(B19,'Up Desc'!A:A,'Up Desc'!B:B,)</f>
        <v>Grenades launch you away from the explosion.</v>
      </c>
      <c r="D19" s="52" t="str">
        <f t="array" ref="D19">_xlfn.XLOOKUP(B19,'Up Turbo'!A:A,'Up Turbo'!B:B,)</f>
        <v>n/a</v>
      </c>
      <c r="E19" s="53" t="str">
        <f t="array" ref="E19">_xlfn.XLOOKUP(B19,'Up Stats'!A:A,'Up Stats'!B:B,)</f>
        <v>Force</v>
      </c>
      <c r="F19" s="54" t="str">
        <f>IFERROR(__xludf.DUMMYFUNCTION("if(AND(G19=FALSE,H19=FALSE),,if(G19=H19,JOIN("""",""Static: "",G19),JOIN("""",""Min:  "",G19, CHAR(10),""Max: "",H19)))"),"Min:  35
Max: 46")</f>
        <v>Min:  35
Max: 46</v>
      </c>
      <c r="G19" s="64">
        <f t="array" ref="G19">_xlfn.XLOOKUP(B19,'Up Min'!A:A,'Up Min'!B:B,)</f>
        <v>35</v>
      </c>
      <c r="H19" s="65">
        <f t="array" ref="H19">_xlfn.XLOOKUP(B19,'Up Max'!A:A,'Up Max'!B:B,)</f>
        <v>46</v>
      </c>
      <c r="I19" s="53" t="str">
        <f t="array" ref="I19">_xlfn.XLOOKUP(B19,'Up Stats'!A:A,'Up Stats'!C:C,)</f>
        <v/>
      </c>
      <c r="J19" s="54" t="str">
        <f>IFERROR(__xludf.DUMMYFUNCTION("if(AND(K19=FALSE,L19=FALSE),,if(K19=L19,JOIN("""",""Static: "",K19),JOIN("""",""Min:  "",K19, CHAR(10),""Max: "",L19)))"),"")</f>
        <v/>
      </c>
      <c r="K19" s="72" t="str">
        <f t="array" ref="K19">_xlfn.XLOOKUP(B19,'Up Min'!A:A,'Up Min'!C:C,)</f>
        <v/>
      </c>
      <c r="L19" s="72" t="str">
        <f t="array" ref="L19">_xlfn.XLOOKUP(B19,'Up Max'!A:A,'Up Max'!C:C,)</f>
        <v/>
      </c>
      <c r="M19" s="57" t="str">
        <f t="array" ref="M19">_xlfn.XLOOKUP(B19,'Up Stats'!A:A,'Up Stats'!D:D,)</f>
        <v/>
      </c>
      <c r="N19" s="54" t="str">
        <f>IFERROR(__xludf.DUMMYFUNCTION("if(AND(O19=FALSE,P19=FALSE),,if(O19=P19,JOIN("""",""Static: "",O19),JOIN("""",""Min:  "",O19, CHAR(10),""Max: "",P19)))"),"")</f>
        <v/>
      </c>
      <c r="O19" s="55" t="str">
        <f t="array" ref="O19">_xlfn.XLOOKUP(B19,'Up Min'!A:A,'Up Min'!D:D,)</f>
        <v/>
      </c>
      <c r="P19" s="55" t="str">
        <f t="array" ref="P19">_xlfn.XLOOKUP(B19,'Up Max'!A:A,'Up Max'!D:D,)</f>
        <v/>
      </c>
      <c r="Q19" s="57" t="str">
        <f t="array" ref="Q19">_xlfn.XLOOKUP(B19,'Up Stats'!A:A,'Up Stats'!E:E,)</f>
        <v/>
      </c>
      <c r="R19" s="54" t="str">
        <f>IFERROR(__xludf.DUMMYFUNCTION("if(AND(S19=FALSE,T19=FALSE),,if(S19=T19,JOIN("""",""Static: "",S19),JOIN("""",""Min:  "",S19, CHAR(10),""Max: "",T19)))"),"")</f>
        <v/>
      </c>
      <c r="S19" s="55" t="str">
        <f t="array" ref="S19">_xlfn.XLOOKUP(B19,'Up Min'!A:A,'Up Min'!E:E,)</f>
        <v/>
      </c>
      <c r="T19" s="55" t="str">
        <f t="array" ref="T19">_xlfn.XLOOKUP(B19,'Up Max'!A:A,'Up Max'!E:E,)</f>
        <v/>
      </c>
      <c r="U19" s="57" t="str">
        <f t="array" ref="U19">_xlfn.XLOOKUP(B19,'Up Stats'!A:A,'Up Stats'!F:F,)</f>
        <v/>
      </c>
      <c r="V19" s="54" t="str">
        <f>IFERROR(__xludf.DUMMYFUNCTION("if(AND(W19=FALSE,X19=FALSE),,if(W19=X19,JOIN("""",""Static: "",W19),JOIN("""",""Min:  "",W19, CHAR(10),""Max: "",X19)))"),"")</f>
        <v/>
      </c>
      <c r="W19" s="55" t="str">
        <f t="array" ref="W19">_xlfn.XLOOKUP(B19,'Up Min'!A:A,'Up Min'!F:F,)</f>
        <v/>
      </c>
      <c r="X19" s="55" t="str">
        <f t="array" ref="X19">_xlfn.XLOOKUP(B19,'Up Max'!A:A,'Up Max'!F:F,)</f>
        <v/>
      </c>
      <c r="Y19" s="57" t="str">
        <f t="array" ref="Y19">_xlfn.XLOOKUP(B19,'Up Stats'!A:A,'Up Stats'!G:G,)</f>
        <v/>
      </c>
      <c r="Z19" s="54" t="str">
        <f>IFERROR(__xludf.DUMMYFUNCTION("if(AND(AA19=FALSE,AB19=FALSE),,if(AA19=AB19,JOIN("""",""Static: "",AA19),JOIN("""",""Min:  "",AA19, CHAR(10),""Max: "",AB19)))"),"")</f>
        <v/>
      </c>
      <c r="AA19" s="55" t="str">
        <f t="array" ref="AA19">_xlfn.XLOOKUP(B19,'Up Min'!A:A,'Up Min'!G:G,)</f>
        <v/>
      </c>
      <c r="AB19" s="55" t="str">
        <f t="array" ref="AB19">_xlfn.XLOOKUP(B19,'Up Max'!A:A,'Up Max'!G:G,)</f>
        <v/>
      </c>
      <c r="AC19" s="57" t="str">
        <f t="array" ref="AC19">_xlfn.XLOOKUP(B19,'Up Stats'!A:A,'Up Stats'!H:H,)</f>
        <v/>
      </c>
      <c r="AD19" s="54" t="str">
        <f>IFERROR(__xludf.DUMMYFUNCTION("if(AND(AE19=FALSE,AF19=FALSE),,if(AE19=AF19,JOIN("""",""Static: "",AE19),JOIN("""",""Min:  "",AE19, CHAR(10),""Max: "",AF19)))"),"")</f>
        <v/>
      </c>
      <c r="AE19" s="55" t="str">
        <f t="array" ref="AE19">_xlfn.XLOOKUP(B19,'Up Min'!A:A,'Up Min'!H:H,)</f>
        <v/>
      </c>
      <c r="AF19" s="55" t="str">
        <f t="array" ref="AF19">_xlfn.XLOOKUP(B19,'Up Max'!A:A,'Up Max'!H:H,)</f>
        <v/>
      </c>
      <c r="AG19" s="57" t="str">
        <f t="array" ref="AG19">_xlfn.XLOOKUP(B19,'Up Stats'!A:A,'Up Stats'!I:I,)</f>
        <v/>
      </c>
      <c r="AH19" s="54" t="str">
        <f>IFERROR(__xludf.DUMMYFUNCTION("if(AND(AI19=FALSE,AJ19=FALSE),,if(AI19=AJ19,JOIN("""",""Static: "",AI19),JOIN("""",""Min:  "",AI19, CHAR(10),""Max: "",AJ19)))"),"")</f>
        <v/>
      </c>
      <c r="AI19" s="55" t="str">
        <f t="array" ref="AI19">_xlfn.XLOOKUP(B19,'Up Min'!A:A,'Up Min'!I:I,)</f>
        <v/>
      </c>
      <c r="AJ19" s="55" t="str">
        <f t="array" ref="AJ19">_xlfn.XLOOKUP(B19,'Up Max'!A:A,'Up Max'!I:I,)</f>
        <v/>
      </c>
      <c r="AK19" s="57" t="str">
        <f t="array" ref="AK19">_xlfn.XLOOKUP(B19,'Up Stats'!A:A,'Up Stats'!J:J,)</f>
        <v/>
      </c>
      <c r="AL19" s="54" t="str">
        <f>IFERROR(__xludf.DUMMYFUNCTION("if(AND(AM19=FALSE,AN19=FALSE),,if(AM19=AN19,JOIN("""",""Static: "",AM19),JOIN("""",""Min:  "",AM19, CHAR(10),""Max: "",AN19)))"),"")</f>
        <v/>
      </c>
      <c r="AM19" s="55" t="str">
        <f t="array" ref="AM19">_xlfn.XLOOKUP(B19,'Up Min'!A:A,'Up Min'!J:J,)</f>
        <v/>
      </c>
      <c r="AN19" s="55" t="str">
        <f t="array" ref="AN19">_xlfn.XLOOKUP(B19,'Up Max'!A:A,'Up Max'!J:J,)</f>
        <v/>
      </c>
      <c r="AO19" s="51" t="str">
        <f t="array" ref="AO19">CONCATENATE(_xlfn.XLOOKUP(B19,'Up Cells'!A:A,'Up Cells'!B:B,))</f>
        <v>4</v>
      </c>
      <c r="AP19" s="51" t="str">
        <f t="array" ref="AP19">CONCATENATE(_xlfn.XLOOKUP(B19,'Up Rarity'!A:A,'Up Rarity'!B:B,),CHAR(10),"-")</f>
        <v>Epic
-</v>
      </c>
    </row>
    <row r="20">
      <c r="A20" s="83" t="str">
        <f t="array" ref="A20">_xlfn.XLOOKUP(B20,'Up Icon'!A:A,'Up Icon'!B:B,)</f>
        <v/>
      </c>
      <c r="B20" s="66" t="str">
        <f t="array" ref="B20">HYPERLINK(_xlfn.XLOOKUP('Up Names'!N13,'Up Wiki'!A:A,'Up Wiki'!B:B,),'Up Names'!N13)</f>
        <v>Higher Voltage</v>
      </c>
      <c r="C20" s="37" t="str">
        <f t="array" ref="C20">_xlfn.XLOOKUP(B20,'Up Desc'!A:A,'Up Desc'!B:B,)</f>
        <v>Any outgoing damage matching this grenade's element is increased.</v>
      </c>
      <c r="D20" s="37" t="str">
        <f t="array" ref="D20">_xlfn.XLOOKUP(B20,'Up Turbo'!A:A,'Up Turbo'!B:B,)</f>
        <v>n/a</v>
      </c>
      <c r="E20" s="39" t="str">
        <f t="array" ref="E20">_xlfn.XLOOKUP(B20,'Up Stats'!A:A,'Up Stats'!B:B,)</f>
        <v>Damage</v>
      </c>
      <c r="F20" s="40" t="str">
        <f>IFERROR(__xludf.DUMMYFUNCTION("if(AND(G20=FALSE,H20=FALSE),,if(G20=H20,JOIN("""",""Static: "",G20),JOIN("""",""Min:  "",G20, CHAR(10),""Max: "",H20)))"),"Min:  8%
Max: 14.55%")</f>
        <v>Min:  8%
Max: 14.55%</v>
      </c>
      <c r="G20" s="41">
        <f t="array" ref="G20">_xlfn.XLOOKUP(B20,'Up Min'!A:A,'Up Min'!B:B,)</f>
        <v>0.08</v>
      </c>
      <c r="H20" s="78">
        <f t="array" ref="H20">_xlfn.XLOOKUP(B20,'Up Max'!A:A,'Up Max'!B:B,)</f>
        <v>0.1455</v>
      </c>
      <c r="I20" s="39" t="str">
        <f t="array" ref="I20">_xlfn.XLOOKUP(B20,'Up Stats'!A:A,'Up Stats'!C:C,)</f>
        <v/>
      </c>
      <c r="J20" s="40" t="str">
        <f>IFERROR(__xludf.DUMMYFUNCTION("if(AND(K20=FALSE,L20=FALSE),,if(K20=L20,JOIN("""",""Static: "",K20),JOIN("""",""Min:  "",K20, CHAR(10),""Max: "",L20)))"),"")</f>
        <v/>
      </c>
      <c r="K20" s="74" t="str">
        <f t="array" ref="K20">_xlfn.XLOOKUP(B20,'Up Min'!A:A,'Up Min'!C:C,)</f>
        <v/>
      </c>
      <c r="L20" s="74" t="str">
        <f t="array" ref="L20">_xlfn.XLOOKUP(B20,'Up Max'!A:A,'Up Max'!C:C,)</f>
        <v/>
      </c>
      <c r="M20" s="48" t="str">
        <f t="array" ref="M20">_xlfn.XLOOKUP(B20,'Up Stats'!A:A,'Up Stats'!D:D,)</f>
        <v/>
      </c>
      <c r="N20" s="40" t="str">
        <f>IFERROR(__xludf.DUMMYFUNCTION("if(AND(O20=FALSE,P20=FALSE),,if(O20=P20,JOIN("""",""Static: "",O20),JOIN("""",""Min:  "",O20, CHAR(10),""Max: "",P20)))"),"")</f>
        <v/>
      </c>
      <c r="O20" s="42" t="str">
        <f t="array" ref="O20">_xlfn.XLOOKUP(B20,'Up Min'!A:A,'Up Min'!D:D,)</f>
        <v/>
      </c>
      <c r="P20" s="42" t="str">
        <f t="array" ref="P20">_xlfn.XLOOKUP(B20,'Up Max'!A:A,'Up Max'!D:D,)</f>
        <v/>
      </c>
      <c r="Q20" s="48" t="str">
        <f t="array" ref="Q20">_xlfn.XLOOKUP(B20,'Up Stats'!A:A,'Up Stats'!E:E,)</f>
        <v/>
      </c>
      <c r="R20" s="40" t="str">
        <f>IFERROR(__xludf.DUMMYFUNCTION("if(AND(S20=FALSE,T20=FALSE),,if(S20=T20,JOIN("""",""Static: "",S20),JOIN("""",""Min:  "",S20, CHAR(10),""Max: "",T20)))"),"")</f>
        <v/>
      </c>
      <c r="S20" s="42" t="str">
        <f t="array" ref="S20">_xlfn.XLOOKUP(B20,'Up Min'!A:A,'Up Min'!E:E,)</f>
        <v/>
      </c>
      <c r="T20" s="42" t="str">
        <f t="array" ref="T20">_xlfn.XLOOKUP(B20,'Up Max'!A:A,'Up Max'!E:E,)</f>
        <v/>
      </c>
      <c r="U20" s="48" t="str">
        <f t="array" ref="U20">_xlfn.XLOOKUP(B20,'Up Stats'!A:A,'Up Stats'!F:F,)</f>
        <v/>
      </c>
      <c r="V20" s="40" t="str">
        <f>IFERROR(__xludf.DUMMYFUNCTION("if(AND(W20=FALSE,X20=FALSE),,if(W20=X20,JOIN("""",""Static: "",W20),JOIN("""",""Min:  "",W20, CHAR(10),""Max: "",X20)))"),"")</f>
        <v/>
      </c>
      <c r="W20" s="42" t="str">
        <f t="array" ref="W20">_xlfn.XLOOKUP(B20,'Up Min'!A:A,'Up Min'!F:F,)</f>
        <v/>
      </c>
      <c r="X20" s="42" t="str">
        <f t="array" ref="X20">_xlfn.XLOOKUP(B20,'Up Max'!A:A,'Up Max'!F:F,)</f>
        <v/>
      </c>
      <c r="Y20" s="48" t="str">
        <f t="array" ref="Y20">_xlfn.XLOOKUP(B20,'Up Stats'!A:A,'Up Stats'!G:G,)</f>
        <v/>
      </c>
      <c r="Z20" s="40" t="str">
        <f>IFERROR(__xludf.DUMMYFUNCTION("if(AND(AA20=FALSE,AB20=FALSE),,if(AA20=AB20,JOIN("""",""Static: "",AA20),JOIN("""",""Min:  "",AA20, CHAR(10),""Max: "",AB20)))"),"")</f>
        <v/>
      </c>
      <c r="AA20" s="42" t="str">
        <f t="array" ref="AA20">_xlfn.XLOOKUP(B20,'Up Min'!A:A,'Up Min'!G:G,)</f>
        <v/>
      </c>
      <c r="AB20" s="42" t="str">
        <f t="array" ref="AB20">_xlfn.XLOOKUP(B20,'Up Max'!A:A,'Up Max'!G:G,)</f>
        <v/>
      </c>
      <c r="AC20" s="48" t="str">
        <f t="array" ref="AC20">_xlfn.XLOOKUP(B20,'Up Stats'!A:A,'Up Stats'!H:H,)</f>
        <v/>
      </c>
      <c r="AD20" s="40" t="str">
        <f>IFERROR(__xludf.DUMMYFUNCTION("if(AND(AE20=FALSE,AF20=FALSE),,if(AE20=AF20,JOIN("""",""Static: "",AE20),JOIN("""",""Min:  "",AE20, CHAR(10),""Max: "",AF20)))"),"")</f>
        <v/>
      </c>
      <c r="AE20" s="42" t="str">
        <f t="array" ref="AE20">_xlfn.XLOOKUP(B20,'Up Min'!A:A,'Up Min'!H:H,)</f>
        <v/>
      </c>
      <c r="AF20" s="42" t="str">
        <f t="array" ref="AF20">_xlfn.XLOOKUP(B20,'Up Max'!A:A,'Up Max'!H:H,)</f>
        <v/>
      </c>
      <c r="AG20" s="48" t="str">
        <f t="array" ref="AG20">_xlfn.XLOOKUP(B20,'Up Stats'!A:A,'Up Stats'!I:I,)</f>
        <v/>
      </c>
      <c r="AH20" s="40" t="str">
        <f>IFERROR(__xludf.DUMMYFUNCTION("if(AND(AI20=FALSE,AJ20=FALSE),,if(AI20=AJ20,JOIN("""",""Static: "",AI20),JOIN("""",""Min:  "",AI20, CHAR(10),""Max: "",AJ20)))"),"")</f>
        <v/>
      </c>
      <c r="AI20" s="42" t="str">
        <f t="array" ref="AI20">_xlfn.XLOOKUP(B20,'Up Min'!A:A,'Up Min'!I:I,)</f>
        <v/>
      </c>
      <c r="AJ20" s="42" t="str">
        <f t="array" ref="AJ20">_xlfn.XLOOKUP(B20,'Up Max'!A:A,'Up Max'!I:I,)</f>
        <v/>
      </c>
      <c r="AK20" s="48" t="str">
        <f t="array" ref="AK20">_xlfn.XLOOKUP(B20,'Up Stats'!A:A,'Up Stats'!J:J,)</f>
        <v/>
      </c>
      <c r="AL20" s="40" t="str">
        <f>IFERROR(__xludf.DUMMYFUNCTION("if(AND(AM20=FALSE,AN20=FALSE),,if(AM20=AN20,JOIN("""",""Static: "",AM20),JOIN("""",""Min:  "",AM20, CHAR(10),""Max: "",AN20)))"),"")</f>
        <v/>
      </c>
      <c r="AM20" s="42" t="str">
        <f t="array" ref="AM20">_xlfn.XLOOKUP(B20,'Up Min'!A:A,'Up Min'!J:J,)</f>
        <v/>
      </c>
      <c r="AN20" s="42" t="str">
        <f t="array" ref="AN20">_xlfn.XLOOKUP(B20,'Up Max'!A:A,'Up Max'!J:J,)</f>
        <v/>
      </c>
      <c r="AO20" s="34" t="str">
        <f t="array" ref="AO20">CONCATENATE(_xlfn.XLOOKUP(B20,'Up Cells'!A:A,'Up Cells'!B:B,))</f>
        <v>5</v>
      </c>
      <c r="AP20" s="34" t="str">
        <f t="array" ref="AP20">CONCATENATE(_xlfn.XLOOKUP(B20,'Up Rarity'!A:A,'Up Rarity'!B:B,),CHAR(10),"-")</f>
        <v>Rare
-</v>
      </c>
    </row>
    <row r="21">
      <c r="A21" s="83" t="str">
        <f t="array" ref="A21">_xlfn.XLOOKUP(B21,'Up Icon'!A:A,'Up Icon'!B:B,)</f>
        <v/>
      </c>
      <c r="B21" s="63" t="str">
        <f t="array" ref="B21">HYPERLINK(_xlfn.XLOOKUP('Up Names'!N14,'Up Wiki'!A:A,'Up Wiki'!B:B,),'Up Names'!N14)</f>
        <v>Marathon</v>
      </c>
      <c r="C21" s="70" t="str">
        <f t="array" ref="C21">_xlfn.XLOOKUP(B21,'Up Desc'!A:A,'Up Desc'!B:B,)</f>
        <v>Move faster while your grenade is recharging.</v>
      </c>
      <c r="D21" s="52" t="str">
        <f t="array" ref="D21">_xlfn.XLOOKUP(B21,'Up Turbo'!A:A,'Up Turbo'!B:B,)</f>
        <v>n/a</v>
      </c>
      <c r="E21" s="53" t="str">
        <f t="array" ref="E21">_xlfn.XLOOKUP(B21,'Up Stats'!A:A,'Up Stats'!B:B,)</f>
        <v>Speed</v>
      </c>
      <c r="F21" s="54" t="str">
        <f>IFERROR(__xludf.DUMMYFUNCTION("if(AND(G21=FALSE,H21=FALSE),,if(G21=H21,JOIN("""",""Static: "",G21),JOIN("""",""Min:  "",G21, CHAR(10),""Max: "",H21)))"),"Min:  18.50%
Max: 30%")</f>
        <v>Min:  18.50%
Max: 30%</v>
      </c>
      <c r="G21" s="71">
        <f t="array" ref="G21">_xlfn.XLOOKUP(B21,'Up Min'!A:A,'Up Min'!B:B,)</f>
        <v>0.185</v>
      </c>
      <c r="H21" s="59">
        <f t="array" ref="H21">_xlfn.XLOOKUP(B21,'Up Max'!A:A,'Up Max'!B:B,)</f>
        <v>0.3</v>
      </c>
      <c r="I21" s="53" t="str">
        <f t="array" ref="I21">_xlfn.XLOOKUP(B21,'Up Stats'!A:A,'Up Stats'!C:C,)</f>
        <v/>
      </c>
      <c r="J21" s="54" t="str">
        <f>IFERROR(__xludf.DUMMYFUNCTION("if(AND(K21=FALSE,L21=FALSE),,if(K21=L21,JOIN("""",""Static: "",K21),JOIN("""",""Min:  "",K21, CHAR(10),""Max: "",L21)))"),"")</f>
        <v/>
      </c>
      <c r="K21" s="72" t="str">
        <f t="array" ref="K21">_xlfn.XLOOKUP(B21,'Up Min'!A:A,'Up Min'!C:C,)</f>
        <v/>
      </c>
      <c r="L21" s="72" t="str">
        <f t="array" ref="L21">_xlfn.XLOOKUP(B21,'Up Max'!A:A,'Up Max'!C:C,)</f>
        <v/>
      </c>
      <c r="M21" s="57" t="str">
        <f t="array" ref="M21">_xlfn.XLOOKUP(B21,'Up Stats'!A:A,'Up Stats'!D:D,)</f>
        <v/>
      </c>
      <c r="N21" s="54" t="str">
        <f>IFERROR(__xludf.DUMMYFUNCTION("if(AND(O21=FALSE,P21=FALSE),,if(O21=P21,JOIN("""",""Static: "",O21),JOIN("""",""Min:  "",O21, CHAR(10),""Max: "",P21)))"),"")</f>
        <v/>
      </c>
      <c r="O21" s="55" t="str">
        <f t="array" ref="O21">_xlfn.XLOOKUP(B21,'Up Min'!A:A,'Up Min'!D:D,)</f>
        <v/>
      </c>
      <c r="P21" s="55" t="str">
        <f t="array" ref="P21">_xlfn.XLOOKUP(B21,'Up Max'!A:A,'Up Max'!D:D,)</f>
        <v/>
      </c>
      <c r="Q21" s="57" t="str">
        <f t="array" ref="Q21">_xlfn.XLOOKUP(B21,'Up Stats'!A:A,'Up Stats'!E:E,)</f>
        <v/>
      </c>
      <c r="R21" s="54" t="str">
        <f>IFERROR(__xludf.DUMMYFUNCTION("if(AND(S21=FALSE,T21=FALSE),,if(S21=T21,JOIN("""",""Static: "",S21),JOIN("""",""Min:  "",S21, CHAR(10),""Max: "",T21)))"),"")</f>
        <v/>
      </c>
      <c r="S21" s="55" t="str">
        <f t="array" ref="S21">_xlfn.XLOOKUP(B21,'Up Min'!A:A,'Up Min'!E:E,)</f>
        <v/>
      </c>
      <c r="T21" s="55" t="str">
        <f t="array" ref="T21">_xlfn.XLOOKUP(B21,'Up Max'!A:A,'Up Max'!E:E,)</f>
        <v/>
      </c>
      <c r="U21" s="57" t="str">
        <f t="array" ref="U21">_xlfn.XLOOKUP(B21,'Up Stats'!A:A,'Up Stats'!F:F,)</f>
        <v/>
      </c>
      <c r="V21" s="54" t="str">
        <f>IFERROR(__xludf.DUMMYFUNCTION("if(AND(W21=FALSE,X21=FALSE),,if(W21=X21,JOIN("""",""Static: "",W21),JOIN("""",""Min:  "",W21, CHAR(10),""Max: "",X21)))"),"")</f>
        <v/>
      </c>
      <c r="W21" s="55" t="str">
        <f t="array" ref="W21">_xlfn.XLOOKUP(B21,'Up Min'!A:A,'Up Min'!F:F,)</f>
        <v/>
      </c>
      <c r="X21" s="55" t="str">
        <f t="array" ref="X21">_xlfn.XLOOKUP(B21,'Up Max'!A:A,'Up Max'!F:F,)</f>
        <v/>
      </c>
      <c r="Y21" s="57" t="str">
        <f t="array" ref="Y21">_xlfn.XLOOKUP(B21,'Up Stats'!A:A,'Up Stats'!G:G,)</f>
        <v/>
      </c>
      <c r="Z21" s="54" t="str">
        <f>IFERROR(__xludf.DUMMYFUNCTION("if(AND(AA21=FALSE,AB21=FALSE),,if(AA21=AB21,JOIN("""",""Static: "",AA21),JOIN("""",""Min:  "",AA21, CHAR(10),""Max: "",AB21)))"),"")</f>
        <v/>
      </c>
      <c r="AA21" s="55" t="str">
        <f t="array" ref="AA21">_xlfn.XLOOKUP(B21,'Up Min'!A:A,'Up Min'!G:G,)</f>
        <v/>
      </c>
      <c r="AB21" s="55" t="str">
        <f t="array" ref="AB21">_xlfn.XLOOKUP(B21,'Up Max'!A:A,'Up Max'!G:G,)</f>
        <v/>
      </c>
      <c r="AC21" s="57" t="str">
        <f t="array" ref="AC21">_xlfn.XLOOKUP(B21,'Up Stats'!A:A,'Up Stats'!H:H,)</f>
        <v/>
      </c>
      <c r="AD21" s="54" t="str">
        <f>IFERROR(__xludf.DUMMYFUNCTION("if(AND(AE21=FALSE,AF21=FALSE),,if(AE21=AF21,JOIN("""",""Static: "",AE21),JOIN("""",""Min:  "",AE21, CHAR(10),""Max: "",AF21)))"),"")</f>
        <v/>
      </c>
      <c r="AE21" s="55" t="str">
        <f t="array" ref="AE21">_xlfn.XLOOKUP(B21,'Up Min'!A:A,'Up Min'!H:H,)</f>
        <v/>
      </c>
      <c r="AF21" s="55" t="str">
        <f t="array" ref="AF21">_xlfn.XLOOKUP(B21,'Up Max'!A:A,'Up Max'!H:H,)</f>
        <v/>
      </c>
      <c r="AG21" s="57" t="str">
        <f t="array" ref="AG21">_xlfn.XLOOKUP(B21,'Up Stats'!A:A,'Up Stats'!I:I,)</f>
        <v/>
      </c>
      <c r="AH21" s="54" t="str">
        <f>IFERROR(__xludf.DUMMYFUNCTION("if(AND(AI21=FALSE,AJ21=FALSE),,if(AI21=AJ21,JOIN("""",""Static: "",AI21),JOIN("""",""Min:  "",AI21, CHAR(10),""Max: "",AJ21)))"),"")</f>
        <v/>
      </c>
      <c r="AI21" s="55" t="str">
        <f t="array" ref="AI21">_xlfn.XLOOKUP(B21,'Up Min'!A:A,'Up Min'!I:I,)</f>
        <v/>
      </c>
      <c r="AJ21" s="55" t="str">
        <f t="array" ref="AJ21">_xlfn.XLOOKUP(B21,'Up Max'!A:A,'Up Max'!I:I,)</f>
        <v/>
      </c>
      <c r="AK21" s="57" t="str">
        <f t="array" ref="AK21">_xlfn.XLOOKUP(B21,'Up Stats'!A:A,'Up Stats'!J:J,)</f>
        <v/>
      </c>
      <c r="AL21" s="54" t="str">
        <f>IFERROR(__xludf.DUMMYFUNCTION("if(AND(AM21=FALSE,AN21=FALSE),,if(AM21=AN21,JOIN("""",""Static: "",AM21),JOIN("""",""Min:  "",AM21, CHAR(10),""Max: "",AN21)))"),"")</f>
        <v/>
      </c>
      <c r="AM21" s="55" t="str">
        <f t="array" ref="AM21">_xlfn.XLOOKUP(B21,'Up Min'!A:A,'Up Min'!J:J,)</f>
        <v/>
      </c>
      <c r="AN21" s="55" t="str">
        <f t="array" ref="AN21">_xlfn.XLOOKUP(B21,'Up Max'!A:A,'Up Max'!J:J,)</f>
        <v/>
      </c>
      <c r="AO21" s="51" t="str">
        <f t="array" ref="AO21">CONCATENATE(_xlfn.XLOOKUP(B21,'Up Cells'!A:A,'Up Cells'!B:B,))</f>
        <v>4</v>
      </c>
      <c r="AP21" s="51" t="str">
        <f t="array" ref="AP21">CONCATENATE(_xlfn.XLOOKUP(B21,'Up Rarity'!A:A,'Up Rarity'!B:B,),CHAR(10),"-")</f>
        <v>Rare
-</v>
      </c>
    </row>
    <row r="22">
      <c r="A22" s="83" t="str">
        <f t="array" ref="A22">_xlfn.XLOOKUP(B22,'Up Icon'!A:A,'Up Icon'!B:B,)</f>
        <v/>
      </c>
      <c r="B22" s="66" t="str">
        <f t="array" ref="B22">HYPERLINK(_xlfn.XLOOKUP('Up Names'!N15,'Up Wiki'!A:A,'Up Wiki'!B:B,),'Up Names'!N15)</f>
        <v>Phase Housing</v>
      </c>
      <c r="C22" s="67" t="str">
        <f t="array" ref="C22">_xlfn.XLOOKUP(B22,'Up Desc'!A:A,'Up Desc'!B:B,)</f>
        <v>Your grenades phase through shields.</v>
      </c>
      <c r="D22" s="37" t="str">
        <f t="array" ref="D22">_xlfn.XLOOKUP(B22,'Up Turbo'!A:A,'Up Turbo'!B:B,)</f>
        <v>n/a</v>
      </c>
      <c r="E22" s="48" t="str">
        <f t="array" ref="E22">_xlfn.XLOOKUP(B22,'Up Stats'!A:A,'Up Stats'!B:B,)</f>
        <v/>
      </c>
      <c r="F22" s="40" t="str">
        <f>IFERROR(__xludf.DUMMYFUNCTION("if(AND(G22=FALSE,H22=FALSE),,if(G22=H22,JOIN("""",""Static: "",G22),JOIN("""",""Min:  "",G22, CHAR(10),""Max: "",H22)))"),"")</f>
        <v/>
      </c>
      <c r="G22" s="42" t="str">
        <f t="array" ref="G22">_xlfn.XLOOKUP(B22,'Up Min'!A:A,'Up Min'!B:B,)</f>
        <v/>
      </c>
      <c r="H22" s="42" t="str">
        <f t="array" ref="H22">_xlfn.XLOOKUP(B22,'Up Max'!A:A,'Up Max'!B:B,)</f>
        <v/>
      </c>
      <c r="I22" s="48" t="str">
        <f t="array" ref="I22">_xlfn.XLOOKUP(B22,'Up Stats'!A:A,'Up Stats'!C:C,)</f>
        <v/>
      </c>
      <c r="J22" s="40" t="str">
        <f>IFERROR(__xludf.DUMMYFUNCTION("if(AND(K22=FALSE,L22=FALSE),,if(K22=L22,JOIN("""",""Static: "",K22),JOIN("""",""Min:  "",K22, CHAR(10),""Max: "",L22)))"),"")</f>
        <v/>
      </c>
      <c r="K22" s="74" t="str">
        <f t="array" ref="K22">_xlfn.XLOOKUP(B22,'Up Min'!A:A,'Up Min'!C:C,)</f>
        <v/>
      </c>
      <c r="L22" s="74" t="str">
        <f t="array" ref="L22">_xlfn.XLOOKUP(B22,'Up Max'!A:A,'Up Max'!C:C,)</f>
        <v/>
      </c>
      <c r="M22" s="48" t="str">
        <f t="array" ref="M22">_xlfn.XLOOKUP(B22,'Up Stats'!A:A,'Up Stats'!D:D,)</f>
        <v/>
      </c>
      <c r="N22" s="40" t="str">
        <f>IFERROR(__xludf.DUMMYFUNCTION("if(AND(O22=FALSE,P22=FALSE),,if(O22=P22,JOIN("""",""Static: "",O22),JOIN("""",""Min:  "",O22, CHAR(10),""Max: "",P22)))"),"")</f>
        <v/>
      </c>
      <c r="O22" s="42" t="str">
        <f t="array" ref="O22">_xlfn.XLOOKUP(B22,'Up Min'!A:A,'Up Min'!D:D,)</f>
        <v/>
      </c>
      <c r="P22" s="42" t="str">
        <f t="array" ref="P22">_xlfn.XLOOKUP(B22,'Up Max'!A:A,'Up Max'!D:D,)</f>
        <v/>
      </c>
      <c r="Q22" s="48" t="str">
        <f t="array" ref="Q22">_xlfn.XLOOKUP(B22,'Up Stats'!A:A,'Up Stats'!E:E,)</f>
        <v/>
      </c>
      <c r="R22" s="40" t="str">
        <f>IFERROR(__xludf.DUMMYFUNCTION("if(AND(S22=FALSE,T22=FALSE),,if(S22=T22,JOIN("""",""Static: "",S22),JOIN("""",""Min:  "",S22, CHAR(10),""Max: "",T22)))"),"")</f>
        <v/>
      </c>
      <c r="S22" s="42" t="str">
        <f t="array" ref="S22">_xlfn.XLOOKUP(B22,'Up Min'!A:A,'Up Min'!E:E,)</f>
        <v/>
      </c>
      <c r="T22" s="42" t="str">
        <f t="array" ref="T22">_xlfn.XLOOKUP(B22,'Up Max'!A:A,'Up Max'!E:E,)</f>
        <v/>
      </c>
      <c r="U22" s="48" t="str">
        <f t="array" ref="U22">_xlfn.XLOOKUP(B22,'Up Stats'!A:A,'Up Stats'!F:F,)</f>
        <v/>
      </c>
      <c r="V22" s="40" t="str">
        <f>IFERROR(__xludf.DUMMYFUNCTION("if(AND(W22=FALSE,X22=FALSE),,if(W22=X22,JOIN("""",""Static: "",W22),JOIN("""",""Min:  "",W22, CHAR(10),""Max: "",X22)))"),"")</f>
        <v/>
      </c>
      <c r="W22" s="42" t="str">
        <f t="array" ref="W22">_xlfn.XLOOKUP(B22,'Up Min'!A:A,'Up Min'!F:F,)</f>
        <v/>
      </c>
      <c r="X22" s="42" t="str">
        <f t="array" ref="X22">_xlfn.XLOOKUP(B22,'Up Max'!A:A,'Up Max'!F:F,)</f>
        <v/>
      </c>
      <c r="Y22" s="48" t="str">
        <f t="array" ref="Y22">_xlfn.XLOOKUP(B22,'Up Stats'!A:A,'Up Stats'!G:G,)</f>
        <v/>
      </c>
      <c r="Z22" s="40" t="str">
        <f>IFERROR(__xludf.DUMMYFUNCTION("if(AND(AA22=FALSE,AB22=FALSE),,if(AA22=AB22,JOIN("""",""Static: "",AA22),JOIN("""",""Min:  "",AA22, CHAR(10),""Max: "",AB22)))"),"")</f>
        <v/>
      </c>
      <c r="AA22" s="42" t="str">
        <f t="array" ref="AA22">_xlfn.XLOOKUP(B22,'Up Min'!A:A,'Up Min'!G:G,)</f>
        <v/>
      </c>
      <c r="AB22" s="42" t="str">
        <f t="array" ref="AB22">_xlfn.XLOOKUP(B22,'Up Max'!A:A,'Up Max'!G:G,)</f>
        <v/>
      </c>
      <c r="AC22" s="48" t="str">
        <f t="array" ref="AC22">_xlfn.XLOOKUP(B22,'Up Stats'!A:A,'Up Stats'!H:H,)</f>
        <v/>
      </c>
      <c r="AD22" s="40" t="str">
        <f>IFERROR(__xludf.DUMMYFUNCTION("if(AND(AE22=FALSE,AF22=FALSE),,if(AE22=AF22,JOIN("""",""Static: "",AE22),JOIN("""",""Min:  "",AE22, CHAR(10),""Max: "",AF22)))"),"")</f>
        <v/>
      </c>
      <c r="AE22" s="42" t="str">
        <f t="array" ref="AE22">_xlfn.XLOOKUP(B22,'Up Min'!A:A,'Up Min'!H:H,)</f>
        <v/>
      </c>
      <c r="AF22" s="42" t="str">
        <f t="array" ref="AF22">_xlfn.XLOOKUP(B22,'Up Max'!A:A,'Up Max'!H:H,)</f>
        <v/>
      </c>
      <c r="AG22" s="48" t="str">
        <f t="array" ref="AG22">_xlfn.XLOOKUP(B22,'Up Stats'!A:A,'Up Stats'!I:I,)</f>
        <v/>
      </c>
      <c r="AH22" s="40" t="str">
        <f>IFERROR(__xludf.DUMMYFUNCTION("if(AND(AI22=FALSE,AJ22=FALSE),,if(AI22=AJ22,JOIN("""",""Static: "",AI22),JOIN("""",""Min:  "",AI22, CHAR(10),""Max: "",AJ22)))"),"")</f>
        <v/>
      </c>
      <c r="AI22" s="42" t="str">
        <f t="array" ref="AI22">_xlfn.XLOOKUP(B22,'Up Min'!A:A,'Up Min'!I:I,)</f>
        <v/>
      </c>
      <c r="AJ22" s="42" t="str">
        <f t="array" ref="AJ22">_xlfn.XLOOKUP(B22,'Up Max'!A:A,'Up Max'!I:I,)</f>
        <v/>
      </c>
      <c r="AK22" s="48" t="str">
        <f t="array" ref="AK22">_xlfn.XLOOKUP(B22,'Up Stats'!A:A,'Up Stats'!J:J,)</f>
        <v/>
      </c>
      <c r="AL22" s="40" t="str">
        <f>IFERROR(__xludf.DUMMYFUNCTION("if(AND(AM22=FALSE,AN22=FALSE),,if(AM22=AN22,JOIN("""",""Static: "",AM22),JOIN("""",""Min:  "",AM22, CHAR(10),""Max: "",AN22)))"),"")</f>
        <v/>
      </c>
      <c r="AM22" s="42" t="str">
        <f t="array" ref="AM22">_xlfn.XLOOKUP(B22,'Up Min'!A:A,'Up Min'!J:J,)</f>
        <v/>
      </c>
      <c r="AN22" s="42" t="str">
        <f t="array" ref="AN22">_xlfn.XLOOKUP(B22,'Up Max'!A:A,'Up Max'!J:J,)</f>
        <v/>
      </c>
      <c r="AO22" s="34" t="str">
        <f t="array" ref="AO22">CONCATENATE(_xlfn.XLOOKUP(B22,'Up Cells'!A:A,'Up Cells'!B:B,))</f>
        <v>3</v>
      </c>
      <c r="AP22" s="34" t="str">
        <f t="array" ref="AP22">CONCATENATE(_xlfn.XLOOKUP(B22,'Up Rarity'!A:A,'Up Rarity'!B:B,),CHAR(10),"-")</f>
        <v>Rare
-</v>
      </c>
    </row>
    <row r="23">
      <c r="A23" s="83" t="str">
        <f t="array" ref="A23">_xlfn.XLOOKUP(B23,'Up Icon'!A:A,'Up Icon'!B:B,)</f>
        <v/>
      </c>
      <c r="B23" s="63" t="str">
        <f t="array" ref="B23">HYPERLINK(_xlfn.XLOOKUP('Up Names'!N16,'Up Wiki'!A:A,'Up Wiki'!B:B,),'Up Names'!N16)</f>
        <v>Static Charge</v>
      </c>
      <c r="C23" s="70" t="str">
        <f t="array" ref="C23">_xlfn.XLOOKUP(B23,'Up Desc'!A:A,'Up Desc'!B:B,)</f>
        <v>Your grenade recharges faster while sliding.</v>
      </c>
      <c r="D23" s="52" t="str">
        <f t="array" ref="D23">_xlfn.XLOOKUP(B23,'Up Turbo'!A:A,'Up Turbo'!B:B,)</f>
        <v>n/a</v>
      </c>
      <c r="E23" s="53" t="str">
        <f t="array" ref="E23">_xlfn.XLOOKUP(B23,'Up Stats'!A:A,'Up Stats'!B:B,)</f>
        <v>Charge per Second</v>
      </c>
      <c r="F23" s="54" t="str">
        <f>IFERROR(__xludf.DUMMYFUNCTION("if(AND(G23=FALSE,H23=FALSE),,if(G23=H23,JOIN("""",""Static: "",G23),JOIN("""",""Min:  "",G23, CHAR(10),""Max: "",H23)))"),"Min:  0.5
Max: 1.5")</f>
        <v>Min:  0.5
Max: 1.5</v>
      </c>
      <c r="G23" s="64">
        <f t="array" ref="G23">_xlfn.XLOOKUP(B23,'Up Min'!A:A,'Up Min'!B:B,)</f>
        <v>0.5</v>
      </c>
      <c r="H23" s="65">
        <f t="array" ref="H23">_xlfn.XLOOKUP(B23,'Up Max'!A:A,'Up Max'!B:B,)</f>
        <v>1.5</v>
      </c>
      <c r="I23" s="53" t="str">
        <f t="array" ref="I23">_xlfn.XLOOKUP(B23,'Up Stats'!A:A,'Up Stats'!C:C,)</f>
        <v/>
      </c>
      <c r="J23" s="54" t="str">
        <f>IFERROR(__xludf.DUMMYFUNCTION("if(AND(K23=FALSE,L23=FALSE),,if(K23=L23,JOIN("""",""Static: "",K23),JOIN("""",""Min:  "",K23, CHAR(10),""Max: "",L23)))"),"")</f>
        <v/>
      </c>
      <c r="K23" s="72" t="str">
        <f t="array" ref="K23">_xlfn.XLOOKUP(B23,'Up Min'!A:A,'Up Min'!C:C,)</f>
        <v/>
      </c>
      <c r="L23" s="72" t="str">
        <f t="array" ref="L23">_xlfn.XLOOKUP(B23,'Up Max'!A:A,'Up Max'!C:C,)</f>
        <v/>
      </c>
      <c r="M23" s="57" t="str">
        <f t="array" ref="M23">_xlfn.XLOOKUP(B23,'Up Stats'!A:A,'Up Stats'!D:D,)</f>
        <v/>
      </c>
      <c r="N23" s="54" t="str">
        <f>IFERROR(__xludf.DUMMYFUNCTION("if(AND(O23=FALSE,P23=FALSE),,if(O23=P23,JOIN("""",""Static: "",O23),JOIN("""",""Min:  "",O23, CHAR(10),""Max: "",P23)))"),"")</f>
        <v/>
      </c>
      <c r="O23" s="55" t="str">
        <f t="array" ref="O23">_xlfn.XLOOKUP(B23,'Up Min'!A:A,'Up Min'!D:D,)</f>
        <v/>
      </c>
      <c r="P23" s="55" t="str">
        <f t="array" ref="P23">_xlfn.XLOOKUP(B23,'Up Max'!A:A,'Up Max'!D:D,)</f>
        <v/>
      </c>
      <c r="Q23" s="57" t="str">
        <f t="array" ref="Q23">_xlfn.XLOOKUP(B23,'Up Stats'!A:A,'Up Stats'!E:E,)</f>
        <v/>
      </c>
      <c r="R23" s="54" t="str">
        <f>IFERROR(__xludf.DUMMYFUNCTION("if(AND(S23=FALSE,T23=FALSE),,if(S23=T23,JOIN("""",""Static: "",S23),JOIN("""",""Min:  "",S23, CHAR(10),""Max: "",T23)))"),"")</f>
        <v/>
      </c>
      <c r="S23" s="55" t="str">
        <f t="array" ref="S23">_xlfn.XLOOKUP(B23,'Up Min'!A:A,'Up Min'!E:E,)</f>
        <v/>
      </c>
      <c r="T23" s="55" t="str">
        <f t="array" ref="T23">_xlfn.XLOOKUP(B23,'Up Max'!A:A,'Up Max'!E:E,)</f>
        <v/>
      </c>
      <c r="U23" s="57" t="str">
        <f t="array" ref="U23">_xlfn.XLOOKUP(B23,'Up Stats'!A:A,'Up Stats'!F:F,)</f>
        <v/>
      </c>
      <c r="V23" s="54" t="str">
        <f>IFERROR(__xludf.DUMMYFUNCTION("if(AND(W23=FALSE,X23=FALSE),,if(W23=X23,JOIN("""",""Static: "",W23),JOIN("""",""Min:  "",W23, CHAR(10),""Max: "",X23)))"),"")</f>
        <v/>
      </c>
      <c r="W23" s="55" t="str">
        <f t="array" ref="W23">_xlfn.XLOOKUP(B23,'Up Min'!A:A,'Up Min'!F:F,)</f>
        <v/>
      </c>
      <c r="X23" s="55" t="str">
        <f t="array" ref="X23">_xlfn.XLOOKUP(B23,'Up Max'!A:A,'Up Max'!F:F,)</f>
        <v/>
      </c>
      <c r="Y23" s="57" t="str">
        <f t="array" ref="Y23">_xlfn.XLOOKUP(B23,'Up Stats'!A:A,'Up Stats'!G:G,)</f>
        <v/>
      </c>
      <c r="Z23" s="54" t="str">
        <f>IFERROR(__xludf.DUMMYFUNCTION("if(AND(AA23=FALSE,AB23=FALSE),,if(AA23=AB23,JOIN("""",""Static: "",AA23),JOIN("""",""Min:  "",AA23, CHAR(10),""Max: "",AB23)))"),"")</f>
        <v/>
      </c>
      <c r="AA23" s="55" t="str">
        <f t="array" ref="AA23">_xlfn.XLOOKUP(B23,'Up Min'!A:A,'Up Min'!G:G,)</f>
        <v/>
      </c>
      <c r="AB23" s="55" t="str">
        <f t="array" ref="AB23">_xlfn.XLOOKUP(B23,'Up Max'!A:A,'Up Max'!G:G,)</f>
        <v/>
      </c>
      <c r="AC23" s="57" t="str">
        <f t="array" ref="AC23">_xlfn.XLOOKUP(B23,'Up Stats'!A:A,'Up Stats'!H:H,)</f>
        <v/>
      </c>
      <c r="AD23" s="54" t="str">
        <f>IFERROR(__xludf.DUMMYFUNCTION("if(AND(AE23=FALSE,AF23=FALSE),,if(AE23=AF23,JOIN("""",""Static: "",AE23),JOIN("""",""Min:  "",AE23, CHAR(10),""Max: "",AF23)))"),"")</f>
        <v/>
      </c>
      <c r="AE23" s="55" t="str">
        <f t="array" ref="AE23">_xlfn.XLOOKUP(B23,'Up Min'!A:A,'Up Min'!H:H,)</f>
        <v/>
      </c>
      <c r="AF23" s="55" t="str">
        <f t="array" ref="AF23">_xlfn.XLOOKUP(B23,'Up Max'!A:A,'Up Max'!H:H,)</f>
        <v/>
      </c>
      <c r="AG23" s="57" t="str">
        <f t="array" ref="AG23">_xlfn.XLOOKUP(B23,'Up Stats'!A:A,'Up Stats'!I:I,)</f>
        <v/>
      </c>
      <c r="AH23" s="54" t="str">
        <f>IFERROR(__xludf.DUMMYFUNCTION("if(AND(AI23=FALSE,AJ23=FALSE),,if(AI23=AJ23,JOIN("""",""Static: "",AI23),JOIN("""",""Min:  "",AI23, CHAR(10),""Max: "",AJ23)))"),"")</f>
        <v/>
      </c>
      <c r="AI23" s="55" t="str">
        <f t="array" ref="AI23">_xlfn.XLOOKUP(B23,'Up Min'!A:A,'Up Min'!I:I,)</f>
        <v/>
      </c>
      <c r="AJ23" s="55" t="str">
        <f t="array" ref="AJ23">_xlfn.XLOOKUP(B23,'Up Max'!A:A,'Up Max'!I:I,)</f>
        <v/>
      </c>
      <c r="AK23" s="57" t="str">
        <f t="array" ref="AK23">_xlfn.XLOOKUP(B23,'Up Stats'!A:A,'Up Stats'!J:J,)</f>
        <v/>
      </c>
      <c r="AL23" s="54" t="str">
        <f>IFERROR(__xludf.DUMMYFUNCTION("if(AND(AM23=FALSE,AN23=FALSE),,if(AM23=AN23,JOIN("""",""Static: "",AM23),JOIN("""",""Min:  "",AM23, CHAR(10),""Max: "",AN23)))"),"")</f>
        <v/>
      </c>
      <c r="AM23" s="55" t="str">
        <f t="array" ref="AM23">_xlfn.XLOOKUP(B23,'Up Min'!A:A,'Up Min'!J:J,)</f>
        <v/>
      </c>
      <c r="AN23" s="55" t="str">
        <f t="array" ref="AN23">_xlfn.XLOOKUP(B23,'Up Max'!A:A,'Up Max'!J:J,)</f>
        <v/>
      </c>
      <c r="AO23" s="51" t="str">
        <f t="array" ref="AO23">CONCATENATE(_xlfn.XLOOKUP(B23,'Up Cells'!A:A,'Up Cells'!B:B,))</f>
        <v>5</v>
      </c>
      <c r="AP23" s="51" t="str">
        <f t="array" ref="AP23">CONCATENATE(_xlfn.XLOOKUP(B23,'Up Rarity'!A:A,'Up Rarity'!B:B,),CHAR(10),"-")</f>
        <v>Rare
-</v>
      </c>
    </row>
    <row r="24">
      <c r="A24" s="83" t="str">
        <f t="array" ref="A24">_xlfn.XLOOKUP(B24,'Up Icon'!A:A,'Up Icon'!B:B,)</f>
        <v/>
      </c>
      <c r="B24" s="66" t="str">
        <f t="array" ref="B24">HYPERLINK(_xlfn.XLOOKUP('Up Names'!N17,'Up Wiki'!A:A,'Up Wiki'!B:B,),'Up Names'!N17)</f>
        <v>Stun</v>
      </c>
      <c r="C24" s="37" t="str">
        <f t="array" ref="C24">_xlfn.XLOOKUP(B24,'Up Desc'!A:A,'Up Desc'!B:B,)</f>
        <v>Grenades stun enemies.</v>
      </c>
      <c r="D24" s="37" t="str">
        <f t="array" ref="D24">_xlfn.XLOOKUP(B24,'Up Turbo'!A:A,'Up Turbo'!B:B,)</f>
        <v>n/a</v>
      </c>
      <c r="E24" s="48" t="str">
        <f t="array" ref="E24">_xlfn.XLOOKUP(B24,'Up Stats'!A:A,'Up Stats'!B:B,)</f>
        <v/>
      </c>
      <c r="F24" s="40" t="str">
        <f>IFERROR(__xludf.DUMMYFUNCTION("if(AND(G24=FALSE,H24=FALSE),,if(G24=H24,JOIN("""",""Static: "",G24),JOIN("""",""Min:  "",G24, CHAR(10),""Max: "",H24)))"),"")</f>
        <v/>
      </c>
      <c r="G24" s="42" t="str">
        <f t="array" ref="G24">_xlfn.XLOOKUP(B24,'Up Min'!A:A,'Up Min'!B:B,)</f>
        <v/>
      </c>
      <c r="H24" s="42" t="str">
        <f t="array" ref="H24">_xlfn.XLOOKUP(B24,'Up Max'!A:A,'Up Max'!B:B,)</f>
        <v/>
      </c>
      <c r="I24" s="48" t="str">
        <f t="array" ref="I24">_xlfn.XLOOKUP(B24,'Up Stats'!A:A,'Up Stats'!C:C,)</f>
        <v/>
      </c>
      <c r="J24" s="40" t="str">
        <f>IFERROR(__xludf.DUMMYFUNCTION("if(AND(K24=FALSE,L24=FALSE),,if(K24=L24,JOIN("""",""Static: "",K24),JOIN("""",""Min:  "",K24, CHAR(10),""Max: "",L24)))"),"")</f>
        <v/>
      </c>
      <c r="K24" s="74" t="str">
        <f t="array" ref="K24">_xlfn.XLOOKUP(B24,'Up Min'!A:A,'Up Min'!C:C,)</f>
        <v/>
      </c>
      <c r="L24" s="74" t="str">
        <f t="array" ref="L24">_xlfn.XLOOKUP(B24,'Up Max'!A:A,'Up Max'!C:C,)</f>
        <v/>
      </c>
      <c r="M24" s="48" t="str">
        <f t="array" ref="M24">_xlfn.XLOOKUP(B24,'Up Stats'!A:A,'Up Stats'!D:D,)</f>
        <v/>
      </c>
      <c r="N24" s="40" t="str">
        <f>IFERROR(__xludf.DUMMYFUNCTION("if(AND(O24=FALSE,P24=FALSE),,if(O24=P24,JOIN("""",""Static: "",O24),JOIN("""",""Min:  "",O24, CHAR(10),""Max: "",P24)))"),"")</f>
        <v/>
      </c>
      <c r="O24" s="42" t="str">
        <f t="array" ref="O24">_xlfn.XLOOKUP(B24,'Up Min'!A:A,'Up Min'!D:D,)</f>
        <v/>
      </c>
      <c r="P24" s="42" t="str">
        <f t="array" ref="P24">_xlfn.XLOOKUP(B24,'Up Max'!A:A,'Up Max'!D:D,)</f>
        <v/>
      </c>
      <c r="Q24" s="48" t="str">
        <f t="array" ref="Q24">_xlfn.XLOOKUP(B24,'Up Stats'!A:A,'Up Stats'!E:E,)</f>
        <v/>
      </c>
      <c r="R24" s="40" t="str">
        <f>IFERROR(__xludf.DUMMYFUNCTION("if(AND(S24=FALSE,T24=FALSE),,if(S24=T24,JOIN("""",""Static: "",S24),JOIN("""",""Min:  "",S24, CHAR(10),""Max: "",T24)))"),"")</f>
        <v/>
      </c>
      <c r="S24" s="42" t="str">
        <f t="array" ref="S24">_xlfn.XLOOKUP(B24,'Up Min'!A:A,'Up Min'!E:E,)</f>
        <v/>
      </c>
      <c r="T24" s="42" t="str">
        <f t="array" ref="T24">_xlfn.XLOOKUP(B24,'Up Max'!A:A,'Up Max'!E:E,)</f>
        <v/>
      </c>
      <c r="U24" s="48" t="str">
        <f t="array" ref="U24">_xlfn.XLOOKUP(B24,'Up Stats'!A:A,'Up Stats'!F:F,)</f>
        <v/>
      </c>
      <c r="V24" s="40" t="str">
        <f>IFERROR(__xludf.DUMMYFUNCTION("if(AND(W24=FALSE,X24=FALSE),,if(W24=X24,JOIN("""",""Static: "",W24),JOIN("""",""Min:  "",W24, CHAR(10),""Max: "",X24)))"),"")</f>
        <v/>
      </c>
      <c r="W24" s="42" t="str">
        <f t="array" ref="W24">_xlfn.XLOOKUP(B24,'Up Min'!A:A,'Up Min'!F:F,)</f>
        <v/>
      </c>
      <c r="X24" s="42" t="str">
        <f t="array" ref="X24">_xlfn.XLOOKUP(B24,'Up Max'!A:A,'Up Max'!F:F,)</f>
        <v/>
      </c>
      <c r="Y24" s="48" t="str">
        <f t="array" ref="Y24">_xlfn.XLOOKUP(B24,'Up Stats'!A:A,'Up Stats'!G:G,)</f>
        <v/>
      </c>
      <c r="Z24" s="40" t="str">
        <f>IFERROR(__xludf.DUMMYFUNCTION("if(AND(AA24=FALSE,AB24=FALSE),,if(AA24=AB24,JOIN("""",""Static: "",AA24),JOIN("""",""Min:  "",AA24, CHAR(10),""Max: "",AB24)))"),"")</f>
        <v/>
      </c>
      <c r="AA24" s="42" t="str">
        <f t="array" ref="AA24">_xlfn.XLOOKUP(B24,'Up Min'!A:A,'Up Min'!G:G,)</f>
        <v/>
      </c>
      <c r="AB24" s="42" t="str">
        <f t="array" ref="AB24">_xlfn.XLOOKUP(B24,'Up Max'!A:A,'Up Max'!G:G,)</f>
        <v/>
      </c>
      <c r="AC24" s="48" t="str">
        <f t="array" ref="AC24">_xlfn.XLOOKUP(B24,'Up Stats'!A:A,'Up Stats'!H:H,)</f>
        <v/>
      </c>
      <c r="AD24" s="40" t="str">
        <f>IFERROR(__xludf.DUMMYFUNCTION("if(AND(AE24=FALSE,AF24=FALSE),,if(AE24=AF24,JOIN("""",""Static: "",AE24),JOIN("""",""Min:  "",AE24, CHAR(10),""Max: "",AF24)))"),"")</f>
        <v/>
      </c>
      <c r="AE24" s="42" t="str">
        <f t="array" ref="AE24">_xlfn.XLOOKUP(B24,'Up Min'!A:A,'Up Min'!H:H,)</f>
        <v/>
      </c>
      <c r="AF24" s="42" t="str">
        <f t="array" ref="AF24">_xlfn.XLOOKUP(B24,'Up Max'!A:A,'Up Max'!H:H,)</f>
        <v/>
      </c>
      <c r="AG24" s="48" t="str">
        <f t="array" ref="AG24">_xlfn.XLOOKUP(B24,'Up Stats'!A:A,'Up Stats'!I:I,)</f>
        <v/>
      </c>
      <c r="AH24" s="40" t="str">
        <f>IFERROR(__xludf.DUMMYFUNCTION("if(AND(AI24=FALSE,AJ24=FALSE),,if(AI24=AJ24,JOIN("""",""Static: "",AI24),JOIN("""",""Min:  "",AI24, CHAR(10),""Max: "",AJ24)))"),"")</f>
        <v/>
      </c>
      <c r="AI24" s="42" t="str">
        <f t="array" ref="AI24">_xlfn.XLOOKUP(B24,'Up Min'!A:A,'Up Min'!I:I,)</f>
        <v/>
      </c>
      <c r="AJ24" s="42" t="str">
        <f t="array" ref="AJ24">_xlfn.XLOOKUP(B24,'Up Max'!A:A,'Up Max'!I:I,)</f>
        <v/>
      </c>
      <c r="AK24" s="48" t="str">
        <f t="array" ref="AK24">_xlfn.XLOOKUP(B24,'Up Stats'!A:A,'Up Stats'!J:J,)</f>
        <v/>
      </c>
      <c r="AL24" s="40" t="str">
        <f>IFERROR(__xludf.DUMMYFUNCTION("if(AND(AM24=FALSE,AN24=FALSE),,if(AM24=AN24,JOIN("""",""Static: "",AM24),JOIN("""",""Min:  "",AM24, CHAR(10),""Max: "",AN24)))"),"")</f>
        <v/>
      </c>
      <c r="AM24" s="42" t="str">
        <f t="array" ref="AM24">_xlfn.XLOOKUP(B24,'Up Min'!A:A,'Up Min'!J:J,)</f>
        <v/>
      </c>
      <c r="AN24" s="42" t="str">
        <f t="array" ref="AN24">_xlfn.XLOOKUP(B24,'Up Max'!A:A,'Up Max'!J:J,)</f>
        <v/>
      </c>
      <c r="AO24" s="34" t="str">
        <f t="array" ref="AO24">CONCATENATE(_xlfn.XLOOKUP(B24,'Up Cells'!A:A,'Up Cells'!B:B,))</f>
        <v>4</v>
      </c>
      <c r="AP24" s="34" t="str">
        <f t="array" ref="AP24">CONCATENATE(_xlfn.XLOOKUP(B24,'Up Rarity'!A:A,'Up Rarity'!B:B,),CHAR(10),"-")</f>
        <v>Rare
-</v>
      </c>
    </row>
    <row r="25">
      <c r="A25" s="83" t="str">
        <f t="array" ref="A25">_xlfn.XLOOKUP(B25,'Up Icon'!A:A,'Up Icon'!B:B,)</f>
        <v/>
      </c>
      <c r="B25" s="63" t="str">
        <f t="array" ref="B25">HYPERLINK(_xlfn.XLOOKUP('Up Names'!N18,'Up Wiki'!A:A,'Up Wiki'!B:B,),'Up Names'!N18)</f>
        <v>System Overload</v>
      </c>
      <c r="C25" s="70" t="str">
        <f t="array" ref="C25">_xlfn.XLOOKUP(B25,'Up Desc'!A:A,'Up Desc'!B:B,)</f>
        <v>Players hit by the grenade's explosion gain increased move speed for a short time.</v>
      </c>
      <c r="D25" s="52" t="str">
        <f t="array" ref="D25">_xlfn.XLOOKUP(B25,'Up Turbo'!A:A,'Up Turbo'!B:B,)</f>
        <v>n/a</v>
      </c>
      <c r="E25" s="57" t="str">
        <f t="array" ref="E25">_xlfn.XLOOKUP(B25,'Up Stats'!A:A,'Up Stats'!B:B,)</f>
        <v/>
      </c>
      <c r="F25" s="54" t="str">
        <f>IFERROR(__xludf.DUMMYFUNCTION("if(AND(G25=FALSE,H25=FALSE),,if(G25=H25,JOIN("""",""Static: "",G25),JOIN("""",""Min:  "",G25, CHAR(10),""Max: "",H25)))"),"")</f>
        <v/>
      </c>
      <c r="G25" s="55" t="str">
        <f t="array" ref="G25">_xlfn.XLOOKUP(B25,'Up Min'!A:A,'Up Min'!B:B,)</f>
        <v/>
      </c>
      <c r="H25" s="55" t="str">
        <f t="array" ref="H25">_xlfn.XLOOKUP(B25,'Up Max'!A:A,'Up Max'!B:B,)</f>
        <v/>
      </c>
      <c r="I25" s="57" t="str">
        <f t="array" ref="I25">_xlfn.XLOOKUP(B25,'Up Stats'!A:A,'Up Stats'!C:C,)</f>
        <v/>
      </c>
      <c r="J25" s="54" t="str">
        <f>IFERROR(__xludf.DUMMYFUNCTION("if(AND(K25=FALSE,L25=FALSE),,if(K25=L25,JOIN("""",""Static: "",K25),JOIN("""",""Min:  "",K25, CHAR(10),""Max: "",L25)))"),"")</f>
        <v/>
      </c>
      <c r="K25" s="72" t="str">
        <f t="array" ref="K25">_xlfn.XLOOKUP(B25,'Up Min'!A:A,'Up Min'!C:C,)</f>
        <v/>
      </c>
      <c r="L25" s="72" t="str">
        <f t="array" ref="L25">_xlfn.XLOOKUP(B25,'Up Max'!A:A,'Up Max'!C:C,)</f>
        <v/>
      </c>
      <c r="M25" s="57" t="str">
        <f t="array" ref="M25">_xlfn.XLOOKUP(B25,'Up Stats'!A:A,'Up Stats'!D:D,)</f>
        <v/>
      </c>
      <c r="N25" s="54" t="str">
        <f>IFERROR(__xludf.DUMMYFUNCTION("if(AND(O25=FALSE,P25=FALSE),,if(O25=P25,JOIN("""",""Static: "",O25),JOIN("""",""Min:  "",O25, CHAR(10),""Max: "",P25)))"),"")</f>
        <v/>
      </c>
      <c r="O25" s="55" t="str">
        <f t="array" ref="O25">_xlfn.XLOOKUP(B25,'Up Min'!A:A,'Up Min'!D:D,)</f>
        <v/>
      </c>
      <c r="P25" s="55" t="str">
        <f t="array" ref="P25">_xlfn.XLOOKUP(B25,'Up Max'!A:A,'Up Max'!D:D,)</f>
        <v/>
      </c>
      <c r="Q25" s="57" t="str">
        <f t="array" ref="Q25">_xlfn.XLOOKUP(B25,'Up Stats'!A:A,'Up Stats'!E:E,)</f>
        <v/>
      </c>
      <c r="R25" s="54" t="str">
        <f>IFERROR(__xludf.DUMMYFUNCTION("if(AND(S25=FALSE,T25=FALSE),,if(S25=T25,JOIN("""",""Static: "",S25),JOIN("""",""Min:  "",S25, CHAR(10),""Max: "",T25)))"),"")</f>
        <v/>
      </c>
      <c r="S25" s="55" t="str">
        <f t="array" ref="S25">_xlfn.XLOOKUP(B25,'Up Min'!A:A,'Up Min'!E:E,)</f>
        <v/>
      </c>
      <c r="T25" s="55" t="str">
        <f t="array" ref="T25">_xlfn.XLOOKUP(B25,'Up Max'!A:A,'Up Max'!E:E,)</f>
        <v/>
      </c>
      <c r="U25" s="57" t="str">
        <f t="array" ref="U25">_xlfn.XLOOKUP(B25,'Up Stats'!A:A,'Up Stats'!F:F,)</f>
        <v/>
      </c>
      <c r="V25" s="54" t="str">
        <f>IFERROR(__xludf.DUMMYFUNCTION("if(AND(W25=FALSE,X25=FALSE),,if(W25=X25,JOIN("""",""Static: "",W25),JOIN("""",""Min:  "",W25, CHAR(10),""Max: "",X25)))"),"")</f>
        <v/>
      </c>
      <c r="W25" s="55" t="str">
        <f t="array" ref="W25">_xlfn.XLOOKUP(B25,'Up Min'!A:A,'Up Min'!F:F,)</f>
        <v/>
      </c>
      <c r="X25" s="55" t="str">
        <f t="array" ref="X25">_xlfn.XLOOKUP(B25,'Up Max'!A:A,'Up Max'!F:F,)</f>
        <v/>
      </c>
      <c r="Y25" s="57" t="str">
        <f t="array" ref="Y25">_xlfn.XLOOKUP(B25,'Up Stats'!A:A,'Up Stats'!G:G,)</f>
        <v/>
      </c>
      <c r="Z25" s="54" t="str">
        <f>IFERROR(__xludf.DUMMYFUNCTION("if(AND(AA25=FALSE,AB25=FALSE),,if(AA25=AB25,JOIN("""",""Static: "",AA25),JOIN("""",""Min:  "",AA25, CHAR(10),""Max: "",AB25)))"),"")</f>
        <v/>
      </c>
      <c r="AA25" s="55" t="str">
        <f t="array" ref="AA25">_xlfn.XLOOKUP(B25,'Up Min'!A:A,'Up Min'!G:G,)</f>
        <v/>
      </c>
      <c r="AB25" s="55" t="str">
        <f t="array" ref="AB25">_xlfn.XLOOKUP(B25,'Up Max'!A:A,'Up Max'!G:G,)</f>
        <v/>
      </c>
      <c r="AC25" s="57" t="str">
        <f t="array" ref="AC25">_xlfn.XLOOKUP(B25,'Up Stats'!A:A,'Up Stats'!H:H,)</f>
        <v/>
      </c>
      <c r="AD25" s="54" t="str">
        <f>IFERROR(__xludf.DUMMYFUNCTION("if(AND(AE25=FALSE,AF25=FALSE),,if(AE25=AF25,JOIN("""",""Static: "",AE25),JOIN("""",""Min:  "",AE25, CHAR(10),""Max: "",AF25)))"),"")</f>
        <v/>
      </c>
      <c r="AE25" s="55" t="str">
        <f t="array" ref="AE25">_xlfn.XLOOKUP(B25,'Up Min'!A:A,'Up Min'!H:H,)</f>
        <v/>
      </c>
      <c r="AF25" s="55" t="str">
        <f t="array" ref="AF25">_xlfn.XLOOKUP(B25,'Up Max'!A:A,'Up Max'!H:H,)</f>
        <v/>
      </c>
      <c r="AG25" s="57" t="str">
        <f t="array" ref="AG25">_xlfn.XLOOKUP(B25,'Up Stats'!A:A,'Up Stats'!I:I,)</f>
        <v/>
      </c>
      <c r="AH25" s="54" t="str">
        <f>IFERROR(__xludf.DUMMYFUNCTION("if(AND(AI25=FALSE,AJ25=FALSE),,if(AI25=AJ25,JOIN("""",""Static: "",AI25),JOIN("""",""Min:  "",AI25, CHAR(10),""Max: "",AJ25)))"),"")</f>
        <v/>
      </c>
      <c r="AI25" s="55" t="str">
        <f t="array" ref="AI25">_xlfn.XLOOKUP(B25,'Up Min'!A:A,'Up Min'!I:I,)</f>
        <v/>
      </c>
      <c r="AJ25" s="55" t="str">
        <f t="array" ref="AJ25">_xlfn.XLOOKUP(B25,'Up Max'!A:A,'Up Max'!I:I,)</f>
        <v/>
      </c>
      <c r="AK25" s="57" t="str">
        <f t="array" ref="AK25">_xlfn.XLOOKUP(B25,'Up Stats'!A:A,'Up Stats'!J:J,)</f>
        <v/>
      </c>
      <c r="AL25" s="54" t="str">
        <f>IFERROR(__xludf.DUMMYFUNCTION("if(AND(AM25=FALSE,AN25=FALSE),,if(AM25=AN25,JOIN("""",""Static: "",AM25),JOIN("""",""Min:  "",AM25, CHAR(10),""Max: "",AN25)))"),"")</f>
        <v/>
      </c>
      <c r="AM25" s="55" t="str">
        <f t="array" ref="AM25">_xlfn.XLOOKUP(B25,'Up Min'!A:A,'Up Min'!J:J,)</f>
        <v/>
      </c>
      <c r="AN25" s="55" t="str">
        <f t="array" ref="AN25">_xlfn.XLOOKUP(B25,'Up Max'!A:A,'Up Max'!J:J,)</f>
        <v/>
      </c>
      <c r="AO25" s="51" t="str">
        <f t="array" ref="AO25">CONCATENATE(_xlfn.XLOOKUP(B25,'Up Cells'!A:A,'Up Cells'!B:B,))</f>
        <v>4</v>
      </c>
      <c r="AP25" s="51" t="str">
        <f t="array" ref="AP25">CONCATENATE(_xlfn.XLOOKUP(B25,'Up Rarity'!A:A,'Up Rarity'!B:B,),CHAR(10),"-")</f>
        <v>Rare
-</v>
      </c>
    </row>
    <row r="26">
      <c r="A26" s="84" t="str">
        <f t="array" ref="A26">_xlfn.XLOOKUP(B26,'Up Icon'!A:A,'Up Icon'!B:B,)</f>
        <v/>
      </c>
      <c r="B26" s="66" t="str">
        <f t="array" ref="B26">HYPERLINK(_xlfn.XLOOKUP('Up Names'!N19,'Up Wiki'!A:A,'Up Wiki'!B:B,),'Up Names'!N19)</f>
        <v>Engorge</v>
      </c>
      <c r="C26" s="37" t="str">
        <f t="array" ref="C26">_xlfn.XLOOKUP(B26,'Up Desc'!A:A,'Up Desc'!B:B,)</f>
        <v>Explosion size is increased.</v>
      </c>
      <c r="D26" s="37" t="str">
        <f t="array" ref="D26">_xlfn.XLOOKUP(B26,'Up Turbo'!A:A,'Up Turbo'!B:B,)</f>
        <v>n/a</v>
      </c>
      <c r="E26" s="39" t="str">
        <f t="array" ref="E26">_xlfn.XLOOKUP(B26,'Up Stats'!A:A,'Up Stats'!B:B,)</f>
        <v>Explosion Size</v>
      </c>
      <c r="F26" s="40" t="str">
        <f>IFERROR(__xludf.DUMMYFUNCTION("if(AND(G26=FALSE,H26=FALSE),,if(G26=H26,JOIN("""",""Static: "",G26),JOIN("""",""Min:  "",G26, CHAR(10),""Max: "",H26)))"),"Min:  50%
Max: 78%")</f>
        <v>Min:  50%
Max: 78%</v>
      </c>
      <c r="G26" s="41">
        <f t="array" ref="G26">_xlfn.XLOOKUP(B26,'Up Min'!A:A,'Up Min'!B:B,)</f>
        <v>0.5</v>
      </c>
      <c r="H26" s="41">
        <f t="array" ref="H26">_xlfn.XLOOKUP(B26,'Up Max'!A:A,'Up Max'!B:B,)</f>
        <v>0.78</v>
      </c>
      <c r="I26" s="39" t="str">
        <f t="array" ref="I26">_xlfn.XLOOKUP(B26,'Up Stats'!A:A,'Up Stats'!C:C,)</f>
        <v/>
      </c>
      <c r="J26" s="40" t="str">
        <f>IFERROR(__xludf.DUMMYFUNCTION("if(AND(K26=FALSE,L26=FALSE),,if(K26=L26,JOIN("""",""Static: "",K26),JOIN("""",""Min:  "",K26, CHAR(10),""Max: "",L26)))"),"")</f>
        <v/>
      </c>
      <c r="K26" s="74" t="str">
        <f t="array" ref="K26">_xlfn.XLOOKUP(B26,'Up Min'!A:A,'Up Min'!C:C,)</f>
        <v/>
      </c>
      <c r="L26" s="74" t="str">
        <f t="array" ref="L26">_xlfn.XLOOKUP(B26,'Up Max'!A:A,'Up Max'!C:C,)</f>
        <v/>
      </c>
      <c r="M26" s="48" t="str">
        <f t="array" ref="M26">_xlfn.XLOOKUP(B26,'Up Stats'!A:A,'Up Stats'!D:D,)</f>
        <v/>
      </c>
      <c r="N26" s="40" t="str">
        <f>IFERROR(__xludf.DUMMYFUNCTION("if(AND(O26=FALSE,P26=FALSE),,if(O26=P26,JOIN("""",""Static: "",O26),JOIN("""",""Min:  "",O26, CHAR(10),""Max: "",P26)))"),"")</f>
        <v/>
      </c>
      <c r="O26" s="42" t="str">
        <f t="array" ref="O26">_xlfn.XLOOKUP(B26,'Up Min'!A:A,'Up Min'!D:D,)</f>
        <v/>
      </c>
      <c r="P26" s="42" t="str">
        <f t="array" ref="P26">_xlfn.XLOOKUP(B26,'Up Max'!A:A,'Up Max'!D:D,)</f>
        <v/>
      </c>
      <c r="Q26" s="48" t="str">
        <f t="array" ref="Q26">_xlfn.XLOOKUP(B26,'Up Stats'!A:A,'Up Stats'!E:E,)</f>
        <v/>
      </c>
      <c r="R26" s="40" t="str">
        <f>IFERROR(__xludf.DUMMYFUNCTION("if(AND(S26=FALSE,T26=FALSE),,if(S26=T26,JOIN("""",""Static: "",S26),JOIN("""",""Min:  "",S26, CHAR(10),""Max: "",T26)))"),"")</f>
        <v/>
      </c>
      <c r="S26" s="42" t="str">
        <f t="array" ref="S26">_xlfn.XLOOKUP(B26,'Up Min'!A:A,'Up Min'!E:E,)</f>
        <v/>
      </c>
      <c r="T26" s="42" t="str">
        <f t="array" ref="T26">_xlfn.XLOOKUP(B26,'Up Max'!A:A,'Up Max'!E:E,)</f>
        <v/>
      </c>
      <c r="U26" s="48" t="str">
        <f t="array" ref="U26">_xlfn.XLOOKUP(B26,'Up Stats'!A:A,'Up Stats'!F:F,)</f>
        <v/>
      </c>
      <c r="V26" s="40" t="str">
        <f>IFERROR(__xludf.DUMMYFUNCTION("if(AND(W26=FALSE,X26=FALSE),,if(W26=X26,JOIN("""",""Static: "",W26),JOIN("""",""Min:  "",W26, CHAR(10),""Max: "",X26)))"),"")</f>
        <v/>
      </c>
      <c r="W26" s="42" t="str">
        <f t="array" ref="W26">_xlfn.XLOOKUP(B26,'Up Min'!A:A,'Up Min'!F:F,)</f>
        <v/>
      </c>
      <c r="X26" s="42" t="str">
        <f t="array" ref="X26">_xlfn.XLOOKUP(B26,'Up Max'!A:A,'Up Max'!F:F,)</f>
        <v/>
      </c>
      <c r="Y26" s="48" t="str">
        <f t="array" ref="Y26">_xlfn.XLOOKUP(B26,'Up Stats'!A:A,'Up Stats'!G:G,)</f>
        <v/>
      </c>
      <c r="Z26" s="40" t="str">
        <f>IFERROR(__xludf.DUMMYFUNCTION("if(AND(AA26=FALSE,AB26=FALSE),,if(AA26=AB26,JOIN("""",""Static: "",AA26),JOIN("""",""Min:  "",AA26, CHAR(10),""Max: "",AB26)))"),"")</f>
        <v/>
      </c>
      <c r="AA26" s="42" t="str">
        <f t="array" ref="AA26">_xlfn.XLOOKUP(B26,'Up Min'!A:A,'Up Min'!G:G,)</f>
        <v/>
      </c>
      <c r="AB26" s="42" t="str">
        <f t="array" ref="AB26">_xlfn.XLOOKUP(B26,'Up Max'!A:A,'Up Max'!G:G,)</f>
        <v/>
      </c>
      <c r="AC26" s="48" t="str">
        <f t="array" ref="AC26">_xlfn.XLOOKUP(B26,'Up Stats'!A:A,'Up Stats'!H:H,)</f>
        <v/>
      </c>
      <c r="AD26" s="40" t="str">
        <f>IFERROR(__xludf.DUMMYFUNCTION("if(AND(AE26=FALSE,AF26=FALSE),,if(AE26=AF26,JOIN("""",""Static: "",AE26),JOIN("""",""Min:  "",AE26, CHAR(10),""Max: "",AF26)))"),"")</f>
        <v/>
      </c>
      <c r="AE26" s="42" t="str">
        <f t="array" ref="AE26">_xlfn.XLOOKUP(B26,'Up Min'!A:A,'Up Min'!H:H,)</f>
        <v/>
      </c>
      <c r="AF26" s="42" t="str">
        <f t="array" ref="AF26">_xlfn.XLOOKUP(B26,'Up Max'!A:A,'Up Max'!H:H,)</f>
        <v/>
      </c>
      <c r="AG26" s="48" t="str">
        <f t="array" ref="AG26">_xlfn.XLOOKUP(B26,'Up Stats'!A:A,'Up Stats'!I:I,)</f>
        <v/>
      </c>
      <c r="AH26" s="40" t="str">
        <f>IFERROR(__xludf.DUMMYFUNCTION("if(AND(AI26=FALSE,AJ26=FALSE),,if(AI26=AJ26,JOIN("""",""Static: "",AI26),JOIN("""",""Min:  "",AI26, CHAR(10),""Max: "",AJ26)))"),"")</f>
        <v/>
      </c>
      <c r="AI26" s="42" t="str">
        <f t="array" ref="AI26">_xlfn.XLOOKUP(B26,'Up Min'!A:A,'Up Min'!I:I,)</f>
        <v/>
      </c>
      <c r="AJ26" s="42" t="str">
        <f t="array" ref="AJ26">_xlfn.XLOOKUP(B26,'Up Max'!A:A,'Up Max'!I:I,)</f>
        <v/>
      </c>
      <c r="AK26" s="48" t="str">
        <f t="array" ref="AK26">_xlfn.XLOOKUP(B26,'Up Stats'!A:A,'Up Stats'!J:J,)</f>
        <v/>
      </c>
      <c r="AL26" s="40" t="str">
        <f>IFERROR(__xludf.DUMMYFUNCTION("if(AND(AM26=FALSE,AN26=FALSE),,if(AM26=AN26,JOIN("""",""Static: "",AM26),JOIN("""",""Min:  "",AM26, CHAR(10),""Max: "",AN26)))"),"")</f>
        <v/>
      </c>
      <c r="AM26" s="42" t="str">
        <f t="array" ref="AM26">_xlfn.XLOOKUP(B26,'Up Min'!A:A,'Up Min'!J:J,)</f>
        <v/>
      </c>
      <c r="AN26" s="42" t="str">
        <f t="array" ref="AN26">_xlfn.XLOOKUP(B26,'Up Max'!A:A,'Up Max'!J:J,)</f>
        <v/>
      </c>
      <c r="AO26" s="34" t="str">
        <f t="array" ref="AO26">CONCATENATE(_xlfn.XLOOKUP(B26,'Up Cells'!A:A,'Up Cells'!B:B,))</f>
        <v>4</v>
      </c>
      <c r="AP26" s="34" t="str">
        <f t="array" ref="AP26">CONCATENATE(_xlfn.XLOOKUP(B26,'Up Rarity'!A:A,'Up Rarity'!B:B,),CHAR(10),"-")</f>
        <v>Standard
-</v>
      </c>
    </row>
    <row r="27">
      <c r="A27" s="84" t="str">
        <f t="array" ref="A27">_xlfn.XLOOKUP(B27,'Up Icon'!A:A,'Up Icon'!B:B,)</f>
        <v/>
      </c>
      <c r="B27" s="63" t="str">
        <f t="array" ref="B27">HYPERLINK(_xlfn.XLOOKUP('Up Names'!N20,'Up Wiki'!A:A,'Up Wiki'!B:B,),'Up Names'!N20)</f>
        <v>Fastball</v>
      </c>
      <c r="C27" s="52" t="str">
        <f t="array" ref="C27">_xlfn.XLOOKUP(B27,'Up Desc'!A:A,'Up Desc'!B:B,)</f>
        <v>Throw grenades with more force.</v>
      </c>
      <c r="D27" s="52" t="str">
        <f t="array" ref="D27">_xlfn.XLOOKUP(B27,'Up Turbo'!A:A,'Up Turbo'!B:B,)</f>
        <v>n/a</v>
      </c>
      <c r="E27" s="53" t="str">
        <f t="array" ref="E27">_xlfn.XLOOKUP(B27,'Up Stats'!A:A,'Up Stats'!B:B,)</f>
        <v>Bullet Speed</v>
      </c>
      <c r="F27" s="54" t="str">
        <f>IFERROR(__xludf.DUMMYFUNCTION("if(AND(G27=FALSE,H27=FALSE),,if(G27=H27,JOIN("""",""Static: "",G27),JOIN("""",""Min:  "",G27, CHAR(10),""Max: "",H27)))"),"Min:  30%
Max: 110%")</f>
        <v>Min:  30%
Max: 110%</v>
      </c>
      <c r="G27" s="59">
        <f t="array" ref="G27">_xlfn.XLOOKUP(B27,'Up Min'!A:A,'Up Min'!B:B,)</f>
        <v>0.3</v>
      </c>
      <c r="H27" s="59">
        <f t="array" ref="H27">_xlfn.XLOOKUP(B27,'Up Max'!A:A,'Up Max'!B:B,)</f>
        <v>1.1</v>
      </c>
      <c r="I27" s="53" t="str">
        <f t="array" ref="I27">_xlfn.XLOOKUP(B27,'Up Stats'!A:A,'Up Stats'!C:C,)</f>
        <v/>
      </c>
      <c r="J27" s="54" t="str">
        <f>IFERROR(__xludf.DUMMYFUNCTION("if(AND(K27=FALSE,L27=FALSE),,if(K27=L27,JOIN("""",""Static: "",K27),JOIN("""",""Min:  "",K27, CHAR(10),""Max: "",L27)))"),"")</f>
        <v/>
      </c>
      <c r="K27" s="72" t="str">
        <f t="array" ref="K27">_xlfn.XLOOKUP(B27,'Up Min'!A:A,'Up Min'!C:C,)</f>
        <v/>
      </c>
      <c r="L27" s="72" t="str">
        <f t="array" ref="L27">_xlfn.XLOOKUP(B27,'Up Max'!A:A,'Up Max'!C:C,)</f>
        <v/>
      </c>
      <c r="M27" s="57" t="str">
        <f t="array" ref="M27">_xlfn.XLOOKUP(B27,'Up Stats'!A:A,'Up Stats'!D:D,)</f>
        <v/>
      </c>
      <c r="N27" s="54" t="str">
        <f>IFERROR(__xludf.DUMMYFUNCTION("if(AND(O27=FALSE,P27=FALSE),,if(O27=P27,JOIN("""",""Static: "",O27),JOIN("""",""Min:  "",O27, CHAR(10),""Max: "",P27)))"),"")</f>
        <v/>
      </c>
      <c r="O27" s="55" t="str">
        <f t="array" ref="O27">_xlfn.XLOOKUP(B27,'Up Min'!A:A,'Up Min'!D:D,)</f>
        <v/>
      </c>
      <c r="P27" s="55" t="str">
        <f t="array" ref="P27">_xlfn.XLOOKUP(B27,'Up Max'!A:A,'Up Max'!D:D,)</f>
        <v/>
      </c>
      <c r="Q27" s="57" t="str">
        <f t="array" ref="Q27">_xlfn.XLOOKUP(B27,'Up Stats'!A:A,'Up Stats'!E:E,)</f>
        <v/>
      </c>
      <c r="R27" s="54" t="str">
        <f>IFERROR(__xludf.DUMMYFUNCTION("if(AND(S27=FALSE,T27=FALSE),,if(S27=T27,JOIN("""",""Static: "",S27),JOIN("""",""Min:  "",S27, CHAR(10),""Max: "",T27)))"),"")</f>
        <v/>
      </c>
      <c r="S27" s="55" t="str">
        <f t="array" ref="S27">_xlfn.XLOOKUP(B27,'Up Min'!A:A,'Up Min'!E:E,)</f>
        <v/>
      </c>
      <c r="T27" s="55" t="str">
        <f t="array" ref="T27">_xlfn.XLOOKUP(B27,'Up Max'!A:A,'Up Max'!E:E,)</f>
        <v/>
      </c>
      <c r="U27" s="57" t="str">
        <f t="array" ref="U27">_xlfn.XLOOKUP(B27,'Up Stats'!A:A,'Up Stats'!F:F,)</f>
        <v/>
      </c>
      <c r="V27" s="54" t="str">
        <f>IFERROR(__xludf.DUMMYFUNCTION("if(AND(W27=FALSE,X27=FALSE),,if(W27=X27,JOIN("""",""Static: "",W27),JOIN("""",""Min:  "",W27, CHAR(10),""Max: "",X27)))"),"")</f>
        <v/>
      </c>
      <c r="W27" s="55" t="str">
        <f t="array" ref="W27">_xlfn.XLOOKUP(B27,'Up Min'!A:A,'Up Min'!F:F,)</f>
        <v/>
      </c>
      <c r="X27" s="55" t="str">
        <f t="array" ref="X27">_xlfn.XLOOKUP(B27,'Up Max'!A:A,'Up Max'!F:F,)</f>
        <v/>
      </c>
      <c r="Y27" s="57" t="str">
        <f t="array" ref="Y27">_xlfn.XLOOKUP(B27,'Up Stats'!A:A,'Up Stats'!G:G,)</f>
        <v/>
      </c>
      <c r="Z27" s="54" t="str">
        <f>IFERROR(__xludf.DUMMYFUNCTION("if(AND(AA27=FALSE,AB27=FALSE),,if(AA27=AB27,JOIN("""",""Static: "",AA27),JOIN("""",""Min:  "",AA27, CHAR(10),""Max: "",AB27)))"),"")</f>
        <v/>
      </c>
      <c r="AA27" s="55" t="str">
        <f t="array" ref="AA27">_xlfn.XLOOKUP(B27,'Up Min'!A:A,'Up Min'!G:G,)</f>
        <v/>
      </c>
      <c r="AB27" s="55" t="str">
        <f t="array" ref="AB27">_xlfn.XLOOKUP(B27,'Up Max'!A:A,'Up Max'!G:G,)</f>
        <v/>
      </c>
      <c r="AC27" s="57" t="str">
        <f t="array" ref="AC27">_xlfn.XLOOKUP(B27,'Up Stats'!A:A,'Up Stats'!H:H,)</f>
        <v/>
      </c>
      <c r="AD27" s="54" t="str">
        <f>IFERROR(__xludf.DUMMYFUNCTION("if(AND(AE27=FALSE,AF27=FALSE),,if(AE27=AF27,JOIN("""",""Static: "",AE27),JOIN("""",""Min:  "",AE27, CHAR(10),""Max: "",AF27)))"),"")</f>
        <v/>
      </c>
      <c r="AE27" s="55" t="str">
        <f t="array" ref="AE27">_xlfn.XLOOKUP(B27,'Up Min'!A:A,'Up Min'!H:H,)</f>
        <v/>
      </c>
      <c r="AF27" s="55" t="str">
        <f t="array" ref="AF27">_xlfn.XLOOKUP(B27,'Up Max'!A:A,'Up Max'!H:H,)</f>
        <v/>
      </c>
      <c r="AG27" s="57" t="str">
        <f t="array" ref="AG27">_xlfn.XLOOKUP(B27,'Up Stats'!A:A,'Up Stats'!I:I,)</f>
        <v/>
      </c>
      <c r="AH27" s="54" t="str">
        <f>IFERROR(__xludf.DUMMYFUNCTION("if(AND(AI27=FALSE,AJ27=FALSE),,if(AI27=AJ27,JOIN("""",""Static: "",AI27),JOIN("""",""Min:  "",AI27, CHAR(10),""Max: "",AJ27)))"),"")</f>
        <v/>
      </c>
      <c r="AI27" s="55" t="str">
        <f t="array" ref="AI27">_xlfn.XLOOKUP(B27,'Up Min'!A:A,'Up Min'!I:I,)</f>
        <v/>
      </c>
      <c r="AJ27" s="55" t="str">
        <f t="array" ref="AJ27">_xlfn.XLOOKUP(B27,'Up Max'!A:A,'Up Max'!I:I,)</f>
        <v/>
      </c>
      <c r="AK27" s="57" t="str">
        <f t="array" ref="AK27">_xlfn.XLOOKUP(B27,'Up Stats'!A:A,'Up Stats'!J:J,)</f>
        <v/>
      </c>
      <c r="AL27" s="54" t="str">
        <f>IFERROR(__xludf.DUMMYFUNCTION("if(AND(AM27=FALSE,AN27=FALSE),,if(AM27=AN27,JOIN("""",""Static: "",AM27),JOIN("""",""Min:  "",AM27, CHAR(10),""Max: "",AN27)))"),"")</f>
        <v/>
      </c>
      <c r="AM27" s="55" t="str">
        <f t="array" ref="AM27">_xlfn.XLOOKUP(B27,'Up Min'!A:A,'Up Min'!J:J,)</f>
        <v/>
      </c>
      <c r="AN27" s="55" t="str">
        <f t="array" ref="AN27">_xlfn.XLOOKUP(B27,'Up Max'!A:A,'Up Max'!J:J,)</f>
        <v/>
      </c>
      <c r="AO27" s="51" t="str">
        <f t="array" ref="AO27">CONCATENATE(_xlfn.XLOOKUP(B27,'Up Cells'!A:A,'Up Cells'!B:B,))</f>
        <v>3</v>
      </c>
      <c r="AP27" s="51" t="str">
        <f t="array" ref="AP27">CONCATENATE(_xlfn.XLOOKUP(B27,'Up Rarity'!A:A,'Up Rarity'!B:B,),CHAR(10),"-")</f>
        <v>Standard
-</v>
      </c>
    </row>
    <row r="28">
      <c r="A28" s="84" t="str">
        <f t="array" ref="A28">_xlfn.XLOOKUP(B28,'Up Icon'!A:A,'Up Icon'!B:B,)</f>
        <v/>
      </c>
      <c r="B28" s="66" t="str">
        <f t="array" ref="B28">HYPERLINK(_xlfn.XLOOKUP('Up Names'!N21,'Up Wiki'!A:A,'Up Wiki'!B:B,),'Up Names'!N21)</f>
        <v>Insulated Gloves</v>
      </c>
      <c r="C28" s="37" t="str">
        <f t="array" ref="C28">_xlfn.XLOOKUP(B28,'Up Desc'!A:A,'Up Desc'!B:B,)</f>
        <v>Your grenade applies less of its element to you.</v>
      </c>
      <c r="D28" s="37" t="str">
        <f t="array" ref="D28">_xlfn.XLOOKUP(B28,'Up Turbo'!A:A,'Up Turbo'!B:B,)</f>
        <v>n/a</v>
      </c>
      <c r="E28" s="39" t="str">
        <f t="array" ref="E28">_xlfn.XLOOKUP(B28,'Up Stats'!A:A,'Up Stats'!B:B,)</f>
        <v>Self Damage</v>
      </c>
      <c r="F28" s="40" t="str">
        <f>IFERROR(__xludf.DUMMYFUNCTION("if(AND(G28=FALSE,H28=FALSE),,if(G28=H28,JOIN("""",""Static: "",G28),JOIN("""",""Min:  "",G28, CHAR(10),""Max: "",H28)))"),"Min:  -85%
Max: -60%")</f>
        <v>Min:  -85%
Max: -60%</v>
      </c>
      <c r="G28" s="41">
        <f t="array" ref="G28">_xlfn.XLOOKUP(B28,'Up Min'!A:A,'Up Min'!B:B,)</f>
        <v>-0.85</v>
      </c>
      <c r="H28" s="41">
        <f t="array" ref="H28">_xlfn.XLOOKUP(B28,'Up Max'!A:A,'Up Max'!B:B,)</f>
        <v>-0.6</v>
      </c>
      <c r="I28" s="39" t="str">
        <f t="array" ref="I28">_xlfn.XLOOKUP(B28,'Up Stats'!A:A,'Up Stats'!C:C,)</f>
        <v/>
      </c>
      <c r="J28" s="40" t="str">
        <f>IFERROR(__xludf.DUMMYFUNCTION("if(AND(K28=FALSE,L28=FALSE),,if(K28=L28,JOIN("""",""Static: "",K28),JOIN("""",""Min:  "",K28, CHAR(10),""Max: "",L28)))"),"")</f>
        <v/>
      </c>
      <c r="K28" s="74" t="str">
        <f t="array" ref="K28">_xlfn.XLOOKUP(B28,'Up Min'!A:A,'Up Min'!C:C,)</f>
        <v/>
      </c>
      <c r="L28" s="74" t="str">
        <f t="array" ref="L28">_xlfn.XLOOKUP(B28,'Up Max'!A:A,'Up Max'!C:C,)</f>
        <v/>
      </c>
      <c r="M28" s="48" t="str">
        <f t="array" ref="M28">_xlfn.XLOOKUP(B28,'Up Stats'!A:A,'Up Stats'!D:D,)</f>
        <v/>
      </c>
      <c r="N28" s="40" t="str">
        <f>IFERROR(__xludf.DUMMYFUNCTION("if(AND(O28=FALSE,P28=FALSE),,if(O28=P28,JOIN("""",""Static: "",O28),JOIN("""",""Min:  "",O28, CHAR(10),""Max: "",P28)))"),"")</f>
        <v/>
      </c>
      <c r="O28" s="42" t="str">
        <f t="array" ref="O28">_xlfn.XLOOKUP(B28,'Up Min'!A:A,'Up Min'!D:D,)</f>
        <v/>
      </c>
      <c r="P28" s="42" t="str">
        <f t="array" ref="P28">_xlfn.XLOOKUP(B28,'Up Max'!A:A,'Up Max'!D:D,)</f>
        <v/>
      </c>
      <c r="Q28" s="48" t="str">
        <f t="array" ref="Q28">_xlfn.XLOOKUP(B28,'Up Stats'!A:A,'Up Stats'!E:E,)</f>
        <v/>
      </c>
      <c r="R28" s="40" t="str">
        <f>IFERROR(__xludf.DUMMYFUNCTION("if(AND(S28=FALSE,T28=FALSE),,if(S28=T28,JOIN("""",""Static: "",S28),JOIN("""",""Min:  "",S28, CHAR(10),""Max: "",T28)))"),"")</f>
        <v/>
      </c>
      <c r="S28" s="42" t="str">
        <f t="array" ref="S28">_xlfn.XLOOKUP(B28,'Up Min'!A:A,'Up Min'!E:E,)</f>
        <v/>
      </c>
      <c r="T28" s="42" t="str">
        <f t="array" ref="T28">_xlfn.XLOOKUP(B28,'Up Max'!A:A,'Up Max'!E:E,)</f>
        <v/>
      </c>
      <c r="U28" s="48" t="str">
        <f t="array" ref="U28">_xlfn.XLOOKUP(B28,'Up Stats'!A:A,'Up Stats'!F:F,)</f>
        <v/>
      </c>
      <c r="V28" s="40" t="str">
        <f>IFERROR(__xludf.DUMMYFUNCTION("if(AND(W28=FALSE,X28=FALSE),,if(W28=X28,JOIN("""",""Static: "",W28),JOIN("""",""Min:  "",W28, CHAR(10),""Max: "",X28)))"),"")</f>
        <v/>
      </c>
      <c r="W28" s="42" t="str">
        <f t="array" ref="W28">_xlfn.XLOOKUP(B28,'Up Min'!A:A,'Up Min'!F:F,)</f>
        <v/>
      </c>
      <c r="X28" s="42" t="str">
        <f t="array" ref="X28">_xlfn.XLOOKUP(B28,'Up Max'!A:A,'Up Max'!F:F,)</f>
        <v/>
      </c>
      <c r="Y28" s="48" t="str">
        <f t="array" ref="Y28">_xlfn.XLOOKUP(B28,'Up Stats'!A:A,'Up Stats'!G:G,)</f>
        <v/>
      </c>
      <c r="Z28" s="40" t="str">
        <f>IFERROR(__xludf.DUMMYFUNCTION("if(AND(AA28=FALSE,AB28=FALSE),,if(AA28=AB28,JOIN("""",""Static: "",AA28),JOIN("""",""Min:  "",AA28, CHAR(10),""Max: "",AB28)))"),"")</f>
        <v/>
      </c>
      <c r="AA28" s="42" t="str">
        <f t="array" ref="AA28">_xlfn.XLOOKUP(B28,'Up Min'!A:A,'Up Min'!G:G,)</f>
        <v/>
      </c>
      <c r="AB28" s="42" t="str">
        <f t="array" ref="AB28">_xlfn.XLOOKUP(B28,'Up Max'!A:A,'Up Max'!G:G,)</f>
        <v/>
      </c>
      <c r="AC28" s="48" t="str">
        <f t="array" ref="AC28">_xlfn.XLOOKUP(B28,'Up Stats'!A:A,'Up Stats'!H:H,)</f>
        <v/>
      </c>
      <c r="AD28" s="40" t="str">
        <f>IFERROR(__xludf.DUMMYFUNCTION("if(AND(AE28=FALSE,AF28=FALSE),,if(AE28=AF28,JOIN("""",""Static: "",AE28),JOIN("""",""Min:  "",AE28, CHAR(10),""Max: "",AF28)))"),"")</f>
        <v/>
      </c>
      <c r="AE28" s="42" t="str">
        <f t="array" ref="AE28">_xlfn.XLOOKUP(B28,'Up Min'!A:A,'Up Min'!H:H,)</f>
        <v/>
      </c>
      <c r="AF28" s="42" t="str">
        <f t="array" ref="AF28">_xlfn.XLOOKUP(B28,'Up Max'!A:A,'Up Max'!H:H,)</f>
        <v/>
      </c>
      <c r="AG28" s="48" t="str">
        <f t="array" ref="AG28">_xlfn.XLOOKUP(B28,'Up Stats'!A:A,'Up Stats'!I:I,)</f>
        <v/>
      </c>
      <c r="AH28" s="40" t="str">
        <f>IFERROR(__xludf.DUMMYFUNCTION("if(AND(AI28=FALSE,AJ28=FALSE),,if(AI28=AJ28,JOIN("""",""Static: "",AI28),JOIN("""",""Min:  "",AI28, CHAR(10),""Max: "",AJ28)))"),"")</f>
        <v/>
      </c>
      <c r="AI28" s="42" t="str">
        <f t="array" ref="AI28">_xlfn.XLOOKUP(B28,'Up Min'!A:A,'Up Min'!I:I,)</f>
        <v/>
      </c>
      <c r="AJ28" s="42" t="str">
        <f t="array" ref="AJ28">_xlfn.XLOOKUP(B28,'Up Max'!A:A,'Up Max'!I:I,)</f>
        <v/>
      </c>
      <c r="AK28" s="48" t="str">
        <f t="array" ref="AK28">_xlfn.XLOOKUP(B28,'Up Stats'!A:A,'Up Stats'!J:J,)</f>
        <v/>
      </c>
      <c r="AL28" s="40" t="str">
        <f>IFERROR(__xludf.DUMMYFUNCTION("if(AND(AM28=FALSE,AN28=FALSE),,if(AM28=AN28,JOIN("""",""Static: "",AM28),JOIN("""",""Min:  "",AM28, CHAR(10),""Max: "",AN28)))"),"")</f>
        <v/>
      </c>
      <c r="AM28" s="42" t="str">
        <f t="array" ref="AM28">_xlfn.XLOOKUP(B28,'Up Min'!A:A,'Up Min'!J:J,)</f>
        <v/>
      </c>
      <c r="AN28" s="42" t="str">
        <f t="array" ref="AN28">_xlfn.XLOOKUP(B28,'Up Max'!A:A,'Up Max'!J:J,)</f>
        <v/>
      </c>
      <c r="AO28" s="34" t="str">
        <f t="array" ref="AO28">CONCATENATE(_xlfn.XLOOKUP(B28,'Up Cells'!A:A,'Up Cells'!B:B,))</f>
        <v>3</v>
      </c>
      <c r="AP28" s="34" t="str">
        <f t="array" ref="AP28">CONCATENATE(_xlfn.XLOOKUP(B28,'Up Rarity'!A:A,'Up Rarity'!B:B,),CHAR(10),"-")</f>
        <v>Standard
-</v>
      </c>
    </row>
    <row r="29">
      <c r="A29" s="86" t="str">
        <f t="array" ref="A29">_xlfn.XLOOKUP(B29,'Up Icon'!A:A,'Up Icon'!B:B,)</f>
        <v/>
      </c>
      <c r="B29" s="51" t="str">
        <f t="array" ref="B29">HYPERLINK(_xlfn.XLOOKUP('Up Names'!N29,'Up Wiki'!A:A,'Up Wiki'!B:B,),'Up Names'!N29)</f>
        <v/>
      </c>
      <c r="C29" s="52" t="str">
        <f t="array" ref="C29">_xlfn.XLOOKUP(B29,'Up Desc'!A:A,'Up Desc'!B:B,)</f>
        <v/>
      </c>
      <c r="D29" s="52" t="str">
        <f t="array" ref="D29">_xlfn.XLOOKUP(B29,'Up Turbo'!A:A,'Up Turbo'!B:B,)</f>
        <v/>
      </c>
      <c r="E29" s="53" t="str">
        <f t="array" ref="E29">_xlfn.XLOOKUP(B29,'Up Stats'!A:A,'Up Stats'!B:B,)</f>
        <v/>
      </c>
      <c r="F29" s="54" t="str">
        <f>IFERROR(__xludf.DUMMYFUNCTION("if(AND(G29=FALSE,H29=FALSE),,if(G29=H29,JOIN("""",""Static: "",G29),JOIN("""",""Min:  "",G29, CHAR(10),""Max: "",H29)))"),"")</f>
        <v/>
      </c>
      <c r="G29" s="55" t="str">
        <f t="array" ref="G29">_xlfn.XLOOKUP(B29,'Up Min'!A:A,'Up Min'!B:B,)</f>
        <v/>
      </c>
      <c r="H29" s="56" t="str">
        <f t="array" ref="H29">_xlfn.XLOOKUP(B29,'Up Max'!A:A,'Up Max'!B:B,)</f>
        <v/>
      </c>
      <c r="I29" s="53" t="str">
        <f t="array" ref="I29">_xlfn.XLOOKUP(B29,'Up Stats'!A:A,'Up Stats'!C:C,)</f>
        <v/>
      </c>
      <c r="J29" s="54" t="str">
        <f>IFERROR(__xludf.DUMMYFUNCTION("if(AND(K29=FALSE,L29=FALSE),,if(K29=L29,JOIN("""",""Static: "",K29),JOIN("""",""Min:  "",K29, CHAR(10),""Max: "",L29)))"),"")</f>
        <v/>
      </c>
      <c r="K29" s="55" t="str">
        <f t="array" ref="K29">_xlfn.XLOOKUP(B29,'Up Min'!A:A,'Up Min'!C:C,)</f>
        <v/>
      </c>
      <c r="L29" s="55" t="str">
        <f t="array" ref="L29">_xlfn.XLOOKUP(B29,'Up Max'!A:A,'Up Max'!C:C,)</f>
        <v/>
      </c>
      <c r="M29" s="57" t="str">
        <f t="array" ref="M29">_xlfn.XLOOKUP(B29,'Up Stats'!A:A,'Up Stats'!D:D,)</f>
        <v/>
      </c>
      <c r="N29" s="54" t="str">
        <f>IFERROR(__xludf.DUMMYFUNCTION("if(AND(O29=FALSE,P29=FALSE),,if(O29=P29,JOIN("""",""Static: "",O29),JOIN("""",""Min:  "",O29, CHAR(10),""Max: "",P29)))"),"")</f>
        <v/>
      </c>
      <c r="O29" s="55" t="str">
        <f t="array" ref="O29">_xlfn.XLOOKUP(B29,'Up Min'!A:A,'Up Min'!D:D,)</f>
        <v/>
      </c>
      <c r="P29" s="55" t="str">
        <f t="array" ref="P29">_xlfn.XLOOKUP(B29,'Up Max'!A:A,'Up Max'!D:D,)</f>
        <v/>
      </c>
      <c r="Q29" s="57" t="str">
        <f t="array" ref="Q29">_xlfn.XLOOKUP(B29,'Up Stats'!A:A,'Up Stats'!E:E,)</f>
        <v/>
      </c>
      <c r="R29" s="54" t="str">
        <f>IFERROR(__xludf.DUMMYFUNCTION("if(AND(S29=FALSE,T29=FALSE),,if(S29=T29,JOIN("""",""Static: "",S29),JOIN("""",""Min:  "",S29, CHAR(10),""Max: "",T29)))"),"")</f>
        <v/>
      </c>
      <c r="S29" s="55" t="str">
        <f t="array" ref="S29">_xlfn.XLOOKUP(B29,'Up Min'!A:A,'Up Min'!E:E,)</f>
        <v/>
      </c>
      <c r="T29" s="55" t="str">
        <f t="array" ref="T29">_xlfn.XLOOKUP(B29,'Up Max'!A:A,'Up Max'!E:E,)</f>
        <v/>
      </c>
      <c r="U29" s="57" t="str">
        <f t="array" ref="U29">_xlfn.XLOOKUP(B29,'Up Stats'!A:A,'Up Stats'!F:F,)</f>
        <v/>
      </c>
      <c r="V29" s="54" t="str">
        <f>IFERROR(__xludf.DUMMYFUNCTION("if(AND(W29=FALSE,X29=FALSE),,if(W29=X29,JOIN("""",""Static: "",W29),JOIN("""",""Min:  "",W29, CHAR(10),""Max: "",X29)))"),"")</f>
        <v/>
      </c>
      <c r="W29" s="55" t="str">
        <f t="array" ref="W29">_xlfn.XLOOKUP(B29,'Up Min'!A:A,'Up Min'!F:F,)</f>
        <v/>
      </c>
      <c r="X29" s="55" t="str">
        <f t="array" ref="X29">_xlfn.XLOOKUP(B29,'Up Max'!A:A,'Up Max'!F:F,)</f>
        <v/>
      </c>
      <c r="Y29" s="57" t="str">
        <f t="array" ref="Y29">_xlfn.XLOOKUP(B29,'Up Stats'!A:A,'Up Stats'!G:G,)</f>
        <v/>
      </c>
      <c r="Z29" s="54" t="str">
        <f>IFERROR(__xludf.DUMMYFUNCTION("if(AND(AA29=FALSE,AB29=FALSE),,if(AA29=AB29,JOIN("""",""Static: "",AA29),JOIN("""",""Min:  "",AA29, CHAR(10),""Max: "",AB29)))"),"")</f>
        <v/>
      </c>
      <c r="AA29" s="55" t="str">
        <f t="array" ref="AA29">_xlfn.XLOOKUP(B29,'Up Min'!A:A,'Up Min'!G:G,)</f>
        <v/>
      </c>
      <c r="AB29" s="55" t="str">
        <f t="array" ref="AB29">_xlfn.XLOOKUP(B29,'Up Max'!A:A,'Up Max'!G:G,)</f>
        <v/>
      </c>
      <c r="AC29" s="57" t="str">
        <f t="array" ref="AC29">_xlfn.XLOOKUP(B29,'Up Stats'!A:A,'Up Stats'!H:H,)</f>
        <v/>
      </c>
      <c r="AD29" s="54" t="str">
        <f>IFERROR(__xludf.DUMMYFUNCTION("if(AND(AE29=FALSE,AF29=FALSE),,if(AE29=AF29,JOIN("""",""Static: "",AE29),JOIN("""",""Min:  "",AE29, CHAR(10),""Max: "",AF29)))"),"")</f>
        <v/>
      </c>
      <c r="AE29" s="55" t="str">
        <f t="array" ref="AE29">_xlfn.XLOOKUP(B29,'Up Min'!A:A,'Up Min'!H:H,)</f>
        <v/>
      </c>
      <c r="AF29" s="55" t="str">
        <f t="array" ref="AF29">_xlfn.XLOOKUP(B29,'Up Max'!A:A,'Up Max'!H:H,)</f>
        <v/>
      </c>
      <c r="AG29" s="57" t="str">
        <f t="array" ref="AG29">_xlfn.XLOOKUP(B29,'Up Stats'!A:A,'Up Stats'!I:I,)</f>
        <v/>
      </c>
      <c r="AH29" s="54" t="str">
        <f>IFERROR(__xludf.DUMMYFUNCTION("if(AND(AI29=FALSE,AJ29=FALSE),,if(AI29=AJ29,JOIN("""",""Static: "",AI29),JOIN("""",""Min:  "",AI29, CHAR(10),""Max: "",AJ29)))"),"")</f>
        <v/>
      </c>
      <c r="AI29" s="55" t="str">
        <f t="array" ref="AI29">_xlfn.XLOOKUP(B29,'Up Min'!A:A,'Up Min'!I:I,)</f>
        <v/>
      </c>
      <c r="AJ29" s="55" t="str">
        <f t="array" ref="AJ29">_xlfn.XLOOKUP(B29,'Up Max'!A:A,'Up Max'!I:I,)</f>
        <v/>
      </c>
      <c r="AK29" s="57" t="str">
        <f t="array" ref="AK29">_xlfn.XLOOKUP(B29,'Up Stats'!A:A,'Up Stats'!J:J,)</f>
        <v/>
      </c>
      <c r="AL29" s="54" t="str">
        <f>IFERROR(__xludf.DUMMYFUNCTION("if(AND(AM29=FALSE,AN29=FALSE),,if(AM29=AN29,JOIN("""",""Static: "",AM29),JOIN("""",""Min:  "",AM29, CHAR(10),""Max: "",AN29)))"),"")</f>
        <v/>
      </c>
      <c r="AM29" s="55" t="str">
        <f t="array" ref="AM29">_xlfn.XLOOKUP(B29,'Up Min'!A:A,'Up Min'!J:J,)</f>
        <v/>
      </c>
      <c r="AN29" s="55" t="str">
        <f t="array" ref="AN29">_xlfn.XLOOKUP(B29,'Up Max'!A:A,'Up Max'!J:J,)</f>
        <v/>
      </c>
      <c r="AO29" s="51" t="str">
        <f t="array" ref="AO29">CONCATENATE(_xlfn.XLOOKUP(B29,'Up Cells'!A:A,'Up Cells'!B:B,))</f>
        <v/>
      </c>
      <c r="AP29" s="51" t="str">
        <f t="array" ref="AP29">CONCATENATE(_xlfn.XLOOKUP(B29,'Up Rarity'!A:A,'Up Rarity'!B:B,),CHAR(10),"-")</f>
        <v>
-</v>
      </c>
    </row>
    <row r="30">
      <c r="A30" s="87" t="str">
        <f t="array" ref="A30">_xlfn.XLOOKUP(B30,'Up Icon'!A:A,'Up Icon'!B:B,)</f>
        <v/>
      </c>
      <c r="B30" s="34" t="str">
        <f t="array" ref="B30">HYPERLINK(_xlfn.XLOOKUP('Up Names'!N30,'Up Wiki'!A:A,'Up Wiki'!B:B,),'Up Names'!N30)</f>
        <v/>
      </c>
      <c r="C30" s="37" t="str">
        <f t="array" ref="C30">_xlfn.XLOOKUP(B30,'Up Desc'!A:A,'Up Desc'!B:B,)</f>
        <v/>
      </c>
      <c r="D30" s="37" t="str">
        <f t="array" ref="D30">_xlfn.XLOOKUP(B30,'Up Turbo'!A:A,'Up Turbo'!B:B,)</f>
        <v/>
      </c>
      <c r="E30" s="39" t="str">
        <f t="array" ref="E30">_xlfn.XLOOKUP(B30,'Up Stats'!A:A,'Up Stats'!B:B,)</f>
        <v/>
      </c>
      <c r="F30" s="40" t="str">
        <f>IFERROR(__xludf.DUMMYFUNCTION("if(AND(G30=FALSE,H30=FALSE),,if(G30=H30,JOIN("""",""Static: "",G30),JOIN("""",""Min:  "",G30, CHAR(10),""Max: "",H30)))"),"")</f>
        <v/>
      </c>
      <c r="G30" s="42" t="str">
        <f t="array" ref="G30">_xlfn.XLOOKUP(B30,'Up Min'!A:A,'Up Min'!B:B,)</f>
        <v/>
      </c>
      <c r="H30" s="45" t="str">
        <f t="array" ref="H30">_xlfn.XLOOKUP(B30,'Up Max'!A:A,'Up Max'!B:B,)</f>
        <v/>
      </c>
      <c r="I30" s="39" t="str">
        <f t="array" ref="I30">_xlfn.XLOOKUP(B30,'Up Stats'!A:A,'Up Stats'!C:C,)</f>
        <v/>
      </c>
      <c r="J30" s="40" t="str">
        <f>IFERROR(__xludf.DUMMYFUNCTION("if(AND(K30=FALSE,L30=FALSE),,if(K30=L30,JOIN("""",""Static: "",K30),JOIN("""",""Min:  "",K30, CHAR(10),""Max: "",L30)))"),"")</f>
        <v/>
      </c>
      <c r="K30" s="42" t="str">
        <f t="array" ref="K30">_xlfn.XLOOKUP(B30,'Up Min'!A:A,'Up Min'!C:C,)</f>
        <v/>
      </c>
      <c r="L30" s="42" t="str">
        <f t="array" ref="L30">_xlfn.XLOOKUP(B30,'Up Max'!A:A,'Up Max'!C:C,)</f>
        <v/>
      </c>
      <c r="M30" s="48" t="str">
        <f t="array" ref="M30">_xlfn.XLOOKUP(B30,'Up Stats'!A:A,'Up Stats'!D:D,)</f>
        <v/>
      </c>
      <c r="N30" s="40" t="str">
        <f>IFERROR(__xludf.DUMMYFUNCTION("if(AND(O30=FALSE,P30=FALSE),,if(O30=P30,JOIN("""",""Static: "",O30),JOIN("""",""Min:  "",O30, CHAR(10),""Max: "",P30)))"),"")</f>
        <v/>
      </c>
      <c r="O30" s="42" t="str">
        <f t="array" ref="O30">_xlfn.XLOOKUP(B30,'Up Min'!A:A,'Up Min'!D:D,)</f>
        <v/>
      </c>
      <c r="P30" s="42" t="str">
        <f t="array" ref="P30">_xlfn.XLOOKUP(B30,'Up Max'!A:A,'Up Max'!D:D,)</f>
        <v/>
      </c>
      <c r="Q30" s="48" t="str">
        <f t="array" ref="Q30">_xlfn.XLOOKUP(B30,'Up Stats'!A:A,'Up Stats'!E:E,)</f>
        <v/>
      </c>
      <c r="R30" s="40" t="str">
        <f>IFERROR(__xludf.DUMMYFUNCTION("if(AND(S30=FALSE,T30=FALSE),,if(S30=T30,JOIN("""",""Static: "",S30),JOIN("""",""Min:  "",S30, CHAR(10),""Max: "",T30)))"),"")</f>
        <v/>
      </c>
      <c r="S30" s="42" t="str">
        <f t="array" ref="S30">_xlfn.XLOOKUP(B30,'Up Min'!A:A,'Up Min'!E:E,)</f>
        <v/>
      </c>
      <c r="T30" s="42" t="str">
        <f t="array" ref="T30">_xlfn.XLOOKUP(B30,'Up Max'!A:A,'Up Max'!E:E,)</f>
        <v/>
      </c>
      <c r="U30" s="48" t="str">
        <f t="array" ref="U30">_xlfn.XLOOKUP(B30,'Up Stats'!A:A,'Up Stats'!F:F,)</f>
        <v/>
      </c>
      <c r="V30" s="40" t="str">
        <f>IFERROR(__xludf.DUMMYFUNCTION("if(AND(W30=FALSE,X30=FALSE),,if(W30=X30,JOIN("""",""Static: "",W30),JOIN("""",""Min:  "",W30, CHAR(10),""Max: "",X30)))"),"")</f>
        <v/>
      </c>
      <c r="W30" s="42" t="str">
        <f t="array" ref="W30">_xlfn.XLOOKUP(B30,'Up Min'!A:A,'Up Min'!F:F,)</f>
        <v/>
      </c>
      <c r="X30" s="42" t="str">
        <f t="array" ref="X30">_xlfn.XLOOKUP(B30,'Up Max'!A:A,'Up Max'!F:F,)</f>
        <v/>
      </c>
      <c r="Y30" s="48" t="str">
        <f t="array" ref="Y30">_xlfn.XLOOKUP(B30,'Up Stats'!A:A,'Up Stats'!G:G,)</f>
        <v/>
      </c>
      <c r="Z30" s="40" t="str">
        <f>IFERROR(__xludf.DUMMYFUNCTION("if(AND(AA30=FALSE,AB30=FALSE),,if(AA30=AB30,JOIN("""",""Static: "",AA30),JOIN("""",""Min:  "",AA30, CHAR(10),""Max: "",AB30)))"),"")</f>
        <v/>
      </c>
      <c r="AA30" s="42" t="str">
        <f t="array" ref="AA30">_xlfn.XLOOKUP(B30,'Up Min'!A:A,'Up Min'!G:G,)</f>
        <v/>
      </c>
      <c r="AB30" s="42" t="str">
        <f t="array" ref="AB30">_xlfn.XLOOKUP(B30,'Up Max'!A:A,'Up Max'!G:G,)</f>
        <v/>
      </c>
      <c r="AC30" s="48" t="str">
        <f t="array" ref="AC30">_xlfn.XLOOKUP(B30,'Up Stats'!A:A,'Up Stats'!H:H,)</f>
        <v/>
      </c>
      <c r="AD30" s="40" t="str">
        <f>IFERROR(__xludf.DUMMYFUNCTION("if(AND(AE30=FALSE,AF30=FALSE),,if(AE30=AF30,JOIN("""",""Static: "",AE30),JOIN("""",""Min:  "",AE30, CHAR(10),""Max: "",AF30)))"),"")</f>
        <v/>
      </c>
      <c r="AE30" s="42" t="str">
        <f t="array" ref="AE30">_xlfn.XLOOKUP(B30,'Up Min'!A:A,'Up Min'!H:H,)</f>
        <v/>
      </c>
      <c r="AF30" s="42" t="str">
        <f t="array" ref="AF30">_xlfn.XLOOKUP(B30,'Up Max'!A:A,'Up Max'!H:H,)</f>
        <v/>
      </c>
      <c r="AG30" s="48" t="str">
        <f t="array" ref="AG30">_xlfn.XLOOKUP(B30,'Up Stats'!A:A,'Up Stats'!I:I,)</f>
        <v/>
      </c>
      <c r="AH30" s="40" t="str">
        <f>IFERROR(__xludf.DUMMYFUNCTION("if(AND(AI30=FALSE,AJ30=FALSE),,if(AI30=AJ30,JOIN("""",""Static: "",AI30),JOIN("""",""Min:  "",AI30, CHAR(10),""Max: "",AJ30)))"),"")</f>
        <v/>
      </c>
      <c r="AI30" s="42" t="str">
        <f t="array" ref="AI30">_xlfn.XLOOKUP(B30,'Up Min'!A:A,'Up Min'!I:I,)</f>
        <v/>
      </c>
      <c r="AJ30" s="42" t="str">
        <f t="array" ref="AJ30">_xlfn.XLOOKUP(B30,'Up Max'!A:A,'Up Max'!I:I,)</f>
        <v/>
      </c>
      <c r="AK30" s="48" t="str">
        <f t="array" ref="AK30">_xlfn.XLOOKUP(B30,'Up Stats'!A:A,'Up Stats'!J:J,)</f>
        <v/>
      </c>
      <c r="AL30" s="40" t="str">
        <f>IFERROR(__xludf.DUMMYFUNCTION("if(AND(AM30=FALSE,AN30=FALSE),,if(AM30=AN30,JOIN("""",""Static: "",AM30),JOIN("""",""Min:  "",AM30, CHAR(10),""Max: "",AN30)))"),"")</f>
        <v/>
      </c>
      <c r="AM30" s="42" t="str">
        <f t="array" ref="AM30">_xlfn.XLOOKUP(B30,'Up Min'!A:A,'Up Min'!J:J,)</f>
        <v/>
      </c>
      <c r="AN30" s="42" t="str">
        <f t="array" ref="AN30">_xlfn.XLOOKUP(B30,'Up Max'!A:A,'Up Max'!J:J,)</f>
        <v/>
      </c>
      <c r="AO30" s="34" t="str">
        <f t="array" ref="AO30">CONCATENATE(_xlfn.XLOOKUP(B30,'Up Cells'!A:A,'Up Cells'!B:B,))</f>
        <v/>
      </c>
      <c r="AP30" s="34" t="str">
        <f t="array" ref="AP30">CONCATENATE(_xlfn.XLOOKUP(B30,'Up Rarity'!A:A,'Up Rarity'!B:B,),CHAR(10),"-")</f>
        <v>
-</v>
      </c>
    </row>
    <row r="31">
      <c r="A31" s="86" t="str">
        <f t="array" ref="A31">_xlfn.XLOOKUP(B31,'Up Icon'!A:A,'Up Icon'!B:B,)</f>
        <v/>
      </c>
      <c r="B31" s="51" t="str">
        <f t="array" ref="B31">HYPERLINK(_xlfn.XLOOKUP('Up Names'!N31,'Up Wiki'!A:A,'Up Wiki'!B:B,),'Up Names'!N31)</f>
        <v/>
      </c>
      <c r="C31" s="52" t="str">
        <f t="array" ref="C31">_xlfn.XLOOKUP(B31,'Up Desc'!A:A,'Up Desc'!B:B,)</f>
        <v/>
      </c>
      <c r="D31" s="52" t="str">
        <f t="array" ref="D31">_xlfn.XLOOKUP(B31,'Up Turbo'!A:A,'Up Turbo'!B:B,)</f>
        <v/>
      </c>
      <c r="E31" s="53" t="str">
        <f t="array" ref="E31">_xlfn.XLOOKUP(B31,'Up Stats'!A:A,'Up Stats'!B:B,)</f>
        <v/>
      </c>
      <c r="F31" s="54" t="str">
        <f>IFERROR(__xludf.DUMMYFUNCTION("if(AND(G31=FALSE,H31=FALSE),,if(G31=H31,JOIN("""",""Static: "",G31),JOIN("""",""Min:  "",G31, CHAR(10),""Max: "",H31)))"),"")</f>
        <v/>
      </c>
      <c r="G31" s="55" t="str">
        <f t="array" ref="G31">_xlfn.XLOOKUP(B31,'Up Min'!A:A,'Up Min'!B:B,)</f>
        <v/>
      </c>
      <c r="H31" s="56" t="str">
        <f t="array" ref="H31">_xlfn.XLOOKUP(B31,'Up Max'!A:A,'Up Max'!B:B,)</f>
        <v/>
      </c>
      <c r="I31" s="53" t="str">
        <f t="array" ref="I31">_xlfn.XLOOKUP(B31,'Up Stats'!A:A,'Up Stats'!C:C,)</f>
        <v/>
      </c>
      <c r="J31" s="54" t="str">
        <f>IFERROR(__xludf.DUMMYFUNCTION("if(AND(K31=FALSE,L31=FALSE),,if(K31=L31,JOIN("""",""Static: "",K31),JOIN("""",""Min:  "",K31, CHAR(10),""Max: "",L31)))"),"")</f>
        <v/>
      </c>
      <c r="K31" s="55" t="str">
        <f t="array" ref="K31">_xlfn.XLOOKUP(B31,'Up Min'!A:A,'Up Min'!C:C,)</f>
        <v/>
      </c>
      <c r="L31" s="55" t="str">
        <f t="array" ref="L31">_xlfn.XLOOKUP(B31,'Up Max'!A:A,'Up Max'!C:C,)</f>
        <v/>
      </c>
      <c r="M31" s="57" t="str">
        <f t="array" ref="M31">_xlfn.XLOOKUP(B31,'Up Stats'!A:A,'Up Stats'!D:D,)</f>
        <v/>
      </c>
      <c r="N31" s="54" t="str">
        <f>IFERROR(__xludf.DUMMYFUNCTION("if(AND(O31=FALSE,P31=FALSE),,if(O31=P31,JOIN("""",""Static: "",O31),JOIN("""",""Min:  "",O31, CHAR(10),""Max: "",P31)))"),"")</f>
        <v/>
      </c>
      <c r="O31" s="55" t="str">
        <f t="array" ref="O31">_xlfn.XLOOKUP(B31,'Up Min'!A:A,'Up Min'!D:D,)</f>
        <v/>
      </c>
      <c r="P31" s="55" t="str">
        <f t="array" ref="P31">_xlfn.XLOOKUP(B31,'Up Max'!A:A,'Up Max'!D:D,)</f>
        <v/>
      </c>
      <c r="Q31" s="57" t="str">
        <f t="array" ref="Q31">_xlfn.XLOOKUP(B31,'Up Stats'!A:A,'Up Stats'!E:E,)</f>
        <v/>
      </c>
      <c r="R31" s="54" t="str">
        <f>IFERROR(__xludf.DUMMYFUNCTION("if(AND(S31=FALSE,T31=FALSE),,if(S31=T31,JOIN("""",""Static: "",S31),JOIN("""",""Min:  "",S31, CHAR(10),""Max: "",T31)))"),"")</f>
        <v/>
      </c>
      <c r="S31" s="55" t="str">
        <f t="array" ref="S31">_xlfn.XLOOKUP(B31,'Up Min'!A:A,'Up Min'!E:E,)</f>
        <v/>
      </c>
      <c r="T31" s="55" t="str">
        <f t="array" ref="T31">_xlfn.XLOOKUP(B31,'Up Max'!A:A,'Up Max'!E:E,)</f>
        <v/>
      </c>
      <c r="U31" s="57" t="str">
        <f t="array" ref="U31">_xlfn.XLOOKUP(B31,'Up Stats'!A:A,'Up Stats'!F:F,)</f>
        <v/>
      </c>
      <c r="V31" s="54" t="str">
        <f>IFERROR(__xludf.DUMMYFUNCTION("if(AND(W31=FALSE,X31=FALSE),,if(W31=X31,JOIN("""",""Static: "",W31),JOIN("""",""Min:  "",W31, CHAR(10),""Max: "",X31)))"),"")</f>
        <v/>
      </c>
      <c r="W31" s="55" t="str">
        <f t="array" ref="W31">_xlfn.XLOOKUP(B31,'Up Min'!A:A,'Up Min'!F:F,)</f>
        <v/>
      </c>
      <c r="X31" s="55" t="str">
        <f t="array" ref="X31">_xlfn.XLOOKUP(B31,'Up Max'!A:A,'Up Max'!F:F,)</f>
        <v/>
      </c>
      <c r="Y31" s="57" t="str">
        <f t="array" ref="Y31">_xlfn.XLOOKUP(B31,'Up Stats'!A:A,'Up Stats'!G:G,)</f>
        <v/>
      </c>
      <c r="Z31" s="54" t="str">
        <f>IFERROR(__xludf.DUMMYFUNCTION("if(AND(AA31=FALSE,AB31=FALSE),,if(AA31=AB31,JOIN("""",""Static: "",AA31),JOIN("""",""Min:  "",AA31, CHAR(10),""Max: "",AB31)))"),"")</f>
        <v/>
      </c>
      <c r="AA31" s="55" t="str">
        <f t="array" ref="AA31">_xlfn.XLOOKUP(B31,'Up Min'!A:A,'Up Min'!G:G,)</f>
        <v/>
      </c>
      <c r="AB31" s="55" t="str">
        <f t="array" ref="AB31">_xlfn.XLOOKUP(B31,'Up Max'!A:A,'Up Max'!G:G,)</f>
        <v/>
      </c>
      <c r="AC31" s="57" t="str">
        <f t="array" ref="AC31">_xlfn.XLOOKUP(B31,'Up Stats'!A:A,'Up Stats'!H:H,)</f>
        <v/>
      </c>
      <c r="AD31" s="54" t="str">
        <f>IFERROR(__xludf.DUMMYFUNCTION("if(AND(AE31=FALSE,AF31=FALSE),,if(AE31=AF31,JOIN("""",""Static: "",AE31),JOIN("""",""Min:  "",AE31, CHAR(10),""Max: "",AF31)))"),"")</f>
        <v/>
      </c>
      <c r="AE31" s="55" t="str">
        <f t="array" ref="AE31">_xlfn.XLOOKUP(B31,'Up Min'!A:A,'Up Min'!H:H,)</f>
        <v/>
      </c>
      <c r="AF31" s="55" t="str">
        <f t="array" ref="AF31">_xlfn.XLOOKUP(B31,'Up Max'!A:A,'Up Max'!H:H,)</f>
        <v/>
      </c>
      <c r="AG31" s="57" t="str">
        <f t="array" ref="AG31">_xlfn.XLOOKUP(B31,'Up Stats'!A:A,'Up Stats'!I:I,)</f>
        <v/>
      </c>
      <c r="AH31" s="54" t="str">
        <f>IFERROR(__xludf.DUMMYFUNCTION("if(AND(AI31=FALSE,AJ31=FALSE),,if(AI31=AJ31,JOIN("""",""Static: "",AI31),JOIN("""",""Min:  "",AI31, CHAR(10),""Max: "",AJ31)))"),"")</f>
        <v/>
      </c>
      <c r="AI31" s="55" t="str">
        <f t="array" ref="AI31">_xlfn.XLOOKUP(B31,'Up Min'!A:A,'Up Min'!I:I,)</f>
        <v/>
      </c>
      <c r="AJ31" s="55" t="str">
        <f t="array" ref="AJ31">_xlfn.XLOOKUP(B31,'Up Max'!A:A,'Up Max'!I:I,)</f>
        <v/>
      </c>
      <c r="AK31" s="57" t="str">
        <f t="array" ref="AK31">_xlfn.XLOOKUP(B31,'Up Stats'!A:A,'Up Stats'!J:J,)</f>
        <v/>
      </c>
      <c r="AL31" s="54" t="str">
        <f>IFERROR(__xludf.DUMMYFUNCTION("if(AND(AM31=FALSE,AN31=FALSE),,if(AM31=AN31,JOIN("""",""Static: "",AM31),JOIN("""",""Min:  "",AM31, CHAR(10),""Max: "",AN31)))"),"")</f>
        <v/>
      </c>
      <c r="AM31" s="55" t="str">
        <f t="array" ref="AM31">_xlfn.XLOOKUP(B31,'Up Min'!A:A,'Up Min'!J:J,)</f>
        <v/>
      </c>
      <c r="AN31" s="55" t="str">
        <f t="array" ref="AN31">_xlfn.XLOOKUP(B31,'Up Max'!A:A,'Up Max'!J:J,)</f>
        <v/>
      </c>
      <c r="AO31" s="51" t="str">
        <f t="array" ref="AO31">CONCATENATE(_xlfn.XLOOKUP(B31,'Up Cells'!A:A,'Up Cells'!B:B,))</f>
        <v/>
      </c>
      <c r="AP31" s="51" t="str">
        <f t="array" ref="AP31">CONCATENATE(_xlfn.XLOOKUP(B31,'Up Rarity'!A:A,'Up Rarity'!B:B,),CHAR(10),"-")</f>
        <v>
-</v>
      </c>
    </row>
    <row r="32">
      <c r="A32" s="87" t="str">
        <f t="array" ref="A32">_xlfn.XLOOKUP(B32,'Up Icon'!A:A,'Up Icon'!B:B,)</f>
        <v/>
      </c>
      <c r="B32" s="34" t="str">
        <f t="array" ref="B32">HYPERLINK(_xlfn.XLOOKUP('Up Names'!N32,'Up Wiki'!A:A,'Up Wiki'!B:B,),'Up Names'!N32)</f>
        <v/>
      </c>
      <c r="C32" s="37" t="str">
        <f t="array" ref="C32">_xlfn.XLOOKUP(B32,'Up Desc'!A:A,'Up Desc'!B:B,)</f>
        <v/>
      </c>
      <c r="D32" s="37" t="str">
        <f t="array" ref="D32">_xlfn.XLOOKUP(B32,'Up Turbo'!A:A,'Up Turbo'!B:B,)</f>
        <v/>
      </c>
      <c r="E32" s="39" t="str">
        <f t="array" ref="E32">_xlfn.XLOOKUP(B32,'Up Stats'!A:A,'Up Stats'!B:B,)</f>
        <v/>
      </c>
      <c r="F32" s="40" t="str">
        <f>IFERROR(__xludf.DUMMYFUNCTION("if(AND(G32=FALSE,H32=FALSE),,if(G32=H32,JOIN("""",""Static: "",G32),JOIN("""",""Min:  "",G32, CHAR(10),""Max: "",H32)))"),"")</f>
        <v/>
      </c>
      <c r="G32" s="42" t="str">
        <f t="array" ref="G32">_xlfn.XLOOKUP(B32,'Up Min'!A:A,'Up Min'!B:B,)</f>
        <v/>
      </c>
      <c r="H32" s="45" t="str">
        <f t="array" ref="H32">_xlfn.XLOOKUP(B32,'Up Max'!A:A,'Up Max'!B:B,)</f>
        <v/>
      </c>
      <c r="I32" s="39" t="str">
        <f t="array" ref="I32">_xlfn.XLOOKUP(B32,'Up Stats'!A:A,'Up Stats'!C:C,)</f>
        <v/>
      </c>
      <c r="J32" s="40" t="str">
        <f>IFERROR(__xludf.DUMMYFUNCTION("if(AND(K32=FALSE,L32=FALSE),,if(K32=L32,JOIN("""",""Static: "",K32),JOIN("""",""Min:  "",K32, CHAR(10),""Max: "",L32)))"),"")</f>
        <v/>
      </c>
      <c r="K32" s="42" t="str">
        <f t="array" ref="K32">_xlfn.XLOOKUP(B32,'Up Min'!A:A,'Up Min'!C:C,)</f>
        <v/>
      </c>
      <c r="L32" s="42" t="str">
        <f t="array" ref="L32">_xlfn.XLOOKUP(B32,'Up Max'!A:A,'Up Max'!C:C,)</f>
        <v/>
      </c>
      <c r="M32" s="48" t="str">
        <f t="array" ref="M32">_xlfn.XLOOKUP(B32,'Up Stats'!A:A,'Up Stats'!D:D,)</f>
        <v/>
      </c>
      <c r="N32" s="40" t="str">
        <f>IFERROR(__xludf.DUMMYFUNCTION("if(AND(O32=FALSE,P32=FALSE),,if(O32=P32,JOIN("""",""Static: "",O32),JOIN("""",""Min:  "",O32, CHAR(10),""Max: "",P32)))"),"")</f>
        <v/>
      </c>
      <c r="O32" s="42" t="str">
        <f t="array" ref="O32">_xlfn.XLOOKUP(B32,'Up Min'!A:A,'Up Min'!D:D,)</f>
        <v/>
      </c>
      <c r="P32" s="42" t="str">
        <f t="array" ref="P32">_xlfn.XLOOKUP(B32,'Up Max'!A:A,'Up Max'!D:D,)</f>
        <v/>
      </c>
      <c r="Q32" s="48" t="str">
        <f t="array" ref="Q32">_xlfn.XLOOKUP(B32,'Up Stats'!A:A,'Up Stats'!E:E,)</f>
        <v/>
      </c>
      <c r="R32" s="40" t="str">
        <f>IFERROR(__xludf.DUMMYFUNCTION("if(AND(S32=FALSE,T32=FALSE),,if(S32=T32,JOIN("""",""Static: "",S32),JOIN("""",""Min:  "",S32, CHAR(10),""Max: "",T32)))"),"")</f>
        <v/>
      </c>
      <c r="S32" s="42" t="str">
        <f t="array" ref="S32">_xlfn.XLOOKUP(B32,'Up Min'!A:A,'Up Min'!E:E,)</f>
        <v/>
      </c>
      <c r="T32" s="42" t="str">
        <f t="array" ref="T32">_xlfn.XLOOKUP(B32,'Up Max'!A:A,'Up Max'!E:E,)</f>
        <v/>
      </c>
      <c r="U32" s="48" t="str">
        <f t="array" ref="U32">_xlfn.XLOOKUP(B32,'Up Stats'!A:A,'Up Stats'!F:F,)</f>
        <v/>
      </c>
      <c r="V32" s="40" t="str">
        <f>IFERROR(__xludf.DUMMYFUNCTION("if(AND(W32=FALSE,X32=FALSE),,if(W32=X32,JOIN("""",""Static: "",W32),JOIN("""",""Min:  "",W32, CHAR(10),""Max: "",X32)))"),"")</f>
        <v/>
      </c>
      <c r="W32" s="42" t="str">
        <f t="array" ref="W32">_xlfn.XLOOKUP(B32,'Up Min'!A:A,'Up Min'!F:F,)</f>
        <v/>
      </c>
      <c r="X32" s="42" t="str">
        <f t="array" ref="X32">_xlfn.XLOOKUP(B32,'Up Max'!A:A,'Up Max'!F:F,)</f>
        <v/>
      </c>
      <c r="Y32" s="48" t="str">
        <f t="array" ref="Y32">_xlfn.XLOOKUP(B32,'Up Stats'!A:A,'Up Stats'!G:G,)</f>
        <v/>
      </c>
      <c r="Z32" s="40" t="str">
        <f>IFERROR(__xludf.DUMMYFUNCTION("if(AND(AA32=FALSE,AB32=FALSE),,if(AA32=AB32,JOIN("""",""Static: "",AA32),JOIN("""",""Min:  "",AA32, CHAR(10),""Max: "",AB32)))"),"")</f>
        <v/>
      </c>
      <c r="AA32" s="42" t="str">
        <f t="array" ref="AA32">_xlfn.XLOOKUP(B32,'Up Min'!A:A,'Up Min'!G:G,)</f>
        <v/>
      </c>
      <c r="AB32" s="42" t="str">
        <f t="array" ref="AB32">_xlfn.XLOOKUP(B32,'Up Max'!A:A,'Up Max'!G:G,)</f>
        <v/>
      </c>
      <c r="AC32" s="48" t="str">
        <f t="array" ref="AC32">_xlfn.XLOOKUP(B32,'Up Stats'!A:A,'Up Stats'!H:H,)</f>
        <v/>
      </c>
      <c r="AD32" s="40" t="str">
        <f>IFERROR(__xludf.DUMMYFUNCTION("if(AND(AE32=FALSE,AF32=FALSE),,if(AE32=AF32,JOIN("""",""Static: "",AE32),JOIN("""",""Min:  "",AE32, CHAR(10),""Max: "",AF32)))"),"")</f>
        <v/>
      </c>
      <c r="AE32" s="42" t="str">
        <f t="array" ref="AE32">_xlfn.XLOOKUP(B32,'Up Min'!A:A,'Up Min'!H:H,)</f>
        <v/>
      </c>
      <c r="AF32" s="42" t="str">
        <f t="array" ref="AF32">_xlfn.XLOOKUP(B32,'Up Max'!A:A,'Up Max'!H:H,)</f>
        <v/>
      </c>
      <c r="AG32" s="48" t="str">
        <f t="array" ref="AG32">_xlfn.XLOOKUP(B32,'Up Stats'!A:A,'Up Stats'!I:I,)</f>
        <v/>
      </c>
      <c r="AH32" s="40" t="str">
        <f>IFERROR(__xludf.DUMMYFUNCTION("if(AND(AI32=FALSE,AJ32=FALSE),,if(AI32=AJ32,JOIN("""",""Static: "",AI32),JOIN("""",""Min:  "",AI32, CHAR(10),""Max: "",AJ32)))"),"")</f>
        <v/>
      </c>
      <c r="AI32" s="42" t="str">
        <f t="array" ref="AI32">_xlfn.XLOOKUP(B32,'Up Min'!A:A,'Up Min'!I:I,)</f>
        <v/>
      </c>
      <c r="AJ32" s="42" t="str">
        <f t="array" ref="AJ32">_xlfn.XLOOKUP(B32,'Up Max'!A:A,'Up Max'!I:I,)</f>
        <v/>
      </c>
      <c r="AK32" s="48" t="str">
        <f t="array" ref="AK32">_xlfn.XLOOKUP(B32,'Up Stats'!A:A,'Up Stats'!J:J,)</f>
        <v/>
      </c>
      <c r="AL32" s="40" t="str">
        <f>IFERROR(__xludf.DUMMYFUNCTION("if(AND(AM32=FALSE,AN32=FALSE),,if(AM32=AN32,JOIN("""",""Static: "",AM32),JOIN("""",""Min:  "",AM32, CHAR(10),""Max: "",AN32)))"),"")</f>
        <v/>
      </c>
      <c r="AM32" s="42" t="str">
        <f t="array" ref="AM32">_xlfn.XLOOKUP(B32,'Up Min'!A:A,'Up Min'!J:J,)</f>
        <v/>
      </c>
      <c r="AN32" s="42" t="str">
        <f t="array" ref="AN32">_xlfn.XLOOKUP(B32,'Up Max'!A:A,'Up Max'!J:J,)</f>
        <v/>
      </c>
      <c r="AO32" s="34" t="str">
        <f t="array" ref="AO32">CONCATENATE(_xlfn.XLOOKUP(B32,'Up Cells'!A:A,'Up Cells'!B:B,))</f>
        <v/>
      </c>
      <c r="AP32" s="34" t="str">
        <f t="array" ref="AP32">CONCATENATE(_xlfn.XLOOKUP(B32,'Up Rarity'!A:A,'Up Rarity'!B:B,),CHAR(10),"-")</f>
        <v>
-</v>
      </c>
    </row>
    <row r="33">
      <c r="A33" s="86" t="str">
        <f t="array" ref="A33">_xlfn.XLOOKUP(B33,'Up Icon'!A:A,'Up Icon'!B:B,)</f>
        <v/>
      </c>
      <c r="B33" s="51" t="str">
        <f t="array" ref="B33">HYPERLINK(_xlfn.XLOOKUP('Up Names'!N33,'Up Wiki'!A:A,'Up Wiki'!B:B,),'Up Names'!N33)</f>
        <v/>
      </c>
      <c r="C33" s="52" t="str">
        <f t="array" ref="C33">_xlfn.XLOOKUP(B33,'Up Desc'!A:A,'Up Desc'!B:B,)</f>
        <v/>
      </c>
      <c r="D33" s="52" t="str">
        <f t="array" ref="D33">_xlfn.XLOOKUP(B33,'Up Turbo'!A:A,'Up Turbo'!B:B,)</f>
        <v/>
      </c>
      <c r="E33" s="53" t="str">
        <f t="array" ref="E33">_xlfn.XLOOKUP(B33,'Up Stats'!A:A,'Up Stats'!B:B,)</f>
        <v/>
      </c>
      <c r="F33" s="54" t="str">
        <f>IFERROR(__xludf.DUMMYFUNCTION("if(AND(G33=FALSE,H33=FALSE),,if(G33=H33,JOIN("""",""Static: "",G33),JOIN("""",""Min:  "",G33, CHAR(10),""Max: "",H33)))"),"")</f>
        <v/>
      </c>
      <c r="G33" s="55" t="str">
        <f t="array" ref="G33">_xlfn.XLOOKUP(B33,'Up Min'!A:A,'Up Min'!B:B,)</f>
        <v/>
      </c>
      <c r="H33" s="56" t="str">
        <f t="array" ref="H33">_xlfn.XLOOKUP(B33,'Up Max'!A:A,'Up Max'!B:B,)</f>
        <v/>
      </c>
      <c r="I33" s="53" t="str">
        <f t="array" ref="I33">_xlfn.XLOOKUP(B33,'Up Stats'!A:A,'Up Stats'!C:C,)</f>
        <v/>
      </c>
      <c r="J33" s="54" t="str">
        <f>IFERROR(__xludf.DUMMYFUNCTION("if(AND(K33=FALSE,L33=FALSE),,if(K33=L33,JOIN("""",""Static: "",K33),JOIN("""",""Min:  "",K33, CHAR(10),""Max: "",L33)))"),"")</f>
        <v/>
      </c>
      <c r="K33" s="55" t="str">
        <f t="array" ref="K33">_xlfn.XLOOKUP(B33,'Up Min'!A:A,'Up Min'!C:C,)</f>
        <v/>
      </c>
      <c r="L33" s="55" t="str">
        <f t="array" ref="L33">_xlfn.XLOOKUP(B33,'Up Max'!A:A,'Up Max'!C:C,)</f>
        <v/>
      </c>
      <c r="M33" s="57" t="str">
        <f t="array" ref="M33">_xlfn.XLOOKUP(B33,'Up Stats'!A:A,'Up Stats'!D:D,)</f>
        <v/>
      </c>
      <c r="N33" s="54" t="str">
        <f>IFERROR(__xludf.DUMMYFUNCTION("if(AND(O33=FALSE,P33=FALSE),,if(O33=P33,JOIN("""",""Static: "",O33),JOIN("""",""Min:  "",O33, CHAR(10),""Max: "",P33)))"),"")</f>
        <v/>
      </c>
      <c r="O33" s="55" t="str">
        <f t="array" ref="O33">_xlfn.XLOOKUP(B33,'Up Min'!A:A,'Up Min'!D:D,)</f>
        <v/>
      </c>
      <c r="P33" s="55" t="str">
        <f t="array" ref="P33">_xlfn.XLOOKUP(B33,'Up Max'!A:A,'Up Max'!D:D,)</f>
        <v/>
      </c>
      <c r="Q33" s="57" t="str">
        <f t="array" ref="Q33">_xlfn.XLOOKUP(B33,'Up Stats'!A:A,'Up Stats'!E:E,)</f>
        <v/>
      </c>
      <c r="R33" s="54" t="str">
        <f>IFERROR(__xludf.DUMMYFUNCTION("if(AND(S33=FALSE,T33=FALSE),,if(S33=T33,JOIN("""",""Static: "",S33),JOIN("""",""Min:  "",S33, CHAR(10),""Max: "",T33)))"),"")</f>
        <v/>
      </c>
      <c r="S33" s="55" t="str">
        <f t="array" ref="S33">_xlfn.XLOOKUP(B33,'Up Min'!A:A,'Up Min'!E:E,)</f>
        <v/>
      </c>
      <c r="T33" s="55" t="str">
        <f t="array" ref="T33">_xlfn.XLOOKUP(B33,'Up Max'!A:A,'Up Max'!E:E,)</f>
        <v/>
      </c>
      <c r="U33" s="57" t="str">
        <f t="array" ref="U33">_xlfn.XLOOKUP(B33,'Up Stats'!A:A,'Up Stats'!F:F,)</f>
        <v/>
      </c>
      <c r="V33" s="54" t="str">
        <f>IFERROR(__xludf.DUMMYFUNCTION("if(AND(W33=FALSE,X33=FALSE),,if(W33=X33,JOIN("""",""Static: "",W33),JOIN("""",""Min:  "",W33, CHAR(10),""Max: "",X33)))"),"")</f>
        <v/>
      </c>
      <c r="W33" s="55" t="str">
        <f t="array" ref="W33">_xlfn.XLOOKUP(B33,'Up Min'!A:A,'Up Min'!F:F,)</f>
        <v/>
      </c>
      <c r="X33" s="55" t="str">
        <f t="array" ref="X33">_xlfn.XLOOKUP(B33,'Up Max'!A:A,'Up Max'!F:F,)</f>
        <v/>
      </c>
      <c r="Y33" s="57" t="str">
        <f t="array" ref="Y33">_xlfn.XLOOKUP(B33,'Up Stats'!A:A,'Up Stats'!G:G,)</f>
        <v/>
      </c>
      <c r="Z33" s="54" t="str">
        <f>IFERROR(__xludf.DUMMYFUNCTION("if(AND(AA33=FALSE,AB33=FALSE),,if(AA33=AB33,JOIN("""",""Static: "",AA33),JOIN("""",""Min:  "",AA33, CHAR(10),""Max: "",AB33)))"),"")</f>
        <v/>
      </c>
      <c r="AA33" s="55" t="str">
        <f t="array" ref="AA33">_xlfn.XLOOKUP(B33,'Up Min'!A:A,'Up Min'!G:G,)</f>
        <v/>
      </c>
      <c r="AB33" s="55" t="str">
        <f t="array" ref="AB33">_xlfn.XLOOKUP(B33,'Up Max'!A:A,'Up Max'!G:G,)</f>
        <v/>
      </c>
      <c r="AC33" s="57" t="str">
        <f t="array" ref="AC33">_xlfn.XLOOKUP(B33,'Up Stats'!A:A,'Up Stats'!H:H,)</f>
        <v/>
      </c>
      <c r="AD33" s="54" t="str">
        <f>IFERROR(__xludf.DUMMYFUNCTION("if(AND(AE33=FALSE,AF33=FALSE),,if(AE33=AF33,JOIN("""",""Static: "",AE33),JOIN("""",""Min:  "",AE33, CHAR(10),""Max: "",AF33)))"),"")</f>
        <v/>
      </c>
      <c r="AE33" s="55" t="str">
        <f t="array" ref="AE33">_xlfn.XLOOKUP(B33,'Up Min'!A:A,'Up Min'!H:H,)</f>
        <v/>
      </c>
      <c r="AF33" s="55" t="str">
        <f t="array" ref="AF33">_xlfn.XLOOKUP(B33,'Up Max'!A:A,'Up Max'!H:H,)</f>
        <v/>
      </c>
      <c r="AG33" s="57" t="str">
        <f t="array" ref="AG33">_xlfn.XLOOKUP(B33,'Up Stats'!A:A,'Up Stats'!I:I,)</f>
        <v/>
      </c>
      <c r="AH33" s="54" t="str">
        <f>IFERROR(__xludf.DUMMYFUNCTION("if(AND(AI33=FALSE,AJ33=FALSE),,if(AI33=AJ33,JOIN("""",""Static: "",AI33),JOIN("""",""Min:  "",AI33, CHAR(10),""Max: "",AJ33)))"),"")</f>
        <v/>
      </c>
      <c r="AI33" s="55" t="str">
        <f t="array" ref="AI33">_xlfn.XLOOKUP(B33,'Up Min'!A:A,'Up Min'!I:I,)</f>
        <v/>
      </c>
      <c r="AJ33" s="55" t="str">
        <f t="array" ref="AJ33">_xlfn.XLOOKUP(B33,'Up Max'!A:A,'Up Max'!I:I,)</f>
        <v/>
      </c>
      <c r="AK33" s="57" t="str">
        <f t="array" ref="AK33">_xlfn.XLOOKUP(B33,'Up Stats'!A:A,'Up Stats'!J:J,)</f>
        <v/>
      </c>
      <c r="AL33" s="54" t="str">
        <f>IFERROR(__xludf.DUMMYFUNCTION("if(AND(AM33=FALSE,AN33=FALSE),,if(AM33=AN33,JOIN("""",""Static: "",AM33),JOIN("""",""Min:  "",AM33, CHAR(10),""Max: "",AN33)))"),"")</f>
        <v/>
      </c>
      <c r="AM33" s="55" t="str">
        <f t="array" ref="AM33">_xlfn.XLOOKUP(B33,'Up Min'!A:A,'Up Min'!J:J,)</f>
        <v/>
      </c>
      <c r="AN33" s="55" t="str">
        <f t="array" ref="AN33">_xlfn.XLOOKUP(B33,'Up Max'!A:A,'Up Max'!J:J,)</f>
        <v/>
      </c>
      <c r="AO33" s="51" t="str">
        <f t="array" ref="AO33">CONCATENATE(_xlfn.XLOOKUP(B33,'Up Cells'!A:A,'Up Cells'!B:B,))</f>
        <v/>
      </c>
      <c r="AP33" s="51" t="str">
        <f t="array" ref="AP33">CONCATENATE(_xlfn.XLOOKUP(B33,'Up Rarity'!A:A,'Up Rarity'!B:B,),CHAR(10),"-")</f>
        <v>
-</v>
      </c>
    </row>
    <row r="34">
      <c r="A34" s="87" t="str">
        <f t="array" ref="A34">_xlfn.XLOOKUP(B34,'Up Icon'!A:A,'Up Icon'!B:B,)</f>
        <v/>
      </c>
      <c r="B34" s="34" t="str">
        <f t="array" ref="B34">HYPERLINK(_xlfn.XLOOKUP('Up Names'!N34,'Up Wiki'!A:A,'Up Wiki'!B:B,),'Up Names'!N34)</f>
        <v/>
      </c>
      <c r="C34" s="37" t="str">
        <f t="array" ref="C34">_xlfn.XLOOKUP(B34,'Up Desc'!A:A,'Up Desc'!B:B,)</f>
        <v/>
      </c>
      <c r="D34" s="37" t="str">
        <f t="array" ref="D34">_xlfn.XLOOKUP(B34,'Up Turbo'!A:A,'Up Turbo'!B:B,)</f>
        <v/>
      </c>
      <c r="E34" s="39" t="str">
        <f t="array" ref="E34">_xlfn.XLOOKUP(B34,'Up Stats'!A:A,'Up Stats'!B:B,)</f>
        <v/>
      </c>
      <c r="F34" s="40" t="str">
        <f>IFERROR(__xludf.DUMMYFUNCTION("if(AND(G34=FALSE,H34=FALSE),,if(G34=H34,JOIN("""",""Static: "",G34),JOIN("""",""Min:  "",G34, CHAR(10),""Max: "",H34)))"),"")</f>
        <v/>
      </c>
      <c r="G34" s="42" t="str">
        <f t="array" ref="G34">_xlfn.XLOOKUP(B34,'Up Min'!A:A,'Up Min'!B:B,)</f>
        <v/>
      </c>
      <c r="H34" s="45" t="str">
        <f t="array" ref="H34">_xlfn.XLOOKUP(B34,'Up Max'!A:A,'Up Max'!B:B,)</f>
        <v/>
      </c>
      <c r="I34" s="39" t="str">
        <f t="array" ref="I34">_xlfn.XLOOKUP(B34,'Up Stats'!A:A,'Up Stats'!C:C,)</f>
        <v/>
      </c>
      <c r="J34" s="40" t="str">
        <f>IFERROR(__xludf.DUMMYFUNCTION("if(AND(K34=FALSE,L34=FALSE),,if(K34=L34,JOIN("""",""Static: "",K34),JOIN("""",""Min:  "",K34, CHAR(10),""Max: "",L34)))"),"")</f>
        <v/>
      </c>
      <c r="K34" s="42" t="str">
        <f t="array" ref="K34">_xlfn.XLOOKUP(B34,'Up Min'!A:A,'Up Min'!C:C,)</f>
        <v/>
      </c>
      <c r="L34" s="42" t="str">
        <f t="array" ref="L34">_xlfn.XLOOKUP(B34,'Up Max'!A:A,'Up Max'!C:C,)</f>
        <v/>
      </c>
      <c r="M34" s="48" t="str">
        <f t="array" ref="M34">_xlfn.XLOOKUP(B34,'Up Stats'!A:A,'Up Stats'!D:D,)</f>
        <v/>
      </c>
      <c r="N34" s="40" t="str">
        <f>IFERROR(__xludf.DUMMYFUNCTION("if(AND(O34=FALSE,P34=FALSE),,if(O34=P34,JOIN("""",""Static: "",O34),JOIN("""",""Min:  "",O34, CHAR(10),""Max: "",P34)))"),"")</f>
        <v/>
      </c>
      <c r="O34" s="42" t="str">
        <f t="array" ref="O34">_xlfn.XLOOKUP(B34,'Up Min'!A:A,'Up Min'!D:D,)</f>
        <v/>
      </c>
      <c r="P34" s="42" t="str">
        <f t="array" ref="P34">_xlfn.XLOOKUP(B34,'Up Max'!A:A,'Up Max'!D:D,)</f>
        <v/>
      </c>
      <c r="Q34" s="48" t="str">
        <f t="array" ref="Q34">_xlfn.XLOOKUP(B34,'Up Stats'!A:A,'Up Stats'!E:E,)</f>
        <v/>
      </c>
      <c r="R34" s="40" t="str">
        <f>IFERROR(__xludf.DUMMYFUNCTION("if(AND(S34=FALSE,T34=FALSE),,if(S34=T34,JOIN("""",""Static: "",S34),JOIN("""",""Min:  "",S34, CHAR(10),""Max: "",T34)))"),"")</f>
        <v/>
      </c>
      <c r="S34" s="42" t="str">
        <f t="array" ref="S34">_xlfn.XLOOKUP(B34,'Up Min'!A:A,'Up Min'!E:E,)</f>
        <v/>
      </c>
      <c r="T34" s="42" t="str">
        <f t="array" ref="T34">_xlfn.XLOOKUP(B34,'Up Max'!A:A,'Up Max'!E:E,)</f>
        <v/>
      </c>
      <c r="U34" s="48" t="str">
        <f t="array" ref="U34">_xlfn.XLOOKUP(B34,'Up Stats'!A:A,'Up Stats'!F:F,)</f>
        <v/>
      </c>
      <c r="V34" s="40" t="str">
        <f>IFERROR(__xludf.DUMMYFUNCTION("if(AND(W34=FALSE,X34=FALSE),,if(W34=X34,JOIN("""",""Static: "",W34),JOIN("""",""Min:  "",W34, CHAR(10),""Max: "",X34)))"),"")</f>
        <v/>
      </c>
      <c r="W34" s="42" t="str">
        <f t="array" ref="W34">_xlfn.XLOOKUP(B34,'Up Min'!A:A,'Up Min'!F:F,)</f>
        <v/>
      </c>
      <c r="X34" s="42" t="str">
        <f t="array" ref="X34">_xlfn.XLOOKUP(B34,'Up Max'!A:A,'Up Max'!F:F,)</f>
        <v/>
      </c>
      <c r="Y34" s="48" t="str">
        <f t="array" ref="Y34">_xlfn.XLOOKUP(B34,'Up Stats'!A:A,'Up Stats'!G:G,)</f>
        <v/>
      </c>
      <c r="Z34" s="40" t="str">
        <f>IFERROR(__xludf.DUMMYFUNCTION("if(AND(AA34=FALSE,AB34=FALSE),,if(AA34=AB34,JOIN("""",""Static: "",AA34),JOIN("""",""Min:  "",AA34, CHAR(10),""Max: "",AB34)))"),"")</f>
        <v/>
      </c>
      <c r="AA34" s="42" t="str">
        <f t="array" ref="AA34">_xlfn.XLOOKUP(B34,'Up Min'!A:A,'Up Min'!G:G,)</f>
        <v/>
      </c>
      <c r="AB34" s="42" t="str">
        <f t="array" ref="AB34">_xlfn.XLOOKUP(B34,'Up Max'!A:A,'Up Max'!G:G,)</f>
        <v/>
      </c>
      <c r="AC34" s="48" t="str">
        <f t="array" ref="AC34">_xlfn.XLOOKUP(B34,'Up Stats'!A:A,'Up Stats'!H:H,)</f>
        <v/>
      </c>
      <c r="AD34" s="40" t="str">
        <f>IFERROR(__xludf.DUMMYFUNCTION("if(AND(AE34=FALSE,AF34=FALSE),,if(AE34=AF34,JOIN("""",""Static: "",AE34),JOIN("""",""Min:  "",AE34, CHAR(10),""Max: "",AF34)))"),"")</f>
        <v/>
      </c>
      <c r="AE34" s="42" t="str">
        <f t="array" ref="AE34">_xlfn.XLOOKUP(B34,'Up Min'!A:A,'Up Min'!H:H,)</f>
        <v/>
      </c>
      <c r="AF34" s="42" t="str">
        <f t="array" ref="AF34">_xlfn.XLOOKUP(B34,'Up Max'!A:A,'Up Max'!H:H,)</f>
        <v/>
      </c>
      <c r="AG34" s="48" t="str">
        <f t="array" ref="AG34">_xlfn.XLOOKUP(B34,'Up Stats'!A:A,'Up Stats'!I:I,)</f>
        <v/>
      </c>
      <c r="AH34" s="40" t="str">
        <f>IFERROR(__xludf.DUMMYFUNCTION("if(AND(AI34=FALSE,AJ34=FALSE),,if(AI34=AJ34,JOIN("""",""Static: "",AI34),JOIN("""",""Min:  "",AI34, CHAR(10),""Max: "",AJ34)))"),"")</f>
        <v/>
      </c>
      <c r="AI34" s="42" t="str">
        <f t="array" ref="AI34">_xlfn.XLOOKUP(B34,'Up Min'!A:A,'Up Min'!I:I,)</f>
        <v/>
      </c>
      <c r="AJ34" s="42" t="str">
        <f t="array" ref="AJ34">_xlfn.XLOOKUP(B34,'Up Max'!A:A,'Up Max'!I:I,)</f>
        <v/>
      </c>
      <c r="AK34" s="48" t="str">
        <f t="array" ref="AK34">_xlfn.XLOOKUP(B34,'Up Stats'!A:A,'Up Stats'!J:J,)</f>
        <v/>
      </c>
      <c r="AL34" s="40" t="str">
        <f>IFERROR(__xludf.DUMMYFUNCTION("if(AND(AM34=FALSE,AN34=FALSE),,if(AM34=AN34,JOIN("""",""Static: "",AM34),JOIN("""",""Min:  "",AM34, CHAR(10),""Max: "",AN34)))"),"")</f>
        <v/>
      </c>
      <c r="AM34" s="42" t="str">
        <f t="array" ref="AM34">_xlfn.XLOOKUP(B34,'Up Min'!A:A,'Up Min'!J:J,)</f>
        <v/>
      </c>
      <c r="AN34" s="42" t="str">
        <f t="array" ref="AN34">_xlfn.XLOOKUP(B34,'Up Max'!A:A,'Up Max'!J:J,)</f>
        <v/>
      </c>
      <c r="AO34" s="34" t="str">
        <f t="array" ref="AO34">CONCATENATE(_xlfn.XLOOKUP(B34,'Up Cells'!A:A,'Up Cells'!B:B,))</f>
        <v/>
      </c>
      <c r="AP34" s="34" t="str">
        <f t="array" ref="AP34">CONCATENATE(_xlfn.XLOOKUP(B34,'Up Rarity'!A:A,'Up Rarity'!B:B,),CHAR(10),"-")</f>
        <v>
-</v>
      </c>
    </row>
    <row r="35">
      <c r="A35" s="86" t="str">
        <f t="array" ref="A35">_xlfn.XLOOKUP(B35,'Up Icon'!A:A,'Up Icon'!B:B,)</f>
        <v/>
      </c>
      <c r="B35" s="51" t="str">
        <f t="array" ref="B35">HYPERLINK(_xlfn.XLOOKUP('Up Names'!N35,'Up Wiki'!A:A,'Up Wiki'!B:B,),'Up Names'!N35)</f>
        <v/>
      </c>
      <c r="C35" s="52" t="str">
        <f t="array" ref="C35">_xlfn.XLOOKUP(B35,'Up Desc'!A:A,'Up Desc'!B:B,)</f>
        <v/>
      </c>
      <c r="D35" s="52" t="str">
        <f t="array" ref="D35">_xlfn.XLOOKUP(B35,'Up Turbo'!A:A,'Up Turbo'!B:B,)</f>
        <v/>
      </c>
      <c r="E35" s="53" t="str">
        <f t="array" ref="E35">_xlfn.XLOOKUP(B35,'Up Stats'!A:A,'Up Stats'!B:B,)</f>
        <v/>
      </c>
      <c r="F35" s="54" t="str">
        <f>IFERROR(__xludf.DUMMYFUNCTION("if(AND(G35=FALSE,H35=FALSE),,if(G35=H35,JOIN("""",""Static: "",G35),JOIN("""",""Min:  "",G35, CHAR(10),""Max: "",H35)))"),"")</f>
        <v/>
      </c>
      <c r="G35" s="55" t="str">
        <f t="array" ref="G35">_xlfn.XLOOKUP(B35,'Up Min'!A:A,'Up Min'!B:B,)</f>
        <v/>
      </c>
      <c r="H35" s="56" t="str">
        <f t="array" ref="H35">_xlfn.XLOOKUP(B35,'Up Max'!A:A,'Up Max'!B:B,)</f>
        <v/>
      </c>
      <c r="I35" s="53" t="str">
        <f t="array" ref="I35">_xlfn.XLOOKUP(B35,'Up Stats'!A:A,'Up Stats'!C:C,)</f>
        <v/>
      </c>
      <c r="J35" s="54" t="str">
        <f>IFERROR(__xludf.DUMMYFUNCTION("if(AND(K35=FALSE,L35=FALSE),,if(K35=L35,JOIN("""",""Static: "",K35),JOIN("""",""Min:  "",K35, CHAR(10),""Max: "",L35)))"),"")</f>
        <v/>
      </c>
      <c r="K35" s="55" t="str">
        <f t="array" ref="K35">_xlfn.XLOOKUP(B35,'Up Min'!A:A,'Up Min'!C:C,)</f>
        <v/>
      </c>
      <c r="L35" s="55" t="str">
        <f t="array" ref="L35">_xlfn.XLOOKUP(B35,'Up Max'!A:A,'Up Max'!C:C,)</f>
        <v/>
      </c>
      <c r="M35" s="57" t="str">
        <f t="array" ref="M35">_xlfn.XLOOKUP(B35,'Up Stats'!A:A,'Up Stats'!D:D,)</f>
        <v/>
      </c>
      <c r="N35" s="54" t="str">
        <f>IFERROR(__xludf.DUMMYFUNCTION("if(AND(O35=FALSE,P35=FALSE),,if(O35=P35,JOIN("""",""Static: "",O35),JOIN("""",""Min:  "",O35, CHAR(10),""Max: "",P35)))"),"")</f>
        <v/>
      </c>
      <c r="O35" s="55" t="str">
        <f t="array" ref="O35">_xlfn.XLOOKUP(B35,'Up Min'!A:A,'Up Min'!D:D,)</f>
        <v/>
      </c>
      <c r="P35" s="55" t="str">
        <f t="array" ref="P35">_xlfn.XLOOKUP(B35,'Up Max'!A:A,'Up Max'!D:D,)</f>
        <v/>
      </c>
      <c r="Q35" s="57" t="str">
        <f t="array" ref="Q35">_xlfn.XLOOKUP(B35,'Up Stats'!A:A,'Up Stats'!E:E,)</f>
        <v/>
      </c>
      <c r="R35" s="54" t="str">
        <f>IFERROR(__xludf.DUMMYFUNCTION("if(AND(S35=FALSE,T35=FALSE),,if(S35=T35,JOIN("""",""Static: "",S35),JOIN("""",""Min:  "",S35, CHAR(10),""Max: "",T35)))"),"")</f>
        <v/>
      </c>
      <c r="S35" s="55" t="str">
        <f t="array" ref="S35">_xlfn.XLOOKUP(B35,'Up Min'!A:A,'Up Min'!E:E,)</f>
        <v/>
      </c>
      <c r="T35" s="55" t="str">
        <f t="array" ref="T35">_xlfn.XLOOKUP(B35,'Up Max'!A:A,'Up Max'!E:E,)</f>
        <v/>
      </c>
      <c r="U35" s="57" t="str">
        <f t="array" ref="U35">_xlfn.XLOOKUP(B35,'Up Stats'!A:A,'Up Stats'!F:F,)</f>
        <v/>
      </c>
      <c r="V35" s="54" t="str">
        <f>IFERROR(__xludf.DUMMYFUNCTION("if(AND(W35=FALSE,X35=FALSE),,if(W35=X35,JOIN("""",""Static: "",W35),JOIN("""",""Min:  "",W35, CHAR(10),""Max: "",X35)))"),"")</f>
        <v/>
      </c>
      <c r="W35" s="55" t="str">
        <f t="array" ref="W35">_xlfn.XLOOKUP(B35,'Up Min'!A:A,'Up Min'!F:F,)</f>
        <v/>
      </c>
      <c r="X35" s="55" t="str">
        <f t="array" ref="X35">_xlfn.XLOOKUP(B35,'Up Max'!A:A,'Up Max'!F:F,)</f>
        <v/>
      </c>
      <c r="Y35" s="57" t="str">
        <f t="array" ref="Y35">_xlfn.XLOOKUP(B35,'Up Stats'!A:A,'Up Stats'!G:G,)</f>
        <v/>
      </c>
      <c r="Z35" s="54" t="str">
        <f>IFERROR(__xludf.DUMMYFUNCTION("if(AND(AA35=FALSE,AB35=FALSE),,if(AA35=AB35,JOIN("""",""Static: "",AA35),JOIN("""",""Min:  "",AA35, CHAR(10),""Max: "",AB35)))"),"")</f>
        <v/>
      </c>
      <c r="AA35" s="55" t="str">
        <f t="array" ref="AA35">_xlfn.XLOOKUP(B35,'Up Min'!A:A,'Up Min'!G:G,)</f>
        <v/>
      </c>
      <c r="AB35" s="55" t="str">
        <f t="array" ref="AB35">_xlfn.XLOOKUP(B35,'Up Max'!A:A,'Up Max'!G:G,)</f>
        <v/>
      </c>
      <c r="AC35" s="57" t="str">
        <f t="array" ref="AC35">_xlfn.XLOOKUP(B35,'Up Stats'!A:A,'Up Stats'!H:H,)</f>
        <v/>
      </c>
      <c r="AD35" s="54" t="str">
        <f>IFERROR(__xludf.DUMMYFUNCTION("if(AND(AE35=FALSE,AF35=FALSE),,if(AE35=AF35,JOIN("""",""Static: "",AE35),JOIN("""",""Min:  "",AE35, CHAR(10),""Max: "",AF35)))"),"")</f>
        <v/>
      </c>
      <c r="AE35" s="55" t="str">
        <f t="array" ref="AE35">_xlfn.XLOOKUP(B35,'Up Min'!A:A,'Up Min'!H:H,)</f>
        <v/>
      </c>
      <c r="AF35" s="55" t="str">
        <f t="array" ref="AF35">_xlfn.XLOOKUP(B35,'Up Max'!A:A,'Up Max'!H:H,)</f>
        <v/>
      </c>
      <c r="AG35" s="57" t="str">
        <f t="array" ref="AG35">_xlfn.XLOOKUP(B35,'Up Stats'!A:A,'Up Stats'!I:I,)</f>
        <v/>
      </c>
      <c r="AH35" s="54" t="str">
        <f>IFERROR(__xludf.DUMMYFUNCTION("if(AND(AI35=FALSE,AJ35=FALSE),,if(AI35=AJ35,JOIN("""",""Static: "",AI35),JOIN("""",""Min:  "",AI35, CHAR(10),""Max: "",AJ35)))"),"")</f>
        <v/>
      </c>
      <c r="AI35" s="55" t="str">
        <f t="array" ref="AI35">_xlfn.XLOOKUP(B35,'Up Min'!A:A,'Up Min'!I:I,)</f>
        <v/>
      </c>
      <c r="AJ35" s="55" t="str">
        <f t="array" ref="AJ35">_xlfn.XLOOKUP(B35,'Up Max'!A:A,'Up Max'!I:I,)</f>
        <v/>
      </c>
      <c r="AK35" s="57" t="str">
        <f t="array" ref="AK35">_xlfn.XLOOKUP(B35,'Up Stats'!A:A,'Up Stats'!J:J,)</f>
        <v/>
      </c>
      <c r="AL35" s="54" t="str">
        <f>IFERROR(__xludf.DUMMYFUNCTION("if(AND(AM35=FALSE,AN35=FALSE),,if(AM35=AN35,JOIN("""",""Static: "",AM35),JOIN("""",""Min:  "",AM35, CHAR(10),""Max: "",AN35)))"),"")</f>
        <v/>
      </c>
      <c r="AM35" s="55" t="str">
        <f t="array" ref="AM35">_xlfn.XLOOKUP(B35,'Up Min'!A:A,'Up Min'!J:J,)</f>
        <v/>
      </c>
      <c r="AN35" s="55" t="str">
        <f t="array" ref="AN35">_xlfn.XLOOKUP(B35,'Up Max'!A:A,'Up Max'!J:J,)</f>
        <v/>
      </c>
      <c r="AO35" s="51" t="str">
        <f t="array" ref="AO35">CONCATENATE(_xlfn.XLOOKUP(B35,'Up Cells'!A:A,'Up Cells'!B:B,))</f>
        <v/>
      </c>
      <c r="AP35" s="51" t="str">
        <f t="array" ref="AP35">CONCATENATE(_xlfn.XLOOKUP(B35,'Up Rarity'!A:A,'Up Rarity'!B:B,),CHAR(10),"-")</f>
        <v>
-</v>
      </c>
    </row>
    <row r="36">
      <c r="A36" s="87" t="str">
        <f t="array" ref="A36">_xlfn.XLOOKUP(B36,'Up Icon'!A:A,'Up Icon'!B:B,)</f>
        <v/>
      </c>
      <c r="B36" s="34" t="str">
        <f t="array" ref="B36">HYPERLINK(_xlfn.XLOOKUP('Up Names'!N36,'Up Wiki'!A:A,'Up Wiki'!B:B,),'Up Names'!N36)</f>
        <v/>
      </c>
      <c r="C36" s="37" t="str">
        <f t="array" ref="C36">_xlfn.XLOOKUP(B36,'Up Desc'!A:A,'Up Desc'!B:B,)</f>
        <v/>
      </c>
      <c r="D36" s="37" t="str">
        <f t="array" ref="D36">_xlfn.XLOOKUP(B36,'Up Turbo'!A:A,'Up Turbo'!B:B,)</f>
        <v/>
      </c>
      <c r="E36" s="39" t="str">
        <f t="array" ref="E36">_xlfn.XLOOKUP(B36,'Up Stats'!A:A,'Up Stats'!B:B,)</f>
        <v/>
      </c>
      <c r="F36" s="40" t="str">
        <f>IFERROR(__xludf.DUMMYFUNCTION("if(AND(G36=FALSE,H36=FALSE),,if(G36=H36,JOIN("""",""Static: "",G36),JOIN("""",""Min:  "",G36, CHAR(10),""Max: "",H36)))"),"")</f>
        <v/>
      </c>
      <c r="G36" s="42" t="str">
        <f t="array" ref="G36">_xlfn.XLOOKUP(B36,'Up Min'!A:A,'Up Min'!B:B,)</f>
        <v/>
      </c>
      <c r="H36" s="45" t="str">
        <f t="array" ref="H36">_xlfn.XLOOKUP(B36,'Up Max'!A:A,'Up Max'!B:B,)</f>
        <v/>
      </c>
      <c r="I36" s="39" t="str">
        <f t="array" ref="I36">_xlfn.XLOOKUP(B36,'Up Stats'!A:A,'Up Stats'!C:C,)</f>
        <v/>
      </c>
      <c r="J36" s="40" t="str">
        <f>IFERROR(__xludf.DUMMYFUNCTION("if(AND(K36=FALSE,L36=FALSE),,if(K36=L36,JOIN("""",""Static: "",K36),JOIN("""",""Min:  "",K36, CHAR(10),""Max: "",L36)))"),"")</f>
        <v/>
      </c>
      <c r="K36" s="42" t="str">
        <f t="array" ref="K36">_xlfn.XLOOKUP(B36,'Up Min'!A:A,'Up Min'!C:C,)</f>
        <v/>
      </c>
      <c r="L36" s="42" t="str">
        <f t="array" ref="L36">_xlfn.XLOOKUP(B36,'Up Max'!A:A,'Up Max'!C:C,)</f>
        <v/>
      </c>
      <c r="M36" s="48" t="str">
        <f t="array" ref="M36">_xlfn.XLOOKUP(B36,'Up Stats'!A:A,'Up Stats'!D:D,)</f>
        <v/>
      </c>
      <c r="N36" s="40" t="str">
        <f>IFERROR(__xludf.DUMMYFUNCTION("if(AND(O36=FALSE,P36=FALSE),,if(O36=P36,JOIN("""",""Static: "",O36),JOIN("""",""Min:  "",O36, CHAR(10),""Max: "",P36)))"),"")</f>
        <v/>
      </c>
      <c r="O36" s="42" t="str">
        <f t="array" ref="O36">_xlfn.XLOOKUP(B36,'Up Min'!A:A,'Up Min'!D:D,)</f>
        <v/>
      </c>
      <c r="P36" s="42" t="str">
        <f t="array" ref="P36">_xlfn.XLOOKUP(B36,'Up Max'!A:A,'Up Max'!D:D,)</f>
        <v/>
      </c>
      <c r="Q36" s="48" t="str">
        <f t="array" ref="Q36">_xlfn.XLOOKUP(B36,'Up Stats'!A:A,'Up Stats'!E:E,)</f>
        <v/>
      </c>
      <c r="R36" s="40" t="str">
        <f>IFERROR(__xludf.DUMMYFUNCTION("if(AND(S36=FALSE,T36=FALSE),,if(S36=T36,JOIN("""",""Static: "",S36),JOIN("""",""Min:  "",S36, CHAR(10),""Max: "",T36)))"),"")</f>
        <v/>
      </c>
      <c r="S36" s="42" t="str">
        <f t="array" ref="S36">_xlfn.XLOOKUP(B36,'Up Min'!A:A,'Up Min'!E:E,)</f>
        <v/>
      </c>
      <c r="T36" s="42" t="str">
        <f t="array" ref="T36">_xlfn.XLOOKUP(B36,'Up Max'!A:A,'Up Max'!E:E,)</f>
        <v/>
      </c>
      <c r="U36" s="48" t="str">
        <f t="array" ref="U36">_xlfn.XLOOKUP(B36,'Up Stats'!A:A,'Up Stats'!F:F,)</f>
        <v/>
      </c>
      <c r="V36" s="40" t="str">
        <f>IFERROR(__xludf.DUMMYFUNCTION("if(AND(W36=FALSE,X36=FALSE),,if(W36=X36,JOIN("""",""Static: "",W36),JOIN("""",""Min:  "",W36, CHAR(10),""Max: "",X36)))"),"")</f>
        <v/>
      </c>
      <c r="W36" s="42" t="str">
        <f t="array" ref="W36">_xlfn.XLOOKUP(B36,'Up Min'!A:A,'Up Min'!F:F,)</f>
        <v/>
      </c>
      <c r="X36" s="42" t="str">
        <f t="array" ref="X36">_xlfn.XLOOKUP(B36,'Up Max'!A:A,'Up Max'!F:F,)</f>
        <v/>
      </c>
      <c r="Y36" s="48" t="str">
        <f t="array" ref="Y36">_xlfn.XLOOKUP(B36,'Up Stats'!A:A,'Up Stats'!G:G,)</f>
        <v/>
      </c>
      <c r="Z36" s="40" t="str">
        <f>IFERROR(__xludf.DUMMYFUNCTION("if(AND(AA36=FALSE,AB36=FALSE),,if(AA36=AB36,JOIN("""",""Static: "",AA36),JOIN("""",""Min:  "",AA36, CHAR(10),""Max: "",AB36)))"),"")</f>
        <v/>
      </c>
      <c r="AA36" s="42" t="str">
        <f t="array" ref="AA36">_xlfn.XLOOKUP(B36,'Up Min'!A:A,'Up Min'!G:G,)</f>
        <v/>
      </c>
      <c r="AB36" s="42" t="str">
        <f t="array" ref="AB36">_xlfn.XLOOKUP(B36,'Up Max'!A:A,'Up Max'!G:G,)</f>
        <v/>
      </c>
      <c r="AC36" s="48" t="str">
        <f t="array" ref="AC36">_xlfn.XLOOKUP(B36,'Up Stats'!A:A,'Up Stats'!H:H,)</f>
        <v/>
      </c>
      <c r="AD36" s="40" t="str">
        <f>IFERROR(__xludf.DUMMYFUNCTION("if(AND(AE36=FALSE,AF36=FALSE),,if(AE36=AF36,JOIN("""",""Static: "",AE36),JOIN("""",""Min:  "",AE36, CHAR(10),""Max: "",AF36)))"),"")</f>
        <v/>
      </c>
      <c r="AE36" s="42" t="str">
        <f t="array" ref="AE36">_xlfn.XLOOKUP(B36,'Up Min'!A:A,'Up Min'!H:H,)</f>
        <v/>
      </c>
      <c r="AF36" s="42" t="str">
        <f t="array" ref="AF36">_xlfn.XLOOKUP(B36,'Up Max'!A:A,'Up Max'!H:H,)</f>
        <v/>
      </c>
      <c r="AG36" s="48" t="str">
        <f t="array" ref="AG36">_xlfn.XLOOKUP(B36,'Up Stats'!A:A,'Up Stats'!I:I,)</f>
        <v/>
      </c>
      <c r="AH36" s="40" t="str">
        <f>IFERROR(__xludf.DUMMYFUNCTION("if(AND(AI36=FALSE,AJ36=FALSE),,if(AI36=AJ36,JOIN("""",""Static: "",AI36),JOIN("""",""Min:  "",AI36, CHAR(10),""Max: "",AJ36)))"),"")</f>
        <v/>
      </c>
      <c r="AI36" s="42" t="str">
        <f t="array" ref="AI36">_xlfn.XLOOKUP(B36,'Up Min'!A:A,'Up Min'!I:I,)</f>
        <v/>
      </c>
      <c r="AJ36" s="42" t="str">
        <f t="array" ref="AJ36">_xlfn.XLOOKUP(B36,'Up Max'!A:A,'Up Max'!I:I,)</f>
        <v/>
      </c>
      <c r="AK36" s="48" t="str">
        <f t="array" ref="AK36">_xlfn.XLOOKUP(B36,'Up Stats'!A:A,'Up Stats'!J:J,)</f>
        <v/>
      </c>
      <c r="AL36" s="40" t="str">
        <f>IFERROR(__xludf.DUMMYFUNCTION("if(AND(AM36=FALSE,AN36=FALSE),,if(AM36=AN36,JOIN("""",""Static: "",AM36),JOIN("""",""Min:  "",AM36, CHAR(10),""Max: "",AN36)))"),"")</f>
        <v/>
      </c>
      <c r="AM36" s="42" t="str">
        <f t="array" ref="AM36">_xlfn.XLOOKUP(B36,'Up Min'!A:A,'Up Min'!J:J,)</f>
        <v/>
      </c>
      <c r="AN36" s="42" t="str">
        <f t="array" ref="AN36">_xlfn.XLOOKUP(B36,'Up Max'!A:A,'Up Max'!J:J,)</f>
        <v/>
      </c>
      <c r="AO36" s="34" t="str">
        <f t="array" ref="AO36">CONCATENATE(_xlfn.XLOOKUP(B36,'Up Cells'!A:A,'Up Cells'!B:B,))</f>
        <v/>
      </c>
      <c r="AP36" s="34" t="str">
        <f t="array" ref="AP36">CONCATENATE(_xlfn.XLOOKUP(B36,'Up Rarity'!A:A,'Up Rarity'!B:B,),CHAR(10),"-")</f>
        <v>
-</v>
      </c>
    </row>
    <row r="37">
      <c r="A37" s="86" t="str">
        <f t="array" ref="A37">_xlfn.XLOOKUP(B37,'Up Icon'!A:A,'Up Icon'!B:B,)</f>
        <v/>
      </c>
      <c r="B37" s="51" t="str">
        <f t="array" ref="B37">HYPERLINK(_xlfn.XLOOKUP('Up Names'!N37,'Up Wiki'!A:A,'Up Wiki'!B:B,),'Up Names'!N37)</f>
        <v/>
      </c>
      <c r="C37" s="52" t="str">
        <f t="array" ref="C37">_xlfn.XLOOKUP(B37,'Up Desc'!A:A,'Up Desc'!B:B,)</f>
        <v/>
      </c>
      <c r="D37" s="52" t="str">
        <f t="array" ref="D37">_xlfn.XLOOKUP(B37,'Up Turbo'!A:A,'Up Turbo'!B:B,)</f>
        <v/>
      </c>
      <c r="E37" s="53" t="str">
        <f t="array" ref="E37">_xlfn.XLOOKUP(B37,'Up Stats'!A:A,'Up Stats'!B:B,)</f>
        <v/>
      </c>
      <c r="F37" s="54" t="str">
        <f>IFERROR(__xludf.DUMMYFUNCTION("if(AND(G37=FALSE,H37=FALSE),,if(G37=H37,JOIN("""",""Static: "",G37),JOIN("""",""Min:  "",G37, CHAR(10),""Max: "",H37)))"),"")</f>
        <v/>
      </c>
      <c r="G37" s="55" t="str">
        <f t="array" ref="G37">_xlfn.XLOOKUP(B37,'Up Min'!A:A,'Up Min'!B:B,)</f>
        <v/>
      </c>
      <c r="H37" s="56" t="str">
        <f t="array" ref="H37">_xlfn.XLOOKUP(B37,'Up Max'!A:A,'Up Max'!B:B,)</f>
        <v/>
      </c>
      <c r="I37" s="53" t="str">
        <f t="array" ref="I37">_xlfn.XLOOKUP(B37,'Up Stats'!A:A,'Up Stats'!C:C,)</f>
        <v/>
      </c>
      <c r="J37" s="54" t="str">
        <f>IFERROR(__xludf.DUMMYFUNCTION("if(AND(K37=FALSE,L37=FALSE),,if(K37=L37,JOIN("""",""Static: "",K37),JOIN("""",""Min:  "",K37, CHAR(10),""Max: "",L37)))"),"")</f>
        <v/>
      </c>
      <c r="K37" s="55" t="str">
        <f t="array" ref="K37">_xlfn.XLOOKUP(B37,'Up Min'!A:A,'Up Min'!C:C,)</f>
        <v/>
      </c>
      <c r="L37" s="55" t="str">
        <f t="array" ref="L37">_xlfn.XLOOKUP(B37,'Up Max'!A:A,'Up Max'!C:C,)</f>
        <v/>
      </c>
      <c r="M37" s="57" t="str">
        <f t="array" ref="M37">_xlfn.XLOOKUP(B37,'Up Stats'!A:A,'Up Stats'!D:D,)</f>
        <v/>
      </c>
      <c r="N37" s="54" t="str">
        <f>IFERROR(__xludf.DUMMYFUNCTION("if(AND(O37=FALSE,P37=FALSE),,if(O37=P37,JOIN("""",""Static: "",O37),JOIN("""",""Min:  "",O37, CHAR(10),""Max: "",P37)))"),"")</f>
        <v/>
      </c>
      <c r="O37" s="55" t="str">
        <f t="array" ref="O37">_xlfn.XLOOKUP(B37,'Up Min'!A:A,'Up Min'!D:D,)</f>
        <v/>
      </c>
      <c r="P37" s="55" t="str">
        <f t="array" ref="P37">_xlfn.XLOOKUP(B37,'Up Max'!A:A,'Up Max'!D:D,)</f>
        <v/>
      </c>
      <c r="Q37" s="57" t="str">
        <f t="array" ref="Q37">_xlfn.XLOOKUP(B37,'Up Stats'!A:A,'Up Stats'!E:E,)</f>
        <v/>
      </c>
      <c r="R37" s="54" t="str">
        <f>IFERROR(__xludf.DUMMYFUNCTION("if(AND(S37=FALSE,T37=FALSE),,if(S37=T37,JOIN("""",""Static: "",S37),JOIN("""",""Min:  "",S37, CHAR(10),""Max: "",T37)))"),"")</f>
        <v/>
      </c>
      <c r="S37" s="55" t="str">
        <f t="array" ref="S37">_xlfn.XLOOKUP(B37,'Up Min'!A:A,'Up Min'!E:E,)</f>
        <v/>
      </c>
      <c r="T37" s="55" t="str">
        <f t="array" ref="T37">_xlfn.XLOOKUP(B37,'Up Max'!A:A,'Up Max'!E:E,)</f>
        <v/>
      </c>
      <c r="U37" s="57" t="str">
        <f t="array" ref="U37">_xlfn.XLOOKUP(B37,'Up Stats'!A:A,'Up Stats'!F:F,)</f>
        <v/>
      </c>
      <c r="V37" s="54" t="str">
        <f>IFERROR(__xludf.DUMMYFUNCTION("if(AND(W37=FALSE,X37=FALSE),,if(W37=X37,JOIN("""",""Static: "",W37),JOIN("""",""Min:  "",W37, CHAR(10),""Max: "",X37)))"),"")</f>
        <v/>
      </c>
      <c r="W37" s="55" t="str">
        <f t="array" ref="W37">_xlfn.XLOOKUP(B37,'Up Min'!A:A,'Up Min'!F:F,)</f>
        <v/>
      </c>
      <c r="X37" s="55" t="str">
        <f t="array" ref="X37">_xlfn.XLOOKUP(B37,'Up Max'!A:A,'Up Max'!F:F,)</f>
        <v/>
      </c>
      <c r="Y37" s="57" t="str">
        <f t="array" ref="Y37">_xlfn.XLOOKUP(B37,'Up Stats'!A:A,'Up Stats'!G:G,)</f>
        <v/>
      </c>
      <c r="Z37" s="54" t="str">
        <f>IFERROR(__xludf.DUMMYFUNCTION("if(AND(AA37=FALSE,AB37=FALSE),,if(AA37=AB37,JOIN("""",""Static: "",AA37),JOIN("""",""Min:  "",AA37, CHAR(10),""Max: "",AB37)))"),"")</f>
        <v/>
      </c>
      <c r="AA37" s="55" t="str">
        <f t="array" ref="AA37">_xlfn.XLOOKUP(B37,'Up Min'!A:A,'Up Min'!G:G,)</f>
        <v/>
      </c>
      <c r="AB37" s="55" t="str">
        <f t="array" ref="AB37">_xlfn.XLOOKUP(B37,'Up Max'!A:A,'Up Max'!G:G,)</f>
        <v/>
      </c>
      <c r="AC37" s="57" t="str">
        <f t="array" ref="AC37">_xlfn.XLOOKUP(B37,'Up Stats'!A:A,'Up Stats'!H:H,)</f>
        <v/>
      </c>
      <c r="AD37" s="54" t="str">
        <f>IFERROR(__xludf.DUMMYFUNCTION("if(AND(AE37=FALSE,AF37=FALSE),,if(AE37=AF37,JOIN("""",""Static: "",AE37),JOIN("""",""Min:  "",AE37, CHAR(10),""Max: "",AF37)))"),"")</f>
        <v/>
      </c>
      <c r="AE37" s="55" t="str">
        <f t="array" ref="AE37">_xlfn.XLOOKUP(B37,'Up Min'!A:A,'Up Min'!H:H,)</f>
        <v/>
      </c>
      <c r="AF37" s="55" t="str">
        <f t="array" ref="AF37">_xlfn.XLOOKUP(B37,'Up Max'!A:A,'Up Max'!H:H,)</f>
        <v/>
      </c>
      <c r="AG37" s="57" t="str">
        <f t="array" ref="AG37">_xlfn.XLOOKUP(B37,'Up Stats'!A:A,'Up Stats'!I:I,)</f>
        <v/>
      </c>
      <c r="AH37" s="54" t="str">
        <f>IFERROR(__xludf.DUMMYFUNCTION("if(AND(AI37=FALSE,AJ37=FALSE),,if(AI37=AJ37,JOIN("""",""Static: "",AI37),JOIN("""",""Min:  "",AI37, CHAR(10),""Max: "",AJ37)))"),"")</f>
        <v/>
      </c>
      <c r="AI37" s="55" t="str">
        <f t="array" ref="AI37">_xlfn.XLOOKUP(B37,'Up Min'!A:A,'Up Min'!I:I,)</f>
        <v/>
      </c>
      <c r="AJ37" s="55" t="str">
        <f t="array" ref="AJ37">_xlfn.XLOOKUP(B37,'Up Max'!A:A,'Up Max'!I:I,)</f>
        <v/>
      </c>
      <c r="AK37" s="57" t="str">
        <f t="array" ref="AK37">_xlfn.XLOOKUP(B37,'Up Stats'!A:A,'Up Stats'!J:J,)</f>
        <v/>
      </c>
      <c r="AL37" s="54" t="str">
        <f>IFERROR(__xludf.DUMMYFUNCTION("if(AND(AM37=FALSE,AN37=FALSE),,if(AM37=AN37,JOIN("""",""Static: "",AM37),JOIN("""",""Min:  "",AM37, CHAR(10),""Max: "",AN37)))"),"")</f>
        <v/>
      </c>
      <c r="AM37" s="55" t="str">
        <f t="array" ref="AM37">_xlfn.XLOOKUP(B37,'Up Min'!A:A,'Up Min'!J:J,)</f>
        <v/>
      </c>
      <c r="AN37" s="55" t="str">
        <f t="array" ref="AN37">_xlfn.XLOOKUP(B37,'Up Max'!A:A,'Up Max'!J:J,)</f>
        <v/>
      </c>
      <c r="AO37" s="51" t="str">
        <f t="array" ref="AO37">CONCATENATE(_xlfn.XLOOKUP(B37,'Up Cells'!A:A,'Up Cells'!B:B,))</f>
        <v/>
      </c>
      <c r="AP37" s="51" t="str">
        <f t="array" ref="AP37">CONCATENATE(_xlfn.XLOOKUP(B37,'Up Rarity'!A:A,'Up Rarity'!B:B,),CHAR(10),"-")</f>
        <v>
-</v>
      </c>
    </row>
    <row r="38">
      <c r="A38" s="87" t="str">
        <f t="array" ref="A38">_xlfn.XLOOKUP(B38,'Up Icon'!A:A,'Up Icon'!B:B,)</f>
        <v/>
      </c>
      <c r="B38" s="34" t="str">
        <f t="array" ref="B38">HYPERLINK(_xlfn.XLOOKUP('Up Names'!N38,'Up Wiki'!A:A,'Up Wiki'!B:B,),'Up Names'!N38)</f>
        <v/>
      </c>
      <c r="C38" s="37" t="str">
        <f t="array" ref="C38">_xlfn.XLOOKUP(B38,'Up Desc'!A:A,'Up Desc'!B:B,)</f>
        <v/>
      </c>
      <c r="D38" s="37" t="str">
        <f t="array" ref="D38">_xlfn.XLOOKUP(B38,'Up Turbo'!A:A,'Up Turbo'!B:B,)</f>
        <v/>
      </c>
      <c r="E38" s="39" t="str">
        <f t="array" ref="E38">_xlfn.XLOOKUP(B38,'Up Stats'!A:A,'Up Stats'!B:B,)</f>
        <v/>
      </c>
      <c r="F38" s="40" t="str">
        <f>IFERROR(__xludf.DUMMYFUNCTION("if(AND(G38=FALSE,H38=FALSE),,if(G38=H38,JOIN("""",""Static: "",G38),JOIN("""",""Min:  "",G38, CHAR(10),""Max: "",H38)))"),"")</f>
        <v/>
      </c>
      <c r="G38" s="42" t="str">
        <f t="array" ref="G38">_xlfn.XLOOKUP(B38,'Up Min'!A:A,'Up Min'!B:B,)</f>
        <v/>
      </c>
      <c r="H38" s="45" t="str">
        <f t="array" ref="H38">_xlfn.XLOOKUP(B38,'Up Max'!A:A,'Up Max'!B:B,)</f>
        <v/>
      </c>
      <c r="I38" s="39" t="str">
        <f t="array" ref="I38">_xlfn.XLOOKUP(B38,'Up Stats'!A:A,'Up Stats'!C:C,)</f>
        <v/>
      </c>
      <c r="J38" s="40" t="str">
        <f>IFERROR(__xludf.DUMMYFUNCTION("if(AND(K38=FALSE,L38=FALSE),,if(K38=L38,JOIN("""",""Static: "",K38),JOIN("""",""Min:  "",K38, CHAR(10),""Max: "",L38)))"),"")</f>
        <v/>
      </c>
      <c r="K38" s="42" t="str">
        <f t="array" ref="K38">_xlfn.XLOOKUP(B38,'Up Min'!A:A,'Up Min'!C:C,)</f>
        <v/>
      </c>
      <c r="L38" s="42" t="str">
        <f t="array" ref="L38">_xlfn.XLOOKUP(B38,'Up Max'!A:A,'Up Max'!C:C,)</f>
        <v/>
      </c>
      <c r="M38" s="48" t="str">
        <f t="array" ref="M38">_xlfn.XLOOKUP(B38,'Up Stats'!A:A,'Up Stats'!D:D,)</f>
        <v/>
      </c>
      <c r="N38" s="40" t="str">
        <f>IFERROR(__xludf.DUMMYFUNCTION("if(AND(O38=FALSE,P38=FALSE),,if(O38=P38,JOIN("""",""Static: "",O38),JOIN("""",""Min:  "",O38, CHAR(10),""Max: "",P38)))"),"")</f>
        <v/>
      </c>
      <c r="O38" s="42" t="str">
        <f t="array" ref="O38">_xlfn.XLOOKUP(B38,'Up Min'!A:A,'Up Min'!D:D,)</f>
        <v/>
      </c>
      <c r="P38" s="42" t="str">
        <f t="array" ref="P38">_xlfn.XLOOKUP(B38,'Up Max'!A:A,'Up Max'!D:D,)</f>
        <v/>
      </c>
      <c r="Q38" s="48" t="str">
        <f t="array" ref="Q38">_xlfn.XLOOKUP(B38,'Up Stats'!A:A,'Up Stats'!E:E,)</f>
        <v/>
      </c>
      <c r="R38" s="40" t="str">
        <f>IFERROR(__xludf.DUMMYFUNCTION("if(AND(S38=FALSE,T38=FALSE),,if(S38=T38,JOIN("""",""Static: "",S38),JOIN("""",""Min:  "",S38, CHAR(10),""Max: "",T38)))"),"")</f>
        <v/>
      </c>
      <c r="S38" s="42" t="str">
        <f t="array" ref="S38">_xlfn.XLOOKUP(B38,'Up Min'!A:A,'Up Min'!E:E,)</f>
        <v/>
      </c>
      <c r="T38" s="42" t="str">
        <f t="array" ref="T38">_xlfn.XLOOKUP(B38,'Up Max'!A:A,'Up Max'!E:E,)</f>
        <v/>
      </c>
      <c r="U38" s="48" t="str">
        <f t="array" ref="U38">_xlfn.XLOOKUP(B38,'Up Stats'!A:A,'Up Stats'!F:F,)</f>
        <v/>
      </c>
      <c r="V38" s="40" t="str">
        <f>IFERROR(__xludf.DUMMYFUNCTION("if(AND(W38=FALSE,X38=FALSE),,if(W38=X38,JOIN("""",""Static: "",W38),JOIN("""",""Min:  "",W38, CHAR(10),""Max: "",X38)))"),"")</f>
        <v/>
      </c>
      <c r="W38" s="42" t="str">
        <f t="array" ref="W38">_xlfn.XLOOKUP(B38,'Up Min'!A:A,'Up Min'!F:F,)</f>
        <v/>
      </c>
      <c r="X38" s="42" t="str">
        <f t="array" ref="X38">_xlfn.XLOOKUP(B38,'Up Max'!A:A,'Up Max'!F:F,)</f>
        <v/>
      </c>
      <c r="Y38" s="48" t="str">
        <f t="array" ref="Y38">_xlfn.XLOOKUP(B38,'Up Stats'!A:A,'Up Stats'!G:G,)</f>
        <v/>
      </c>
      <c r="Z38" s="40" t="str">
        <f>IFERROR(__xludf.DUMMYFUNCTION("if(AND(AA38=FALSE,AB38=FALSE),,if(AA38=AB38,JOIN("""",""Static: "",AA38),JOIN("""",""Min:  "",AA38, CHAR(10),""Max: "",AB38)))"),"")</f>
        <v/>
      </c>
      <c r="AA38" s="42" t="str">
        <f t="array" ref="AA38">_xlfn.XLOOKUP(B38,'Up Min'!A:A,'Up Min'!G:G,)</f>
        <v/>
      </c>
      <c r="AB38" s="42" t="str">
        <f t="array" ref="AB38">_xlfn.XLOOKUP(B38,'Up Max'!A:A,'Up Max'!G:G,)</f>
        <v/>
      </c>
      <c r="AC38" s="48" t="str">
        <f t="array" ref="AC38">_xlfn.XLOOKUP(B38,'Up Stats'!A:A,'Up Stats'!H:H,)</f>
        <v/>
      </c>
      <c r="AD38" s="40" t="str">
        <f>IFERROR(__xludf.DUMMYFUNCTION("if(AND(AE38=FALSE,AF38=FALSE),,if(AE38=AF38,JOIN("""",""Static: "",AE38),JOIN("""",""Min:  "",AE38, CHAR(10),""Max: "",AF38)))"),"")</f>
        <v/>
      </c>
      <c r="AE38" s="42" t="str">
        <f t="array" ref="AE38">_xlfn.XLOOKUP(B38,'Up Min'!A:A,'Up Min'!H:H,)</f>
        <v/>
      </c>
      <c r="AF38" s="42" t="str">
        <f t="array" ref="AF38">_xlfn.XLOOKUP(B38,'Up Max'!A:A,'Up Max'!H:H,)</f>
        <v/>
      </c>
      <c r="AG38" s="48" t="str">
        <f t="array" ref="AG38">_xlfn.XLOOKUP(B38,'Up Stats'!A:A,'Up Stats'!I:I,)</f>
        <v/>
      </c>
      <c r="AH38" s="40" t="str">
        <f>IFERROR(__xludf.DUMMYFUNCTION("if(AND(AI38=FALSE,AJ38=FALSE),,if(AI38=AJ38,JOIN("""",""Static: "",AI38),JOIN("""",""Min:  "",AI38, CHAR(10),""Max: "",AJ38)))"),"")</f>
        <v/>
      </c>
      <c r="AI38" s="42" t="str">
        <f t="array" ref="AI38">_xlfn.XLOOKUP(B38,'Up Min'!A:A,'Up Min'!I:I,)</f>
        <v/>
      </c>
      <c r="AJ38" s="42" t="str">
        <f t="array" ref="AJ38">_xlfn.XLOOKUP(B38,'Up Max'!A:A,'Up Max'!I:I,)</f>
        <v/>
      </c>
      <c r="AK38" s="48" t="str">
        <f t="array" ref="AK38">_xlfn.XLOOKUP(B38,'Up Stats'!A:A,'Up Stats'!J:J,)</f>
        <v/>
      </c>
      <c r="AL38" s="40" t="str">
        <f>IFERROR(__xludf.DUMMYFUNCTION("if(AND(AM38=FALSE,AN38=FALSE),,if(AM38=AN38,JOIN("""",""Static: "",AM38),JOIN("""",""Min:  "",AM38, CHAR(10),""Max: "",AN38)))"),"")</f>
        <v/>
      </c>
      <c r="AM38" s="42" t="str">
        <f t="array" ref="AM38">_xlfn.XLOOKUP(B38,'Up Min'!A:A,'Up Min'!J:J,)</f>
        <v/>
      </c>
      <c r="AN38" s="42" t="str">
        <f t="array" ref="AN38">_xlfn.XLOOKUP(B38,'Up Max'!A:A,'Up Max'!J:J,)</f>
        <v/>
      </c>
      <c r="AO38" s="34" t="str">
        <f t="array" ref="AO38">CONCATENATE(_xlfn.XLOOKUP(B38,'Up Cells'!A:A,'Up Cells'!B:B,))</f>
        <v/>
      </c>
      <c r="AP38" s="34" t="str">
        <f t="array" ref="AP38">CONCATENATE(_xlfn.XLOOKUP(B38,'Up Rarity'!A:A,'Up Rarity'!B:B,),CHAR(10),"-")</f>
        <v>
-</v>
      </c>
    </row>
    <row r="39">
      <c r="A39" s="86" t="str">
        <f t="array" ref="A39">_xlfn.XLOOKUP(B39,'Up Icon'!A:A,'Up Icon'!B:B,)</f>
        <v/>
      </c>
      <c r="B39" s="51" t="str">
        <f t="array" ref="B39">HYPERLINK(_xlfn.XLOOKUP('Up Names'!N39,'Up Wiki'!A:A,'Up Wiki'!B:B,),'Up Names'!N39)</f>
        <v/>
      </c>
      <c r="C39" s="52" t="str">
        <f t="array" ref="C39">_xlfn.XLOOKUP(B39,'Up Desc'!A:A,'Up Desc'!B:B,)</f>
        <v/>
      </c>
      <c r="D39" s="52" t="str">
        <f t="array" ref="D39">_xlfn.XLOOKUP(B39,'Up Turbo'!A:A,'Up Turbo'!B:B,)</f>
        <v/>
      </c>
      <c r="E39" s="53" t="str">
        <f t="array" ref="E39">_xlfn.XLOOKUP(B39,'Up Stats'!A:A,'Up Stats'!B:B,)</f>
        <v/>
      </c>
      <c r="F39" s="54" t="str">
        <f>IFERROR(__xludf.DUMMYFUNCTION("if(AND(G39=FALSE,H39=FALSE),,if(G39=H39,JOIN("""",""Static: "",G39),JOIN("""",""Min:  "",G39, CHAR(10),""Max: "",H39)))"),"")</f>
        <v/>
      </c>
      <c r="G39" s="55" t="str">
        <f t="array" ref="G39">_xlfn.XLOOKUP(B39,'Up Min'!A:A,'Up Min'!B:B,)</f>
        <v/>
      </c>
      <c r="H39" s="56" t="str">
        <f t="array" ref="H39">_xlfn.XLOOKUP(B39,'Up Max'!A:A,'Up Max'!B:B,)</f>
        <v/>
      </c>
      <c r="I39" s="53" t="str">
        <f t="array" ref="I39">_xlfn.XLOOKUP(B39,'Up Stats'!A:A,'Up Stats'!C:C,)</f>
        <v/>
      </c>
      <c r="J39" s="54" t="str">
        <f>IFERROR(__xludf.DUMMYFUNCTION("if(AND(K39=FALSE,L39=FALSE),,if(K39=L39,JOIN("""",""Static: "",K39),JOIN("""",""Min:  "",K39, CHAR(10),""Max: "",L39)))"),"")</f>
        <v/>
      </c>
      <c r="K39" s="55" t="str">
        <f t="array" ref="K39">_xlfn.XLOOKUP(B39,'Up Min'!A:A,'Up Min'!C:C,)</f>
        <v/>
      </c>
      <c r="L39" s="55" t="str">
        <f t="array" ref="L39">_xlfn.XLOOKUP(B39,'Up Max'!A:A,'Up Max'!C:C,)</f>
        <v/>
      </c>
      <c r="M39" s="57" t="str">
        <f t="array" ref="M39">_xlfn.XLOOKUP(B39,'Up Stats'!A:A,'Up Stats'!D:D,)</f>
        <v/>
      </c>
      <c r="N39" s="54" t="str">
        <f>IFERROR(__xludf.DUMMYFUNCTION("if(AND(O39=FALSE,P39=FALSE),,if(O39=P39,JOIN("""",""Static: "",O39),JOIN("""",""Min:  "",O39, CHAR(10),""Max: "",P39)))"),"")</f>
        <v/>
      </c>
      <c r="O39" s="55" t="str">
        <f t="array" ref="O39">_xlfn.XLOOKUP(B39,'Up Min'!A:A,'Up Min'!D:D,)</f>
        <v/>
      </c>
      <c r="P39" s="55" t="str">
        <f t="array" ref="P39">_xlfn.XLOOKUP(B39,'Up Max'!A:A,'Up Max'!D:D,)</f>
        <v/>
      </c>
      <c r="Q39" s="57" t="str">
        <f t="array" ref="Q39">_xlfn.XLOOKUP(B39,'Up Stats'!A:A,'Up Stats'!E:E,)</f>
        <v/>
      </c>
      <c r="R39" s="54" t="str">
        <f>IFERROR(__xludf.DUMMYFUNCTION("if(AND(S39=FALSE,T39=FALSE),,if(S39=T39,JOIN("""",""Static: "",S39),JOIN("""",""Min:  "",S39, CHAR(10),""Max: "",T39)))"),"")</f>
        <v/>
      </c>
      <c r="S39" s="55" t="str">
        <f t="array" ref="S39">_xlfn.XLOOKUP(B39,'Up Min'!A:A,'Up Min'!E:E,)</f>
        <v/>
      </c>
      <c r="T39" s="55" t="str">
        <f t="array" ref="T39">_xlfn.XLOOKUP(B39,'Up Max'!A:A,'Up Max'!E:E,)</f>
        <v/>
      </c>
      <c r="U39" s="57" t="str">
        <f t="array" ref="U39">_xlfn.XLOOKUP(B39,'Up Stats'!A:A,'Up Stats'!F:F,)</f>
        <v/>
      </c>
      <c r="V39" s="54" t="str">
        <f>IFERROR(__xludf.DUMMYFUNCTION("if(AND(W39=FALSE,X39=FALSE),,if(W39=X39,JOIN("""",""Static: "",W39),JOIN("""",""Min:  "",W39, CHAR(10),""Max: "",X39)))"),"")</f>
        <v/>
      </c>
      <c r="W39" s="55" t="str">
        <f t="array" ref="W39">_xlfn.XLOOKUP(B39,'Up Min'!A:A,'Up Min'!F:F,)</f>
        <v/>
      </c>
      <c r="X39" s="55" t="str">
        <f t="array" ref="X39">_xlfn.XLOOKUP(B39,'Up Max'!A:A,'Up Max'!F:F,)</f>
        <v/>
      </c>
      <c r="Y39" s="57" t="str">
        <f t="array" ref="Y39">_xlfn.XLOOKUP(B39,'Up Stats'!A:A,'Up Stats'!G:G,)</f>
        <v/>
      </c>
      <c r="Z39" s="54" t="str">
        <f>IFERROR(__xludf.DUMMYFUNCTION("if(AND(AA39=FALSE,AB39=FALSE),,if(AA39=AB39,JOIN("""",""Static: "",AA39),JOIN("""",""Min:  "",AA39, CHAR(10),""Max: "",AB39)))"),"")</f>
        <v/>
      </c>
      <c r="AA39" s="55" t="str">
        <f t="array" ref="AA39">_xlfn.XLOOKUP(B39,'Up Min'!A:A,'Up Min'!G:G,)</f>
        <v/>
      </c>
      <c r="AB39" s="55" t="str">
        <f t="array" ref="AB39">_xlfn.XLOOKUP(B39,'Up Max'!A:A,'Up Max'!G:G,)</f>
        <v/>
      </c>
      <c r="AC39" s="57" t="str">
        <f t="array" ref="AC39">_xlfn.XLOOKUP(B39,'Up Stats'!A:A,'Up Stats'!H:H,)</f>
        <v/>
      </c>
      <c r="AD39" s="54" t="str">
        <f>IFERROR(__xludf.DUMMYFUNCTION("if(AND(AE39=FALSE,AF39=FALSE),,if(AE39=AF39,JOIN("""",""Static: "",AE39),JOIN("""",""Min:  "",AE39, CHAR(10),""Max: "",AF39)))"),"")</f>
        <v/>
      </c>
      <c r="AE39" s="55" t="str">
        <f t="array" ref="AE39">_xlfn.XLOOKUP(B39,'Up Min'!A:A,'Up Min'!H:H,)</f>
        <v/>
      </c>
      <c r="AF39" s="55" t="str">
        <f t="array" ref="AF39">_xlfn.XLOOKUP(B39,'Up Max'!A:A,'Up Max'!H:H,)</f>
        <v/>
      </c>
      <c r="AG39" s="57" t="str">
        <f t="array" ref="AG39">_xlfn.XLOOKUP(B39,'Up Stats'!A:A,'Up Stats'!I:I,)</f>
        <v/>
      </c>
      <c r="AH39" s="54" t="str">
        <f>IFERROR(__xludf.DUMMYFUNCTION("if(AND(AI39=FALSE,AJ39=FALSE),,if(AI39=AJ39,JOIN("""",""Static: "",AI39),JOIN("""",""Min:  "",AI39, CHAR(10),""Max: "",AJ39)))"),"")</f>
        <v/>
      </c>
      <c r="AI39" s="55" t="str">
        <f t="array" ref="AI39">_xlfn.XLOOKUP(B39,'Up Min'!A:A,'Up Min'!I:I,)</f>
        <v/>
      </c>
      <c r="AJ39" s="55" t="str">
        <f t="array" ref="AJ39">_xlfn.XLOOKUP(B39,'Up Max'!A:A,'Up Max'!I:I,)</f>
        <v/>
      </c>
      <c r="AK39" s="57" t="str">
        <f t="array" ref="AK39">_xlfn.XLOOKUP(B39,'Up Stats'!A:A,'Up Stats'!J:J,)</f>
        <v/>
      </c>
      <c r="AL39" s="54" t="str">
        <f>IFERROR(__xludf.DUMMYFUNCTION("if(AND(AM39=FALSE,AN39=FALSE),,if(AM39=AN39,JOIN("""",""Static: "",AM39),JOIN("""",""Min:  "",AM39, CHAR(10),""Max: "",AN39)))"),"")</f>
        <v/>
      </c>
      <c r="AM39" s="55" t="str">
        <f t="array" ref="AM39">_xlfn.XLOOKUP(B39,'Up Min'!A:A,'Up Min'!J:J,)</f>
        <v/>
      </c>
      <c r="AN39" s="55" t="str">
        <f t="array" ref="AN39">_xlfn.XLOOKUP(B39,'Up Max'!A:A,'Up Max'!J:J,)</f>
        <v/>
      </c>
      <c r="AO39" s="51" t="str">
        <f t="array" ref="AO39">CONCATENATE(_xlfn.XLOOKUP(B39,'Up Cells'!A:A,'Up Cells'!B:B,))</f>
        <v/>
      </c>
      <c r="AP39" s="51" t="str">
        <f t="array" ref="AP39">CONCATENATE(_xlfn.XLOOKUP(B39,'Up Rarity'!A:A,'Up Rarity'!B:B,),CHAR(10),"-")</f>
        <v>
-</v>
      </c>
    </row>
    <row r="40">
      <c r="A40" s="87" t="str">
        <f t="array" ref="A40">_xlfn.XLOOKUP(B40,'Up Icon'!A:A,'Up Icon'!B:B,)</f>
        <v/>
      </c>
      <c r="B40" s="34" t="str">
        <f t="array" ref="B40">HYPERLINK(_xlfn.XLOOKUP('Up Names'!N40,'Up Wiki'!A:A,'Up Wiki'!B:B,),'Up Names'!N40)</f>
        <v/>
      </c>
      <c r="C40" s="37" t="str">
        <f t="array" ref="C40">_xlfn.XLOOKUP(B40,'Up Desc'!A:A,'Up Desc'!B:B,)</f>
        <v/>
      </c>
      <c r="D40" s="37" t="str">
        <f t="array" ref="D40">_xlfn.XLOOKUP(B40,'Up Turbo'!A:A,'Up Turbo'!B:B,)</f>
        <v/>
      </c>
      <c r="E40" s="39" t="str">
        <f t="array" ref="E40">_xlfn.XLOOKUP(B40,'Up Stats'!A:A,'Up Stats'!B:B,)</f>
        <v/>
      </c>
      <c r="F40" s="40" t="str">
        <f>IFERROR(__xludf.DUMMYFUNCTION("if(AND(G40=FALSE,H40=FALSE),,if(G40=H40,JOIN("""",""Static: "",G40),JOIN("""",""Min:  "",G40, CHAR(10),""Max: "",H40)))"),"")</f>
        <v/>
      </c>
      <c r="G40" s="42" t="str">
        <f t="array" ref="G40">_xlfn.XLOOKUP(B40,'Up Min'!A:A,'Up Min'!B:B,)</f>
        <v/>
      </c>
      <c r="H40" s="45" t="str">
        <f t="array" ref="H40">_xlfn.XLOOKUP(B40,'Up Max'!A:A,'Up Max'!B:B,)</f>
        <v/>
      </c>
      <c r="I40" s="39" t="str">
        <f t="array" ref="I40">_xlfn.XLOOKUP(B40,'Up Stats'!A:A,'Up Stats'!C:C,)</f>
        <v/>
      </c>
      <c r="J40" s="40" t="str">
        <f>IFERROR(__xludf.DUMMYFUNCTION("if(AND(K40=FALSE,L40=FALSE),,if(K40=L40,JOIN("""",""Static: "",K40),JOIN("""",""Min:  "",K40, CHAR(10),""Max: "",L40)))"),"")</f>
        <v/>
      </c>
      <c r="K40" s="42" t="str">
        <f t="array" ref="K40">_xlfn.XLOOKUP(B40,'Up Min'!A:A,'Up Min'!C:C,)</f>
        <v/>
      </c>
      <c r="L40" s="42" t="str">
        <f t="array" ref="L40">_xlfn.XLOOKUP(B40,'Up Max'!A:A,'Up Max'!C:C,)</f>
        <v/>
      </c>
      <c r="M40" s="48" t="str">
        <f t="array" ref="M40">_xlfn.XLOOKUP(B40,'Up Stats'!A:A,'Up Stats'!D:D,)</f>
        <v/>
      </c>
      <c r="N40" s="40" t="str">
        <f>IFERROR(__xludf.DUMMYFUNCTION("if(AND(O40=FALSE,P40=FALSE),,if(O40=P40,JOIN("""",""Static: "",O40),JOIN("""",""Min:  "",O40, CHAR(10),""Max: "",P40)))"),"")</f>
        <v/>
      </c>
      <c r="O40" s="42" t="str">
        <f t="array" ref="O40">_xlfn.XLOOKUP(B40,'Up Min'!A:A,'Up Min'!D:D,)</f>
        <v/>
      </c>
      <c r="P40" s="42" t="str">
        <f t="array" ref="P40">_xlfn.XLOOKUP(B40,'Up Max'!A:A,'Up Max'!D:D,)</f>
        <v/>
      </c>
      <c r="Q40" s="48" t="str">
        <f t="array" ref="Q40">_xlfn.XLOOKUP(B40,'Up Stats'!A:A,'Up Stats'!E:E,)</f>
        <v/>
      </c>
      <c r="R40" s="40" t="str">
        <f>IFERROR(__xludf.DUMMYFUNCTION("if(AND(S40=FALSE,T40=FALSE),,if(S40=T40,JOIN("""",""Static: "",S40),JOIN("""",""Min:  "",S40, CHAR(10),""Max: "",T40)))"),"")</f>
        <v/>
      </c>
      <c r="S40" s="42" t="str">
        <f t="array" ref="S40">_xlfn.XLOOKUP(B40,'Up Min'!A:A,'Up Min'!E:E,)</f>
        <v/>
      </c>
      <c r="T40" s="42" t="str">
        <f t="array" ref="T40">_xlfn.XLOOKUP(B40,'Up Max'!A:A,'Up Max'!E:E,)</f>
        <v/>
      </c>
      <c r="U40" s="48" t="str">
        <f t="array" ref="U40">_xlfn.XLOOKUP(B40,'Up Stats'!A:A,'Up Stats'!F:F,)</f>
        <v/>
      </c>
      <c r="V40" s="40" t="str">
        <f>IFERROR(__xludf.DUMMYFUNCTION("if(AND(W40=FALSE,X40=FALSE),,if(W40=X40,JOIN("""",""Static: "",W40),JOIN("""",""Min:  "",W40, CHAR(10),""Max: "",X40)))"),"")</f>
        <v/>
      </c>
      <c r="W40" s="42" t="str">
        <f t="array" ref="W40">_xlfn.XLOOKUP(B40,'Up Min'!A:A,'Up Min'!F:F,)</f>
        <v/>
      </c>
      <c r="X40" s="42" t="str">
        <f t="array" ref="X40">_xlfn.XLOOKUP(B40,'Up Max'!A:A,'Up Max'!F:F,)</f>
        <v/>
      </c>
      <c r="Y40" s="48" t="str">
        <f t="array" ref="Y40">_xlfn.XLOOKUP(B40,'Up Stats'!A:A,'Up Stats'!G:G,)</f>
        <v/>
      </c>
      <c r="Z40" s="40" t="str">
        <f>IFERROR(__xludf.DUMMYFUNCTION("if(AND(AA40=FALSE,AB40=FALSE),,if(AA40=AB40,JOIN("""",""Static: "",AA40),JOIN("""",""Min:  "",AA40, CHAR(10),""Max: "",AB40)))"),"")</f>
        <v/>
      </c>
      <c r="AA40" s="42" t="str">
        <f t="array" ref="AA40">_xlfn.XLOOKUP(B40,'Up Min'!A:A,'Up Min'!G:G,)</f>
        <v/>
      </c>
      <c r="AB40" s="42" t="str">
        <f t="array" ref="AB40">_xlfn.XLOOKUP(B40,'Up Max'!A:A,'Up Max'!G:G,)</f>
        <v/>
      </c>
      <c r="AC40" s="48" t="str">
        <f t="array" ref="AC40">_xlfn.XLOOKUP(B40,'Up Stats'!A:A,'Up Stats'!H:H,)</f>
        <v/>
      </c>
      <c r="AD40" s="40" t="str">
        <f>IFERROR(__xludf.DUMMYFUNCTION("if(AND(AE40=FALSE,AF40=FALSE),,if(AE40=AF40,JOIN("""",""Static: "",AE40),JOIN("""",""Min:  "",AE40, CHAR(10),""Max: "",AF40)))"),"")</f>
        <v/>
      </c>
      <c r="AE40" s="42" t="str">
        <f t="array" ref="AE40">_xlfn.XLOOKUP(B40,'Up Min'!A:A,'Up Min'!H:H,)</f>
        <v/>
      </c>
      <c r="AF40" s="42" t="str">
        <f t="array" ref="AF40">_xlfn.XLOOKUP(B40,'Up Max'!A:A,'Up Max'!H:H,)</f>
        <v/>
      </c>
      <c r="AG40" s="48" t="str">
        <f t="array" ref="AG40">_xlfn.XLOOKUP(B40,'Up Stats'!A:A,'Up Stats'!I:I,)</f>
        <v/>
      </c>
      <c r="AH40" s="40" t="str">
        <f>IFERROR(__xludf.DUMMYFUNCTION("if(AND(AI40=FALSE,AJ40=FALSE),,if(AI40=AJ40,JOIN("""",""Static: "",AI40),JOIN("""",""Min:  "",AI40, CHAR(10),""Max: "",AJ40)))"),"")</f>
        <v/>
      </c>
      <c r="AI40" s="42" t="str">
        <f t="array" ref="AI40">_xlfn.XLOOKUP(B40,'Up Min'!A:A,'Up Min'!I:I,)</f>
        <v/>
      </c>
      <c r="AJ40" s="42" t="str">
        <f t="array" ref="AJ40">_xlfn.XLOOKUP(B40,'Up Max'!A:A,'Up Max'!I:I,)</f>
        <v/>
      </c>
      <c r="AK40" s="48" t="str">
        <f t="array" ref="AK40">_xlfn.XLOOKUP(B40,'Up Stats'!A:A,'Up Stats'!J:J,)</f>
        <v/>
      </c>
      <c r="AL40" s="40" t="str">
        <f>IFERROR(__xludf.DUMMYFUNCTION("if(AND(AM40=FALSE,AN40=FALSE),,if(AM40=AN40,JOIN("""",""Static: "",AM40),JOIN("""",""Min:  "",AM40, CHAR(10),""Max: "",AN40)))"),"")</f>
        <v/>
      </c>
      <c r="AM40" s="42" t="str">
        <f t="array" ref="AM40">_xlfn.XLOOKUP(B40,'Up Min'!A:A,'Up Min'!J:J,)</f>
        <v/>
      </c>
      <c r="AN40" s="42" t="str">
        <f t="array" ref="AN40">_xlfn.XLOOKUP(B40,'Up Max'!A:A,'Up Max'!J:J,)</f>
        <v/>
      </c>
      <c r="AO40" s="34" t="str">
        <f t="array" ref="AO40">CONCATENATE(_xlfn.XLOOKUP(B40,'Up Cells'!A:A,'Up Cells'!B:B,))</f>
        <v/>
      </c>
      <c r="AP40" s="34" t="str">
        <f t="array" ref="AP40">CONCATENATE(_xlfn.XLOOKUP(B40,'Up Rarity'!A:A,'Up Rarity'!B:B,),CHAR(10),"-")</f>
        <v>
-</v>
      </c>
    </row>
    <row r="41">
      <c r="A41" s="86" t="str">
        <f t="array" ref="A41">_xlfn.XLOOKUP(B41,'Up Icon'!A:A,'Up Icon'!B:B,)</f>
        <v/>
      </c>
      <c r="B41" s="51" t="str">
        <f t="array" ref="B41">HYPERLINK(_xlfn.XLOOKUP('Up Names'!N41,'Up Wiki'!A:A,'Up Wiki'!B:B,),'Up Names'!N41)</f>
        <v/>
      </c>
      <c r="C41" s="52" t="str">
        <f t="array" ref="C41">_xlfn.XLOOKUP(B41,'Up Desc'!A:A,'Up Desc'!B:B,)</f>
        <v/>
      </c>
      <c r="D41" s="52" t="str">
        <f t="array" ref="D41">_xlfn.XLOOKUP(B41,'Up Turbo'!A:A,'Up Turbo'!B:B,)</f>
        <v/>
      </c>
      <c r="E41" s="53" t="str">
        <f t="array" ref="E41">_xlfn.XLOOKUP(B41,'Up Stats'!A:A,'Up Stats'!B:B,)</f>
        <v/>
      </c>
      <c r="F41" s="54" t="str">
        <f>IFERROR(__xludf.DUMMYFUNCTION("if(AND(G41=FALSE,H41=FALSE),,if(G41=H41,JOIN("""",""Static: "",G41),JOIN("""",""Min:  "",G41, CHAR(10),""Max: "",H41)))"),"")</f>
        <v/>
      </c>
      <c r="G41" s="55" t="str">
        <f t="array" ref="G41">_xlfn.XLOOKUP(B41,'Up Min'!A:A,'Up Min'!B:B,)</f>
        <v/>
      </c>
      <c r="H41" s="56" t="str">
        <f t="array" ref="H41">_xlfn.XLOOKUP(B41,'Up Max'!A:A,'Up Max'!B:B,)</f>
        <v/>
      </c>
      <c r="I41" s="53" t="str">
        <f t="array" ref="I41">_xlfn.XLOOKUP(B41,'Up Stats'!A:A,'Up Stats'!C:C,)</f>
        <v/>
      </c>
      <c r="J41" s="54" t="str">
        <f>IFERROR(__xludf.DUMMYFUNCTION("if(AND(K41=FALSE,L41=FALSE),,if(K41=L41,JOIN("""",""Static: "",K41),JOIN("""",""Min:  "",K41, CHAR(10),""Max: "",L41)))"),"")</f>
        <v/>
      </c>
      <c r="K41" s="55" t="str">
        <f t="array" ref="K41">_xlfn.XLOOKUP(B41,'Up Min'!A:A,'Up Min'!C:C,)</f>
        <v/>
      </c>
      <c r="L41" s="55" t="str">
        <f t="array" ref="L41">_xlfn.XLOOKUP(B41,'Up Max'!A:A,'Up Max'!C:C,)</f>
        <v/>
      </c>
      <c r="M41" s="57" t="str">
        <f t="array" ref="M41">_xlfn.XLOOKUP(B41,'Up Stats'!A:A,'Up Stats'!D:D,)</f>
        <v/>
      </c>
      <c r="N41" s="54" t="str">
        <f>IFERROR(__xludf.DUMMYFUNCTION("if(AND(O41=FALSE,P41=FALSE),,if(O41=P41,JOIN("""",""Static: "",O41),JOIN("""",""Min:  "",O41, CHAR(10),""Max: "",P41)))"),"")</f>
        <v/>
      </c>
      <c r="O41" s="55" t="str">
        <f t="array" ref="O41">_xlfn.XLOOKUP(B41,'Up Min'!A:A,'Up Min'!D:D,)</f>
        <v/>
      </c>
      <c r="P41" s="55" t="str">
        <f t="array" ref="P41">_xlfn.XLOOKUP(B41,'Up Max'!A:A,'Up Max'!D:D,)</f>
        <v/>
      </c>
      <c r="Q41" s="57" t="str">
        <f t="array" ref="Q41">_xlfn.XLOOKUP(B41,'Up Stats'!A:A,'Up Stats'!E:E,)</f>
        <v/>
      </c>
      <c r="R41" s="54" t="str">
        <f>IFERROR(__xludf.DUMMYFUNCTION("if(AND(S41=FALSE,T41=FALSE),,if(S41=T41,JOIN("""",""Static: "",S41),JOIN("""",""Min:  "",S41, CHAR(10),""Max: "",T41)))"),"")</f>
        <v/>
      </c>
      <c r="S41" s="55" t="str">
        <f t="array" ref="S41">_xlfn.XLOOKUP(B41,'Up Min'!A:A,'Up Min'!E:E,)</f>
        <v/>
      </c>
      <c r="T41" s="55" t="str">
        <f t="array" ref="T41">_xlfn.XLOOKUP(B41,'Up Max'!A:A,'Up Max'!E:E,)</f>
        <v/>
      </c>
      <c r="U41" s="57" t="str">
        <f t="array" ref="U41">_xlfn.XLOOKUP(B41,'Up Stats'!A:A,'Up Stats'!F:F,)</f>
        <v/>
      </c>
      <c r="V41" s="54" t="str">
        <f>IFERROR(__xludf.DUMMYFUNCTION("if(AND(W41=FALSE,X41=FALSE),,if(W41=X41,JOIN("""",""Static: "",W41),JOIN("""",""Min:  "",W41, CHAR(10),""Max: "",X41)))"),"")</f>
        <v/>
      </c>
      <c r="W41" s="55" t="str">
        <f t="array" ref="W41">_xlfn.XLOOKUP(B41,'Up Min'!A:A,'Up Min'!F:F,)</f>
        <v/>
      </c>
      <c r="X41" s="55" t="str">
        <f t="array" ref="X41">_xlfn.XLOOKUP(B41,'Up Max'!A:A,'Up Max'!F:F,)</f>
        <v/>
      </c>
      <c r="Y41" s="57" t="str">
        <f t="array" ref="Y41">_xlfn.XLOOKUP(B41,'Up Stats'!A:A,'Up Stats'!G:G,)</f>
        <v/>
      </c>
      <c r="Z41" s="54" t="str">
        <f>IFERROR(__xludf.DUMMYFUNCTION("if(AND(AA41=FALSE,AB41=FALSE),,if(AA41=AB41,JOIN("""",""Static: "",AA41),JOIN("""",""Min:  "",AA41, CHAR(10),""Max: "",AB41)))"),"")</f>
        <v/>
      </c>
      <c r="AA41" s="55" t="str">
        <f t="array" ref="AA41">_xlfn.XLOOKUP(B41,'Up Min'!A:A,'Up Min'!G:G,)</f>
        <v/>
      </c>
      <c r="AB41" s="55" t="str">
        <f t="array" ref="AB41">_xlfn.XLOOKUP(B41,'Up Max'!A:A,'Up Max'!G:G,)</f>
        <v/>
      </c>
      <c r="AC41" s="57" t="str">
        <f t="array" ref="AC41">_xlfn.XLOOKUP(B41,'Up Stats'!A:A,'Up Stats'!H:H,)</f>
        <v/>
      </c>
      <c r="AD41" s="54" t="str">
        <f>IFERROR(__xludf.DUMMYFUNCTION("if(AND(AE41=FALSE,AF41=FALSE),,if(AE41=AF41,JOIN("""",""Static: "",AE41),JOIN("""",""Min:  "",AE41, CHAR(10),""Max: "",AF41)))"),"")</f>
        <v/>
      </c>
      <c r="AE41" s="55" t="str">
        <f t="array" ref="AE41">_xlfn.XLOOKUP(B41,'Up Min'!A:A,'Up Min'!H:H,)</f>
        <v/>
      </c>
      <c r="AF41" s="55" t="str">
        <f t="array" ref="AF41">_xlfn.XLOOKUP(B41,'Up Max'!A:A,'Up Max'!H:H,)</f>
        <v/>
      </c>
      <c r="AG41" s="57" t="str">
        <f t="array" ref="AG41">_xlfn.XLOOKUP(B41,'Up Stats'!A:A,'Up Stats'!I:I,)</f>
        <v/>
      </c>
      <c r="AH41" s="54" t="str">
        <f>IFERROR(__xludf.DUMMYFUNCTION("if(AND(AI41=FALSE,AJ41=FALSE),,if(AI41=AJ41,JOIN("""",""Static: "",AI41),JOIN("""",""Min:  "",AI41, CHAR(10),""Max: "",AJ41)))"),"")</f>
        <v/>
      </c>
      <c r="AI41" s="55" t="str">
        <f t="array" ref="AI41">_xlfn.XLOOKUP(B41,'Up Min'!A:A,'Up Min'!I:I,)</f>
        <v/>
      </c>
      <c r="AJ41" s="55" t="str">
        <f t="array" ref="AJ41">_xlfn.XLOOKUP(B41,'Up Max'!A:A,'Up Max'!I:I,)</f>
        <v/>
      </c>
      <c r="AK41" s="57" t="str">
        <f t="array" ref="AK41">_xlfn.XLOOKUP(B41,'Up Stats'!A:A,'Up Stats'!J:J,)</f>
        <v/>
      </c>
      <c r="AL41" s="54" t="str">
        <f>IFERROR(__xludf.DUMMYFUNCTION("if(AND(AM41=FALSE,AN41=FALSE),,if(AM41=AN41,JOIN("""",""Static: "",AM41),JOIN("""",""Min:  "",AM41, CHAR(10),""Max: "",AN41)))"),"")</f>
        <v/>
      </c>
      <c r="AM41" s="55" t="str">
        <f t="array" ref="AM41">_xlfn.XLOOKUP(B41,'Up Min'!A:A,'Up Min'!J:J,)</f>
        <v/>
      </c>
      <c r="AN41" s="55" t="str">
        <f t="array" ref="AN41">_xlfn.XLOOKUP(B41,'Up Max'!A:A,'Up Max'!J:J,)</f>
        <v/>
      </c>
      <c r="AO41" s="51" t="str">
        <f t="array" ref="AO41">CONCATENATE(_xlfn.XLOOKUP(B41,'Up Cells'!A:A,'Up Cells'!B:B,))</f>
        <v/>
      </c>
      <c r="AP41" s="51" t="str">
        <f t="array" ref="AP41">CONCATENATE(_xlfn.XLOOKUP(B41,'Up Rarity'!A:A,'Up Rarity'!B:B,),CHAR(10),"-")</f>
        <v>
-</v>
      </c>
    </row>
    <row r="42">
      <c r="A42" s="87" t="str">
        <f t="array" ref="A42">_xlfn.XLOOKUP(B42,'Up Icon'!A:A,'Up Icon'!B:B,)</f>
        <v/>
      </c>
      <c r="B42" s="34" t="str">
        <f t="array" ref="B42">HYPERLINK(_xlfn.XLOOKUP('Up Names'!N42,'Up Wiki'!A:A,'Up Wiki'!B:B,),'Up Names'!N42)</f>
        <v/>
      </c>
      <c r="C42" s="37" t="str">
        <f t="array" ref="C42">_xlfn.XLOOKUP(B42,'Up Desc'!A:A,'Up Desc'!B:B,)</f>
        <v/>
      </c>
      <c r="D42" s="37" t="str">
        <f t="array" ref="D42">_xlfn.XLOOKUP(B42,'Up Turbo'!A:A,'Up Turbo'!B:B,)</f>
        <v/>
      </c>
      <c r="E42" s="39" t="str">
        <f t="array" ref="E42">_xlfn.XLOOKUP(B42,'Up Stats'!A:A,'Up Stats'!B:B,)</f>
        <v/>
      </c>
      <c r="F42" s="40" t="str">
        <f>IFERROR(__xludf.DUMMYFUNCTION("if(AND(G42=FALSE,H42=FALSE),,if(G42=H42,JOIN("""",""Static: "",G42),JOIN("""",""Min:  "",G42, CHAR(10),""Max: "",H42)))"),"")</f>
        <v/>
      </c>
      <c r="G42" s="42" t="str">
        <f t="array" ref="G42">_xlfn.XLOOKUP(B42,'Up Min'!A:A,'Up Min'!B:B,)</f>
        <v/>
      </c>
      <c r="H42" s="45" t="str">
        <f t="array" ref="H42">_xlfn.XLOOKUP(B42,'Up Max'!A:A,'Up Max'!B:B,)</f>
        <v/>
      </c>
      <c r="I42" s="39" t="str">
        <f t="array" ref="I42">_xlfn.XLOOKUP(B42,'Up Stats'!A:A,'Up Stats'!C:C,)</f>
        <v/>
      </c>
      <c r="J42" s="40" t="str">
        <f>IFERROR(__xludf.DUMMYFUNCTION("if(AND(K42=FALSE,L42=FALSE),,if(K42=L42,JOIN("""",""Static: "",K42),JOIN("""",""Min:  "",K42, CHAR(10),""Max: "",L42)))"),"")</f>
        <v/>
      </c>
      <c r="K42" s="42" t="str">
        <f t="array" ref="K42">_xlfn.XLOOKUP(B42,'Up Min'!A:A,'Up Min'!C:C,)</f>
        <v/>
      </c>
      <c r="L42" s="42" t="str">
        <f t="array" ref="L42">_xlfn.XLOOKUP(B42,'Up Max'!A:A,'Up Max'!C:C,)</f>
        <v/>
      </c>
      <c r="M42" s="48" t="str">
        <f t="array" ref="M42">_xlfn.XLOOKUP(B42,'Up Stats'!A:A,'Up Stats'!D:D,)</f>
        <v/>
      </c>
      <c r="N42" s="40" t="str">
        <f>IFERROR(__xludf.DUMMYFUNCTION("if(AND(O42=FALSE,P42=FALSE),,if(O42=P42,JOIN("""",""Static: "",O42),JOIN("""",""Min:  "",O42, CHAR(10),""Max: "",P42)))"),"")</f>
        <v/>
      </c>
      <c r="O42" s="42" t="str">
        <f t="array" ref="O42">_xlfn.XLOOKUP(B42,'Up Min'!A:A,'Up Min'!D:D,)</f>
        <v/>
      </c>
      <c r="P42" s="42" t="str">
        <f t="array" ref="P42">_xlfn.XLOOKUP(B42,'Up Max'!A:A,'Up Max'!D:D,)</f>
        <v/>
      </c>
      <c r="Q42" s="48" t="str">
        <f t="array" ref="Q42">_xlfn.XLOOKUP(B42,'Up Stats'!A:A,'Up Stats'!E:E,)</f>
        <v/>
      </c>
      <c r="R42" s="40" t="str">
        <f>IFERROR(__xludf.DUMMYFUNCTION("if(AND(S42=FALSE,T42=FALSE),,if(S42=T42,JOIN("""",""Static: "",S42),JOIN("""",""Min:  "",S42, CHAR(10),""Max: "",T42)))"),"")</f>
        <v/>
      </c>
      <c r="S42" s="42" t="str">
        <f t="array" ref="S42">_xlfn.XLOOKUP(B42,'Up Min'!A:A,'Up Min'!E:E,)</f>
        <v/>
      </c>
      <c r="T42" s="42" t="str">
        <f t="array" ref="T42">_xlfn.XLOOKUP(B42,'Up Max'!A:A,'Up Max'!E:E,)</f>
        <v/>
      </c>
      <c r="U42" s="48" t="str">
        <f t="array" ref="U42">_xlfn.XLOOKUP(B42,'Up Stats'!A:A,'Up Stats'!F:F,)</f>
        <v/>
      </c>
      <c r="V42" s="40" t="str">
        <f>IFERROR(__xludf.DUMMYFUNCTION("if(AND(W42=FALSE,X42=FALSE),,if(W42=X42,JOIN("""",""Static: "",W42),JOIN("""",""Min:  "",W42, CHAR(10),""Max: "",X42)))"),"")</f>
        <v/>
      </c>
      <c r="W42" s="42" t="str">
        <f t="array" ref="W42">_xlfn.XLOOKUP(B42,'Up Min'!A:A,'Up Min'!F:F,)</f>
        <v/>
      </c>
      <c r="X42" s="42" t="str">
        <f t="array" ref="X42">_xlfn.XLOOKUP(B42,'Up Max'!A:A,'Up Max'!F:F,)</f>
        <v/>
      </c>
      <c r="Y42" s="48" t="str">
        <f t="array" ref="Y42">_xlfn.XLOOKUP(B42,'Up Stats'!A:A,'Up Stats'!G:G,)</f>
        <v/>
      </c>
      <c r="Z42" s="40" t="str">
        <f>IFERROR(__xludf.DUMMYFUNCTION("if(AND(AA42=FALSE,AB42=FALSE),,if(AA42=AB42,JOIN("""",""Static: "",AA42),JOIN("""",""Min:  "",AA42, CHAR(10),""Max: "",AB42)))"),"")</f>
        <v/>
      </c>
      <c r="AA42" s="42" t="str">
        <f t="array" ref="AA42">_xlfn.XLOOKUP(B42,'Up Min'!A:A,'Up Min'!G:G,)</f>
        <v/>
      </c>
      <c r="AB42" s="42" t="str">
        <f t="array" ref="AB42">_xlfn.XLOOKUP(B42,'Up Max'!A:A,'Up Max'!G:G,)</f>
        <v/>
      </c>
      <c r="AC42" s="48" t="str">
        <f t="array" ref="AC42">_xlfn.XLOOKUP(B42,'Up Stats'!A:A,'Up Stats'!H:H,)</f>
        <v/>
      </c>
      <c r="AD42" s="40" t="str">
        <f>IFERROR(__xludf.DUMMYFUNCTION("if(AND(AE42=FALSE,AF42=FALSE),,if(AE42=AF42,JOIN("""",""Static: "",AE42),JOIN("""",""Min:  "",AE42, CHAR(10),""Max: "",AF42)))"),"")</f>
        <v/>
      </c>
      <c r="AE42" s="42" t="str">
        <f t="array" ref="AE42">_xlfn.XLOOKUP(B42,'Up Min'!A:A,'Up Min'!H:H,)</f>
        <v/>
      </c>
      <c r="AF42" s="42" t="str">
        <f t="array" ref="AF42">_xlfn.XLOOKUP(B42,'Up Max'!A:A,'Up Max'!H:H,)</f>
        <v/>
      </c>
      <c r="AG42" s="48" t="str">
        <f t="array" ref="AG42">_xlfn.XLOOKUP(B42,'Up Stats'!A:A,'Up Stats'!I:I,)</f>
        <v/>
      </c>
      <c r="AH42" s="40" t="str">
        <f>IFERROR(__xludf.DUMMYFUNCTION("if(AND(AI42=FALSE,AJ42=FALSE),,if(AI42=AJ42,JOIN("""",""Static: "",AI42),JOIN("""",""Min:  "",AI42, CHAR(10),""Max: "",AJ42)))"),"")</f>
        <v/>
      </c>
      <c r="AI42" s="42" t="str">
        <f t="array" ref="AI42">_xlfn.XLOOKUP(B42,'Up Min'!A:A,'Up Min'!I:I,)</f>
        <v/>
      </c>
      <c r="AJ42" s="42" t="str">
        <f t="array" ref="AJ42">_xlfn.XLOOKUP(B42,'Up Max'!A:A,'Up Max'!I:I,)</f>
        <v/>
      </c>
      <c r="AK42" s="48" t="str">
        <f t="array" ref="AK42">_xlfn.XLOOKUP(B42,'Up Stats'!A:A,'Up Stats'!J:J,)</f>
        <v/>
      </c>
      <c r="AL42" s="40" t="str">
        <f>IFERROR(__xludf.DUMMYFUNCTION("if(AND(AM42=FALSE,AN42=FALSE),,if(AM42=AN42,JOIN("""",""Static: "",AM42),JOIN("""",""Min:  "",AM42, CHAR(10),""Max: "",AN42)))"),"")</f>
        <v/>
      </c>
      <c r="AM42" s="42" t="str">
        <f t="array" ref="AM42">_xlfn.XLOOKUP(B42,'Up Min'!A:A,'Up Min'!J:J,)</f>
        <v/>
      </c>
      <c r="AN42" s="42" t="str">
        <f t="array" ref="AN42">_xlfn.XLOOKUP(B42,'Up Max'!A:A,'Up Max'!J:J,)</f>
        <v/>
      </c>
      <c r="AO42" s="34" t="str">
        <f t="array" ref="AO42">CONCATENATE(_xlfn.XLOOKUP(B42,'Up Cells'!A:A,'Up Cells'!B:B,))</f>
        <v/>
      </c>
      <c r="AP42" s="34" t="str">
        <f t="array" ref="AP42">CONCATENATE(_xlfn.XLOOKUP(B42,'Up Rarity'!A:A,'Up Rarity'!B:B,),CHAR(10),"-")</f>
        <v>
-</v>
      </c>
    </row>
    <row r="43">
      <c r="A43" s="86" t="str">
        <f t="array" ref="A43">_xlfn.XLOOKUP(B43,'Up Icon'!A:A,'Up Icon'!B:B,)</f>
        <v/>
      </c>
      <c r="B43" s="51" t="str">
        <f t="array" ref="B43">HYPERLINK(_xlfn.XLOOKUP('Up Names'!N43,'Up Wiki'!A:A,'Up Wiki'!B:B,),'Up Names'!N43)</f>
        <v/>
      </c>
      <c r="C43" s="52" t="str">
        <f t="array" ref="C43">_xlfn.XLOOKUP(B43,'Up Desc'!A:A,'Up Desc'!B:B,)</f>
        <v/>
      </c>
      <c r="D43" s="52" t="str">
        <f t="array" ref="D43">_xlfn.XLOOKUP(B43,'Up Turbo'!A:A,'Up Turbo'!B:B,)</f>
        <v/>
      </c>
      <c r="E43" s="53" t="str">
        <f t="array" ref="E43">_xlfn.XLOOKUP(B43,'Up Stats'!A:A,'Up Stats'!B:B,)</f>
        <v/>
      </c>
      <c r="F43" s="54" t="str">
        <f>IFERROR(__xludf.DUMMYFUNCTION("if(AND(G43=FALSE,H43=FALSE),,if(G43=H43,JOIN("""",""Static: "",G43),JOIN("""",""Min:  "",G43, CHAR(10),""Max: "",H43)))"),"")</f>
        <v/>
      </c>
      <c r="G43" s="55" t="str">
        <f t="array" ref="G43">_xlfn.XLOOKUP(B43,'Up Min'!A:A,'Up Min'!B:B,)</f>
        <v/>
      </c>
      <c r="H43" s="56" t="str">
        <f t="array" ref="H43">_xlfn.XLOOKUP(B43,'Up Max'!A:A,'Up Max'!B:B,)</f>
        <v/>
      </c>
      <c r="I43" s="53" t="str">
        <f t="array" ref="I43">_xlfn.XLOOKUP(B43,'Up Stats'!A:A,'Up Stats'!C:C,)</f>
        <v/>
      </c>
      <c r="J43" s="54" t="str">
        <f>IFERROR(__xludf.DUMMYFUNCTION("if(AND(K43=FALSE,L43=FALSE),,if(K43=L43,JOIN("""",""Static: "",K43),JOIN("""",""Min:  "",K43, CHAR(10),""Max: "",L43)))"),"")</f>
        <v/>
      </c>
      <c r="K43" s="55" t="str">
        <f t="array" ref="K43">_xlfn.XLOOKUP(B43,'Up Min'!A:A,'Up Min'!C:C,)</f>
        <v/>
      </c>
      <c r="L43" s="55" t="str">
        <f t="array" ref="L43">_xlfn.XLOOKUP(B43,'Up Max'!A:A,'Up Max'!C:C,)</f>
        <v/>
      </c>
      <c r="M43" s="57" t="str">
        <f t="array" ref="M43">_xlfn.XLOOKUP(B43,'Up Stats'!A:A,'Up Stats'!D:D,)</f>
        <v/>
      </c>
      <c r="N43" s="54" t="str">
        <f>IFERROR(__xludf.DUMMYFUNCTION("if(AND(O43=FALSE,P43=FALSE),,if(O43=P43,JOIN("""",""Static: "",O43),JOIN("""",""Min:  "",O43, CHAR(10),""Max: "",P43)))"),"")</f>
        <v/>
      </c>
      <c r="O43" s="55" t="str">
        <f t="array" ref="O43">_xlfn.XLOOKUP(B43,'Up Min'!A:A,'Up Min'!D:D,)</f>
        <v/>
      </c>
      <c r="P43" s="55" t="str">
        <f t="array" ref="P43">_xlfn.XLOOKUP(B43,'Up Max'!A:A,'Up Max'!D:D,)</f>
        <v/>
      </c>
      <c r="Q43" s="57" t="str">
        <f t="array" ref="Q43">_xlfn.XLOOKUP(B43,'Up Stats'!A:A,'Up Stats'!E:E,)</f>
        <v/>
      </c>
      <c r="R43" s="54" t="str">
        <f>IFERROR(__xludf.DUMMYFUNCTION("if(AND(S43=FALSE,T43=FALSE),,if(S43=T43,JOIN("""",""Static: "",S43),JOIN("""",""Min:  "",S43, CHAR(10),""Max: "",T43)))"),"")</f>
        <v/>
      </c>
      <c r="S43" s="55" t="str">
        <f t="array" ref="S43">_xlfn.XLOOKUP(B43,'Up Min'!A:A,'Up Min'!E:E,)</f>
        <v/>
      </c>
      <c r="T43" s="55" t="str">
        <f t="array" ref="T43">_xlfn.XLOOKUP(B43,'Up Max'!A:A,'Up Max'!E:E,)</f>
        <v/>
      </c>
      <c r="U43" s="57" t="str">
        <f t="array" ref="U43">_xlfn.XLOOKUP(B43,'Up Stats'!A:A,'Up Stats'!F:F,)</f>
        <v/>
      </c>
      <c r="V43" s="54" t="str">
        <f>IFERROR(__xludf.DUMMYFUNCTION("if(AND(W43=FALSE,X43=FALSE),,if(W43=X43,JOIN("""",""Static: "",W43),JOIN("""",""Min:  "",W43, CHAR(10),""Max: "",X43)))"),"")</f>
        <v/>
      </c>
      <c r="W43" s="55" t="str">
        <f t="array" ref="W43">_xlfn.XLOOKUP(B43,'Up Min'!A:A,'Up Min'!F:F,)</f>
        <v/>
      </c>
      <c r="X43" s="55" t="str">
        <f t="array" ref="X43">_xlfn.XLOOKUP(B43,'Up Max'!A:A,'Up Max'!F:F,)</f>
        <v/>
      </c>
      <c r="Y43" s="57" t="str">
        <f t="array" ref="Y43">_xlfn.XLOOKUP(B43,'Up Stats'!A:A,'Up Stats'!G:G,)</f>
        <v/>
      </c>
      <c r="Z43" s="54" t="str">
        <f>IFERROR(__xludf.DUMMYFUNCTION("if(AND(AA43=FALSE,AB43=FALSE),,if(AA43=AB43,JOIN("""",""Static: "",AA43),JOIN("""",""Min:  "",AA43, CHAR(10),""Max: "",AB43)))"),"")</f>
        <v/>
      </c>
      <c r="AA43" s="55" t="str">
        <f t="array" ref="AA43">_xlfn.XLOOKUP(B43,'Up Min'!A:A,'Up Min'!G:G,)</f>
        <v/>
      </c>
      <c r="AB43" s="55" t="str">
        <f t="array" ref="AB43">_xlfn.XLOOKUP(B43,'Up Max'!A:A,'Up Max'!G:G,)</f>
        <v/>
      </c>
      <c r="AC43" s="57" t="str">
        <f t="array" ref="AC43">_xlfn.XLOOKUP(B43,'Up Stats'!A:A,'Up Stats'!H:H,)</f>
        <v/>
      </c>
      <c r="AD43" s="54" t="str">
        <f>IFERROR(__xludf.DUMMYFUNCTION("if(AND(AE43=FALSE,AF43=FALSE),,if(AE43=AF43,JOIN("""",""Static: "",AE43),JOIN("""",""Min:  "",AE43, CHAR(10),""Max: "",AF43)))"),"")</f>
        <v/>
      </c>
      <c r="AE43" s="55" t="str">
        <f t="array" ref="AE43">_xlfn.XLOOKUP(B43,'Up Min'!A:A,'Up Min'!H:H,)</f>
        <v/>
      </c>
      <c r="AF43" s="55" t="str">
        <f t="array" ref="AF43">_xlfn.XLOOKUP(B43,'Up Max'!A:A,'Up Max'!H:H,)</f>
        <v/>
      </c>
      <c r="AG43" s="57" t="str">
        <f t="array" ref="AG43">_xlfn.XLOOKUP(B43,'Up Stats'!A:A,'Up Stats'!I:I,)</f>
        <v/>
      </c>
      <c r="AH43" s="54" t="str">
        <f>IFERROR(__xludf.DUMMYFUNCTION("if(AND(AI43=FALSE,AJ43=FALSE),,if(AI43=AJ43,JOIN("""",""Static: "",AI43),JOIN("""",""Min:  "",AI43, CHAR(10),""Max: "",AJ43)))"),"")</f>
        <v/>
      </c>
      <c r="AI43" s="55" t="str">
        <f t="array" ref="AI43">_xlfn.XLOOKUP(B43,'Up Min'!A:A,'Up Min'!I:I,)</f>
        <v/>
      </c>
      <c r="AJ43" s="55" t="str">
        <f t="array" ref="AJ43">_xlfn.XLOOKUP(B43,'Up Max'!A:A,'Up Max'!I:I,)</f>
        <v/>
      </c>
      <c r="AK43" s="57" t="str">
        <f t="array" ref="AK43">_xlfn.XLOOKUP(B43,'Up Stats'!A:A,'Up Stats'!J:J,)</f>
        <v/>
      </c>
      <c r="AL43" s="54" t="str">
        <f>IFERROR(__xludf.DUMMYFUNCTION("if(AND(AM43=FALSE,AN43=FALSE),,if(AM43=AN43,JOIN("""",""Static: "",AM43),JOIN("""",""Min:  "",AM43, CHAR(10),""Max: "",AN43)))"),"")</f>
        <v/>
      </c>
      <c r="AM43" s="55" t="str">
        <f t="array" ref="AM43">_xlfn.XLOOKUP(B43,'Up Min'!A:A,'Up Min'!J:J,)</f>
        <v/>
      </c>
      <c r="AN43" s="55" t="str">
        <f t="array" ref="AN43">_xlfn.XLOOKUP(B43,'Up Max'!A:A,'Up Max'!J:J,)</f>
        <v/>
      </c>
      <c r="AO43" s="51" t="str">
        <f t="array" ref="AO43">CONCATENATE(_xlfn.XLOOKUP(B43,'Up Cells'!A:A,'Up Cells'!B:B,))</f>
        <v/>
      </c>
      <c r="AP43" s="51" t="str">
        <f t="array" ref="AP43">CONCATENATE(_xlfn.XLOOKUP(B43,'Up Rarity'!A:A,'Up Rarity'!B:B,),CHAR(10),"-")</f>
        <v>
-</v>
      </c>
    </row>
    <row r="44">
      <c r="A44" s="87" t="str">
        <f t="array" ref="A44">_xlfn.XLOOKUP(B44,'Up Icon'!A:A,'Up Icon'!B:B,)</f>
        <v/>
      </c>
      <c r="B44" s="34" t="str">
        <f t="array" ref="B44">HYPERLINK(_xlfn.XLOOKUP('Up Names'!N44,'Up Wiki'!A:A,'Up Wiki'!B:B,),'Up Names'!N44)</f>
        <v/>
      </c>
      <c r="C44" s="37" t="str">
        <f t="array" ref="C44">_xlfn.XLOOKUP(B44,'Up Desc'!A:A,'Up Desc'!B:B,)</f>
        <v/>
      </c>
      <c r="D44" s="37" t="str">
        <f t="array" ref="D44">_xlfn.XLOOKUP(B44,'Up Turbo'!A:A,'Up Turbo'!B:B,)</f>
        <v/>
      </c>
      <c r="E44" s="39" t="str">
        <f t="array" ref="E44">_xlfn.XLOOKUP(B44,'Up Stats'!A:A,'Up Stats'!B:B,)</f>
        <v/>
      </c>
      <c r="F44" s="40" t="str">
        <f>IFERROR(__xludf.DUMMYFUNCTION("if(AND(G44=FALSE,H44=FALSE),,if(G44=H44,JOIN("""",""Static: "",G44),JOIN("""",""Min:  "",G44, CHAR(10),""Max: "",H44)))"),"")</f>
        <v/>
      </c>
      <c r="G44" s="42" t="str">
        <f t="array" ref="G44">_xlfn.XLOOKUP(B44,'Up Min'!A:A,'Up Min'!B:B,)</f>
        <v/>
      </c>
      <c r="H44" s="45" t="str">
        <f t="array" ref="H44">_xlfn.XLOOKUP(B44,'Up Max'!A:A,'Up Max'!B:B,)</f>
        <v/>
      </c>
      <c r="I44" s="39" t="str">
        <f t="array" ref="I44">_xlfn.XLOOKUP(B44,'Up Stats'!A:A,'Up Stats'!C:C,)</f>
        <v/>
      </c>
      <c r="J44" s="40" t="str">
        <f>IFERROR(__xludf.DUMMYFUNCTION("if(AND(K44=FALSE,L44=FALSE),,if(K44=L44,JOIN("""",""Static: "",K44),JOIN("""",""Min:  "",K44, CHAR(10),""Max: "",L44)))"),"")</f>
        <v/>
      </c>
      <c r="K44" s="42" t="str">
        <f t="array" ref="K44">_xlfn.XLOOKUP(B44,'Up Min'!A:A,'Up Min'!C:C,)</f>
        <v/>
      </c>
      <c r="L44" s="42" t="str">
        <f t="array" ref="L44">_xlfn.XLOOKUP(B44,'Up Max'!A:A,'Up Max'!C:C,)</f>
        <v/>
      </c>
      <c r="M44" s="48" t="str">
        <f t="array" ref="M44">_xlfn.XLOOKUP(B44,'Up Stats'!A:A,'Up Stats'!D:D,)</f>
        <v/>
      </c>
      <c r="N44" s="40" t="str">
        <f>IFERROR(__xludf.DUMMYFUNCTION("if(AND(O44=FALSE,P44=FALSE),,if(O44=P44,JOIN("""",""Static: "",O44),JOIN("""",""Min:  "",O44, CHAR(10),""Max: "",P44)))"),"")</f>
        <v/>
      </c>
      <c r="O44" s="42" t="str">
        <f t="array" ref="O44">_xlfn.XLOOKUP(B44,'Up Min'!A:A,'Up Min'!D:D,)</f>
        <v/>
      </c>
      <c r="P44" s="42" t="str">
        <f t="array" ref="P44">_xlfn.XLOOKUP(B44,'Up Max'!A:A,'Up Max'!D:D,)</f>
        <v/>
      </c>
      <c r="Q44" s="48" t="str">
        <f t="array" ref="Q44">_xlfn.XLOOKUP(B44,'Up Stats'!A:A,'Up Stats'!E:E,)</f>
        <v/>
      </c>
      <c r="R44" s="40" t="str">
        <f>IFERROR(__xludf.DUMMYFUNCTION("if(AND(S44=FALSE,T44=FALSE),,if(S44=T44,JOIN("""",""Static: "",S44),JOIN("""",""Min:  "",S44, CHAR(10),""Max: "",T44)))"),"")</f>
        <v/>
      </c>
      <c r="S44" s="42" t="str">
        <f t="array" ref="S44">_xlfn.XLOOKUP(B44,'Up Min'!A:A,'Up Min'!E:E,)</f>
        <v/>
      </c>
      <c r="T44" s="42" t="str">
        <f t="array" ref="T44">_xlfn.XLOOKUP(B44,'Up Max'!A:A,'Up Max'!E:E,)</f>
        <v/>
      </c>
      <c r="U44" s="48" t="str">
        <f t="array" ref="U44">_xlfn.XLOOKUP(B44,'Up Stats'!A:A,'Up Stats'!F:F,)</f>
        <v/>
      </c>
      <c r="V44" s="40" t="str">
        <f>IFERROR(__xludf.DUMMYFUNCTION("if(AND(W44=FALSE,X44=FALSE),,if(W44=X44,JOIN("""",""Static: "",W44),JOIN("""",""Min:  "",W44, CHAR(10),""Max: "",X44)))"),"")</f>
        <v/>
      </c>
      <c r="W44" s="42" t="str">
        <f t="array" ref="W44">_xlfn.XLOOKUP(B44,'Up Min'!A:A,'Up Min'!F:F,)</f>
        <v/>
      </c>
      <c r="X44" s="42" t="str">
        <f t="array" ref="X44">_xlfn.XLOOKUP(B44,'Up Max'!A:A,'Up Max'!F:F,)</f>
        <v/>
      </c>
      <c r="Y44" s="48" t="str">
        <f t="array" ref="Y44">_xlfn.XLOOKUP(B44,'Up Stats'!A:A,'Up Stats'!G:G,)</f>
        <v/>
      </c>
      <c r="Z44" s="40" t="str">
        <f>IFERROR(__xludf.DUMMYFUNCTION("if(AND(AA44=FALSE,AB44=FALSE),,if(AA44=AB44,JOIN("""",""Static: "",AA44),JOIN("""",""Min:  "",AA44, CHAR(10),""Max: "",AB44)))"),"")</f>
        <v/>
      </c>
      <c r="AA44" s="42" t="str">
        <f t="array" ref="AA44">_xlfn.XLOOKUP(B44,'Up Min'!A:A,'Up Min'!G:G,)</f>
        <v/>
      </c>
      <c r="AB44" s="42" t="str">
        <f t="array" ref="AB44">_xlfn.XLOOKUP(B44,'Up Max'!A:A,'Up Max'!G:G,)</f>
        <v/>
      </c>
      <c r="AC44" s="48" t="str">
        <f t="array" ref="AC44">_xlfn.XLOOKUP(B44,'Up Stats'!A:A,'Up Stats'!H:H,)</f>
        <v/>
      </c>
      <c r="AD44" s="40" t="str">
        <f>IFERROR(__xludf.DUMMYFUNCTION("if(AND(AE44=FALSE,AF44=FALSE),,if(AE44=AF44,JOIN("""",""Static: "",AE44),JOIN("""",""Min:  "",AE44, CHAR(10),""Max: "",AF44)))"),"")</f>
        <v/>
      </c>
      <c r="AE44" s="42" t="str">
        <f t="array" ref="AE44">_xlfn.XLOOKUP(B44,'Up Min'!A:A,'Up Min'!H:H,)</f>
        <v/>
      </c>
      <c r="AF44" s="42" t="str">
        <f t="array" ref="AF44">_xlfn.XLOOKUP(B44,'Up Max'!A:A,'Up Max'!H:H,)</f>
        <v/>
      </c>
      <c r="AG44" s="48" t="str">
        <f t="array" ref="AG44">_xlfn.XLOOKUP(B44,'Up Stats'!A:A,'Up Stats'!I:I,)</f>
        <v/>
      </c>
      <c r="AH44" s="40" t="str">
        <f>IFERROR(__xludf.DUMMYFUNCTION("if(AND(AI44=FALSE,AJ44=FALSE),,if(AI44=AJ44,JOIN("""",""Static: "",AI44),JOIN("""",""Min:  "",AI44, CHAR(10),""Max: "",AJ44)))"),"")</f>
        <v/>
      </c>
      <c r="AI44" s="42" t="str">
        <f t="array" ref="AI44">_xlfn.XLOOKUP(B44,'Up Min'!A:A,'Up Min'!I:I,)</f>
        <v/>
      </c>
      <c r="AJ44" s="42" t="str">
        <f t="array" ref="AJ44">_xlfn.XLOOKUP(B44,'Up Max'!A:A,'Up Max'!I:I,)</f>
        <v/>
      </c>
      <c r="AK44" s="48" t="str">
        <f t="array" ref="AK44">_xlfn.XLOOKUP(B44,'Up Stats'!A:A,'Up Stats'!J:J,)</f>
        <v/>
      </c>
      <c r="AL44" s="40" t="str">
        <f>IFERROR(__xludf.DUMMYFUNCTION("if(AND(AM44=FALSE,AN44=FALSE),,if(AM44=AN44,JOIN("""",""Static: "",AM44),JOIN("""",""Min:  "",AM44, CHAR(10),""Max: "",AN44)))"),"")</f>
        <v/>
      </c>
      <c r="AM44" s="42" t="str">
        <f t="array" ref="AM44">_xlfn.XLOOKUP(B44,'Up Min'!A:A,'Up Min'!J:J,)</f>
        <v/>
      </c>
      <c r="AN44" s="42" t="str">
        <f t="array" ref="AN44">_xlfn.XLOOKUP(B44,'Up Max'!A:A,'Up Max'!J:J,)</f>
        <v/>
      </c>
      <c r="AO44" s="34" t="str">
        <f t="array" ref="AO44">CONCATENATE(_xlfn.XLOOKUP(B44,'Up Cells'!A:A,'Up Cells'!B:B,))</f>
        <v/>
      </c>
      <c r="AP44" s="34" t="str">
        <f t="array" ref="AP44">CONCATENATE(_xlfn.XLOOKUP(B44,'Up Rarity'!A:A,'Up Rarity'!B:B,),CHAR(10),"-")</f>
        <v>
-</v>
      </c>
    </row>
    <row r="45">
      <c r="A45" s="86" t="str">
        <f t="array" ref="A45">_xlfn.XLOOKUP(B45,'Up Icon'!A:A,'Up Icon'!B:B,)</f>
        <v/>
      </c>
      <c r="B45" s="51" t="str">
        <f t="array" ref="B45">HYPERLINK(_xlfn.XLOOKUP('Up Names'!N45,'Up Wiki'!A:A,'Up Wiki'!B:B,),'Up Names'!N45)</f>
        <v/>
      </c>
      <c r="C45" s="52" t="str">
        <f t="array" ref="C45">_xlfn.XLOOKUP(B45,'Up Desc'!A:A,'Up Desc'!B:B,)</f>
        <v/>
      </c>
      <c r="D45" s="52" t="str">
        <f t="array" ref="D45">_xlfn.XLOOKUP(B45,'Up Turbo'!A:A,'Up Turbo'!B:B,)</f>
        <v/>
      </c>
      <c r="E45" s="53" t="str">
        <f t="array" ref="E45">_xlfn.XLOOKUP(B45,'Up Stats'!A:A,'Up Stats'!B:B,)</f>
        <v/>
      </c>
      <c r="F45" s="54" t="str">
        <f>IFERROR(__xludf.DUMMYFUNCTION("if(AND(G45=FALSE,H45=FALSE),,if(G45=H45,JOIN("""",""Static: "",G45),JOIN("""",""Min:  "",G45, CHAR(10),""Max: "",H45)))"),"")</f>
        <v/>
      </c>
      <c r="G45" s="55" t="str">
        <f t="array" ref="G45">_xlfn.XLOOKUP(B45,'Up Min'!A:A,'Up Min'!B:B,)</f>
        <v/>
      </c>
      <c r="H45" s="56" t="str">
        <f t="array" ref="H45">_xlfn.XLOOKUP(B45,'Up Max'!A:A,'Up Max'!B:B,)</f>
        <v/>
      </c>
      <c r="I45" s="53" t="str">
        <f t="array" ref="I45">_xlfn.XLOOKUP(B45,'Up Stats'!A:A,'Up Stats'!C:C,)</f>
        <v/>
      </c>
      <c r="J45" s="54" t="str">
        <f>IFERROR(__xludf.DUMMYFUNCTION("if(AND(K45=FALSE,L45=FALSE),,if(K45=L45,JOIN("""",""Static: "",K45),JOIN("""",""Min:  "",K45, CHAR(10),""Max: "",L45)))"),"")</f>
        <v/>
      </c>
      <c r="K45" s="55" t="str">
        <f t="array" ref="K45">_xlfn.XLOOKUP(B45,'Up Min'!A:A,'Up Min'!C:C,)</f>
        <v/>
      </c>
      <c r="L45" s="55" t="str">
        <f t="array" ref="L45">_xlfn.XLOOKUP(B45,'Up Max'!A:A,'Up Max'!C:C,)</f>
        <v/>
      </c>
      <c r="M45" s="57" t="str">
        <f t="array" ref="M45">_xlfn.XLOOKUP(B45,'Up Stats'!A:A,'Up Stats'!D:D,)</f>
        <v/>
      </c>
      <c r="N45" s="54" t="str">
        <f>IFERROR(__xludf.DUMMYFUNCTION("if(AND(O45=FALSE,P45=FALSE),,if(O45=P45,JOIN("""",""Static: "",O45),JOIN("""",""Min:  "",O45, CHAR(10),""Max: "",P45)))"),"")</f>
        <v/>
      </c>
      <c r="O45" s="55" t="str">
        <f t="array" ref="O45">_xlfn.XLOOKUP(B45,'Up Min'!A:A,'Up Min'!D:D,)</f>
        <v/>
      </c>
      <c r="P45" s="55" t="str">
        <f t="array" ref="P45">_xlfn.XLOOKUP(B45,'Up Max'!A:A,'Up Max'!D:D,)</f>
        <v/>
      </c>
      <c r="Q45" s="57" t="str">
        <f t="array" ref="Q45">_xlfn.XLOOKUP(B45,'Up Stats'!A:A,'Up Stats'!E:E,)</f>
        <v/>
      </c>
      <c r="R45" s="54" t="str">
        <f>IFERROR(__xludf.DUMMYFUNCTION("if(AND(S45=FALSE,T45=FALSE),,if(S45=T45,JOIN("""",""Static: "",S45),JOIN("""",""Min:  "",S45, CHAR(10),""Max: "",T45)))"),"")</f>
        <v/>
      </c>
      <c r="S45" s="55" t="str">
        <f t="array" ref="S45">_xlfn.XLOOKUP(B45,'Up Min'!A:A,'Up Min'!E:E,)</f>
        <v/>
      </c>
      <c r="T45" s="55" t="str">
        <f t="array" ref="T45">_xlfn.XLOOKUP(B45,'Up Max'!A:A,'Up Max'!E:E,)</f>
        <v/>
      </c>
      <c r="U45" s="57" t="str">
        <f t="array" ref="U45">_xlfn.XLOOKUP(B45,'Up Stats'!A:A,'Up Stats'!F:F,)</f>
        <v/>
      </c>
      <c r="V45" s="54" t="str">
        <f>IFERROR(__xludf.DUMMYFUNCTION("if(AND(W45=FALSE,X45=FALSE),,if(W45=X45,JOIN("""",""Static: "",W45),JOIN("""",""Min:  "",W45, CHAR(10),""Max: "",X45)))"),"")</f>
        <v/>
      </c>
      <c r="W45" s="55" t="str">
        <f t="array" ref="W45">_xlfn.XLOOKUP(B45,'Up Min'!A:A,'Up Min'!F:F,)</f>
        <v/>
      </c>
      <c r="X45" s="55" t="str">
        <f t="array" ref="X45">_xlfn.XLOOKUP(B45,'Up Max'!A:A,'Up Max'!F:F,)</f>
        <v/>
      </c>
      <c r="Y45" s="57" t="str">
        <f t="array" ref="Y45">_xlfn.XLOOKUP(B45,'Up Stats'!A:A,'Up Stats'!G:G,)</f>
        <v/>
      </c>
      <c r="Z45" s="54" t="str">
        <f>IFERROR(__xludf.DUMMYFUNCTION("if(AND(AA45=FALSE,AB45=FALSE),,if(AA45=AB45,JOIN("""",""Static: "",AA45),JOIN("""",""Min:  "",AA45, CHAR(10),""Max: "",AB45)))"),"")</f>
        <v/>
      </c>
      <c r="AA45" s="55" t="str">
        <f t="array" ref="AA45">_xlfn.XLOOKUP(B45,'Up Min'!A:A,'Up Min'!G:G,)</f>
        <v/>
      </c>
      <c r="AB45" s="55" t="str">
        <f t="array" ref="AB45">_xlfn.XLOOKUP(B45,'Up Max'!A:A,'Up Max'!G:G,)</f>
        <v/>
      </c>
      <c r="AC45" s="57" t="str">
        <f t="array" ref="AC45">_xlfn.XLOOKUP(B45,'Up Stats'!A:A,'Up Stats'!H:H,)</f>
        <v/>
      </c>
      <c r="AD45" s="54" t="str">
        <f>IFERROR(__xludf.DUMMYFUNCTION("if(AND(AE45=FALSE,AF45=FALSE),,if(AE45=AF45,JOIN("""",""Static: "",AE45),JOIN("""",""Min:  "",AE45, CHAR(10),""Max: "",AF45)))"),"")</f>
        <v/>
      </c>
      <c r="AE45" s="55" t="str">
        <f t="array" ref="AE45">_xlfn.XLOOKUP(B45,'Up Min'!A:A,'Up Min'!H:H,)</f>
        <v/>
      </c>
      <c r="AF45" s="55" t="str">
        <f t="array" ref="AF45">_xlfn.XLOOKUP(B45,'Up Max'!A:A,'Up Max'!H:H,)</f>
        <v/>
      </c>
      <c r="AG45" s="57" t="str">
        <f t="array" ref="AG45">_xlfn.XLOOKUP(B45,'Up Stats'!A:A,'Up Stats'!I:I,)</f>
        <v/>
      </c>
      <c r="AH45" s="54" t="str">
        <f>IFERROR(__xludf.DUMMYFUNCTION("if(AND(AI45=FALSE,AJ45=FALSE),,if(AI45=AJ45,JOIN("""",""Static: "",AI45),JOIN("""",""Min:  "",AI45, CHAR(10),""Max: "",AJ45)))"),"")</f>
        <v/>
      </c>
      <c r="AI45" s="55" t="str">
        <f t="array" ref="AI45">_xlfn.XLOOKUP(B45,'Up Min'!A:A,'Up Min'!I:I,)</f>
        <v/>
      </c>
      <c r="AJ45" s="55" t="str">
        <f t="array" ref="AJ45">_xlfn.XLOOKUP(B45,'Up Max'!A:A,'Up Max'!I:I,)</f>
        <v/>
      </c>
      <c r="AK45" s="57" t="str">
        <f t="array" ref="AK45">_xlfn.XLOOKUP(B45,'Up Stats'!A:A,'Up Stats'!J:J,)</f>
        <v/>
      </c>
      <c r="AL45" s="54" t="str">
        <f>IFERROR(__xludf.DUMMYFUNCTION("if(AND(AM45=FALSE,AN45=FALSE),,if(AM45=AN45,JOIN("""",""Static: "",AM45),JOIN("""",""Min:  "",AM45, CHAR(10),""Max: "",AN45)))"),"")</f>
        <v/>
      </c>
      <c r="AM45" s="55" t="str">
        <f t="array" ref="AM45">_xlfn.XLOOKUP(B45,'Up Min'!A:A,'Up Min'!J:J,)</f>
        <v/>
      </c>
      <c r="AN45" s="55" t="str">
        <f t="array" ref="AN45">_xlfn.XLOOKUP(B45,'Up Max'!A:A,'Up Max'!J:J,)</f>
        <v/>
      </c>
      <c r="AO45" s="51" t="str">
        <f t="array" ref="AO45">CONCATENATE(_xlfn.XLOOKUP(B45,'Up Cells'!A:A,'Up Cells'!B:B,))</f>
        <v/>
      </c>
      <c r="AP45" s="51" t="str">
        <f t="array" ref="AP45">CONCATENATE(_xlfn.XLOOKUP(B45,'Up Rarity'!A:A,'Up Rarity'!B:B,),CHAR(10),"-")</f>
        <v>
-</v>
      </c>
    </row>
    <row r="46">
      <c r="A46" s="87" t="str">
        <f t="array" ref="A46">_xlfn.XLOOKUP(B46,'Up Icon'!A:A,'Up Icon'!B:B,)</f>
        <v/>
      </c>
      <c r="B46" s="34" t="str">
        <f t="array" ref="B46">HYPERLINK(_xlfn.XLOOKUP('Up Names'!N46,'Up Wiki'!A:A,'Up Wiki'!B:B,),'Up Names'!N46)</f>
        <v/>
      </c>
      <c r="C46" s="37" t="str">
        <f t="array" ref="C46">_xlfn.XLOOKUP(B46,'Up Desc'!A:A,'Up Desc'!B:B,)</f>
        <v/>
      </c>
      <c r="D46" s="37" t="str">
        <f t="array" ref="D46">_xlfn.XLOOKUP(B46,'Up Turbo'!A:A,'Up Turbo'!B:B,)</f>
        <v/>
      </c>
      <c r="E46" s="39" t="str">
        <f t="array" ref="E46">_xlfn.XLOOKUP(B46,'Up Stats'!A:A,'Up Stats'!B:B,)</f>
        <v/>
      </c>
      <c r="F46" s="40" t="str">
        <f>IFERROR(__xludf.DUMMYFUNCTION("if(AND(G46=FALSE,H46=FALSE),,if(G46=H46,JOIN("""",""Static: "",G46),JOIN("""",""Min:  "",G46, CHAR(10),""Max: "",H46)))"),"")</f>
        <v/>
      </c>
      <c r="G46" s="42" t="str">
        <f t="array" ref="G46">_xlfn.XLOOKUP(B46,'Up Min'!A:A,'Up Min'!B:B,)</f>
        <v/>
      </c>
      <c r="H46" s="45" t="str">
        <f t="array" ref="H46">_xlfn.XLOOKUP(B46,'Up Max'!A:A,'Up Max'!B:B,)</f>
        <v/>
      </c>
      <c r="I46" s="39" t="str">
        <f t="array" ref="I46">_xlfn.XLOOKUP(B46,'Up Stats'!A:A,'Up Stats'!C:C,)</f>
        <v/>
      </c>
      <c r="J46" s="40" t="str">
        <f>IFERROR(__xludf.DUMMYFUNCTION("if(AND(K46=FALSE,L46=FALSE),,if(K46=L46,JOIN("""",""Static: "",K46),JOIN("""",""Min:  "",K46, CHAR(10),""Max: "",L46)))"),"")</f>
        <v/>
      </c>
      <c r="K46" s="42" t="str">
        <f t="array" ref="K46">_xlfn.XLOOKUP(B46,'Up Min'!A:A,'Up Min'!C:C,)</f>
        <v/>
      </c>
      <c r="L46" s="42" t="str">
        <f t="array" ref="L46">_xlfn.XLOOKUP(B46,'Up Max'!A:A,'Up Max'!C:C,)</f>
        <v/>
      </c>
      <c r="M46" s="48" t="str">
        <f t="array" ref="M46">_xlfn.XLOOKUP(B46,'Up Stats'!A:A,'Up Stats'!D:D,)</f>
        <v/>
      </c>
      <c r="N46" s="40" t="str">
        <f>IFERROR(__xludf.DUMMYFUNCTION("if(AND(O46=FALSE,P46=FALSE),,if(O46=P46,JOIN("""",""Static: "",O46),JOIN("""",""Min:  "",O46, CHAR(10),""Max: "",P46)))"),"")</f>
        <v/>
      </c>
      <c r="O46" s="42" t="str">
        <f t="array" ref="O46">_xlfn.XLOOKUP(B46,'Up Min'!A:A,'Up Min'!D:D,)</f>
        <v/>
      </c>
      <c r="P46" s="42" t="str">
        <f t="array" ref="P46">_xlfn.XLOOKUP(B46,'Up Max'!A:A,'Up Max'!D:D,)</f>
        <v/>
      </c>
      <c r="Q46" s="48" t="str">
        <f t="array" ref="Q46">_xlfn.XLOOKUP(B46,'Up Stats'!A:A,'Up Stats'!E:E,)</f>
        <v/>
      </c>
      <c r="R46" s="40" t="str">
        <f>IFERROR(__xludf.DUMMYFUNCTION("if(AND(S46=FALSE,T46=FALSE),,if(S46=T46,JOIN("""",""Static: "",S46),JOIN("""",""Min:  "",S46, CHAR(10),""Max: "",T46)))"),"")</f>
        <v/>
      </c>
      <c r="S46" s="42" t="str">
        <f t="array" ref="S46">_xlfn.XLOOKUP(B46,'Up Min'!A:A,'Up Min'!E:E,)</f>
        <v/>
      </c>
      <c r="T46" s="42" t="str">
        <f t="array" ref="T46">_xlfn.XLOOKUP(B46,'Up Max'!A:A,'Up Max'!E:E,)</f>
        <v/>
      </c>
      <c r="U46" s="48" t="str">
        <f t="array" ref="U46">_xlfn.XLOOKUP(B46,'Up Stats'!A:A,'Up Stats'!F:F,)</f>
        <v/>
      </c>
      <c r="V46" s="40" t="str">
        <f>IFERROR(__xludf.DUMMYFUNCTION("if(AND(W46=FALSE,X46=FALSE),,if(W46=X46,JOIN("""",""Static: "",W46),JOIN("""",""Min:  "",W46, CHAR(10),""Max: "",X46)))"),"")</f>
        <v/>
      </c>
      <c r="W46" s="42" t="str">
        <f t="array" ref="W46">_xlfn.XLOOKUP(B46,'Up Min'!A:A,'Up Min'!F:F,)</f>
        <v/>
      </c>
      <c r="X46" s="42" t="str">
        <f t="array" ref="X46">_xlfn.XLOOKUP(B46,'Up Max'!A:A,'Up Max'!F:F,)</f>
        <v/>
      </c>
      <c r="Y46" s="48" t="str">
        <f t="array" ref="Y46">_xlfn.XLOOKUP(B46,'Up Stats'!A:A,'Up Stats'!G:G,)</f>
        <v/>
      </c>
      <c r="Z46" s="40" t="str">
        <f>IFERROR(__xludf.DUMMYFUNCTION("if(AND(AA46=FALSE,AB46=FALSE),,if(AA46=AB46,JOIN("""",""Static: "",AA46),JOIN("""",""Min:  "",AA46, CHAR(10),""Max: "",AB46)))"),"")</f>
        <v/>
      </c>
      <c r="AA46" s="42" t="str">
        <f t="array" ref="AA46">_xlfn.XLOOKUP(B46,'Up Min'!A:A,'Up Min'!G:G,)</f>
        <v/>
      </c>
      <c r="AB46" s="42" t="str">
        <f t="array" ref="AB46">_xlfn.XLOOKUP(B46,'Up Max'!A:A,'Up Max'!G:G,)</f>
        <v/>
      </c>
      <c r="AC46" s="48" t="str">
        <f t="array" ref="AC46">_xlfn.XLOOKUP(B46,'Up Stats'!A:A,'Up Stats'!H:H,)</f>
        <v/>
      </c>
      <c r="AD46" s="40" t="str">
        <f>IFERROR(__xludf.DUMMYFUNCTION("if(AND(AE46=FALSE,AF46=FALSE),,if(AE46=AF46,JOIN("""",""Static: "",AE46),JOIN("""",""Min:  "",AE46, CHAR(10),""Max: "",AF46)))"),"")</f>
        <v/>
      </c>
      <c r="AE46" s="42" t="str">
        <f t="array" ref="AE46">_xlfn.XLOOKUP(B46,'Up Min'!A:A,'Up Min'!H:H,)</f>
        <v/>
      </c>
      <c r="AF46" s="42" t="str">
        <f t="array" ref="AF46">_xlfn.XLOOKUP(B46,'Up Max'!A:A,'Up Max'!H:H,)</f>
        <v/>
      </c>
      <c r="AG46" s="48" t="str">
        <f t="array" ref="AG46">_xlfn.XLOOKUP(B46,'Up Stats'!A:A,'Up Stats'!I:I,)</f>
        <v/>
      </c>
      <c r="AH46" s="40" t="str">
        <f>IFERROR(__xludf.DUMMYFUNCTION("if(AND(AI46=FALSE,AJ46=FALSE),,if(AI46=AJ46,JOIN("""",""Static: "",AI46),JOIN("""",""Min:  "",AI46, CHAR(10),""Max: "",AJ46)))"),"")</f>
        <v/>
      </c>
      <c r="AI46" s="42" t="str">
        <f t="array" ref="AI46">_xlfn.XLOOKUP(B46,'Up Min'!A:A,'Up Min'!I:I,)</f>
        <v/>
      </c>
      <c r="AJ46" s="42" t="str">
        <f t="array" ref="AJ46">_xlfn.XLOOKUP(B46,'Up Max'!A:A,'Up Max'!I:I,)</f>
        <v/>
      </c>
      <c r="AK46" s="48" t="str">
        <f t="array" ref="AK46">_xlfn.XLOOKUP(B46,'Up Stats'!A:A,'Up Stats'!J:J,)</f>
        <v/>
      </c>
      <c r="AL46" s="40" t="str">
        <f>IFERROR(__xludf.DUMMYFUNCTION("if(AND(AM46=FALSE,AN46=FALSE),,if(AM46=AN46,JOIN("""",""Static: "",AM46),JOIN("""",""Min:  "",AM46, CHAR(10),""Max: "",AN46)))"),"")</f>
        <v/>
      </c>
      <c r="AM46" s="42" t="str">
        <f t="array" ref="AM46">_xlfn.XLOOKUP(B46,'Up Min'!A:A,'Up Min'!J:J,)</f>
        <v/>
      </c>
      <c r="AN46" s="42" t="str">
        <f t="array" ref="AN46">_xlfn.XLOOKUP(B46,'Up Max'!A:A,'Up Max'!J:J,)</f>
        <v/>
      </c>
      <c r="AO46" s="34" t="str">
        <f t="array" ref="AO46">CONCATENATE(_xlfn.XLOOKUP(B46,'Up Cells'!A:A,'Up Cells'!B:B,))</f>
        <v/>
      </c>
      <c r="AP46" s="34" t="str">
        <f t="array" ref="AP46">CONCATENATE(_xlfn.XLOOKUP(B46,'Up Rarity'!A:A,'Up Rarity'!B:B,),CHAR(10),"-")</f>
        <v>
-</v>
      </c>
    </row>
    <row r="47">
      <c r="A47" s="86" t="str">
        <f t="array" ref="A47">_xlfn.XLOOKUP(B47,'Up Icon'!A:A,'Up Icon'!B:B,)</f>
        <v/>
      </c>
      <c r="B47" s="51" t="str">
        <f t="array" ref="B47">HYPERLINK(_xlfn.XLOOKUP('Up Names'!N47,'Up Wiki'!A:A,'Up Wiki'!B:B,),'Up Names'!N47)</f>
        <v/>
      </c>
      <c r="C47" s="52" t="str">
        <f t="array" ref="C47">_xlfn.XLOOKUP(B47,'Up Desc'!A:A,'Up Desc'!B:B,)</f>
        <v/>
      </c>
      <c r="D47" s="52" t="str">
        <f t="array" ref="D47">_xlfn.XLOOKUP(B47,'Up Turbo'!A:A,'Up Turbo'!B:B,)</f>
        <v/>
      </c>
      <c r="E47" s="53" t="str">
        <f t="array" ref="E47">_xlfn.XLOOKUP(B47,'Up Stats'!A:A,'Up Stats'!B:B,)</f>
        <v/>
      </c>
      <c r="F47" s="54" t="str">
        <f>IFERROR(__xludf.DUMMYFUNCTION("if(AND(G47=FALSE,H47=FALSE),,if(G47=H47,JOIN("""",""Static: "",G47),JOIN("""",""Min:  "",G47, CHAR(10),""Max: "",H47)))"),"")</f>
        <v/>
      </c>
      <c r="G47" s="55" t="str">
        <f t="array" ref="G47">_xlfn.XLOOKUP(B47,'Up Min'!A:A,'Up Min'!B:B,)</f>
        <v/>
      </c>
      <c r="H47" s="56" t="str">
        <f t="array" ref="H47">_xlfn.XLOOKUP(B47,'Up Max'!A:A,'Up Max'!B:B,)</f>
        <v/>
      </c>
      <c r="I47" s="53" t="str">
        <f t="array" ref="I47">_xlfn.XLOOKUP(B47,'Up Stats'!A:A,'Up Stats'!C:C,)</f>
        <v/>
      </c>
      <c r="J47" s="54" t="str">
        <f>IFERROR(__xludf.DUMMYFUNCTION("if(AND(K47=FALSE,L47=FALSE),,if(K47=L47,JOIN("""",""Static: "",K47),JOIN("""",""Min:  "",K47, CHAR(10),""Max: "",L47)))"),"")</f>
        <v/>
      </c>
      <c r="K47" s="55" t="str">
        <f t="array" ref="K47">_xlfn.XLOOKUP(B47,'Up Min'!A:A,'Up Min'!C:C,)</f>
        <v/>
      </c>
      <c r="L47" s="55" t="str">
        <f t="array" ref="L47">_xlfn.XLOOKUP(B47,'Up Max'!A:A,'Up Max'!C:C,)</f>
        <v/>
      </c>
      <c r="M47" s="57" t="str">
        <f t="array" ref="M47">_xlfn.XLOOKUP(B47,'Up Stats'!A:A,'Up Stats'!D:D,)</f>
        <v/>
      </c>
      <c r="N47" s="54" t="str">
        <f>IFERROR(__xludf.DUMMYFUNCTION("if(AND(O47=FALSE,P47=FALSE),,if(O47=P47,JOIN("""",""Static: "",O47),JOIN("""",""Min:  "",O47, CHAR(10),""Max: "",P47)))"),"")</f>
        <v/>
      </c>
      <c r="O47" s="55" t="str">
        <f t="array" ref="O47">_xlfn.XLOOKUP(B47,'Up Min'!A:A,'Up Min'!D:D,)</f>
        <v/>
      </c>
      <c r="P47" s="55" t="str">
        <f t="array" ref="P47">_xlfn.XLOOKUP(B47,'Up Max'!A:A,'Up Max'!D:D,)</f>
        <v/>
      </c>
      <c r="Q47" s="57" t="str">
        <f t="array" ref="Q47">_xlfn.XLOOKUP(B47,'Up Stats'!A:A,'Up Stats'!E:E,)</f>
        <v/>
      </c>
      <c r="R47" s="54" t="str">
        <f>IFERROR(__xludf.DUMMYFUNCTION("if(AND(S47=FALSE,T47=FALSE),,if(S47=T47,JOIN("""",""Static: "",S47),JOIN("""",""Min:  "",S47, CHAR(10),""Max: "",T47)))"),"")</f>
        <v/>
      </c>
      <c r="S47" s="55" t="str">
        <f t="array" ref="S47">_xlfn.XLOOKUP(B47,'Up Min'!A:A,'Up Min'!E:E,)</f>
        <v/>
      </c>
      <c r="T47" s="55" t="str">
        <f t="array" ref="T47">_xlfn.XLOOKUP(B47,'Up Max'!A:A,'Up Max'!E:E,)</f>
        <v/>
      </c>
      <c r="U47" s="57" t="str">
        <f t="array" ref="U47">_xlfn.XLOOKUP(B47,'Up Stats'!A:A,'Up Stats'!F:F,)</f>
        <v/>
      </c>
      <c r="V47" s="54" t="str">
        <f>IFERROR(__xludf.DUMMYFUNCTION("if(AND(W47=FALSE,X47=FALSE),,if(W47=X47,JOIN("""",""Static: "",W47),JOIN("""",""Min:  "",W47, CHAR(10),""Max: "",X47)))"),"")</f>
        <v/>
      </c>
      <c r="W47" s="55" t="str">
        <f t="array" ref="W47">_xlfn.XLOOKUP(B47,'Up Min'!A:A,'Up Min'!F:F,)</f>
        <v/>
      </c>
      <c r="X47" s="55" t="str">
        <f t="array" ref="X47">_xlfn.XLOOKUP(B47,'Up Max'!A:A,'Up Max'!F:F,)</f>
        <v/>
      </c>
      <c r="Y47" s="57" t="str">
        <f t="array" ref="Y47">_xlfn.XLOOKUP(B47,'Up Stats'!A:A,'Up Stats'!G:G,)</f>
        <v/>
      </c>
      <c r="Z47" s="54" t="str">
        <f>IFERROR(__xludf.DUMMYFUNCTION("if(AND(AA47=FALSE,AB47=FALSE),,if(AA47=AB47,JOIN("""",""Static: "",AA47),JOIN("""",""Min:  "",AA47, CHAR(10),""Max: "",AB47)))"),"")</f>
        <v/>
      </c>
      <c r="AA47" s="55" t="str">
        <f t="array" ref="AA47">_xlfn.XLOOKUP(B47,'Up Min'!A:A,'Up Min'!G:G,)</f>
        <v/>
      </c>
      <c r="AB47" s="55" t="str">
        <f t="array" ref="AB47">_xlfn.XLOOKUP(B47,'Up Max'!A:A,'Up Max'!G:G,)</f>
        <v/>
      </c>
      <c r="AC47" s="57" t="str">
        <f t="array" ref="AC47">_xlfn.XLOOKUP(B47,'Up Stats'!A:A,'Up Stats'!H:H,)</f>
        <v/>
      </c>
      <c r="AD47" s="54" t="str">
        <f>IFERROR(__xludf.DUMMYFUNCTION("if(AND(AE47=FALSE,AF47=FALSE),,if(AE47=AF47,JOIN("""",""Static: "",AE47),JOIN("""",""Min:  "",AE47, CHAR(10),""Max: "",AF47)))"),"")</f>
        <v/>
      </c>
      <c r="AE47" s="55" t="str">
        <f t="array" ref="AE47">_xlfn.XLOOKUP(B47,'Up Min'!A:A,'Up Min'!H:H,)</f>
        <v/>
      </c>
      <c r="AF47" s="55" t="str">
        <f t="array" ref="AF47">_xlfn.XLOOKUP(B47,'Up Max'!A:A,'Up Max'!H:H,)</f>
        <v/>
      </c>
      <c r="AG47" s="57" t="str">
        <f t="array" ref="AG47">_xlfn.XLOOKUP(B47,'Up Stats'!A:A,'Up Stats'!I:I,)</f>
        <v/>
      </c>
      <c r="AH47" s="54" t="str">
        <f>IFERROR(__xludf.DUMMYFUNCTION("if(AND(AI47=FALSE,AJ47=FALSE),,if(AI47=AJ47,JOIN("""",""Static: "",AI47),JOIN("""",""Min:  "",AI47, CHAR(10),""Max: "",AJ47)))"),"")</f>
        <v/>
      </c>
      <c r="AI47" s="55" t="str">
        <f t="array" ref="AI47">_xlfn.XLOOKUP(B47,'Up Min'!A:A,'Up Min'!I:I,)</f>
        <v/>
      </c>
      <c r="AJ47" s="55" t="str">
        <f t="array" ref="AJ47">_xlfn.XLOOKUP(B47,'Up Max'!A:A,'Up Max'!I:I,)</f>
        <v/>
      </c>
      <c r="AK47" s="57" t="str">
        <f t="array" ref="AK47">_xlfn.XLOOKUP(B47,'Up Stats'!A:A,'Up Stats'!J:J,)</f>
        <v/>
      </c>
      <c r="AL47" s="54" t="str">
        <f>IFERROR(__xludf.DUMMYFUNCTION("if(AND(AM47=FALSE,AN47=FALSE),,if(AM47=AN47,JOIN("""",""Static: "",AM47),JOIN("""",""Min:  "",AM47, CHAR(10),""Max: "",AN47)))"),"")</f>
        <v/>
      </c>
      <c r="AM47" s="55" t="str">
        <f t="array" ref="AM47">_xlfn.XLOOKUP(B47,'Up Min'!A:A,'Up Min'!J:J,)</f>
        <v/>
      </c>
      <c r="AN47" s="55" t="str">
        <f t="array" ref="AN47">_xlfn.XLOOKUP(B47,'Up Max'!A:A,'Up Max'!J:J,)</f>
        <v/>
      </c>
      <c r="AO47" s="51" t="str">
        <f t="array" ref="AO47">CONCATENATE(_xlfn.XLOOKUP(B47,'Up Cells'!A:A,'Up Cells'!B:B,))</f>
        <v/>
      </c>
      <c r="AP47" s="51" t="str">
        <f t="array" ref="AP47">CONCATENATE(_xlfn.XLOOKUP(B47,'Up Rarity'!A:A,'Up Rarity'!B:B,),CHAR(10),"-")</f>
        <v>
-</v>
      </c>
    </row>
  </sheetData>
  <autoFilter ref="$A$1:$AP$47">
    <sortState ref="A1:AP47">
      <sortCondition descending="1" sortBy="cellColor" ref="AP1:AP47" dxfId="2"/>
      <sortCondition ref="B1:B47"/>
    </sortState>
  </autoFilter>
  <conditionalFormatting sqref="AO1:AP47">
    <cfRule type="containsText" dxfId="3" priority="1" operator="containsText" text="Oddity">
      <formula>NOT(ISERROR(SEARCH(("Oddity"),(AO1))))</formula>
    </cfRule>
  </conditionalFormatting>
  <conditionalFormatting sqref="AO1:AP47">
    <cfRule type="containsText" dxfId="4" priority="2" operator="containsText" text="Exotic">
      <formula>NOT(ISERROR(SEARCH(("Exotic"),(AO1))))</formula>
    </cfRule>
  </conditionalFormatting>
  <conditionalFormatting sqref="AO1:AP47">
    <cfRule type="containsText" dxfId="5" priority="3" operator="containsText" text="Epic">
      <formula>NOT(ISERROR(SEARCH(("Epic"),(AO1))))</formula>
    </cfRule>
  </conditionalFormatting>
  <conditionalFormatting sqref="AO1:AP47">
    <cfRule type="containsText" dxfId="6" priority="4" operator="containsText" text="Rare">
      <formula>NOT(ISERROR(SEARCH(("Rare"),(AO1))))</formula>
    </cfRule>
  </conditionalFormatting>
  <conditionalFormatting sqref="AO1:AP47">
    <cfRule type="containsText" dxfId="7" priority="5" operator="containsText" text="Standard">
      <formula>NOT(ISERROR(SEARCH(("Standard"),(AO1))))</formula>
    </cfRule>
  </conditionalFormatting>
  <conditionalFormatting sqref="AO1:AP47">
    <cfRule type="containsText" dxfId="8" priority="6" operator="containsText" text="Contraband">
      <formula>NOT(ISERROR(SEARCH(("Contraband"),(AO1))))</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12.63"/>
    <col customWidth="1" min="3" max="4" width="31.38"/>
    <col customWidth="1" min="5" max="6" width="12.63"/>
    <col customWidth="1" hidden="1" min="7" max="8" width="12.63"/>
    <col customWidth="1" min="9" max="10" width="12.63"/>
    <col customWidth="1" hidden="1" min="11" max="12" width="12.63"/>
    <col customWidth="1" min="13" max="14" width="12.63"/>
    <col customWidth="1" hidden="1" min="15" max="16" width="12.63"/>
    <col customWidth="1" min="17" max="18" width="12.63"/>
    <col customWidth="1" hidden="1" min="19" max="20" width="12.63"/>
    <col customWidth="1" min="21" max="22" width="12.63"/>
    <col customWidth="1" hidden="1" min="23" max="24" width="12.63"/>
    <col customWidth="1" min="25" max="26" width="12.63"/>
    <col customWidth="1" hidden="1" min="27" max="28" width="12.63"/>
    <col customWidth="1" min="29" max="30" width="12.63"/>
    <col customWidth="1" hidden="1" min="31" max="32" width="12.63"/>
    <col customWidth="1" min="33" max="34" width="12.63"/>
    <col customWidth="1" hidden="1" min="35" max="36" width="12.63"/>
    <col customWidth="1" min="37" max="38" width="12.63"/>
    <col customWidth="1" hidden="1" min="39" max="40" width="12.63"/>
    <col customWidth="1" min="41" max="42" width="8.25"/>
  </cols>
  <sheetData>
    <row r="1">
      <c r="A1" s="28" t="s">
        <v>1</v>
      </c>
      <c r="B1" s="9" t="s">
        <v>2</v>
      </c>
      <c r="C1" s="9" t="s">
        <v>3</v>
      </c>
      <c r="D1" s="11" t="s">
        <v>4</v>
      </c>
      <c r="E1" s="16" t="s">
        <v>6</v>
      </c>
      <c r="F1" s="19" t="s">
        <v>7</v>
      </c>
      <c r="G1" s="21" t="s">
        <v>8</v>
      </c>
      <c r="H1" s="25" t="s">
        <v>9</v>
      </c>
      <c r="I1" s="29" t="s">
        <v>6</v>
      </c>
      <c r="J1" s="19" t="s">
        <v>7</v>
      </c>
      <c r="K1" s="21" t="s">
        <v>8</v>
      </c>
      <c r="L1" s="21" t="s">
        <v>9</v>
      </c>
      <c r="M1" s="29" t="s">
        <v>6</v>
      </c>
      <c r="N1" s="19" t="s">
        <v>7</v>
      </c>
      <c r="O1" s="21" t="s">
        <v>8</v>
      </c>
      <c r="P1" s="21" t="s">
        <v>9</v>
      </c>
      <c r="Q1" s="16" t="s">
        <v>6</v>
      </c>
      <c r="R1" s="19" t="s">
        <v>7</v>
      </c>
      <c r="S1" s="25" t="s">
        <v>8</v>
      </c>
      <c r="T1" s="21" t="s">
        <v>9</v>
      </c>
      <c r="U1" s="16" t="s">
        <v>6</v>
      </c>
      <c r="V1" s="19" t="s">
        <v>7</v>
      </c>
      <c r="W1" s="21" t="s">
        <v>8</v>
      </c>
      <c r="X1" s="21" t="s">
        <v>9</v>
      </c>
      <c r="Y1" s="16" t="s">
        <v>6</v>
      </c>
      <c r="Z1" s="19" t="s">
        <v>7</v>
      </c>
      <c r="AA1" s="21" t="s">
        <v>8</v>
      </c>
      <c r="AB1" s="21" t="s">
        <v>9</v>
      </c>
      <c r="AC1" s="16" t="s">
        <v>6</v>
      </c>
      <c r="AD1" s="19" t="s">
        <v>7</v>
      </c>
      <c r="AE1" s="21" t="s">
        <v>8</v>
      </c>
      <c r="AF1" s="21" t="s">
        <v>9</v>
      </c>
      <c r="AG1" s="16" t="s">
        <v>6</v>
      </c>
      <c r="AH1" s="19" t="s">
        <v>7</v>
      </c>
      <c r="AI1" s="21" t="s">
        <v>8</v>
      </c>
      <c r="AJ1" s="21" t="s">
        <v>9</v>
      </c>
      <c r="AK1" s="16" t="s">
        <v>6</v>
      </c>
      <c r="AL1" s="19" t="s">
        <v>7</v>
      </c>
      <c r="AM1" s="21" t="s">
        <v>8</v>
      </c>
      <c r="AN1" s="21" t="s">
        <v>9</v>
      </c>
      <c r="AO1" s="11" t="s">
        <v>12</v>
      </c>
      <c r="AP1" s="22" t="s">
        <v>13</v>
      </c>
    </row>
    <row r="2">
      <c r="A2" s="31" t="str">
        <f t="array" ref="A2">_xlfn.XLOOKUP(B2,'Up Icon'!A:A,'Up Icon'!B:B,)</f>
        <v/>
      </c>
      <c r="B2" s="34" t="str">
        <f t="array" ref="B2">HYPERLINK(_xlfn.XLOOKUP('Up Names'!O26,'Up Wiki'!A:A,'Up Wiki'!B:B,),'Up Names'!O26)</f>
        <v>Edge Fault</v>
      </c>
      <c r="C2" s="37" t="str">
        <f t="array" ref="C2">_xlfn.XLOOKUP(B2,'Up Desc'!A:A,'Up Desc'!B:B,)</f>
        <v>Increases the size of your upgrade grid.</v>
      </c>
      <c r="D2" s="37" t="str">
        <f t="array" ref="D2">_xlfn.XLOOKUP(B2,'Up Turbo'!A:A,'Up Turbo'!B:B,)</f>
        <v>n/a</v>
      </c>
      <c r="E2" s="39" t="str">
        <f t="array" ref="E2">_xlfn.XLOOKUP(B2,'Up Stats'!A:A,'Up Stats'!B:B,)</f>
        <v/>
      </c>
      <c r="F2" s="40" t="str">
        <f>IFERROR(__xludf.DUMMYFUNCTION("if(AND(G2=FALSE,H2=FALSE),,if(G2=H2,JOIN("""",""Static: "",G2),JOIN("""",""Min:  "",G2, CHAR(10),""Max: "",H2)))"),"")</f>
        <v/>
      </c>
      <c r="G2" s="42" t="str">
        <f t="array" ref="G2">_xlfn.XLOOKUP(B2,'Up Min'!A:A,'Up Min'!B:B,)</f>
        <v/>
      </c>
      <c r="H2" s="45" t="str">
        <f t="array" ref="H2">_xlfn.XLOOKUP(B2,'Up Max'!A:A,'Up Max'!B:B,)</f>
        <v/>
      </c>
      <c r="I2" s="39" t="str">
        <f t="array" ref="I2">_xlfn.XLOOKUP(B2,'Up Stats'!A:A,'Up Stats'!C:C,)</f>
        <v/>
      </c>
      <c r="J2" s="40" t="str">
        <f>IFERROR(__xludf.DUMMYFUNCTION("if(AND(K2=FALSE,L2=FALSE),,if(K2=L2,JOIN("""",""Static: "",K2),JOIN("""",""Min:  "",K2, CHAR(10),""Max: "",L2)))"),"")</f>
        <v/>
      </c>
      <c r="K2" s="42" t="str">
        <f t="array" ref="K2">_xlfn.XLOOKUP(B2,'Up Min'!A:A,'Up Min'!C:C,)</f>
        <v/>
      </c>
      <c r="L2" s="42" t="str">
        <f t="array" ref="L2">_xlfn.XLOOKUP(B2,'Up Max'!A:A,'Up Max'!C:C,)</f>
        <v/>
      </c>
      <c r="M2" s="39" t="str">
        <f t="array" ref="M2">_xlfn.XLOOKUP(B2,'Up Stats'!A:A,'Up Stats'!D:D,)</f>
        <v/>
      </c>
      <c r="N2" s="40" t="str">
        <f>IFERROR(__xludf.DUMMYFUNCTION("if(AND(O2=FALSE,P2=FALSE),,if(O2=P2,JOIN("""",""Static: "",O2),JOIN("""",""Min:  "",O2, CHAR(10),""Max: "",P2)))"),"")</f>
        <v/>
      </c>
      <c r="O2" s="42" t="str">
        <f t="array" ref="O2">_xlfn.XLOOKUP(B2,'Up Min'!A:A,'Up Min'!D:D,)</f>
        <v/>
      </c>
      <c r="P2" s="42" t="str">
        <f t="array" ref="P2">_xlfn.XLOOKUP(B2,'Up Max'!A:A,'Up Max'!D:D,)</f>
        <v/>
      </c>
      <c r="Q2" s="48" t="str">
        <f t="array" ref="Q2">_xlfn.XLOOKUP(B2,'Up Stats'!A:A,'Up Stats'!E:E,)</f>
        <v/>
      </c>
      <c r="R2" s="40" t="str">
        <f>IFERROR(__xludf.DUMMYFUNCTION("if(AND(S2=FALSE,T2=FALSE),,if(S2=T2,JOIN("""",""Static: "",S2),JOIN("""",""Min:  "",S2, CHAR(10),""Max: "",T2)))"),"")</f>
        <v/>
      </c>
      <c r="S2" s="42" t="str">
        <f t="array" ref="S2">_xlfn.XLOOKUP(B2,'Up Min'!A:A,'Up Min'!E:E,)</f>
        <v/>
      </c>
      <c r="T2" s="42" t="str">
        <f t="array" ref="T2">_xlfn.XLOOKUP(B2,'Up Max'!A:A,'Up Max'!E:E,)</f>
        <v/>
      </c>
      <c r="U2" s="48" t="str">
        <f t="array" ref="U2">_xlfn.XLOOKUP(B2,'Up Stats'!A:A,'Up Stats'!F:F,)</f>
        <v/>
      </c>
      <c r="V2" s="40" t="str">
        <f>IFERROR(__xludf.DUMMYFUNCTION("if(AND(W2=FALSE,X2=FALSE),,if(W2=X2,JOIN("""",""Static: "",W2),JOIN("""",""Min:  "",W2, CHAR(10),""Max: "",X2)))"),"")</f>
        <v/>
      </c>
      <c r="W2" s="42" t="str">
        <f t="array" ref="W2">_xlfn.XLOOKUP(B2,'Up Min'!A:A,'Up Min'!F:F,)</f>
        <v/>
      </c>
      <c r="X2" s="42" t="str">
        <f t="array" ref="X2">_xlfn.XLOOKUP(B2,'Up Max'!A:A,'Up Max'!F:F,)</f>
        <v/>
      </c>
      <c r="Y2" s="48" t="str">
        <f t="array" ref="Y2">_xlfn.XLOOKUP(B2,'Up Stats'!A:A,'Up Stats'!G:G,)</f>
        <v/>
      </c>
      <c r="Z2" s="40" t="str">
        <f>IFERROR(__xludf.DUMMYFUNCTION("if(AND(AA2=FALSE,AB2=FALSE),,if(AA2=AB2,JOIN("""",""Static: "",AA2),JOIN("""",""Min:  "",AA2, CHAR(10),""Max: "",AB2)))"),"")</f>
        <v/>
      </c>
      <c r="AA2" s="42" t="str">
        <f t="array" ref="AA2">_xlfn.XLOOKUP(B2,'Up Min'!A:A,'Up Min'!G:G,)</f>
        <v/>
      </c>
      <c r="AB2" s="42" t="str">
        <f t="array" ref="AB2">_xlfn.XLOOKUP(B2,'Up Max'!A:A,'Up Max'!G:G,)</f>
        <v/>
      </c>
      <c r="AC2" s="48" t="str">
        <f t="array" ref="AC2">_xlfn.XLOOKUP(B2,'Up Stats'!A:A,'Up Stats'!H:H,)</f>
        <v/>
      </c>
      <c r="AD2" s="40" t="str">
        <f>IFERROR(__xludf.DUMMYFUNCTION("if(AND(AE2=FALSE,AF2=FALSE),,if(AE2=AF2,JOIN("""",""Static: "",AE2),JOIN("""",""Min:  "",AE2, CHAR(10),""Max: "",AF2)))"),"")</f>
        <v/>
      </c>
      <c r="AE2" s="42" t="str">
        <f t="array" ref="AE2">_xlfn.XLOOKUP(B2,'Up Min'!A:A,'Up Min'!H:H,)</f>
        <v/>
      </c>
      <c r="AF2" s="42" t="str">
        <f t="array" ref="AF2">_xlfn.XLOOKUP(B2,'Up Max'!A:A,'Up Max'!H:H,)</f>
        <v/>
      </c>
      <c r="AG2" s="48" t="str">
        <f t="array" ref="AG2">_xlfn.XLOOKUP(B2,'Up Stats'!A:A,'Up Stats'!I:I,)</f>
        <v/>
      </c>
      <c r="AH2" s="40" t="str">
        <f>IFERROR(__xludf.DUMMYFUNCTION("if(AND(AI2=FALSE,AJ2=FALSE),,if(AI2=AJ2,JOIN("""",""Static: "",AI2),JOIN("""",""Min:  "",AI2, CHAR(10),""Max: "",AJ2)))"),"")</f>
        <v/>
      </c>
      <c r="AI2" s="42" t="str">
        <f t="array" ref="AI2">_xlfn.XLOOKUP(B2,'Up Min'!A:A,'Up Min'!I:I,)</f>
        <v/>
      </c>
      <c r="AJ2" s="42" t="str">
        <f t="array" ref="AJ2">_xlfn.XLOOKUP(B2,'Up Max'!A:A,'Up Max'!I:I,)</f>
        <v/>
      </c>
      <c r="AK2" s="48" t="str">
        <f t="array" ref="AK2">_xlfn.XLOOKUP(B2,'Up Stats'!A:A,'Up Stats'!J:J,)</f>
        <v/>
      </c>
      <c r="AL2" s="40" t="str">
        <f>IFERROR(__xludf.DUMMYFUNCTION("if(AND(AM2=FALSE,AN2=FALSE),,if(AM2=AN2,JOIN("""",""Static: "",AM2),JOIN("""",""Min:  "",AM2, CHAR(10),""Max: "",AN2)))"),"")</f>
        <v/>
      </c>
      <c r="AM2" s="42" t="str">
        <f t="array" ref="AM2">_xlfn.XLOOKUP(B2,'Up Min'!A:A,'Up Min'!J:J,)</f>
        <v/>
      </c>
      <c r="AN2" s="42" t="str">
        <f t="array" ref="AN2">_xlfn.XLOOKUP(B2,'Up Max'!A:A,'Up Max'!J:J,)</f>
        <v/>
      </c>
      <c r="AO2" s="34" t="str">
        <f t="array" ref="AO2">CONCATENATE(_xlfn.XLOOKUP(B2,'Up Cells'!A:A,'Up Cells'!B:B,))</f>
        <v>1</v>
      </c>
      <c r="AP2" s="34" t="str">
        <f t="array" ref="AP2">CONCATENATE(_xlfn.XLOOKUP(B2,'Up Rarity'!A:A,'Up Rarity'!B:B,),CHAR(10),"-")</f>
        <v>Contraband
-</v>
      </c>
    </row>
    <row r="3">
      <c r="A3" s="31" t="str">
        <f t="array" ref="A3">_xlfn.XLOOKUP(B3,'Up Icon'!A:A,'Up Icon'!B:B,)</f>
        <v/>
      </c>
      <c r="B3" s="51" t="str">
        <f t="array" ref="B3">HYPERLINK(_xlfn.XLOOKUP('Up Names'!O25,'Up Wiki'!A:A,'Up Wiki'!B:B,),'Up Names'!O25)</f>
        <v>In for a Pound</v>
      </c>
      <c r="C3" s="52" t="str">
        <f t="array" ref="C3">_xlfn.XLOOKUP(B3,'Up Desc'!A:A,'Up Desc'!B:B,)</f>
        <v>Grenades cost health to fire and no longer have a cooldown</v>
      </c>
      <c r="D3" s="52" t="str">
        <f t="array" ref="D3">_xlfn.XLOOKUP(B3,'Up Turbo'!A:A,'Up Turbo'!B:B,)</f>
        <v>n/a</v>
      </c>
      <c r="E3" s="53" t="str">
        <f t="array" ref="E3">_xlfn.XLOOKUP(B3,'Up Stats'!A:A,'Up Stats'!B:B,)</f>
        <v/>
      </c>
      <c r="F3" s="54" t="str">
        <f>IFERROR(__xludf.DUMMYFUNCTION("if(AND(G3=FALSE,H3=FALSE),,if(G3=H3,JOIN("""",""Static: "",G3),JOIN("""",""Min:  "",G3, CHAR(10),""Max: "",H3)))"),"")</f>
        <v/>
      </c>
      <c r="G3" s="55" t="str">
        <f t="array" ref="G3">_xlfn.XLOOKUP(B3,'Up Min'!A:A,'Up Min'!B:B,)</f>
        <v/>
      </c>
      <c r="H3" s="56" t="str">
        <f t="array" ref="H3">_xlfn.XLOOKUP(B3,'Up Max'!A:A,'Up Max'!B:B,)</f>
        <v/>
      </c>
      <c r="I3" s="53" t="str">
        <f t="array" ref="I3">_xlfn.XLOOKUP(B3,'Up Stats'!A:A,'Up Stats'!C:C,)</f>
        <v/>
      </c>
      <c r="J3" s="54" t="str">
        <f>IFERROR(__xludf.DUMMYFUNCTION("if(AND(K3=FALSE,L3=FALSE),,if(K3=L3,JOIN("""",""Static: "",K3),JOIN("""",""Min:  "",K3, CHAR(10),""Max: "",L3)))"),"")</f>
        <v/>
      </c>
      <c r="K3" s="72" t="str">
        <f t="array" ref="K3">_xlfn.XLOOKUP(B3,'Up Min'!A:A,'Up Min'!C:C,)</f>
        <v/>
      </c>
      <c r="L3" s="72" t="str">
        <f t="array" ref="L3">_xlfn.XLOOKUP(B3,'Up Max'!A:A,'Up Max'!C:C,)</f>
        <v/>
      </c>
      <c r="M3" s="53" t="str">
        <f t="array" ref="M3">_xlfn.XLOOKUP(B3,'Up Stats'!A:A,'Up Stats'!D:D,)</f>
        <v/>
      </c>
      <c r="N3" s="54" t="str">
        <f>IFERROR(__xludf.DUMMYFUNCTION("if(AND(O3=FALSE,P3=FALSE),,if(O3=P3,JOIN("""",""Static: "",O3),JOIN("""",""Min:  "",O3, CHAR(10),""Max: "",P3)))"),"")</f>
        <v/>
      </c>
      <c r="O3" s="55" t="str">
        <f t="array" ref="O3">_xlfn.XLOOKUP(B3,'Up Min'!A:A,'Up Min'!D:D,)</f>
        <v/>
      </c>
      <c r="P3" s="55" t="str">
        <f t="array" ref="P3">_xlfn.XLOOKUP(B3,'Up Max'!A:A,'Up Max'!D:D,)</f>
        <v/>
      </c>
      <c r="Q3" s="57" t="str">
        <f t="array" ref="Q3">_xlfn.XLOOKUP(B3,'Up Stats'!A:A,'Up Stats'!E:E,)</f>
        <v/>
      </c>
      <c r="R3" s="54" t="str">
        <f>IFERROR(__xludf.DUMMYFUNCTION("if(AND(S3=FALSE,T3=FALSE),,if(S3=T3,JOIN("""",""Static: "",S3),JOIN("""",""Min:  "",S3, CHAR(10),""Max: "",T3)))"),"")</f>
        <v/>
      </c>
      <c r="S3" s="55" t="str">
        <f t="array" ref="S3">_xlfn.XLOOKUP(B3,'Up Min'!A:A,'Up Min'!E:E,)</f>
        <v/>
      </c>
      <c r="T3" s="55" t="str">
        <f t="array" ref="T3">_xlfn.XLOOKUP(B3,'Up Max'!A:A,'Up Max'!E:E,)</f>
        <v/>
      </c>
      <c r="U3" s="57" t="str">
        <f t="array" ref="U3">_xlfn.XLOOKUP(B3,'Up Stats'!A:A,'Up Stats'!F:F,)</f>
        <v/>
      </c>
      <c r="V3" s="54" t="str">
        <f>IFERROR(__xludf.DUMMYFUNCTION("if(AND(W3=FALSE,X3=FALSE),,if(W3=X3,JOIN("""",""Static: "",W3),JOIN("""",""Min:  "",W3, CHAR(10),""Max: "",X3)))"),"")</f>
        <v/>
      </c>
      <c r="W3" s="55" t="str">
        <f t="array" ref="W3">_xlfn.XLOOKUP(B3,'Up Min'!A:A,'Up Min'!F:F,)</f>
        <v/>
      </c>
      <c r="X3" s="55" t="str">
        <f t="array" ref="X3">_xlfn.XLOOKUP(B3,'Up Max'!A:A,'Up Max'!F:F,)</f>
        <v/>
      </c>
      <c r="Y3" s="57" t="str">
        <f t="array" ref="Y3">_xlfn.XLOOKUP(B3,'Up Stats'!A:A,'Up Stats'!G:G,)</f>
        <v/>
      </c>
      <c r="Z3" s="54" t="str">
        <f>IFERROR(__xludf.DUMMYFUNCTION("if(AND(AA3=FALSE,AB3=FALSE),,if(AA3=AB3,JOIN("""",""Static: "",AA3),JOIN("""",""Min:  "",AA3, CHAR(10),""Max: "",AB3)))"),"")</f>
        <v/>
      </c>
      <c r="AA3" s="55" t="str">
        <f t="array" ref="AA3">_xlfn.XLOOKUP(B3,'Up Min'!A:A,'Up Min'!G:G,)</f>
        <v/>
      </c>
      <c r="AB3" s="55" t="str">
        <f t="array" ref="AB3">_xlfn.XLOOKUP(B3,'Up Max'!A:A,'Up Max'!G:G,)</f>
        <v/>
      </c>
      <c r="AC3" s="57" t="str">
        <f t="array" ref="AC3">_xlfn.XLOOKUP(B3,'Up Stats'!A:A,'Up Stats'!H:H,)</f>
        <v/>
      </c>
      <c r="AD3" s="54" t="str">
        <f>IFERROR(__xludf.DUMMYFUNCTION("if(AND(AE3=FALSE,AF3=FALSE),,if(AE3=AF3,JOIN("""",""Static: "",AE3),JOIN("""",""Min:  "",AE3, CHAR(10),""Max: "",AF3)))"),"")</f>
        <v/>
      </c>
      <c r="AE3" s="55" t="str">
        <f t="array" ref="AE3">_xlfn.XLOOKUP(B3,'Up Min'!A:A,'Up Min'!H:H,)</f>
        <v/>
      </c>
      <c r="AF3" s="55" t="str">
        <f t="array" ref="AF3">_xlfn.XLOOKUP(B3,'Up Max'!A:A,'Up Max'!H:H,)</f>
        <v/>
      </c>
      <c r="AG3" s="57" t="str">
        <f t="array" ref="AG3">_xlfn.XLOOKUP(B3,'Up Stats'!A:A,'Up Stats'!I:I,)</f>
        <v/>
      </c>
      <c r="AH3" s="54" t="str">
        <f>IFERROR(__xludf.DUMMYFUNCTION("if(AND(AI3=FALSE,AJ3=FALSE),,if(AI3=AJ3,JOIN("""",""Static: "",AI3),JOIN("""",""Min:  "",AI3, CHAR(10),""Max: "",AJ3)))"),"")</f>
        <v/>
      </c>
      <c r="AI3" s="55" t="str">
        <f t="array" ref="AI3">_xlfn.XLOOKUP(B3,'Up Min'!A:A,'Up Min'!I:I,)</f>
        <v/>
      </c>
      <c r="AJ3" s="55" t="str">
        <f t="array" ref="AJ3">_xlfn.XLOOKUP(B3,'Up Max'!A:A,'Up Max'!I:I,)</f>
        <v/>
      </c>
      <c r="AK3" s="57" t="str">
        <f t="array" ref="AK3">_xlfn.XLOOKUP(B3,'Up Stats'!A:A,'Up Stats'!J:J,)</f>
        <v/>
      </c>
      <c r="AL3" s="54" t="str">
        <f>IFERROR(__xludf.DUMMYFUNCTION("if(AND(AM3=FALSE,AN3=FALSE),,if(AM3=AN3,JOIN("""",""Static: "",AM3),JOIN("""",""Min:  "",AM3, CHAR(10),""Max: "",AN3)))"),"")</f>
        <v/>
      </c>
      <c r="AM3" s="55" t="str">
        <f t="array" ref="AM3">_xlfn.XLOOKUP(B3,'Up Min'!A:A,'Up Min'!J:J,)</f>
        <v/>
      </c>
      <c r="AN3" s="55" t="str">
        <f t="array" ref="AN3">_xlfn.XLOOKUP(B3,'Up Max'!A:A,'Up Max'!J:J,)</f>
        <v/>
      </c>
      <c r="AO3" s="51" t="str">
        <f t="array" ref="AO3">CONCATENATE(_xlfn.XLOOKUP(B3,'Up Cells'!A:A,'Up Cells'!B:B,))</f>
        <v>3</v>
      </c>
      <c r="AP3" s="51" t="str">
        <f t="array" ref="AP3">CONCATENATE(_xlfn.XLOOKUP(B3,'Up Rarity'!A:A,'Up Rarity'!B:B,),CHAR(10),"-")</f>
        <v>Contraband
-</v>
      </c>
    </row>
    <row r="4">
      <c r="A4" s="31" t="str">
        <f t="array" ref="A4">_xlfn.XLOOKUP(B4,'Up Icon'!A:A,'Up Icon'!B:B,)</f>
        <v/>
      </c>
      <c r="B4" s="34" t="str">
        <f t="array" ref="B4">HYPERLINK(_xlfn.XLOOKUP('Up Names'!O27,'Up Wiki'!A:A,'Up Wiki'!B:B,),'Up Names'!O27)</f>
        <v>Multiversal Thievery</v>
      </c>
      <c r="C4" s="37" t="str">
        <f t="array" ref="C4">_xlfn.XLOOKUP(B4,'Up Desc'!A:A,'Up Desc'!B:B,)</f>
        <v>Commandeers 1 column from each of your other upgrade grids.</v>
      </c>
      <c r="D4" s="37" t="str">
        <f t="array" ref="D4">_xlfn.XLOOKUP(B4,'Up Turbo'!A:A,'Up Turbo'!B:B,)</f>
        <v>n/a</v>
      </c>
      <c r="E4" s="39" t="str">
        <f t="array" ref="E4">_xlfn.XLOOKUP(B4,'Up Stats'!A:A,'Up Stats'!B:B,)</f>
        <v/>
      </c>
      <c r="F4" s="40" t="str">
        <f>IFERROR(__xludf.DUMMYFUNCTION("if(AND(G4=FALSE,H4=FALSE),,if(G4=H4,JOIN("""",""Static: "",G4),JOIN("""",""Min:  "",G4, CHAR(10),""Max: "",H4)))"),"")</f>
        <v/>
      </c>
      <c r="G4" s="42" t="str">
        <f t="array" ref="G4">_xlfn.XLOOKUP(B4,'Up Min'!A:A,'Up Min'!B:B,)</f>
        <v/>
      </c>
      <c r="H4" s="45" t="str">
        <f t="array" ref="H4">_xlfn.XLOOKUP(B4,'Up Max'!A:A,'Up Max'!B:B,)</f>
        <v/>
      </c>
      <c r="I4" s="39" t="str">
        <f t="array" ref="I4">_xlfn.XLOOKUP(B4,'Up Stats'!A:A,'Up Stats'!C:C,)</f>
        <v/>
      </c>
      <c r="J4" s="40" t="str">
        <f>IFERROR(__xludf.DUMMYFUNCTION("if(AND(K4=FALSE,L4=FALSE),,if(K4=L4,JOIN("""",""Static: "",K4),JOIN("""",""Min:  "",K4, CHAR(10),""Max: "",L4)))"),"")</f>
        <v/>
      </c>
      <c r="K4" s="42" t="str">
        <f t="array" ref="K4">_xlfn.XLOOKUP(B4,'Up Min'!A:A,'Up Min'!C:C,)</f>
        <v/>
      </c>
      <c r="L4" s="42" t="str">
        <f t="array" ref="L4">_xlfn.XLOOKUP(B4,'Up Max'!A:A,'Up Max'!C:C,)</f>
        <v/>
      </c>
      <c r="M4" s="39" t="str">
        <f t="array" ref="M4">_xlfn.XLOOKUP(B4,'Up Stats'!A:A,'Up Stats'!D:D,)</f>
        <v/>
      </c>
      <c r="N4" s="40" t="str">
        <f>IFERROR(__xludf.DUMMYFUNCTION("if(AND(O4=FALSE,P4=FALSE),,if(O4=P4,JOIN("""",""Static: "",O4),JOIN("""",""Min:  "",O4, CHAR(10),""Max: "",P4)))"),"")</f>
        <v/>
      </c>
      <c r="O4" s="42" t="str">
        <f t="array" ref="O4">_xlfn.XLOOKUP(B4,'Up Min'!A:A,'Up Min'!D:D,)</f>
        <v/>
      </c>
      <c r="P4" s="42" t="str">
        <f t="array" ref="P4">_xlfn.XLOOKUP(B4,'Up Max'!A:A,'Up Max'!D:D,)</f>
        <v/>
      </c>
      <c r="Q4" s="48" t="str">
        <f t="array" ref="Q4">_xlfn.XLOOKUP(B4,'Up Stats'!A:A,'Up Stats'!E:E,)</f>
        <v/>
      </c>
      <c r="R4" s="40" t="str">
        <f>IFERROR(__xludf.DUMMYFUNCTION("if(AND(S4=FALSE,T4=FALSE),,if(S4=T4,JOIN("""",""Static: "",S4),JOIN("""",""Min:  "",S4, CHAR(10),""Max: "",T4)))"),"")</f>
        <v/>
      </c>
      <c r="S4" s="42" t="str">
        <f t="array" ref="S4">_xlfn.XLOOKUP(B4,'Up Min'!A:A,'Up Min'!E:E,)</f>
        <v/>
      </c>
      <c r="T4" s="42" t="str">
        <f t="array" ref="T4">_xlfn.XLOOKUP(B4,'Up Max'!A:A,'Up Max'!E:E,)</f>
        <v/>
      </c>
      <c r="U4" s="48" t="str">
        <f t="array" ref="U4">_xlfn.XLOOKUP(B4,'Up Stats'!A:A,'Up Stats'!F:F,)</f>
        <v/>
      </c>
      <c r="V4" s="40" t="str">
        <f>IFERROR(__xludf.DUMMYFUNCTION("if(AND(W4=FALSE,X4=FALSE),,if(W4=X4,JOIN("""",""Static: "",W4),JOIN("""",""Min:  "",W4, CHAR(10),""Max: "",X4)))"),"")</f>
        <v/>
      </c>
      <c r="W4" s="42" t="str">
        <f t="array" ref="W4">_xlfn.XLOOKUP(B4,'Up Min'!A:A,'Up Min'!F:F,)</f>
        <v/>
      </c>
      <c r="X4" s="42" t="str">
        <f t="array" ref="X4">_xlfn.XLOOKUP(B4,'Up Max'!A:A,'Up Max'!F:F,)</f>
        <v/>
      </c>
      <c r="Y4" s="48" t="str">
        <f t="array" ref="Y4">_xlfn.XLOOKUP(B4,'Up Stats'!A:A,'Up Stats'!G:G,)</f>
        <v/>
      </c>
      <c r="Z4" s="40" t="str">
        <f>IFERROR(__xludf.DUMMYFUNCTION("if(AND(AA4=FALSE,AB4=FALSE),,if(AA4=AB4,JOIN("""",""Static: "",AA4),JOIN("""",""Min:  "",AA4, CHAR(10),""Max: "",AB4)))"),"")</f>
        <v/>
      </c>
      <c r="AA4" s="42" t="str">
        <f t="array" ref="AA4">_xlfn.XLOOKUP(B4,'Up Min'!A:A,'Up Min'!G:G,)</f>
        <v/>
      </c>
      <c r="AB4" s="42" t="str">
        <f t="array" ref="AB4">_xlfn.XLOOKUP(B4,'Up Max'!A:A,'Up Max'!G:G,)</f>
        <v/>
      </c>
      <c r="AC4" s="48" t="str">
        <f t="array" ref="AC4">_xlfn.XLOOKUP(B4,'Up Stats'!A:A,'Up Stats'!H:H,)</f>
        <v/>
      </c>
      <c r="AD4" s="40" t="str">
        <f>IFERROR(__xludf.DUMMYFUNCTION("if(AND(AE4=FALSE,AF4=FALSE),,if(AE4=AF4,JOIN("""",""Static: "",AE4),JOIN("""",""Min:  "",AE4, CHAR(10),""Max: "",AF4)))"),"")</f>
        <v/>
      </c>
      <c r="AE4" s="42" t="str">
        <f t="array" ref="AE4">_xlfn.XLOOKUP(B4,'Up Min'!A:A,'Up Min'!H:H,)</f>
        <v/>
      </c>
      <c r="AF4" s="42" t="str">
        <f t="array" ref="AF4">_xlfn.XLOOKUP(B4,'Up Max'!A:A,'Up Max'!H:H,)</f>
        <v/>
      </c>
      <c r="AG4" s="48" t="str">
        <f t="array" ref="AG4">_xlfn.XLOOKUP(B4,'Up Stats'!A:A,'Up Stats'!I:I,)</f>
        <v/>
      </c>
      <c r="AH4" s="40" t="str">
        <f>IFERROR(__xludf.DUMMYFUNCTION("if(AND(AI4=FALSE,AJ4=FALSE),,if(AI4=AJ4,JOIN("""",""Static: "",AI4),JOIN("""",""Min:  "",AI4, CHAR(10),""Max: "",AJ4)))"),"")</f>
        <v/>
      </c>
      <c r="AI4" s="42" t="str">
        <f t="array" ref="AI4">_xlfn.XLOOKUP(B4,'Up Min'!A:A,'Up Min'!I:I,)</f>
        <v/>
      </c>
      <c r="AJ4" s="42" t="str">
        <f t="array" ref="AJ4">_xlfn.XLOOKUP(B4,'Up Max'!A:A,'Up Max'!I:I,)</f>
        <v/>
      </c>
      <c r="AK4" s="48" t="str">
        <f t="array" ref="AK4">_xlfn.XLOOKUP(B4,'Up Stats'!A:A,'Up Stats'!J:J,)</f>
        <v/>
      </c>
      <c r="AL4" s="40" t="str">
        <f>IFERROR(__xludf.DUMMYFUNCTION("if(AND(AM4=FALSE,AN4=FALSE),,if(AM4=AN4,JOIN("""",""Static: "",AM4),JOIN("""",""Min:  "",AM4, CHAR(10),""Max: "",AN4)))"),"")</f>
        <v/>
      </c>
      <c r="AM4" s="42" t="str">
        <f t="array" ref="AM4">_xlfn.XLOOKUP(B4,'Up Min'!A:A,'Up Min'!J:J,)</f>
        <v/>
      </c>
      <c r="AN4" s="42" t="str">
        <f t="array" ref="AN4">_xlfn.XLOOKUP(B4,'Up Max'!A:A,'Up Max'!J:J,)</f>
        <v/>
      </c>
      <c r="AO4" s="34" t="str">
        <f t="array" ref="AO4">CONCATENATE(_xlfn.XLOOKUP(B4,'Up Cells'!A:A,'Up Cells'!B:B,))</f>
        <v>1</v>
      </c>
      <c r="AP4" s="34" t="str">
        <f t="array" ref="AP4">CONCATENATE(_xlfn.XLOOKUP(B4,'Up Rarity'!A:A,'Up Rarity'!B:B,),CHAR(10),"-")</f>
        <v>Contraband
-</v>
      </c>
    </row>
    <row r="5">
      <c r="A5" s="60" t="str">
        <f t="array" ref="A5">_xlfn.XLOOKUP(B5,'Up Icon'!A:A,'Up Icon'!B:B,)</f>
        <v/>
      </c>
      <c r="B5" s="51" t="str">
        <f t="array" ref="B5">HYPERLINK(_xlfn.XLOOKUP('Up Names'!O28,'Up Wiki'!A:A,'Up Wiki'!B:B,),'Up Names'!O28)</f>
        <v>Boundary Incursion</v>
      </c>
      <c r="C5" s="52" t="str">
        <f t="array" ref="C5">_xlfn.XLOOKUP(B5,'Up Desc'!A:A,'Up Desc'!B:B,)</f>
        <v>Increases the size of your upgrade grid.</v>
      </c>
      <c r="D5" s="52" t="str">
        <f t="array" ref="D5">_xlfn.XLOOKUP(B5,'Up Turbo'!A:A,'Up Turbo'!B:B,)</f>
        <v>n/a</v>
      </c>
      <c r="E5" s="53" t="str">
        <f t="array" ref="E5">_xlfn.XLOOKUP(B5,'Up Stats'!A:A,'Up Stats'!B:B,)</f>
        <v/>
      </c>
      <c r="F5" s="54" t="str">
        <f>IFERROR(__xludf.DUMMYFUNCTION("if(AND(G5=FALSE,H5=FALSE),,if(G5=H5,JOIN("""",""Static: "",G5),JOIN("""",""Min:  "",G5, CHAR(10),""Max: "",H5)))"),"")</f>
        <v/>
      </c>
      <c r="G5" s="55" t="str">
        <f t="array" ref="G5">_xlfn.XLOOKUP(B5,'Up Min'!A:A,'Up Min'!B:B,)</f>
        <v/>
      </c>
      <c r="H5" s="56" t="str">
        <f t="array" ref="H5">_xlfn.XLOOKUP(B5,'Up Max'!A:A,'Up Max'!B:B,)</f>
        <v/>
      </c>
      <c r="I5" s="53" t="str">
        <f t="array" ref="I5">_xlfn.XLOOKUP(B5,'Up Stats'!A:A,'Up Stats'!C:C,)</f>
        <v/>
      </c>
      <c r="J5" s="54" t="str">
        <f>IFERROR(__xludf.DUMMYFUNCTION("if(AND(K5=FALSE,L5=FALSE),,if(K5=L5,JOIN("""",""Static: "",K5),JOIN("""",""Min:  "",K5, CHAR(10),""Max: "",L5)))"),"")</f>
        <v/>
      </c>
      <c r="K5" s="55" t="str">
        <f t="array" ref="K5">_xlfn.XLOOKUP(B5,'Up Min'!A:A,'Up Min'!C:C,)</f>
        <v/>
      </c>
      <c r="L5" s="55" t="str">
        <f t="array" ref="L5">_xlfn.XLOOKUP(B5,'Up Max'!A:A,'Up Max'!C:C,)</f>
        <v/>
      </c>
      <c r="M5" s="53" t="str">
        <f t="array" ref="M5">_xlfn.XLOOKUP(B5,'Up Stats'!A:A,'Up Stats'!D:D,)</f>
        <v/>
      </c>
      <c r="N5" s="54" t="str">
        <f>IFERROR(__xludf.DUMMYFUNCTION("if(AND(O5=FALSE,P5=FALSE),,if(O5=P5,JOIN("""",""Static: "",O5),JOIN("""",""Min:  "",O5, CHAR(10),""Max: "",P5)))"),"")</f>
        <v/>
      </c>
      <c r="O5" s="55" t="str">
        <f t="array" ref="O5">_xlfn.XLOOKUP(B5,'Up Min'!A:A,'Up Min'!D:D,)</f>
        <v/>
      </c>
      <c r="P5" s="55" t="str">
        <f t="array" ref="P5">_xlfn.XLOOKUP(B5,'Up Max'!A:A,'Up Max'!D:D,)</f>
        <v/>
      </c>
      <c r="Q5" s="57" t="str">
        <f t="array" ref="Q5">_xlfn.XLOOKUP(B5,'Up Stats'!A:A,'Up Stats'!E:E,)</f>
        <v/>
      </c>
      <c r="R5" s="54" t="str">
        <f>IFERROR(__xludf.DUMMYFUNCTION("if(AND(S5=FALSE,T5=FALSE),,if(S5=T5,JOIN("""",""Static: "",S5),JOIN("""",""Min:  "",S5, CHAR(10),""Max: "",T5)))"),"")</f>
        <v/>
      </c>
      <c r="S5" s="55" t="str">
        <f t="array" ref="S5">_xlfn.XLOOKUP(B5,'Up Min'!A:A,'Up Min'!E:E,)</f>
        <v/>
      </c>
      <c r="T5" s="55" t="str">
        <f t="array" ref="T5">_xlfn.XLOOKUP(B5,'Up Max'!A:A,'Up Max'!E:E,)</f>
        <v/>
      </c>
      <c r="U5" s="57" t="str">
        <f t="array" ref="U5">_xlfn.XLOOKUP(B5,'Up Stats'!A:A,'Up Stats'!F:F,)</f>
        <v/>
      </c>
      <c r="V5" s="54" t="str">
        <f>IFERROR(__xludf.DUMMYFUNCTION("if(AND(W5=FALSE,X5=FALSE),,if(W5=X5,JOIN("""",""Static: "",W5),JOIN("""",""Min:  "",W5, CHAR(10),""Max: "",X5)))"),"")</f>
        <v/>
      </c>
      <c r="W5" s="55" t="str">
        <f t="array" ref="W5">_xlfn.XLOOKUP(B5,'Up Min'!A:A,'Up Min'!F:F,)</f>
        <v/>
      </c>
      <c r="X5" s="55" t="str">
        <f t="array" ref="X5">_xlfn.XLOOKUP(B5,'Up Max'!A:A,'Up Max'!F:F,)</f>
        <v/>
      </c>
      <c r="Y5" s="57" t="str">
        <f t="array" ref="Y5">_xlfn.XLOOKUP(B5,'Up Stats'!A:A,'Up Stats'!G:G,)</f>
        <v/>
      </c>
      <c r="Z5" s="54" t="str">
        <f>IFERROR(__xludf.DUMMYFUNCTION("if(AND(AA5=FALSE,AB5=FALSE),,if(AA5=AB5,JOIN("""",""Static: "",AA5),JOIN("""",""Min:  "",AA5, CHAR(10),""Max: "",AB5)))"),"")</f>
        <v/>
      </c>
      <c r="AA5" s="55" t="str">
        <f t="array" ref="AA5">_xlfn.XLOOKUP(B5,'Up Min'!A:A,'Up Min'!G:G,)</f>
        <v/>
      </c>
      <c r="AB5" s="55" t="str">
        <f t="array" ref="AB5">_xlfn.XLOOKUP(B5,'Up Max'!A:A,'Up Max'!G:G,)</f>
        <v/>
      </c>
      <c r="AC5" s="57" t="str">
        <f t="array" ref="AC5">_xlfn.XLOOKUP(B5,'Up Stats'!A:A,'Up Stats'!H:H,)</f>
        <v/>
      </c>
      <c r="AD5" s="54" t="str">
        <f>IFERROR(__xludf.DUMMYFUNCTION("if(AND(AE5=FALSE,AF5=FALSE),,if(AE5=AF5,JOIN("""",""Static: "",AE5),JOIN("""",""Min:  "",AE5, CHAR(10),""Max: "",AF5)))"),"")</f>
        <v/>
      </c>
      <c r="AE5" s="55" t="str">
        <f t="array" ref="AE5">_xlfn.XLOOKUP(B5,'Up Min'!A:A,'Up Min'!H:H,)</f>
        <v/>
      </c>
      <c r="AF5" s="55" t="str">
        <f t="array" ref="AF5">_xlfn.XLOOKUP(B5,'Up Max'!A:A,'Up Max'!H:H,)</f>
        <v/>
      </c>
      <c r="AG5" s="57" t="str">
        <f t="array" ref="AG5">_xlfn.XLOOKUP(B5,'Up Stats'!A:A,'Up Stats'!I:I,)</f>
        <v/>
      </c>
      <c r="AH5" s="54" t="str">
        <f>IFERROR(__xludf.DUMMYFUNCTION("if(AND(AI5=FALSE,AJ5=FALSE),,if(AI5=AJ5,JOIN("""",""Static: "",AI5),JOIN("""",""Min:  "",AI5, CHAR(10),""Max: "",AJ5)))"),"")</f>
        <v/>
      </c>
      <c r="AI5" s="55" t="str">
        <f t="array" ref="AI5">_xlfn.XLOOKUP(B5,'Up Min'!A:A,'Up Min'!I:I,)</f>
        <v/>
      </c>
      <c r="AJ5" s="55" t="str">
        <f t="array" ref="AJ5">_xlfn.XLOOKUP(B5,'Up Max'!A:A,'Up Max'!I:I,)</f>
        <v/>
      </c>
      <c r="AK5" s="57" t="str">
        <f t="array" ref="AK5">_xlfn.XLOOKUP(B5,'Up Stats'!A:A,'Up Stats'!J:J,)</f>
        <v/>
      </c>
      <c r="AL5" s="54" t="str">
        <f>IFERROR(__xludf.DUMMYFUNCTION("if(AND(AM5=FALSE,AN5=FALSE),,if(AM5=AN5,JOIN("""",""Static: "",AM5),JOIN("""",""Min:  "",AM5, CHAR(10),""Max: "",AN5)))"),"")</f>
        <v/>
      </c>
      <c r="AM5" s="55" t="str">
        <f t="array" ref="AM5">_xlfn.XLOOKUP(B5,'Up Min'!A:A,'Up Min'!J:J,)</f>
        <v/>
      </c>
      <c r="AN5" s="55" t="str">
        <f t="array" ref="AN5">_xlfn.XLOOKUP(B5,'Up Max'!A:A,'Up Max'!J:J,)</f>
        <v/>
      </c>
      <c r="AO5" s="51" t="str">
        <f t="array" ref="AO5">CONCATENATE(_xlfn.XLOOKUP(B5,'Up Cells'!A:A,'Up Cells'!B:B,))</f>
        <v>1</v>
      </c>
      <c r="AP5" s="51" t="str">
        <f t="array" ref="AP5">CONCATENATE(_xlfn.XLOOKUP(B5,'Up Rarity'!A:A,'Up Rarity'!B:B,),CHAR(10),"-")</f>
        <v>Oddity
-</v>
      </c>
    </row>
    <row r="6">
      <c r="A6" s="62" t="str">
        <f t="array" ref="A6">_xlfn.XLOOKUP(B6,'Up Icon'!A:A,'Up Icon'!B:B,)</f>
        <v/>
      </c>
      <c r="B6" s="66" t="str">
        <f t="array" ref="B6">HYPERLINK(_xlfn.XLOOKUP('Up Names'!O2,'Up Wiki'!A:A,'Up Wiki'!B:B,),'Up Names'!O2)</f>
        <v>Connected Systems</v>
      </c>
      <c r="C6" s="37" t="str">
        <f t="array" ref="C6">_xlfn.XLOOKUP(B6,'Up Desc'!A:A,'Up Desc'!B:B,)</f>
        <v>Grenades activate your employee's secondary ability on impact.</v>
      </c>
      <c r="D6" s="37" t="str">
        <f t="array" ref="D6">_xlfn.XLOOKUP(B6,'Up Turbo'!A:A,'Up Turbo'!B:B,)</f>
        <v/>
      </c>
      <c r="E6" s="48" t="str">
        <f t="array" ref="E6">_xlfn.XLOOKUP(B6,'Up Stats'!A:A,'Up Stats'!B:B,)</f>
        <v/>
      </c>
      <c r="F6" s="40" t="str">
        <f>IFERROR(__xludf.DUMMYFUNCTION("if(AND(G6=FALSE,H6=FALSE),,if(G6=H6,JOIN("""",""Static: "",G6),JOIN("""",""Min:  "",G6, CHAR(10),""Max: "",H6)))"),"")</f>
        <v/>
      </c>
      <c r="G6" s="42" t="str">
        <f t="array" ref="G6">_xlfn.XLOOKUP(B6,'Up Min'!A:A,'Up Min'!B:B,)</f>
        <v/>
      </c>
      <c r="H6" s="74" t="str">
        <f t="array" ref="H6">_xlfn.XLOOKUP(B6,'Up Max'!A:A,'Up Max'!B:B,)</f>
        <v/>
      </c>
      <c r="I6" s="79" t="str">
        <f t="array" ref="I6">_xlfn.XLOOKUP(B6,'Up Stats'!A:A,'Up Stats'!C:C,)</f>
        <v/>
      </c>
      <c r="J6" s="40" t="str">
        <f>IFERROR(__xludf.DUMMYFUNCTION("if(AND(K6=FALSE,L6=FALSE),,if(K6=L6,JOIN("""",""Static: "",K6),JOIN("""",""Min:  "",K6, CHAR(10),""Max: "",L6)))"),"")</f>
        <v/>
      </c>
      <c r="K6" s="74" t="str">
        <f t="array" ref="K6">_xlfn.XLOOKUP(B6,'Up Min'!A:A,'Up Min'!C:C,)</f>
        <v/>
      </c>
      <c r="L6" s="74" t="str">
        <f t="array" ref="L6">_xlfn.XLOOKUP(B6,'Up Max'!A:A,'Up Max'!C:C,)</f>
        <v/>
      </c>
      <c r="M6" s="48" t="str">
        <f t="array" ref="M6">_xlfn.XLOOKUP(B6,'Up Stats'!A:A,'Up Stats'!D:D,)</f>
        <v/>
      </c>
      <c r="N6" s="40" t="str">
        <f>IFERROR(__xludf.DUMMYFUNCTION("if(AND(O6=FALSE,P6=FALSE),,if(O6=P6,JOIN("""",""Static: "",O6),JOIN("""",""Min:  "",O6, CHAR(10),""Max: "",P6)))"),"")</f>
        <v/>
      </c>
      <c r="O6" s="42" t="str">
        <f t="array" ref="O6">_xlfn.XLOOKUP(B6,'Up Min'!A:A,'Up Min'!D:D,)</f>
        <v/>
      </c>
      <c r="P6" s="42" t="str">
        <f t="array" ref="P6">_xlfn.XLOOKUP(B6,'Up Max'!A:A,'Up Max'!D:D,)</f>
        <v/>
      </c>
      <c r="Q6" s="48" t="str">
        <f t="array" ref="Q6">_xlfn.XLOOKUP(B6,'Up Stats'!A:A,'Up Stats'!E:E,)</f>
        <v/>
      </c>
      <c r="R6" s="40" t="str">
        <f>IFERROR(__xludf.DUMMYFUNCTION("if(AND(S6=FALSE,T6=FALSE),,if(S6=T6,JOIN("""",""Static: "",S6),JOIN("""",""Min:  "",S6, CHAR(10),""Max: "",T6)))"),"")</f>
        <v/>
      </c>
      <c r="S6" s="42" t="str">
        <f t="array" ref="S6">_xlfn.XLOOKUP(B6,'Up Min'!A:A,'Up Min'!E:E,)</f>
        <v/>
      </c>
      <c r="T6" s="42" t="str">
        <f t="array" ref="T6">_xlfn.XLOOKUP(B6,'Up Max'!A:A,'Up Max'!E:E,)</f>
        <v/>
      </c>
      <c r="U6" s="48" t="str">
        <f t="array" ref="U6">_xlfn.XLOOKUP(B6,'Up Stats'!A:A,'Up Stats'!F:F,)</f>
        <v/>
      </c>
      <c r="V6" s="40" t="str">
        <f>IFERROR(__xludf.DUMMYFUNCTION("if(AND(W6=FALSE,X6=FALSE),,if(W6=X6,JOIN("""",""Static: "",W6),JOIN("""",""Min:  "",W6, CHAR(10),""Max: "",X6)))"),"")</f>
        <v/>
      </c>
      <c r="W6" s="42" t="str">
        <f t="array" ref="W6">_xlfn.XLOOKUP(B6,'Up Min'!A:A,'Up Min'!F:F,)</f>
        <v/>
      </c>
      <c r="X6" s="42" t="str">
        <f t="array" ref="X6">_xlfn.XLOOKUP(B6,'Up Max'!A:A,'Up Max'!F:F,)</f>
        <v/>
      </c>
      <c r="Y6" s="48" t="str">
        <f t="array" ref="Y6">_xlfn.XLOOKUP(B6,'Up Stats'!A:A,'Up Stats'!G:G,)</f>
        <v/>
      </c>
      <c r="Z6" s="40" t="str">
        <f>IFERROR(__xludf.DUMMYFUNCTION("if(AND(AA6=FALSE,AB6=FALSE),,if(AA6=AB6,JOIN("""",""Static: "",AA6),JOIN("""",""Min:  "",AA6, CHAR(10),""Max: "",AB6)))"),"")</f>
        <v/>
      </c>
      <c r="AA6" s="42" t="str">
        <f t="array" ref="AA6">_xlfn.XLOOKUP(B6,'Up Min'!A:A,'Up Min'!G:G,)</f>
        <v/>
      </c>
      <c r="AB6" s="42" t="str">
        <f t="array" ref="AB6">_xlfn.XLOOKUP(B6,'Up Max'!A:A,'Up Max'!G:G,)</f>
        <v/>
      </c>
      <c r="AC6" s="48" t="str">
        <f t="array" ref="AC6">_xlfn.XLOOKUP(B6,'Up Stats'!A:A,'Up Stats'!H:H,)</f>
        <v/>
      </c>
      <c r="AD6" s="40" t="str">
        <f>IFERROR(__xludf.DUMMYFUNCTION("if(AND(AE6=FALSE,AF6=FALSE),,if(AE6=AF6,JOIN("""",""Static: "",AE6),JOIN("""",""Min:  "",AE6, CHAR(10),""Max: "",AF6)))"),"")</f>
        <v/>
      </c>
      <c r="AE6" s="42" t="str">
        <f t="array" ref="AE6">_xlfn.XLOOKUP(B6,'Up Min'!A:A,'Up Min'!H:H,)</f>
        <v/>
      </c>
      <c r="AF6" s="42" t="str">
        <f t="array" ref="AF6">_xlfn.XLOOKUP(B6,'Up Max'!A:A,'Up Max'!H:H,)</f>
        <v/>
      </c>
      <c r="AG6" s="48" t="str">
        <f t="array" ref="AG6">_xlfn.XLOOKUP(B6,'Up Stats'!A:A,'Up Stats'!I:I,)</f>
        <v/>
      </c>
      <c r="AH6" s="40" t="str">
        <f>IFERROR(__xludf.DUMMYFUNCTION("if(AND(AI6=FALSE,AJ6=FALSE),,if(AI6=AJ6,JOIN("""",""Static: "",AI6),JOIN("""",""Min:  "",AI6, CHAR(10),""Max: "",AJ6)))"),"")</f>
        <v/>
      </c>
      <c r="AI6" s="42" t="str">
        <f t="array" ref="AI6">_xlfn.XLOOKUP(B6,'Up Min'!A:A,'Up Min'!I:I,)</f>
        <v/>
      </c>
      <c r="AJ6" s="42" t="str">
        <f t="array" ref="AJ6">_xlfn.XLOOKUP(B6,'Up Max'!A:A,'Up Max'!I:I,)</f>
        <v/>
      </c>
      <c r="AK6" s="48" t="str">
        <f t="array" ref="AK6">_xlfn.XLOOKUP(B6,'Up Stats'!A:A,'Up Stats'!J:J,)</f>
        <v/>
      </c>
      <c r="AL6" s="40" t="str">
        <f>IFERROR(__xludf.DUMMYFUNCTION("if(AND(AM6=FALSE,AN6=FALSE),,if(AM6=AN6,JOIN("""",""Static: "",AM6),JOIN("""",""Min:  "",AM6, CHAR(10),""Max: "",AN6)))"),"")</f>
        <v/>
      </c>
      <c r="AM6" s="42" t="str">
        <f t="array" ref="AM6">_xlfn.XLOOKUP(B6,'Up Min'!A:A,'Up Min'!J:J,)</f>
        <v/>
      </c>
      <c r="AN6" s="42" t="str">
        <f t="array" ref="AN6">_xlfn.XLOOKUP(B6,'Up Max'!A:A,'Up Max'!J:J,)</f>
        <v/>
      </c>
      <c r="AO6" s="34" t="str">
        <f t="array" ref="AO6">CONCATENATE(_xlfn.XLOOKUP(B6,'Up Cells'!A:A,'Up Cells'!B:B,))</f>
        <v>4</v>
      </c>
      <c r="AP6" s="34" t="str">
        <f t="array" ref="AP6">CONCATENATE(_xlfn.XLOOKUP(B6,'Up Rarity'!A:A,'Up Rarity'!B:B,),CHAR(10),"-")</f>
        <v>Exotic
-</v>
      </c>
    </row>
    <row r="7">
      <c r="A7" s="62" t="str">
        <f t="array" ref="A7">_xlfn.XLOOKUP(B7,'Up Icon'!A:A,'Up Icon'!B:B,)</f>
        <v/>
      </c>
      <c r="B7" s="51" t="str">
        <f t="array" ref="B7">HYPERLINK(_xlfn.XLOOKUP('Up Names'!O24,'Up Wiki'!A:A,'Up Wiki'!B:B,),'Up Names'!O24)</f>
        <v>Grenade Belt</v>
      </c>
      <c r="C7" s="52" t="str">
        <f t="array" ref="C7">_xlfn.XLOOKUP(B7,'Up Desc'!A:A,'Up Desc'!B:B,)</f>
        <v>Sliding will periodically throw out your grenade without consuming a charge. Stacking this upgrade throws additional grenades.</v>
      </c>
      <c r="D7" s="52" t="str">
        <f t="array" ref="D7">_xlfn.XLOOKUP(B7,'Up Turbo'!A:A,'Up Turbo'!B:B,)</f>
        <v/>
      </c>
      <c r="E7" s="53" t="str">
        <f t="array" ref="E7">_xlfn.XLOOKUP(B7,'Up Stats'!A:A,'Up Stats'!B:B,)</f>
        <v/>
      </c>
      <c r="F7" s="54" t="str">
        <f>IFERROR(__xludf.DUMMYFUNCTION("if(AND(G7=FALSE,H7=FALSE),,if(G7=H7,JOIN("""",""Static: "",G7),JOIN("""",""Min:  "",G7, CHAR(10),""Max: "",H7)))"),"")</f>
        <v/>
      </c>
      <c r="G7" s="55" t="str">
        <f t="array" ref="G7">_xlfn.XLOOKUP(B7,'Up Min'!A:A,'Up Min'!B:B,)</f>
        <v/>
      </c>
      <c r="H7" s="56" t="str">
        <f t="array" ref="H7">_xlfn.XLOOKUP(B7,'Up Max'!A:A,'Up Max'!B:B,)</f>
        <v/>
      </c>
      <c r="I7" s="53" t="str">
        <f t="array" ref="I7">_xlfn.XLOOKUP(B7,'Up Stats'!A:A,'Up Stats'!C:C,)</f>
        <v/>
      </c>
      <c r="J7" s="54" t="str">
        <f>IFERROR(__xludf.DUMMYFUNCTION("if(AND(K7=FALSE,L7=FALSE),,if(K7=L7,JOIN("""",""Static: "",K7),JOIN("""",""Min:  "",K7, CHAR(10),""Max: "",L7)))"),"")</f>
        <v/>
      </c>
      <c r="K7" s="72" t="str">
        <f t="array" ref="K7">_xlfn.XLOOKUP(B7,'Up Min'!A:A,'Up Min'!C:C,)</f>
        <v/>
      </c>
      <c r="L7" s="72" t="str">
        <f t="array" ref="L7">_xlfn.XLOOKUP(B7,'Up Max'!A:A,'Up Max'!C:C,)</f>
        <v/>
      </c>
      <c r="M7" s="53" t="str">
        <f t="array" ref="M7">_xlfn.XLOOKUP(B7,'Up Stats'!A:A,'Up Stats'!D:D,)</f>
        <v/>
      </c>
      <c r="N7" s="54" t="str">
        <f>IFERROR(__xludf.DUMMYFUNCTION("if(AND(O7=FALSE,P7=FALSE),,if(O7=P7,JOIN("""",""Static: "",O7),JOIN("""",""Min:  "",O7, CHAR(10),""Max: "",P7)))"),"")</f>
        <v/>
      </c>
      <c r="O7" s="55" t="str">
        <f t="array" ref="O7">_xlfn.XLOOKUP(B7,'Up Min'!A:A,'Up Min'!D:D,)</f>
        <v/>
      </c>
      <c r="P7" s="55" t="str">
        <f t="array" ref="P7">_xlfn.XLOOKUP(B7,'Up Max'!A:A,'Up Max'!D:D,)</f>
        <v/>
      </c>
      <c r="Q7" s="57" t="str">
        <f t="array" ref="Q7">_xlfn.XLOOKUP(B7,'Up Stats'!A:A,'Up Stats'!E:E,)</f>
        <v/>
      </c>
      <c r="R7" s="54" t="str">
        <f>IFERROR(__xludf.DUMMYFUNCTION("if(AND(S7=FALSE,T7=FALSE),,if(S7=T7,JOIN("""",""Static: "",S7),JOIN("""",""Min:  "",S7, CHAR(10),""Max: "",T7)))"),"")</f>
        <v/>
      </c>
      <c r="S7" s="55" t="str">
        <f t="array" ref="S7">_xlfn.XLOOKUP(B7,'Up Min'!A:A,'Up Min'!E:E,)</f>
        <v/>
      </c>
      <c r="T7" s="55" t="str">
        <f t="array" ref="T7">_xlfn.XLOOKUP(B7,'Up Max'!A:A,'Up Max'!E:E,)</f>
        <v/>
      </c>
      <c r="U7" s="57" t="str">
        <f t="array" ref="U7">_xlfn.XLOOKUP(B7,'Up Stats'!A:A,'Up Stats'!F:F,)</f>
        <v/>
      </c>
      <c r="V7" s="54" t="str">
        <f>IFERROR(__xludf.DUMMYFUNCTION("if(AND(W7=FALSE,X7=FALSE),,if(W7=X7,JOIN("""",""Static: "",W7),JOIN("""",""Min:  "",W7, CHAR(10),""Max: "",X7)))"),"")</f>
        <v/>
      </c>
      <c r="W7" s="55" t="str">
        <f t="array" ref="W7">_xlfn.XLOOKUP(B7,'Up Min'!A:A,'Up Min'!F:F,)</f>
        <v/>
      </c>
      <c r="X7" s="55" t="str">
        <f t="array" ref="X7">_xlfn.XLOOKUP(B7,'Up Max'!A:A,'Up Max'!F:F,)</f>
        <v/>
      </c>
      <c r="Y7" s="57" t="str">
        <f t="array" ref="Y7">_xlfn.XLOOKUP(B7,'Up Stats'!A:A,'Up Stats'!G:G,)</f>
        <v/>
      </c>
      <c r="Z7" s="54" t="str">
        <f>IFERROR(__xludf.DUMMYFUNCTION("if(AND(AA7=FALSE,AB7=FALSE),,if(AA7=AB7,JOIN("""",""Static: "",AA7),JOIN("""",""Min:  "",AA7, CHAR(10),""Max: "",AB7)))"),"")</f>
        <v/>
      </c>
      <c r="AA7" s="55" t="str">
        <f t="array" ref="AA7">_xlfn.XLOOKUP(B7,'Up Min'!A:A,'Up Min'!G:G,)</f>
        <v/>
      </c>
      <c r="AB7" s="55" t="str">
        <f t="array" ref="AB7">_xlfn.XLOOKUP(B7,'Up Max'!A:A,'Up Max'!G:G,)</f>
        <v/>
      </c>
      <c r="AC7" s="57" t="str">
        <f t="array" ref="AC7">_xlfn.XLOOKUP(B7,'Up Stats'!A:A,'Up Stats'!H:H,)</f>
        <v/>
      </c>
      <c r="AD7" s="54" t="str">
        <f>IFERROR(__xludf.DUMMYFUNCTION("if(AND(AE7=FALSE,AF7=FALSE),,if(AE7=AF7,JOIN("""",""Static: "",AE7),JOIN("""",""Min:  "",AE7, CHAR(10),""Max: "",AF7)))"),"")</f>
        <v/>
      </c>
      <c r="AE7" s="55" t="str">
        <f t="array" ref="AE7">_xlfn.XLOOKUP(B7,'Up Min'!A:A,'Up Min'!H:H,)</f>
        <v/>
      </c>
      <c r="AF7" s="55" t="str">
        <f t="array" ref="AF7">_xlfn.XLOOKUP(B7,'Up Max'!A:A,'Up Max'!H:H,)</f>
        <v/>
      </c>
      <c r="AG7" s="57" t="str">
        <f t="array" ref="AG7">_xlfn.XLOOKUP(B7,'Up Stats'!A:A,'Up Stats'!I:I,)</f>
        <v/>
      </c>
      <c r="AH7" s="54" t="str">
        <f>IFERROR(__xludf.DUMMYFUNCTION("if(AND(AI7=FALSE,AJ7=FALSE),,if(AI7=AJ7,JOIN("""",""Static: "",AI7),JOIN("""",""Min:  "",AI7, CHAR(10),""Max: "",AJ7)))"),"")</f>
        <v/>
      </c>
      <c r="AI7" s="55" t="str">
        <f t="array" ref="AI7">_xlfn.XLOOKUP(B7,'Up Min'!A:A,'Up Min'!I:I,)</f>
        <v/>
      </c>
      <c r="AJ7" s="55" t="str">
        <f t="array" ref="AJ7">_xlfn.XLOOKUP(B7,'Up Max'!A:A,'Up Max'!I:I,)</f>
        <v/>
      </c>
      <c r="AK7" s="57" t="str">
        <f t="array" ref="AK7">_xlfn.XLOOKUP(B7,'Up Stats'!A:A,'Up Stats'!J:J,)</f>
        <v/>
      </c>
      <c r="AL7" s="54" t="str">
        <f>IFERROR(__xludf.DUMMYFUNCTION("if(AND(AM7=FALSE,AN7=FALSE),,if(AM7=AN7,JOIN("""",""Static: "",AM7),JOIN("""",""Min:  "",AM7, CHAR(10),""Max: "",AN7)))"),"")</f>
        <v/>
      </c>
      <c r="AM7" s="55" t="str">
        <f t="array" ref="AM7">_xlfn.XLOOKUP(B7,'Up Min'!A:A,'Up Min'!J:J,)</f>
        <v/>
      </c>
      <c r="AN7" s="55" t="str">
        <f t="array" ref="AN7">_xlfn.XLOOKUP(B7,'Up Max'!A:A,'Up Max'!J:J,)</f>
        <v/>
      </c>
      <c r="AO7" s="51" t="str">
        <f t="array" ref="AO7">CONCATENATE(_xlfn.XLOOKUP(B7,'Up Cells'!A:A,'Up Cells'!B:B,))</f>
        <v>6</v>
      </c>
      <c r="AP7" s="51" t="str">
        <f t="array" ref="AP7">CONCATENATE(_xlfn.XLOOKUP(B7,'Up Rarity'!A:A,'Up Rarity'!B:B,),CHAR(10),"-")</f>
        <v>Exotic
-</v>
      </c>
    </row>
    <row r="8">
      <c r="A8" s="62" t="str">
        <f t="array" ref="A8">_xlfn.XLOOKUP(B8,'Up Icon'!A:A,'Up Icon'!B:B,)</f>
        <v/>
      </c>
      <c r="B8" s="66" t="str">
        <f t="array" ref="B8">HYPERLINK(_xlfn.XLOOKUP('Up Names'!O3,'Up Wiki'!A:A,'Up Wiki'!B:B,),'Up Names'!O3)</f>
        <v>Heavy Support</v>
      </c>
      <c r="C8" s="67" t="str">
        <f t="array" ref="C8">_xlfn.XLOOKUP(B8,'Up Desc'!A:A,'Up Desc'!B:B,)</f>
        <v>Grenades call in a heavy weapon drop on impact. Cooldown is increased.</v>
      </c>
      <c r="D8" s="37" t="str">
        <f t="array" ref="D8">_xlfn.XLOOKUP(B8,'Up Turbo'!A:A,'Up Turbo'!B:B,)</f>
        <v/>
      </c>
      <c r="E8" s="39" t="str">
        <f t="array" ref="E8">_xlfn.XLOOKUP(B8,'Up Stats'!A:A,'Up Stats'!B:B,)</f>
        <v>Recharge Speed</v>
      </c>
      <c r="F8" s="40" t="str">
        <f>IFERROR(__xludf.DUMMYFUNCTION("if(AND(G8=FALSE,H8=FALSE),,if(G8=H8,JOIN("""",""Static: "",G8),JOIN("""",""Min:  "",G8, CHAR(10),""Max: "",H8)))"),"Min:  -71.43%
Max: -77.78%")</f>
        <v>Min:  -71.43%
Max: -77.78%</v>
      </c>
      <c r="G8" s="78">
        <f t="array" ref="G8">_xlfn.XLOOKUP(B8,'Up Min'!A:A,'Up Min'!B:B,)</f>
        <v>-0.7143</v>
      </c>
      <c r="H8" s="78">
        <f t="array" ref="H8">_xlfn.XLOOKUP(B8,'Up Max'!A:A,'Up Max'!B:B,)</f>
        <v>-0.7778</v>
      </c>
      <c r="I8" s="39" t="str">
        <f t="array" ref="I8">_xlfn.XLOOKUP(B8,'Up Stats'!A:A,'Up Stats'!C:C,)</f>
        <v/>
      </c>
      <c r="J8" s="40" t="str">
        <f>IFERROR(__xludf.DUMMYFUNCTION("if(AND(K8=FALSE,L8=FALSE),,if(K8=L8,JOIN("""",""Static: "",K8),JOIN("""",""Min:  "",K8, CHAR(10),""Max: "",L8)))"),"")</f>
        <v/>
      </c>
      <c r="K8" s="74" t="str">
        <f t="array" ref="K8">_xlfn.XLOOKUP(B8,'Up Min'!A:A,'Up Min'!C:C,)</f>
        <v/>
      </c>
      <c r="L8" s="74" t="str">
        <f t="array" ref="L8">_xlfn.XLOOKUP(B8,'Up Max'!A:A,'Up Max'!C:C,)</f>
        <v/>
      </c>
      <c r="M8" s="48" t="str">
        <f t="array" ref="M8">_xlfn.XLOOKUP(B8,'Up Stats'!A:A,'Up Stats'!D:D,)</f>
        <v/>
      </c>
      <c r="N8" s="40" t="str">
        <f>IFERROR(__xludf.DUMMYFUNCTION("if(AND(O8=FALSE,P8=FALSE),,if(O8=P8,JOIN("""",""Static: "",O8),JOIN("""",""Min:  "",O8, CHAR(10),""Max: "",P8)))"),"")</f>
        <v/>
      </c>
      <c r="O8" s="42" t="str">
        <f t="array" ref="O8">_xlfn.XLOOKUP(B8,'Up Min'!A:A,'Up Min'!D:D,)</f>
        <v/>
      </c>
      <c r="P8" s="42" t="str">
        <f t="array" ref="P8">_xlfn.XLOOKUP(B8,'Up Max'!A:A,'Up Max'!D:D,)</f>
        <v/>
      </c>
      <c r="Q8" s="48" t="str">
        <f t="array" ref="Q8">_xlfn.XLOOKUP(B8,'Up Stats'!A:A,'Up Stats'!E:E,)</f>
        <v/>
      </c>
      <c r="R8" s="40" t="str">
        <f>IFERROR(__xludf.DUMMYFUNCTION("if(AND(S8=FALSE,T8=FALSE),,if(S8=T8,JOIN("""",""Static: "",S8),JOIN("""",""Min:  "",S8, CHAR(10),""Max: "",T8)))"),"")</f>
        <v/>
      </c>
      <c r="S8" s="42" t="str">
        <f t="array" ref="S8">_xlfn.XLOOKUP(B8,'Up Min'!A:A,'Up Min'!E:E,)</f>
        <v/>
      </c>
      <c r="T8" s="42" t="str">
        <f t="array" ref="T8">_xlfn.XLOOKUP(B8,'Up Max'!A:A,'Up Max'!E:E,)</f>
        <v/>
      </c>
      <c r="U8" s="48" t="str">
        <f t="array" ref="U8">_xlfn.XLOOKUP(B8,'Up Stats'!A:A,'Up Stats'!F:F,)</f>
        <v/>
      </c>
      <c r="V8" s="40" t="str">
        <f>IFERROR(__xludf.DUMMYFUNCTION("if(AND(W8=FALSE,X8=FALSE),,if(W8=X8,JOIN("""",""Static: "",W8),JOIN("""",""Min:  "",W8, CHAR(10),""Max: "",X8)))"),"")</f>
        <v/>
      </c>
      <c r="W8" s="42" t="str">
        <f t="array" ref="W8">_xlfn.XLOOKUP(B8,'Up Min'!A:A,'Up Min'!F:F,)</f>
        <v/>
      </c>
      <c r="X8" s="42" t="str">
        <f t="array" ref="X8">_xlfn.XLOOKUP(B8,'Up Max'!A:A,'Up Max'!F:F,)</f>
        <v/>
      </c>
      <c r="Y8" s="48" t="str">
        <f t="array" ref="Y8">_xlfn.XLOOKUP(B8,'Up Stats'!A:A,'Up Stats'!G:G,)</f>
        <v/>
      </c>
      <c r="Z8" s="40" t="str">
        <f>IFERROR(__xludf.DUMMYFUNCTION("if(AND(AA8=FALSE,AB8=FALSE),,if(AA8=AB8,JOIN("""",""Static: "",AA8),JOIN("""",""Min:  "",AA8, CHAR(10),""Max: "",AB8)))"),"")</f>
        <v/>
      </c>
      <c r="AA8" s="42" t="str">
        <f t="array" ref="AA8">_xlfn.XLOOKUP(B8,'Up Min'!A:A,'Up Min'!G:G,)</f>
        <v/>
      </c>
      <c r="AB8" s="42" t="str">
        <f t="array" ref="AB8">_xlfn.XLOOKUP(B8,'Up Max'!A:A,'Up Max'!G:G,)</f>
        <v/>
      </c>
      <c r="AC8" s="48" t="str">
        <f t="array" ref="AC8">_xlfn.XLOOKUP(B8,'Up Stats'!A:A,'Up Stats'!H:H,)</f>
        <v/>
      </c>
      <c r="AD8" s="40" t="str">
        <f>IFERROR(__xludf.DUMMYFUNCTION("if(AND(AE8=FALSE,AF8=FALSE),,if(AE8=AF8,JOIN("""",""Static: "",AE8),JOIN("""",""Min:  "",AE8, CHAR(10),""Max: "",AF8)))"),"")</f>
        <v/>
      </c>
      <c r="AE8" s="42" t="str">
        <f t="array" ref="AE8">_xlfn.XLOOKUP(B8,'Up Min'!A:A,'Up Min'!H:H,)</f>
        <v/>
      </c>
      <c r="AF8" s="42" t="str">
        <f t="array" ref="AF8">_xlfn.XLOOKUP(B8,'Up Max'!A:A,'Up Max'!H:H,)</f>
        <v/>
      </c>
      <c r="AG8" s="48" t="str">
        <f t="array" ref="AG8">_xlfn.XLOOKUP(B8,'Up Stats'!A:A,'Up Stats'!I:I,)</f>
        <v/>
      </c>
      <c r="AH8" s="40" t="str">
        <f>IFERROR(__xludf.DUMMYFUNCTION("if(AND(AI8=FALSE,AJ8=FALSE),,if(AI8=AJ8,JOIN("""",""Static: "",AI8),JOIN("""",""Min:  "",AI8, CHAR(10),""Max: "",AJ8)))"),"")</f>
        <v/>
      </c>
      <c r="AI8" s="42" t="str">
        <f t="array" ref="AI8">_xlfn.XLOOKUP(B8,'Up Min'!A:A,'Up Min'!I:I,)</f>
        <v/>
      </c>
      <c r="AJ8" s="42" t="str">
        <f t="array" ref="AJ8">_xlfn.XLOOKUP(B8,'Up Max'!A:A,'Up Max'!I:I,)</f>
        <v/>
      </c>
      <c r="AK8" s="48" t="str">
        <f t="array" ref="AK8">_xlfn.XLOOKUP(B8,'Up Stats'!A:A,'Up Stats'!J:J,)</f>
        <v/>
      </c>
      <c r="AL8" s="40" t="str">
        <f>IFERROR(__xludf.DUMMYFUNCTION("if(AND(AM8=FALSE,AN8=FALSE),,if(AM8=AN8,JOIN("""",""Static: "",AM8),JOIN("""",""Min:  "",AM8, CHAR(10),""Max: "",AN8)))"),"")</f>
        <v/>
      </c>
      <c r="AM8" s="42" t="str">
        <f t="array" ref="AM8">_xlfn.XLOOKUP(B8,'Up Min'!A:A,'Up Min'!J:J,)</f>
        <v/>
      </c>
      <c r="AN8" s="42" t="str">
        <f t="array" ref="AN8">_xlfn.XLOOKUP(B8,'Up Max'!A:A,'Up Max'!J:J,)</f>
        <v/>
      </c>
      <c r="AO8" s="34" t="str">
        <f t="array" ref="AO8">CONCATENATE(_xlfn.XLOOKUP(B8,'Up Cells'!A:A,'Up Cells'!B:B,))</f>
        <v>5</v>
      </c>
      <c r="AP8" s="34" t="str">
        <f t="array" ref="AP8">CONCATENATE(_xlfn.XLOOKUP(B8,'Up Rarity'!A:A,'Up Rarity'!B:B,),CHAR(10),"-")</f>
        <v>Exotic
-</v>
      </c>
    </row>
    <row r="9">
      <c r="A9" s="62" t="str">
        <f t="array" ref="A9">_xlfn.XLOOKUP(B9,'Up Icon'!A:A,'Up Icon'!B:B,)</f>
        <v/>
      </c>
      <c r="B9" s="51" t="str">
        <f t="array" ref="B9">HYPERLINK(_xlfn.XLOOKUP('Up Names'!O23,'Up Wiki'!A:A,'Up Wiki'!B:B,),'Up Names'!O23)</f>
        <v>In for a Penny, In for a Pound</v>
      </c>
      <c r="C9" s="52" t="str">
        <f t="array" ref="C9">_xlfn.XLOOKUP(B9,'Up Desc'!A:A,'Up Desc'!B:B,)</f>
        <v>Taking damage from any source other than your grenade has a small chance to toss out a grenade. This chance is proportional to the amount of damage taken.</v>
      </c>
      <c r="D9" s="52" t="str">
        <f t="array" ref="D9">_xlfn.XLOOKUP(B9,'Up Turbo'!A:A,'Up Turbo'!B:B,)</f>
        <v/>
      </c>
      <c r="E9" s="53" t="str">
        <f t="array" ref="E9">_xlfn.XLOOKUP(B9,'Up Stats'!A:A,'Up Stats'!B:B,)</f>
        <v/>
      </c>
      <c r="F9" s="54" t="str">
        <f>IFERROR(__xludf.DUMMYFUNCTION("if(AND(G9=FALSE,H9=FALSE),,if(G9=H9,JOIN("""",""Static: "",G9),JOIN("""",""Min:  "",G9, CHAR(10),""Max: "",H9)))"),"")</f>
        <v/>
      </c>
      <c r="G9" s="72" t="str">
        <f t="array" ref="G9">_xlfn.XLOOKUP(B9,'Up Min'!A:A,'Up Min'!B:B,)</f>
        <v/>
      </c>
      <c r="H9" s="72" t="str">
        <f t="array" ref="H9">_xlfn.XLOOKUP(B9,'Up Max'!A:A,'Up Max'!B:B,)</f>
        <v/>
      </c>
      <c r="I9" s="53" t="str">
        <f t="array" ref="I9">_xlfn.XLOOKUP(B9,'Up Stats'!A:A,'Up Stats'!C:C,)</f>
        <v/>
      </c>
      <c r="J9" s="54" t="str">
        <f>IFERROR(__xludf.DUMMYFUNCTION("if(AND(K9=FALSE,L9=FALSE),,if(K9=L9,JOIN("""",""Static: "",K9),JOIN("""",""Min:  "",K9, CHAR(10),""Max: "",L9)))"),"")</f>
        <v/>
      </c>
      <c r="K9" s="55" t="str">
        <f t="array" ref="K9">_xlfn.XLOOKUP(B9,'Up Min'!A:A,'Up Min'!C:C,)</f>
        <v/>
      </c>
      <c r="L9" s="55" t="str">
        <f t="array" ref="L9">_xlfn.XLOOKUP(B9,'Up Max'!A:A,'Up Max'!C:C,)</f>
        <v/>
      </c>
      <c r="M9" s="53" t="str">
        <f t="array" ref="M9">_xlfn.XLOOKUP(B9,'Up Stats'!A:A,'Up Stats'!D:D,)</f>
        <v/>
      </c>
      <c r="N9" s="54" t="str">
        <f>IFERROR(__xludf.DUMMYFUNCTION("if(AND(O9=FALSE,P9=FALSE),,if(O9=P9,JOIN("""",""Static: "",O9),JOIN("""",""Min:  "",O9, CHAR(10),""Max: "",P9)))"),"")</f>
        <v/>
      </c>
      <c r="O9" s="55" t="str">
        <f t="array" ref="O9">_xlfn.XLOOKUP(B9,'Up Min'!A:A,'Up Min'!D:D,)</f>
        <v/>
      </c>
      <c r="P9" s="55" t="str">
        <f t="array" ref="P9">_xlfn.XLOOKUP(B9,'Up Max'!A:A,'Up Max'!D:D,)</f>
        <v/>
      </c>
      <c r="Q9" s="57" t="str">
        <f t="array" ref="Q9">_xlfn.XLOOKUP(B9,'Up Stats'!A:A,'Up Stats'!E:E,)</f>
        <v/>
      </c>
      <c r="R9" s="54" t="str">
        <f>IFERROR(__xludf.DUMMYFUNCTION("if(AND(S9=FALSE,T9=FALSE),,if(S9=T9,JOIN("""",""Static: "",S9),JOIN("""",""Min:  "",S9, CHAR(10),""Max: "",T9)))"),"")</f>
        <v/>
      </c>
      <c r="S9" s="55" t="str">
        <f t="array" ref="S9">_xlfn.XLOOKUP(B9,'Up Min'!A:A,'Up Min'!E:E,)</f>
        <v/>
      </c>
      <c r="T9" s="55" t="str">
        <f t="array" ref="T9">_xlfn.XLOOKUP(B9,'Up Max'!A:A,'Up Max'!E:E,)</f>
        <v/>
      </c>
      <c r="U9" s="57" t="str">
        <f t="array" ref="U9">_xlfn.XLOOKUP(B9,'Up Stats'!A:A,'Up Stats'!F:F,)</f>
        <v/>
      </c>
      <c r="V9" s="54" t="str">
        <f>IFERROR(__xludf.DUMMYFUNCTION("if(AND(W9=FALSE,X9=FALSE),,if(W9=X9,JOIN("""",""Static: "",W9),JOIN("""",""Min:  "",W9, CHAR(10),""Max: "",X9)))"),"")</f>
        <v/>
      </c>
      <c r="W9" s="55" t="str">
        <f t="array" ref="W9">_xlfn.XLOOKUP(B9,'Up Min'!A:A,'Up Min'!F:F,)</f>
        <v/>
      </c>
      <c r="X9" s="55" t="str">
        <f t="array" ref="X9">_xlfn.XLOOKUP(B9,'Up Max'!A:A,'Up Max'!F:F,)</f>
        <v/>
      </c>
      <c r="Y9" s="57" t="str">
        <f t="array" ref="Y9">_xlfn.XLOOKUP(B9,'Up Stats'!A:A,'Up Stats'!G:G,)</f>
        <v/>
      </c>
      <c r="Z9" s="54" t="str">
        <f>IFERROR(__xludf.DUMMYFUNCTION("if(AND(AA9=FALSE,AB9=FALSE),,if(AA9=AB9,JOIN("""",""Static: "",AA9),JOIN("""",""Min:  "",AA9, CHAR(10),""Max: "",AB9)))"),"")</f>
        <v/>
      </c>
      <c r="AA9" s="55" t="str">
        <f t="array" ref="AA9">_xlfn.XLOOKUP(B9,'Up Min'!A:A,'Up Min'!G:G,)</f>
        <v/>
      </c>
      <c r="AB9" s="55" t="str">
        <f t="array" ref="AB9">_xlfn.XLOOKUP(B9,'Up Max'!A:A,'Up Max'!G:G,)</f>
        <v/>
      </c>
      <c r="AC9" s="57" t="str">
        <f t="array" ref="AC9">_xlfn.XLOOKUP(B9,'Up Stats'!A:A,'Up Stats'!H:H,)</f>
        <v/>
      </c>
      <c r="AD9" s="54" t="str">
        <f>IFERROR(__xludf.DUMMYFUNCTION("if(AND(AE9=FALSE,AF9=FALSE),,if(AE9=AF9,JOIN("""",""Static: "",AE9),JOIN("""",""Min:  "",AE9, CHAR(10),""Max: "",AF9)))"),"")</f>
        <v/>
      </c>
      <c r="AE9" s="55" t="str">
        <f t="array" ref="AE9">_xlfn.XLOOKUP(B9,'Up Min'!A:A,'Up Min'!H:H,)</f>
        <v/>
      </c>
      <c r="AF9" s="55" t="str">
        <f t="array" ref="AF9">_xlfn.XLOOKUP(B9,'Up Max'!A:A,'Up Max'!H:H,)</f>
        <v/>
      </c>
      <c r="AG9" s="57" t="str">
        <f t="array" ref="AG9">_xlfn.XLOOKUP(B9,'Up Stats'!A:A,'Up Stats'!I:I,)</f>
        <v/>
      </c>
      <c r="AH9" s="54" t="str">
        <f>IFERROR(__xludf.DUMMYFUNCTION("if(AND(AI9=FALSE,AJ9=FALSE),,if(AI9=AJ9,JOIN("""",""Static: "",AI9),JOIN("""",""Min:  "",AI9, CHAR(10),""Max: "",AJ9)))"),"")</f>
        <v/>
      </c>
      <c r="AI9" s="55" t="str">
        <f t="array" ref="AI9">_xlfn.XLOOKUP(B9,'Up Min'!A:A,'Up Min'!I:I,)</f>
        <v/>
      </c>
      <c r="AJ9" s="55" t="str">
        <f t="array" ref="AJ9">_xlfn.XLOOKUP(B9,'Up Max'!A:A,'Up Max'!I:I,)</f>
        <v/>
      </c>
      <c r="AK9" s="57" t="str">
        <f t="array" ref="AK9">_xlfn.XLOOKUP(B9,'Up Stats'!A:A,'Up Stats'!J:J,)</f>
        <v/>
      </c>
      <c r="AL9" s="54" t="str">
        <f>IFERROR(__xludf.DUMMYFUNCTION("if(AND(AM9=FALSE,AN9=FALSE),,if(AM9=AN9,JOIN("""",""Static: "",AM9),JOIN("""",""Min:  "",AM9, CHAR(10),""Max: "",AN9)))"),"")</f>
        <v/>
      </c>
      <c r="AM9" s="55" t="str">
        <f t="array" ref="AM9">_xlfn.XLOOKUP(B9,'Up Min'!A:A,'Up Min'!J:J,)</f>
        <v/>
      </c>
      <c r="AN9" s="55" t="str">
        <f t="array" ref="AN9">_xlfn.XLOOKUP(B9,'Up Max'!A:A,'Up Max'!J:J,)</f>
        <v/>
      </c>
      <c r="AO9" s="51" t="str">
        <f t="array" ref="AO9">CONCATENATE(_xlfn.XLOOKUP(B9,'Up Cells'!A:A,'Up Cells'!B:B,))</f>
        <v>6</v>
      </c>
      <c r="AP9" s="51" t="str">
        <f t="array" ref="AP9">CONCATENATE(_xlfn.XLOOKUP(B9,'Up Rarity'!A:A,'Up Rarity'!B:B,),CHAR(10),"-")</f>
        <v>Exotic
-</v>
      </c>
    </row>
    <row r="10">
      <c r="A10" s="62" t="str">
        <f t="array" ref="A10">_xlfn.XLOOKUP(B10,'Up Icon'!A:A,'Up Icon'!B:B,)</f>
        <v/>
      </c>
      <c r="B10" s="66" t="str">
        <f t="array" ref="B10">HYPERLINK(_xlfn.XLOOKUP('Up Names'!O4,'Up Wiki'!A:A,'Up Wiki'!B:B,),'Up Names'!O4)</f>
        <v>Overclock</v>
      </c>
      <c r="C10" s="67" t="str">
        <f t="array" ref="C10">_xlfn.XLOOKUP(B10,'Up Desc'!A:A,'Up Desc'!B:B,)</f>
        <v>Your grenade is partially recharged when you get hit by an enemy's overclocked explosion. You gain more charge the closer you are to the explosion's epicenter. Overclocked explosions that would kill you instead reduce your health to 1.</v>
      </c>
      <c r="D10" s="37" t="str">
        <f t="array" ref="D10">_xlfn.XLOOKUP(B10,'Up Turbo'!A:A,'Up Turbo'!B:B,)</f>
        <v/>
      </c>
      <c r="E10" s="39" t="str">
        <f t="array" ref="E10">_xlfn.XLOOKUP(B10,'Up Stats'!A:A,'Up Stats'!B:B,)</f>
        <v>Charge</v>
      </c>
      <c r="F10" s="40" t="str">
        <f>IFERROR(__xludf.DUMMYFUNCTION("if(AND(G10=FALSE,H10=FALSE),,if(G10=H10,JOIN("""",""Static: "",G10),JOIN("""",""Min:  "",G10, CHAR(10),""Max: "",H10)))"),"Min:  45
Max: 56")</f>
        <v>Min:  45
Max: 56</v>
      </c>
      <c r="G10" s="69">
        <f t="array" ref="G10">_xlfn.XLOOKUP(B10,'Up Min'!A:A,'Up Min'!B:B,)</f>
        <v>45</v>
      </c>
      <c r="H10" s="68">
        <f t="array" ref="H10">_xlfn.XLOOKUP(B10,'Up Max'!A:A,'Up Max'!B:B,)</f>
        <v>56</v>
      </c>
      <c r="I10" s="39" t="str">
        <f t="array" ref="I10">_xlfn.XLOOKUP(B10,'Up Stats'!A:A,'Up Stats'!C:C,)</f>
        <v>Death Protection Cooldown</v>
      </c>
      <c r="J10" s="40" t="str">
        <f>IFERROR(__xludf.DUMMYFUNCTION("if(AND(K10=FALSE,L10=FALSE),,if(K10=L10,JOIN("""",""Static: "",K10),JOIN("""",""Min:  "",K10, CHAR(10),""Max: "",L10)))"),"Min:  1.8
Max: 3")</f>
        <v>Min:  1.8
Max: 3</v>
      </c>
      <c r="K10" s="42">
        <f t="array" ref="K10">_xlfn.XLOOKUP(B10,'Up Min'!A:A,'Up Min'!C:C,)</f>
        <v>1.8</v>
      </c>
      <c r="L10" s="42">
        <f t="array" ref="L10">_xlfn.XLOOKUP(B10,'Up Max'!A:A,'Up Max'!C:C,)</f>
        <v>3</v>
      </c>
      <c r="M10" s="48" t="str">
        <f t="array" ref="M10">_xlfn.XLOOKUP(B10,'Up Stats'!A:A,'Up Stats'!D:D,)</f>
        <v/>
      </c>
      <c r="N10" s="40" t="str">
        <f>IFERROR(__xludf.DUMMYFUNCTION("if(AND(O10=FALSE,P10=FALSE),,if(O10=P10,JOIN("""",""Static: "",O10),JOIN("""",""Min:  "",O10, CHAR(10),""Max: "",P10)))"),"")</f>
        <v/>
      </c>
      <c r="O10" s="42" t="str">
        <f t="array" ref="O10">_xlfn.XLOOKUP(B10,'Up Min'!A:A,'Up Min'!D:D,)</f>
        <v/>
      </c>
      <c r="P10" s="42" t="str">
        <f t="array" ref="P10">_xlfn.XLOOKUP(B10,'Up Max'!A:A,'Up Max'!D:D,)</f>
        <v/>
      </c>
      <c r="Q10" s="48" t="str">
        <f t="array" ref="Q10">_xlfn.XLOOKUP(B10,'Up Stats'!A:A,'Up Stats'!E:E,)</f>
        <v/>
      </c>
      <c r="R10" s="40" t="str">
        <f>IFERROR(__xludf.DUMMYFUNCTION("if(AND(S10=FALSE,T10=FALSE),,if(S10=T10,JOIN("""",""Static: "",S10),JOIN("""",""Min:  "",S10, CHAR(10),""Max: "",T10)))"),"")</f>
        <v/>
      </c>
      <c r="S10" s="42" t="str">
        <f t="array" ref="S10">_xlfn.XLOOKUP(B10,'Up Min'!A:A,'Up Min'!E:E,)</f>
        <v/>
      </c>
      <c r="T10" s="42" t="str">
        <f t="array" ref="T10">_xlfn.XLOOKUP(B10,'Up Max'!A:A,'Up Max'!E:E,)</f>
        <v/>
      </c>
      <c r="U10" s="48" t="str">
        <f t="array" ref="U10">_xlfn.XLOOKUP(B10,'Up Stats'!A:A,'Up Stats'!F:F,)</f>
        <v/>
      </c>
      <c r="V10" s="40" t="str">
        <f>IFERROR(__xludf.DUMMYFUNCTION("if(AND(W10=FALSE,X10=FALSE),,if(W10=X10,JOIN("""",""Static: "",W10),JOIN("""",""Min:  "",W10, CHAR(10),""Max: "",X10)))"),"")</f>
        <v/>
      </c>
      <c r="W10" s="42" t="str">
        <f t="array" ref="W10">_xlfn.XLOOKUP(B10,'Up Min'!A:A,'Up Min'!F:F,)</f>
        <v/>
      </c>
      <c r="X10" s="42" t="str">
        <f t="array" ref="X10">_xlfn.XLOOKUP(B10,'Up Max'!A:A,'Up Max'!F:F,)</f>
        <v/>
      </c>
      <c r="Y10" s="48" t="str">
        <f t="array" ref="Y10">_xlfn.XLOOKUP(B10,'Up Stats'!A:A,'Up Stats'!G:G,)</f>
        <v/>
      </c>
      <c r="Z10" s="40" t="str">
        <f>IFERROR(__xludf.DUMMYFUNCTION("if(AND(AA10=FALSE,AB10=FALSE),,if(AA10=AB10,JOIN("""",""Static: "",AA10),JOIN("""",""Min:  "",AA10, CHAR(10),""Max: "",AB10)))"),"")</f>
        <v/>
      </c>
      <c r="AA10" s="42" t="str">
        <f t="array" ref="AA10">_xlfn.XLOOKUP(B10,'Up Min'!A:A,'Up Min'!G:G,)</f>
        <v/>
      </c>
      <c r="AB10" s="42" t="str">
        <f t="array" ref="AB10">_xlfn.XLOOKUP(B10,'Up Max'!A:A,'Up Max'!G:G,)</f>
        <v/>
      </c>
      <c r="AC10" s="48" t="str">
        <f t="array" ref="AC10">_xlfn.XLOOKUP(B10,'Up Stats'!A:A,'Up Stats'!H:H,)</f>
        <v/>
      </c>
      <c r="AD10" s="40" t="str">
        <f>IFERROR(__xludf.DUMMYFUNCTION("if(AND(AE10=FALSE,AF10=FALSE),,if(AE10=AF10,JOIN("""",""Static: "",AE10),JOIN("""",""Min:  "",AE10, CHAR(10),""Max: "",AF10)))"),"")</f>
        <v/>
      </c>
      <c r="AE10" s="42" t="str">
        <f t="array" ref="AE10">_xlfn.XLOOKUP(B10,'Up Min'!A:A,'Up Min'!H:H,)</f>
        <v/>
      </c>
      <c r="AF10" s="42" t="str">
        <f t="array" ref="AF10">_xlfn.XLOOKUP(B10,'Up Max'!A:A,'Up Max'!H:H,)</f>
        <v/>
      </c>
      <c r="AG10" s="48" t="str">
        <f t="array" ref="AG10">_xlfn.XLOOKUP(B10,'Up Stats'!A:A,'Up Stats'!I:I,)</f>
        <v/>
      </c>
      <c r="AH10" s="40" t="str">
        <f>IFERROR(__xludf.DUMMYFUNCTION("if(AND(AI10=FALSE,AJ10=FALSE),,if(AI10=AJ10,JOIN("""",""Static: "",AI10),JOIN("""",""Min:  "",AI10, CHAR(10),""Max: "",AJ10)))"),"")</f>
        <v/>
      </c>
      <c r="AI10" s="42" t="str">
        <f t="array" ref="AI10">_xlfn.XLOOKUP(B10,'Up Min'!A:A,'Up Min'!I:I,)</f>
        <v/>
      </c>
      <c r="AJ10" s="42" t="str">
        <f t="array" ref="AJ10">_xlfn.XLOOKUP(B10,'Up Max'!A:A,'Up Max'!I:I,)</f>
        <v/>
      </c>
      <c r="AK10" s="48" t="str">
        <f t="array" ref="AK10">_xlfn.XLOOKUP(B10,'Up Stats'!A:A,'Up Stats'!J:J,)</f>
        <v/>
      </c>
      <c r="AL10" s="40" t="str">
        <f>IFERROR(__xludf.DUMMYFUNCTION("if(AND(AM10=FALSE,AN10=FALSE),,if(AM10=AN10,JOIN("""",""Static: "",AM10),JOIN("""",""Min:  "",AM10, CHAR(10),""Max: "",AN10)))"),"")</f>
        <v/>
      </c>
      <c r="AM10" s="42" t="str">
        <f t="array" ref="AM10">_xlfn.XLOOKUP(B10,'Up Min'!A:A,'Up Min'!J:J,)</f>
        <v/>
      </c>
      <c r="AN10" s="42" t="str">
        <f t="array" ref="AN10">_xlfn.XLOOKUP(B10,'Up Max'!A:A,'Up Max'!J:J,)</f>
        <v/>
      </c>
      <c r="AO10" s="34" t="str">
        <f t="array" ref="AO10">CONCATENATE(_xlfn.XLOOKUP(B10,'Up Cells'!A:A,'Up Cells'!B:B,))</f>
        <v>7</v>
      </c>
      <c r="AP10" s="34" t="str">
        <f t="array" ref="AP10">CONCATENATE(_xlfn.XLOOKUP(B10,'Up Rarity'!A:A,'Up Rarity'!B:B,),CHAR(10),"-")</f>
        <v>Exotic
-</v>
      </c>
    </row>
    <row r="11">
      <c r="A11" s="75" t="str">
        <f t="array" ref="A11">_xlfn.XLOOKUP(B11,'Up Icon'!A:A,'Up Icon'!B:B,)</f>
        <v/>
      </c>
      <c r="B11" s="63" t="str">
        <f t="array" ref="B11">HYPERLINK(_xlfn.XLOOKUP('Up Names'!O5,'Up Wiki'!A:A,'Up Wiki'!B:B,),'Up Names'!O5)</f>
        <v>Defensive Spurt</v>
      </c>
      <c r="C11" s="52" t="str">
        <f t="array" ref="C11">_xlfn.XLOOKUP(B11,'Up Desc'!A:A,'Up Desc'!B:B,)</f>
        <v>You have a chance to create an acid explosion when you take damage.</v>
      </c>
      <c r="D11" s="52" t="str">
        <f t="array" ref="D11">_xlfn.XLOOKUP(B11,'Up Turbo'!A:A,'Up Turbo'!B:B,)</f>
        <v>n/a</v>
      </c>
      <c r="E11" s="53" t="str">
        <f t="array" ref="E11">_xlfn.XLOOKUP(B11,'Up Stats'!A:A,'Up Stats'!B:B,)</f>
        <v>Chance</v>
      </c>
      <c r="F11" s="54" t="str">
        <f>IFERROR(__xludf.DUMMYFUNCTION("if(AND(G11=FALSE,H11=FALSE),,if(G11=H11,JOIN("""",""Static: "",G11),JOIN("""",""Min:  "",G11, CHAR(10),""Max: "",H11)))"),"Min:  32%
Max: 41%")</f>
        <v>Min:  32%
Max: 41%</v>
      </c>
      <c r="G11" s="59">
        <f t="array" ref="G11">_xlfn.XLOOKUP(B11,'Up Min'!A:A,'Up Min'!B:B,)</f>
        <v>0.32</v>
      </c>
      <c r="H11" s="59">
        <f t="array" ref="H11">_xlfn.XLOOKUP(B11,'Up Max'!A:A,'Up Max'!B:B,)</f>
        <v>0.41</v>
      </c>
      <c r="I11" s="53" t="str">
        <f t="array" ref="I11">_xlfn.XLOOKUP(B11,'Up Stats'!A:A,'Up Stats'!C:C,)</f>
        <v>Explosion Size</v>
      </c>
      <c r="J11" s="54" t="str">
        <f>IFERROR(__xludf.DUMMYFUNCTION("if(AND(K11=FALSE,L11=FALSE),,if(K11=L11,JOIN("""",""Static: "",K11),JOIN("""",""Min:  "",K11, CHAR(10),""Max: "",L11)))"),"Min:  4
Max: 6")</f>
        <v>Min:  4
Max: 6</v>
      </c>
      <c r="K11" s="65">
        <f t="array" ref="K11">_xlfn.XLOOKUP(B11,'Up Min'!A:A,'Up Min'!C:C,)</f>
        <v>4</v>
      </c>
      <c r="L11" s="64">
        <f t="array" ref="L11">_xlfn.XLOOKUP(B11,'Up Max'!A:A,'Up Max'!C:C,)</f>
        <v>6</v>
      </c>
      <c r="M11" s="53" t="str">
        <f t="array" ref="M11">_xlfn.XLOOKUP(B11,'Up Stats'!A:A,'Up Stats'!D:D,)</f>
        <v/>
      </c>
      <c r="N11" s="54" t="str">
        <f>IFERROR(__xludf.DUMMYFUNCTION("if(AND(O11=FALSE,P11=FALSE),,if(O11=P11,JOIN("""",""Static: "",O11),JOIN("""",""Min:  "",O11, CHAR(10),""Max: "",P11)))"),"")</f>
        <v/>
      </c>
      <c r="O11" s="55" t="str">
        <f t="array" ref="O11">_xlfn.XLOOKUP(B11,'Up Min'!A:A,'Up Min'!D:D,)</f>
        <v/>
      </c>
      <c r="P11" s="55" t="str">
        <f t="array" ref="P11">_xlfn.XLOOKUP(B11,'Up Max'!A:A,'Up Max'!D:D,)</f>
        <v/>
      </c>
      <c r="Q11" s="57" t="str">
        <f t="array" ref="Q11">_xlfn.XLOOKUP(B11,'Up Stats'!A:A,'Up Stats'!E:E,)</f>
        <v/>
      </c>
      <c r="R11" s="54" t="str">
        <f>IFERROR(__xludf.DUMMYFUNCTION("if(AND(S11=FALSE,T11=FALSE),,if(S11=T11,JOIN("""",""Static: "",S11),JOIN("""",""Min:  "",S11, CHAR(10),""Max: "",T11)))"),"")</f>
        <v/>
      </c>
      <c r="S11" s="55" t="str">
        <f t="array" ref="S11">_xlfn.XLOOKUP(B11,'Up Min'!A:A,'Up Min'!E:E,)</f>
        <v/>
      </c>
      <c r="T11" s="55" t="str">
        <f t="array" ref="T11">_xlfn.XLOOKUP(B11,'Up Max'!A:A,'Up Max'!E:E,)</f>
        <v/>
      </c>
      <c r="U11" s="57" t="str">
        <f t="array" ref="U11">_xlfn.XLOOKUP(B11,'Up Stats'!A:A,'Up Stats'!F:F,)</f>
        <v/>
      </c>
      <c r="V11" s="54" t="str">
        <f>IFERROR(__xludf.DUMMYFUNCTION("if(AND(W11=FALSE,X11=FALSE),,if(W11=X11,JOIN("""",""Static: "",W11),JOIN("""",""Min:  "",W11, CHAR(10),""Max: "",X11)))"),"")</f>
        <v/>
      </c>
      <c r="W11" s="55" t="str">
        <f t="array" ref="W11">_xlfn.XLOOKUP(B11,'Up Min'!A:A,'Up Min'!F:F,)</f>
        <v/>
      </c>
      <c r="X11" s="55" t="str">
        <f t="array" ref="X11">_xlfn.XLOOKUP(B11,'Up Max'!A:A,'Up Max'!F:F,)</f>
        <v/>
      </c>
      <c r="Y11" s="57" t="str">
        <f t="array" ref="Y11">_xlfn.XLOOKUP(B11,'Up Stats'!A:A,'Up Stats'!G:G,)</f>
        <v/>
      </c>
      <c r="Z11" s="54" t="str">
        <f>IFERROR(__xludf.DUMMYFUNCTION("if(AND(AA11=FALSE,AB11=FALSE),,if(AA11=AB11,JOIN("""",""Static: "",AA11),JOIN("""",""Min:  "",AA11, CHAR(10),""Max: "",AB11)))"),"")</f>
        <v/>
      </c>
      <c r="AA11" s="55" t="str">
        <f t="array" ref="AA11">_xlfn.XLOOKUP(B11,'Up Min'!A:A,'Up Min'!G:G,)</f>
        <v/>
      </c>
      <c r="AB11" s="55" t="str">
        <f t="array" ref="AB11">_xlfn.XLOOKUP(B11,'Up Max'!A:A,'Up Max'!G:G,)</f>
        <v/>
      </c>
      <c r="AC11" s="57" t="str">
        <f t="array" ref="AC11">_xlfn.XLOOKUP(B11,'Up Stats'!A:A,'Up Stats'!H:H,)</f>
        <v/>
      </c>
      <c r="AD11" s="54" t="str">
        <f>IFERROR(__xludf.DUMMYFUNCTION("if(AND(AE11=FALSE,AF11=FALSE),,if(AE11=AF11,JOIN("""",""Static: "",AE11),JOIN("""",""Min:  "",AE11, CHAR(10),""Max: "",AF11)))"),"")</f>
        <v/>
      </c>
      <c r="AE11" s="55" t="str">
        <f t="array" ref="AE11">_xlfn.XLOOKUP(B11,'Up Min'!A:A,'Up Min'!H:H,)</f>
        <v/>
      </c>
      <c r="AF11" s="55" t="str">
        <f t="array" ref="AF11">_xlfn.XLOOKUP(B11,'Up Max'!A:A,'Up Max'!H:H,)</f>
        <v/>
      </c>
      <c r="AG11" s="57" t="str">
        <f t="array" ref="AG11">_xlfn.XLOOKUP(B11,'Up Stats'!A:A,'Up Stats'!I:I,)</f>
        <v/>
      </c>
      <c r="AH11" s="54" t="str">
        <f>IFERROR(__xludf.DUMMYFUNCTION("if(AND(AI11=FALSE,AJ11=FALSE),,if(AI11=AJ11,JOIN("""",""Static: "",AI11),JOIN("""",""Min:  "",AI11, CHAR(10),""Max: "",AJ11)))"),"")</f>
        <v/>
      </c>
      <c r="AI11" s="55" t="str">
        <f t="array" ref="AI11">_xlfn.XLOOKUP(B11,'Up Min'!A:A,'Up Min'!I:I,)</f>
        <v/>
      </c>
      <c r="AJ11" s="55" t="str">
        <f t="array" ref="AJ11">_xlfn.XLOOKUP(B11,'Up Max'!A:A,'Up Max'!I:I,)</f>
        <v/>
      </c>
      <c r="AK11" s="57" t="str">
        <f t="array" ref="AK11">_xlfn.XLOOKUP(B11,'Up Stats'!A:A,'Up Stats'!J:J,)</f>
        <v/>
      </c>
      <c r="AL11" s="54" t="str">
        <f>IFERROR(__xludf.DUMMYFUNCTION("if(AND(AM11=FALSE,AN11=FALSE),,if(AM11=AN11,JOIN("""",""Static: "",AM11),JOIN("""",""Min:  "",AM11, CHAR(10),""Max: "",AN11)))"),"")</f>
        <v/>
      </c>
      <c r="AM11" s="55" t="str">
        <f t="array" ref="AM11">_xlfn.XLOOKUP(B11,'Up Min'!A:A,'Up Min'!J:J,)</f>
        <v/>
      </c>
      <c r="AN11" s="55" t="str">
        <f t="array" ref="AN11">_xlfn.XLOOKUP(B11,'Up Max'!A:A,'Up Max'!J:J,)</f>
        <v/>
      </c>
      <c r="AO11" s="51" t="str">
        <f t="array" ref="AO11">CONCATENATE(_xlfn.XLOOKUP(B11,'Up Cells'!A:A,'Up Cells'!B:B,))</f>
        <v>5</v>
      </c>
      <c r="AP11" s="51" t="str">
        <f t="array" ref="AP11">CONCATENATE(_xlfn.XLOOKUP(B11,'Up Rarity'!A:A,'Up Rarity'!B:B,),CHAR(10),"-")</f>
        <v>Epic
-</v>
      </c>
    </row>
    <row r="12">
      <c r="A12" s="75" t="str">
        <f t="array" ref="A12">_xlfn.XLOOKUP(B12,'Up Icon'!A:A,'Up Icon'!B:B,)</f>
        <v/>
      </c>
      <c r="B12" s="66" t="str">
        <f t="array" ref="B12">HYPERLINK(_xlfn.XLOOKUP('Up Names'!O6,'Up Wiki'!A:A,'Up Wiki'!B:B,),'Up Names'!O6)</f>
        <v>Deteriorate</v>
      </c>
      <c r="C12" s="67" t="str">
        <f t="array" ref="C12">_xlfn.XLOOKUP(B12,'Up Desc'!A:A,'Up Desc'!B:B,)</f>
        <v>Grenades apply rot to metallic targets.</v>
      </c>
      <c r="D12" s="37" t="str">
        <f t="array" ref="D12">_xlfn.XLOOKUP(B12,'Up Turbo'!A:A,'Up Turbo'!B:B,)</f>
        <v>n/a</v>
      </c>
      <c r="E12" s="48" t="str">
        <f t="array" ref="E12">_xlfn.XLOOKUP(B12,'Up Stats'!A:A,'Up Stats'!B:B,)</f>
        <v/>
      </c>
      <c r="F12" s="40" t="str">
        <f>IFERROR(__xludf.DUMMYFUNCTION("if(AND(G12=FALSE,H12=FALSE),,if(G12=H12,JOIN("""",""Static: "",G12),JOIN("""",""Min:  "",G12, CHAR(10),""Max: "",H12)))"),"")</f>
        <v/>
      </c>
      <c r="G12" s="42" t="str">
        <f t="array" ref="G12">_xlfn.XLOOKUP(B12,'Up Min'!A:A,'Up Min'!B:B,)</f>
        <v/>
      </c>
      <c r="H12" s="42" t="str">
        <f t="array" ref="H12">_xlfn.XLOOKUP(B12,'Up Max'!A:A,'Up Max'!B:B,)</f>
        <v/>
      </c>
      <c r="I12" s="48" t="str">
        <f t="array" ref="I12">_xlfn.XLOOKUP(B12,'Up Stats'!A:A,'Up Stats'!C:C,)</f>
        <v/>
      </c>
      <c r="J12" s="40" t="str">
        <f>IFERROR(__xludf.DUMMYFUNCTION("if(AND(K12=FALSE,L12=FALSE),,if(K12=L12,JOIN("""",""Static: "",K12),JOIN("""",""Min:  "",K12, CHAR(10),""Max: "",L12)))"),"")</f>
        <v/>
      </c>
      <c r="K12" s="74" t="str">
        <f t="array" ref="K12">_xlfn.XLOOKUP(B12,'Up Min'!A:A,'Up Min'!C:C,)</f>
        <v/>
      </c>
      <c r="L12" s="74" t="str">
        <f t="array" ref="L12">_xlfn.XLOOKUP(B12,'Up Max'!A:A,'Up Max'!C:C,)</f>
        <v/>
      </c>
      <c r="M12" s="48" t="str">
        <f t="array" ref="M12">_xlfn.XLOOKUP(B12,'Up Stats'!A:A,'Up Stats'!D:D,)</f>
        <v/>
      </c>
      <c r="N12" s="40" t="str">
        <f>IFERROR(__xludf.DUMMYFUNCTION("if(AND(O12=FALSE,P12=FALSE),,if(O12=P12,JOIN("""",""Static: "",O12),JOIN("""",""Min:  "",O12, CHAR(10),""Max: "",P12)))"),"")</f>
        <v/>
      </c>
      <c r="O12" s="42" t="str">
        <f t="array" ref="O12">_xlfn.XLOOKUP(B12,'Up Min'!A:A,'Up Min'!D:D,)</f>
        <v/>
      </c>
      <c r="P12" s="42" t="str">
        <f t="array" ref="P12">_xlfn.XLOOKUP(B12,'Up Max'!A:A,'Up Max'!D:D,)</f>
        <v/>
      </c>
      <c r="Q12" s="48" t="str">
        <f t="array" ref="Q12">_xlfn.XLOOKUP(B12,'Up Stats'!A:A,'Up Stats'!E:E,)</f>
        <v/>
      </c>
      <c r="R12" s="40" t="str">
        <f>IFERROR(__xludf.DUMMYFUNCTION("if(AND(S12=FALSE,T12=FALSE),,if(S12=T12,JOIN("""",""Static: "",S12),JOIN("""",""Min:  "",S12, CHAR(10),""Max: "",T12)))"),"")</f>
        <v/>
      </c>
      <c r="S12" s="42" t="str">
        <f t="array" ref="S12">_xlfn.XLOOKUP(B12,'Up Min'!A:A,'Up Min'!E:E,)</f>
        <v/>
      </c>
      <c r="T12" s="42" t="str">
        <f t="array" ref="T12">_xlfn.XLOOKUP(B12,'Up Max'!A:A,'Up Max'!E:E,)</f>
        <v/>
      </c>
      <c r="U12" s="48" t="str">
        <f t="array" ref="U12">_xlfn.XLOOKUP(B12,'Up Stats'!A:A,'Up Stats'!F:F,)</f>
        <v/>
      </c>
      <c r="V12" s="40" t="str">
        <f>IFERROR(__xludf.DUMMYFUNCTION("if(AND(W12=FALSE,X12=FALSE),,if(W12=X12,JOIN("""",""Static: "",W12),JOIN("""",""Min:  "",W12, CHAR(10),""Max: "",X12)))"),"")</f>
        <v/>
      </c>
      <c r="W12" s="42" t="str">
        <f t="array" ref="W12">_xlfn.XLOOKUP(B12,'Up Min'!A:A,'Up Min'!F:F,)</f>
        <v/>
      </c>
      <c r="X12" s="42" t="str">
        <f t="array" ref="X12">_xlfn.XLOOKUP(B12,'Up Max'!A:A,'Up Max'!F:F,)</f>
        <v/>
      </c>
      <c r="Y12" s="48" t="str">
        <f t="array" ref="Y12">_xlfn.XLOOKUP(B12,'Up Stats'!A:A,'Up Stats'!G:G,)</f>
        <v/>
      </c>
      <c r="Z12" s="40" t="str">
        <f>IFERROR(__xludf.DUMMYFUNCTION("if(AND(AA12=FALSE,AB12=FALSE),,if(AA12=AB12,JOIN("""",""Static: "",AA12),JOIN("""",""Min:  "",AA12, CHAR(10),""Max: "",AB12)))"),"")</f>
        <v/>
      </c>
      <c r="AA12" s="42" t="str">
        <f t="array" ref="AA12">_xlfn.XLOOKUP(B12,'Up Min'!A:A,'Up Min'!G:G,)</f>
        <v/>
      </c>
      <c r="AB12" s="42" t="str">
        <f t="array" ref="AB12">_xlfn.XLOOKUP(B12,'Up Max'!A:A,'Up Max'!G:G,)</f>
        <v/>
      </c>
      <c r="AC12" s="48" t="str">
        <f t="array" ref="AC12">_xlfn.XLOOKUP(B12,'Up Stats'!A:A,'Up Stats'!H:H,)</f>
        <v/>
      </c>
      <c r="AD12" s="40" t="str">
        <f>IFERROR(__xludf.DUMMYFUNCTION("if(AND(AE12=FALSE,AF12=FALSE),,if(AE12=AF12,JOIN("""",""Static: "",AE12),JOIN("""",""Min:  "",AE12, CHAR(10),""Max: "",AF12)))"),"")</f>
        <v/>
      </c>
      <c r="AE12" s="42" t="str">
        <f t="array" ref="AE12">_xlfn.XLOOKUP(B12,'Up Min'!A:A,'Up Min'!H:H,)</f>
        <v/>
      </c>
      <c r="AF12" s="42" t="str">
        <f t="array" ref="AF12">_xlfn.XLOOKUP(B12,'Up Max'!A:A,'Up Max'!H:H,)</f>
        <v/>
      </c>
      <c r="AG12" s="48" t="str">
        <f t="array" ref="AG12">_xlfn.XLOOKUP(B12,'Up Stats'!A:A,'Up Stats'!I:I,)</f>
        <v/>
      </c>
      <c r="AH12" s="40" t="str">
        <f>IFERROR(__xludf.DUMMYFUNCTION("if(AND(AI12=FALSE,AJ12=FALSE),,if(AI12=AJ12,JOIN("""",""Static: "",AI12),JOIN("""",""Min:  "",AI12, CHAR(10),""Max: "",AJ12)))"),"")</f>
        <v/>
      </c>
      <c r="AI12" s="42" t="str">
        <f t="array" ref="AI12">_xlfn.XLOOKUP(B12,'Up Min'!A:A,'Up Min'!I:I,)</f>
        <v/>
      </c>
      <c r="AJ12" s="42" t="str">
        <f t="array" ref="AJ12">_xlfn.XLOOKUP(B12,'Up Max'!A:A,'Up Max'!I:I,)</f>
        <v/>
      </c>
      <c r="AK12" s="48" t="str">
        <f t="array" ref="AK12">_xlfn.XLOOKUP(B12,'Up Stats'!A:A,'Up Stats'!J:J,)</f>
        <v/>
      </c>
      <c r="AL12" s="40" t="str">
        <f>IFERROR(__xludf.DUMMYFUNCTION("if(AND(AM12=FALSE,AN12=FALSE),,if(AM12=AN12,JOIN("""",""Static: "",AM12),JOIN("""",""Min:  "",AM12, CHAR(10),""Max: "",AN12)))"),"")</f>
        <v/>
      </c>
      <c r="AM12" s="42" t="str">
        <f t="array" ref="AM12">_xlfn.XLOOKUP(B12,'Up Min'!A:A,'Up Min'!J:J,)</f>
        <v/>
      </c>
      <c r="AN12" s="42" t="str">
        <f t="array" ref="AN12">_xlfn.XLOOKUP(B12,'Up Max'!A:A,'Up Max'!J:J,)</f>
        <v/>
      </c>
      <c r="AO12" s="34" t="str">
        <f t="array" ref="AO12">CONCATENATE(_xlfn.XLOOKUP(B12,'Up Cells'!A:A,'Up Cells'!B:B,))</f>
        <v>6</v>
      </c>
      <c r="AP12" s="34" t="str">
        <f t="array" ref="AP12">CONCATENATE(_xlfn.XLOOKUP(B12,'Up Rarity'!A:A,'Up Rarity'!B:B,),CHAR(10),"-")</f>
        <v>Epic
-</v>
      </c>
    </row>
    <row r="13">
      <c r="A13" s="75" t="str">
        <f t="array" ref="A13">_xlfn.XLOOKUP(B13,'Up Icon'!A:A,'Up Icon'!B:B,)</f>
        <v/>
      </c>
      <c r="B13" s="63" t="str">
        <f t="array" ref="B13">HYPERLINK(_xlfn.XLOOKUP('Up Names'!O7,'Up Wiki'!A:A,'Up Wiki'!B:B,),'Up Names'!O7)</f>
        <v>Exothermic Reaction</v>
      </c>
      <c r="C13" s="52" t="str">
        <f t="array" ref="C13">_xlfn.XLOOKUP(B13,'Up Desc'!A:A,'Up Desc'!B:B,)</f>
        <v>Hitting an electrocuted target with your grenade ignites it.</v>
      </c>
      <c r="D13" s="52" t="str">
        <f t="array" ref="D13">_xlfn.XLOOKUP(B13,'Up Turbo'!A:A,'Up Turbo'!B:B,)</f>
        <v>n/a</v>
      </c>
      <c r="E13" s="57" t="str">
        <f t="array" ref="E13">_xlfn.XLOOKUP(B13,'Up Stats'!A:A,'Up Stats'!B:B,)</f>
        <v/>
      </c>
      <c r="F13" s="54" t="str">
        <f>IFERROR(__xludf.DUMMYFUNCTION("if(AND(G13=FALSE,H13=FALSE),,if(G13=H13,JOIN("""",""Static: "",G13),JOIN("""",""Min:  "",G13, CHAR(10),""Max: "",H13)))"),"")</f>
        <v/>
      </c>
      <c r="G13" s="55" t="str">
        <f t="array" ref="G13">_xlfn.XLOOKUP(B13,'Up Min'!A:A,'Up Min'!B:B,)</f>
        <v/>
      </c>
      <c r="H13" s="72" t="str">
        <f t="array" ref="H13">_xlfn.XLOOKUP(B13,'Up Max'!A:A,'Up Max'!B:B,)</f>
        <v/>
      </c>
      <c r="I13" s="80" t="str">
        <f t="array" ref="I13">_xlfn.XLOOKUP(B13,'Up Stats'!A:A,'Up Stats'!C:C,)</f>
        <v/>
      </c>
      <c r="J13" s="54" t="str">
        <f>IFERROR(__xludf.DUMMYFUNCTION("if(AND(K13=FALSE,L13=FALSE),,if(K13=L13,JOIN("""",""Static: "",K13),JOIN("""",""Min:  "",K13, CHAR(10),""Max: "",L13)))"),"")</f>
        <v/>
      </c>
      <c r="K13" s="72" t="str">
        <f t="array" ref="K13">_xlfn.XLOOKUP(B13,'Up Min'!A:A,'Up Min'!C:C,)</f>
        <v/>
      </c>
      <c r="L13" s="72" t="str">
        <f t="array" ref="L13">_xlfn.XLOOKUP(B13,'Up Max'!A:A,'Up Max'!C:C,)</f>
        <v/>
      </c>
      <c r="M13" s="57" t="str">
        <f t="array" ref="M13">_xlfn.XLOOKUP(B13,'Up Stats'!A:A,'Up Stats'!D:D,)</f>
        <v/>
      </c>
      <c r="N13" s="54" t="str">
        <f>IFERROR(__xludf.DUMMYFUNCTION("if(AND(O13=FALSE,P13=FALSE),,if(O13=P13,JOIN("""",""Static: "",O13),JOIN("""",""Min:  "",O13, CHAR(10),""Max: "",P13)))"),"")</f>
        <v/>
      </c>
      <c r="O13" s="55" t="str">
        <f t="array" ref="O13">_xlfn.XLOOKUP(B13,'Up Min'!A:A,'Up Min'!D:D,)</f>
        <v/>
      </c>
      <c r="P13" s="55" t="str">
        <f t="array" ref="P13">_xlfn.XLOOKUP(B13,'Up Max'!A:A,'Up Max'!D:D,)</f>
        <v/>
      </c>
      <c r="Q13" s="57" t="str">
        <f t="array" ref="Q13">_xlfn.XLOOKUP(B13,'Up Stats'!A:A,'Up Stats'!E:E,)</f>
        <v/>
      </c>
      <c r="R13" s="54" t="str">
        <f>IFERROR(__xludf.DUMMYFUNCTION("if(AND(S13=FALSE,T13=FALSE),,if(S13=T13,JOIN("""",""Static: "",S13),JOIN("""",""Min:  "",S13, CHAR(10),""Max: "",T13)))"),"")</f>
        <v/>
      </c>
      <c r="S13" s="55" t="str">
        <f t="array" ref="S13">_xlfn.XLOOKUP(B13,'Up Min'!A:A,'Up Min'!E:E,)</f>
        <v/>
      </c>
      <c r="T13" s="55" t="str">
        <f t="array" ref="T13">_xlfn.XLOOKUP(B13,'Up Max'!A:A,'Up Max'!E:E,)</f>
        <v/>
      </c>
      <c r="U13" s="57" t="str">
        <f t="array" ref="U13">_xlfn.XLOOKUP(B13,'Up Stats'!A:A,'Up Stats'!F:F,)</f>
        <v/>
      </c>
      <c r="V13" s="54" t="str">
        <f>IFERROR(__xludf.DUMMYFUNCTION("if(AND(W13=FALSE,X13=FALSE),,if(W13=X13,JOIN("""",""Static: "",W13),JOIN("""",""Min:  "",W13, CHAR(10),""Max: "",X13)))"),"")</f>
        <v/>
      </c>
      <c r="W13" s="55" t="str">
        <f t="array" ref="W13">_xlfn.XLOOKUP(B13,'Up Min'!A:A,'Up Min'!F:F,)</f>
        <v/>
      </c>
      <c r="X13" s="55" t="str">
        <f t="array" ref="X13">_xlfn.XLOOKUP(B13,'Up Max'!A:A,'Up Max'!F:F,)</f>
        <v/>
      </c>
      <c r="Y13" s="57" t="str">
        <f t="array" ref="Y13">_xlfn.XLOOKUP(B13,'Up Stats'!A:A,'Up Stats'!G:G,)</f>
        <v/>
      </c>
      <c r="Z13" s="54" t="str">
        <f>IFERROR(__xludf.DUMMYFUNCTION("if(AND(AA13=FALSE,AB13=FALSE),,if(AA13=AB13,JOIN("""",""Static: "",AA13),JOIN("""",""Min:  "",AA13, CHAR(10),""Max: "",AB13)))"),"")</f>
        <v/>
      </c>
      <c r="AA13" s="55" t="str">
        <f t="array" ref="AA13">_xlfn.XLOOKUP(B13,'Up Min'!A:A,'Up Min'!G:G,)</f>
        <v/>
      </c>
      <c r="AB13" s="55" t="str">
        <f t="array" ref="AB13">_xlfn.XLOOKUP(B13,'Up Max'!A:A,'Up Max'!G:G,)</f>
        <v/>
      </c>
      <c r="AC13" s="57" t="str">
        <f t="array" ref="AC13">_xlfn.XLOOKUP(B13,'Up Stats'!A:A,'Up Stats'!H:H,)</f>
        <v/>
      </c>
      <c r="AD13" s="54" t="str">
        <f>IFERROR(__xludf.DUMMYFUNCTION("if(AND(AE13=FALSE,AF13=FALSE),,if(AE13=AF13,JOIN("""",""Static: "",AE13),JOIN("""",""Min:  "",AE13, CHAR(10),""Max: "",AF13)))"),"")</f>
        <v/>
      </c>
      <c r="AE13" s="55" t="str">
        <f t="array" ref="AE13">_xlfn.XLOOKUP(B13,'Up Min'!A:A,'Up Min'!H:H,)</f>
        <v/>
      </c>
      <c r="AF13" s="55" t="str">
        <f t="array" ref="AF13">_xlfn.XLOOKUP(B13,'Up Max'!A:A,'Up Max'!H:H,)</f>
        <v/>
      </c>
      <c r="AG13" s="57" t="str">
        <f t="array" ref="AG13">_xlfn.XLOOKUP(B13,'Up Stats'!A:A,'Up Stats'!I:I,)</f>
        <v/>
      </c>
      <c r="AH13" s="54" t="str">
        <f>IFERROR(__xludf.DUMMYFUNCTION("if(AND(AI13=FALSE,AJ13=FALSE),,if(AI13=AJ13,JOIN("""",""Static: "",AI13),JOIN("""",""Min:  "",AI13, CHAR(10),""Max: "",AJ13)))"),"")</f>
        <v/>
      </c>
      <c r="AI13" s="55" t="str">
        <f t="array" ref="AI13">_xlfn.XLOOKUP(B13,'Up Min'!A:A,'Up Min'!I:I,)</f>
        <v/>
      </c>
      <c r="AJ13" s="55" t="str">
        <f t="array" ref="AJ13">_xlfn.XLOOKUP(B13,'Up Max'!A:A,'Up Max'!I:I,)</f>
        <v/>
      </c>
      <c r="AK13" s="57" t="str">
        <f t="array" ref="AK13">_xlfn.XLOOKUP(B13,'Up Stats'!A:A,'Up Stats'!J:J,)</f>
        <v/>
      </c>
      <c r="AL13" s="54" t="str">
        <f>IFERROR(__xludf.DUMMYFUNCTION("if(AND(AM13=FALSE,AN13=FALSE),,if(AM13=AN13,JOIN("""",""Static: "",AM13),JOIN("""",""Min:  "",AM13, CHAR(10),""Max: "",AN13)))"),"")</f>
        <v/>
      </c>
      <c r="AM13" s="55" t="str">
        <f t="array" ref="AM13">_xlfn.XLOOKUP(B13,'Up Min'!A:A,'Up Min'!J:J,)</f>
        <v/>
      </c>
      <c r="AN13" s="55" t="str">
        <f t="array" ref="AN13">_xlfn.XLOOKUP(B13,'Up Max'!A:A,'Up Max'!J:J,)</f>
        <v/>
      </c>
      <c r="AO13" s="51" t="str">
        <f t="array" ref="AO13">CONCATENATE(_xlfn.XLOOKUP(B13,'Up Cells'!A:A,'Up Cells'!B:B,))</f>
        <v>8</v>
      </c>
      <c r="AP13" s="51" t="str">
        <f t="array" ref="AP13">CONCATENATE(_xlfn.XLOOKUP(B13,'Up Rarity'!A:A,'Up Rarity'!B:B,),CHAR(10),"-")</f>
        <v>Epic
-</v>
      </c>
    </row>
    <row r="14">
      <c r="A14" s="75" t="str">
        <f t="array" ref="A14">_xlfn.XLOOKUP(B14,'Up Icon'!A:A,'Up Icon'!B:B,)</f>
        <v/>
      </c>
      <c r="B14" s="66" t="str">
        <f t="array" ref="B14">HYPERLINK(_xlfn.XLOOKUP('Up Names'!O8,'Up Wiki'!A:A,'Up Wiki'!B:B,),'Up Names'!O8)</f>
        <v>Gas Puddle</v>
      </c>
      <c r="C14" s="37" t="str">
        <f t="array" ref="C14">_xlfn.XLOOKUP(B14,'Up Desc'!A:A,'Up Desc'!B:B,)</f>
        <v>Grenades explode into lingering acid puddles.</v>
      </c>
      <c r="D14" s="37" t="str">
        <f t="array" ref="D14">_xlfn.XLOOKUP(B14,'Up Turbo'!A:A,'Up Turbo'!B:B,)</f>
        <v>n/a</v>
      </c>
      <c r="E14" s="39" t="str">
        <f t="array" ref="E14">_xlfn.XLOOKUP(B14,'Up Stats'!A:A,'Up Stats'!B:B,)</f>
        <v>Duration</v>
      </c>
      <c r="F14" s="40" t="str">
        <f>IFERROR(__xludf.DUMMYFUNCTION("if(AND(G14=FALSE,H14=FALSE),,if(G14=H14,JOIN("""",""Static: "",G14),JOIN("""",""Min:  "",G14, CHAR(10),""Max: "",H14)))"),"Min:  3
Max: 4")</f>
        <v>Min:  3
Max: 4</v>
      </c>
      <c r="G14" s="69">
        <f t="array" ref="G14">_xlfn.XLOOKUP(B14,'Up Min'!A:A,'Up Min'!B:B,)</f>
        <v>3</v>
      </c>
      <c r="H14" s="68">
        <f t="array" ref="H14">_xlfn.XLOOKUP(B14,'Up Max'!A:A,'Up Max'!B:B,)</f>
        <v>4</v>
      </c>
      <c r="I14" s="39" t="str">
        <f t="array" ref="I14">_xlfn.XLOOKUP(B14,'Up Stats'!A:A,'Up Stats'!C:C,)</f>
        <v/>
      </c>
      <c r="J14" s="40" t="str">
        <f>IFERROR(__xludf.DUMMYFUNCTION("if(AND(K14=FALSE,L14=FALSE),,if(K14=L14,JOIN("""",""Static: "",K14),JOIN("""",""Min:  "",K14, CHAR(10),""Max: "",L14)))"),"")</f>
        <v/>
      </c>
      <c r="K14" s="74" t="str">
        <f t="array" ref="K14">_xlfn.XLOOKUP(B14,'Up Min'!A:A,'Up Min'!C:C,)</f>
        <v/>
      </c>
      <c r="L14" s="74" t="str">
        <f t="array" ref="L14">_xlfn.XLOOKUP(B14,'Up Max'!A:A,'Up Max'!C:C,)</f>
        <v/>
      </c>
      <c r="M14" s="48" t="str">
        <f t="array" ref="M14">_xlfn.XLOOKUP(B14,'Up Stats'!A:A,'Up Stats'!D:D,)</f>
        <v/>
      </c>
      <c r="N14" s="40" t="str">
        <f>IFERROR(__xludf.DUMMYFUNCTION("if(AND(O14=FALSE,P14=FALSE),,if(O14=P14,JOIN("""",""Static: "",O14),JOIN("""",""Min:  "",O14, CHAR(10),""Max: "",P14)))"),"")</f>
        <v/>
      </c>
      <c r="O14" s="42" t="str">
        <f t="array" ref="O14">_xlfn.XLOOKUP(B14,'Up Min'!A:A,'Up Min'!D:D,)</f>
        <v/>
      </c>
      <c r="P14" s="42" t="str">
        <f t="array" ref="P14">_xlfn.XLOOKUP(B14,'Up Max'!A:A,'Up Max'!D:D,)</f>
        <v/>
      </c>
      <c r="Q14" s="48" t="str">
        <f t="array" ref="Q14">_xlfn.XLOOKUP(B14,'Up Stats'!A:A,'Up Stats'!E:E,)</f>
        <v/>
      </c>
      <c r="R14" s="40" t="str">
        <f>IFERROR(__xludf.DUMMYFUNCTION("if(AND(S14=FALSE,T14=FALSE),,if(S14=T14,JOIN("""",""Static: "",S14),JOIN("""",""Min:  "",S14, CHAR(10),""Max: "",T14)))"),"")</f>
        <v/>
      </c>
      <c r="S14" s="42" t="str">
        <f t="array" ref="S14">_xlfn.XLOOKUP(B14,'Up Min'!A:A,'Up Min'!E:E,)</f>
        <v/>
      </c>
      <c r="T14" s="42" t="str">
        <f t="array" ref="T14">_xlfn.XLOOKUP(B14,'Up Max'!A:A,'Up Max'!E:E,)</f>
        <v/>
      </c>
      <c r="U14" s="48" t="str">
        <f t="array" ref="U14">_xlfn.XLOOKUP(B14,'Up Stats'!A:A,'Up Stats'!F:F,)</f>
        <v/>
      </c>
      <c r="V14" s="40" t="str">
        <f>IFERROR(__xludf.DUMMYFUNCTION("if(AND(W14=FALSE,X14=FALSE),,if(W14=X14,JOIN("""",""Static: "",W14),JOIN("""",""Min:  "",W14, CHAR(10),""Max: "",X14)))"),"")</f>
        <v/>
      </c>
      <c r="W14" s="42" t="str">
        <f t="array" ref="W14">_xlfn.XLOOKUP(B14,'Up Min'!A:A,'Up Min'!F:F,)</f>
        <v/>
      </c>
      <c r="X14" s="42" t="str">
        <f t="array" ref="X14">_xlfn.XLOOKUP(B14,'Up Max'!A:A,'Up Max'!F:F,)</f>
        <v/>
      </c>
      <c r="Y14" s="48" t="str">
        <f t="array" ref="Y14">_xlfn.XLOOKUP(B14,'Up Stats'!A:A,'Up Stats'!G:G,)</f>
        <v/>
      </c>
      <c r="Z14" s="40" t="str">
        <f>IFERROR(__xludf.DUMMYFUNCTION("if(AND(AA14=FALSE,AB14=FALSE),,if(AA14=AB14,JOIN("""",""Static: "",AA14),JOIN("""",""Min:  "",AA14, CHAR(10),""Max: "",AB14)))"),"")</f>
        <v/>
      </c>
      <c r="AA14" s="42" t="str">
        <f t="array" ref="AA14">_xlfn.XLOOKUP(B14,'Up Min'!A:A,'Up Min'!G:G,)</f>
        <v/>
      </c>
      <c r="AB14" s="42" t="str">
        <f t="array" ref="AB14">_xlfn.XLOOKUP(B14,'Up Max'!A:A,'Up Max'!G:G,)</f>
        <v/>
      </c>
      <c r="AC14" s="48" t="str">
        <f t="array" ref="AC14">_xlfn.XLOOKUP(B14,'Up Stats'!A:A,'Up Stats'!H:H,)</f>
        <v/>
      </c>
      <c r="AD14" s="40" t="str">
        <f>IFERROR(__xludf.DUMMYFUNCTION("if(AND(AE14=FALSE,AF14=FALSE),,if(AE14=AF14,JOIN("""",""Static: "",AE14),JOIN("""",""Min:  "",AE14, CHAR(10),""Max: "",AF14)))"),"")</f>
        <v/>
      </c>
      <c r="AE14" s="42" t="str">
        <f t="array" ref="AE14">_xlfn.XLOOKUP(B14,'Up Min'!A:A,'Up Min'!H:H,)</f>
        <v/>
      </c>
      <c r="AF14" s="42" t="str">
        <f t="array" ref="AF14">_xlfn.XLOOKUP(B14,'Up Max'!A:A,'Up Max'!H:H,)</f>
        <v/>
      </c>
      <c r="AG14" s="48" t="str">
        <f t="array" ref="AG14">_xlfn.XLOOKUP(B14,'Up Stats'!A:A,'Up Stats'!I:I,)</f>
        <v/>
      </c>
      <c r="AH14" s="40" t="str">
        <f>IFERROR(__xludf.DUMMYFUNCTION("if(AND(AI14=FALSE,AJ14=FALSE),,if(AI14=AJ14,JOIN("""",""Static: "",AI14),JOIN("""",""Min:  "",AI14, CHAR(10),""Max: "",AJ14)))"),"")</f>
        <v/>
      </c>
      <c r="AI14" s="42" t="str">
        <f t="array" ref="AI14">_xlfn.XLOOKUP(B14,'Up Min'!A:A,'Up Min'!I:I,)</f>
        <v/>
      </c>
      <c r="AJ14" s="42" t="str">
        <f t="array" ref="AJ14">_xlfn.XLOOKUP(B14,'Up Max'!A:A,'Up Max'!I:I,)</f>
        <v/>
      </c>
      <c r="AK14" s="48" t="str">
        <f t="array" ref="AK14">_xlfn.XLOOKUP(B14,'Up Stats'!A:A,'Up Stats'!J:J,)</f>
        <v/>
      </c>
      <c r="AL14" s="40" t="str">
        <f>IFERROR(__xludf.DUMMYFUNCTION("if(AND(AM14=FALSE,AN14=FALSE),,if(AM14=AN14,JOIN("""",""Static: "",AM14),JOIN("""",""Min:  "",AM14, CHAR(10),""Max: "",AN14)))"),"")</f>
        <v/>
      </c>
      <c r="AM14" s="42" t="str">
        <f t="array" ref="AM14">_xlfn.XLOOKUP(B14,'Up Min'!A:A,'Up Min'!J:J,)</f>
        <v/>
      </c>
      <c r="AN14" s="42" t="str">
        <f t="array" ref="AN14">_xlfn.XLOOKUP(B14,'Up Max'!A:A,'Up Max'!J:J,)</f>
        <v/>
      </c>
      <c r="AO14" s="34" t="str">
        <f t="array" ref="AO14">CONCATENATE(_xlfn.XLOOKUP(B14,'Up Cells'!A:A,'Up Cells'!B:B,))</f>
        <v>5</v>
      </c>
      <c r="AP14" s="34" t="str">
        <f t="array" ref="AP14">CONCATENATE(_xlfn.XLOOKUP(B14,'Up Rarity'!A:A,'Up Rarity'!B:B,),CHAR(10),"-")</f>
        <v>Epic
-</v>
      </c>
    </row>
    <row r="15">
      <c r="A15" s="75" t="str">
        <f t="array" ref="A15">_xlfn.XLOOKUP(B15,'Up Icon'!A:A,'Up Icon'!B:B,)</f>
        <v/>
      </c>
      <c r="B15" s="51" t="str">
        <f t="array" ref="B15">HYPERLINK(_xlfn.XLOOKUP('Up Names'!O22,'Up Wiki'!A:A,'Up Wiki'!B:B,),'Up Names'!O22)</f>
        <v>In for a Penny</v>
      </c>
      <c r="C15" s="52" t="str">
        <f t="array" ref="C15">_xlfn.XLOOKUP(B15,'Up Desc'!A:A,'Up Desc'!B:B,)</f>
        <v>Taking damage from any source other than your grenade provides some grenade charge.</v>
      </c>
      <c r="D15" s="52" t="str">
        <f t="array" ref="D15">_xlfn.XLOOKUP(B15,'Up Turbo'!A:A,'Up Turbo'!B:B,)</f>
        <v>n/a</v>
      </c>
      <c r="E15" s="53" t="str">
        <f t="array" ref="E15">_xlfn.XLOOKUP(B15,'Up Stats'!A:A,'Up Stats'!B:B,)</f>
        <v/>
      </c>
      <c r="F15" s="54" t="str">
        <f>IFERROR(__xludf.DUMMYFUNCTION("if(AND(G15=FALSE,H15=FALSE),,if(G15=H15,JOIN("""",""Static: "",G15),JOIN("""",""Min:  "",G15, CHAR(10),""Max: "",H15)))"),"")</f>
        <v/>
      </c>
      <c r="G15" s="72" t="str">
        <f t="array" ref="G15">_xlfn.XLOOKUP(B15,'Up Min'!A:A,'Up Min'!B:B,)</f>
        <v/>
      </c>
      <c r="H15" s="72" t="str">
        <f t="array" ref="H15">_xlfn.XLOOKUP(B15,'Up Max'!A:A,'Up Max'!B:B,)</f>
        <v/>
      </c>
      <c r="I15" s="53" t="str">
        <f t="array" ref="I15">_xlfn.XLOOKUP(B15,'Up Stats'!A:A,'Up Stats'!C:C,)</f>
        <v/>
      </c>
      <c r="J15" s="54" t="str">
        <f>IFERROR(__xludf.DUMMYFUNCTION("if(AND(K15=FALSE,L15=FALSE),,if(K15=L15,JOIN("""",""Static: "",K15),JOIN("""",""Min:  "",K15, CHAR(10),""Max: "",L15)))"),"")</f>
        <v/>
      </c>
      <c r="K15" s="55" t="str">
        <f t="array" ref="K15">_xlfn.XLOOKUP(B15,'Up Min'!A:A,'Up Min'!C:C,)</f>
        <v/>
      </c>
      <c r="L15" s="55" t="str">
        <f t="array" ref="L15">_xlfn.XLOOKUP(B15,'Up Max'!A:A,'Up Max'!C:C,)</f>
        <v/>
      </c>
      <c r="M15" s="53" t="str">
        <f t="array" ref="M15">_xlfn.XLOOKUP(B15,'Up Stats'!A:A,'Up Stats'!D:D,)</f>
        <v/>
      </c>
      <c r="N15" s="54" t="str">
        <f>IFERROR(__xludf.DUMMYFUNCTION("if(AND(O15=FALSE,P15=FALSE),,if(O15=P15,JOIN("""",""Static: "",O15),JOIN("""",""Min:  "",O15, CHAR(10),""Max: "",P15)))"),"")</f>
        <v/>
      </c>
      <c r="O15" s="55" t="str">
        <f t="array" ref="O15">_xlfn.XLOOKUP(B15,'Up Min'!A:A,'Up Min'!D:D,)</f>
        <v/>
      </c>
      <c r="P15" s="55" t="str">
        <f t="array" ref="P15">_xlfn.XLOOKUP(B15,'Up Max'!A:A,'Up Max'!D:D,)</f>
        <v/>
      </c>
      <c r="Q15" s="57" t="str">
        <f t="array" ref="Q15">_xlfn.XLOOKUP(B15,'Up Stats'!A:A,'Up Stats'!E:E,)</f>
        <v/>
      </c>
      <c r="R15" s="54" t="str">
        <f>IFERROR(__xludf.DUMMYFUNCTION("if(AND(S15=FALSE,T15=FALSE),,if(S15=T15,JOIN("""",""Static: "",S15),JOIN("""",""Min:  "",S15, CHAR(10),""Max: "",T15)))"),"")</f>
        <v/>
      </c>
      <c r="S15" s="55" t="str">
        <f t="array" ref="S15">_xlfn.XLOOKUP(B15,'Up Min'!A:A,'Up Min'!E:E,)</f>
        <v/>
      </c>
      <c r="T15" s="55" t="str">
        <f t="array" ref="T15">_xlfn.XLOOKUP(B15,'Up Max'!A:A,'Up Max'!E:E,)</f>
        <v/>
      </c>
      <c r="U15" s="57" t="str">
        <f t="array" ref="U15">_xlfn.XLOOKUP(B15,'Up Stats'!A:A,'Up Stats'!F:F,)</f>
        <v/>
      </c>
      <c r="V15" s="54" t="str">
        <f>IFERROR(__xludf.DUMMYFUNCTION("if(AND(W15=FALSE,X15=FALSE),,if(W15=X15,JOIN("""",""Static: "",W15),JOIN("""",""Min:  "",W15, CHAR(10),""Max: "",X15)))"),"")</f>
        <v/>
      </c>
      <c r="W15" s="55" t="str">
        <f t="array" ref="W15">_xlfn.XLOOKUP(B15,'Up Min'!A:A,'Up Min'!F:F,)</f>
        <v/>
      </c>
      <c r="X15" s="55" t="str">
        <f t="array" ref="X15">_xlfn.XLOOKUP(B15,'Up Max'!A:A,'Up Max'!F:F,)</f>
        <v/>
      </c>
      <c r="Y15" s="57" t="str">
        <f t="array" ref="Y15">_xlfn.XLOOKUP(B15,'Up Stats'!A:A,'Up Stats'!G:G,)</f>
        <v/>
      </c>
      <c r="Z15" s="54" t="str">
        <f>IFERROR(__xludf.DUMMYFUNCTION("if(AND(AA15=FALSE,AB15=FALSE),,if(AA15=AB15,JOIN("""",""Static: "",AA15),JOIN("""",""Min:  "",AA15, CHAR(10),""Max: "",AB15)))"),"")</f>
        <v/>
      </c>
      <c r="AA15" s="55" t="str">
        <f t="array" ref="AA15">_xlfn.XLOOKUP(B15,'Up Min'!A:A,'Up Min'!G:G,)</f>
        <v/>
      </c>
      <c r="AB15" s="55" t="str">
        <f t="array" ref="AB15">_xlfn.XLOOKUP(B15,'Up Max'!A:A,'Up Max'!G:G,)</f>
        <v/>
      </c>
      <c r="AC15" s="57" t="str">
        <f t="array" ref="AC15">_xlfn.XLOOKUP(B15,'Up Stats'!A:A,'Up Stats'!H:H,)</f>
        <v/>
      </c>
      <c r="AD15" s="54" t="str">
        <f>IFERROR(__xludf.DUMMYFUNCTION("if(AND(AE15=FALSE,AF15=FALSE),,if(AE15=AF15,JOIN("""",""Static: "",AE15),JOIN("""",""Min:  "",AE15, CHAR(10),""Max: "",AF15)))"),"")</f>
        <v/>
      </c>
      <c r="AE15" s="55" t="str">
        <f t="array" ref="AE15">_xlfn.XLOOKUP(B15,'Up Min'!A:A,'Up Min'!H:H,)</f>
        <v/>
      </c>
      <c r="AF15" s="55" t="str">
        <f t="array" ref="AF15">_xlfn.XLOOKUP(B15,'Up Max'!A:A,'Up Max'!H:H,)</f>
        <v/>
      </c>
      <c r="AG15" s="57" t="str">
        <f t="array" ref="AG15">_xlfn.XLOOKUP(B15,'Up Stats'!A:A,'Up Stats'!I:I,)</f>
        <v/>
      </c>
      <c r="AH15" s="54" t="str">
        <f>IFERROR(__xludf.DUMMYFUNCTION("if(AND(AI15=FALSE,AJ15=FALSE),,if(AI15=AJ15,JOIN("""",""Static: "",AI15),JOIN("""",""Min:  "",AI15, CHAR(10),""Max: "",AJ15)))"),"")</f>
        <v/>
      </c>
      <c r="AI15" s="55" t="str">
        <f t="array" ref="AI15">_xlfn.XLOOKUP(B15,'Up Min'!A:A,'Up Min'!I:I,)</f>
        <v/>
      </c>
      <c r="AJ15" s="55" t="str">
        <f t="array" ref="AJ15">_xlfn.XLOOKUP(B15,'Up Max'!A:A,'Up Max'!I:I,)</f>
        <v/>
      </c>
      <c r="AK15" s="57" t="str">
        <f t="array" ref="AK15">_xlfn.XLOOKUP(B15,'Up Stats'!A:A,'Up Stats'!J:J,)</f>
        <v/>
      </c>
      <c r="AL15" s="54" t="str">
        <f>IFERROR(__xludf.DUMMYFUNCTION("if(AND(AM15=FALSE,AN15=FALSE),,if(AM15=AN15,JOIN("""",""Static: "",AM15),JOIN("""",""Min:  "",AM15, CHAR(10),""Max: "",AN15)))"),"")</f>
        <v/>
      </c>
      <c r="AM15" s="55" t="str">
        <f t="array" ref="AM15">_xlfn.XLOOKUP(B15,'Up Min'!A:A,'Up Min'!J:J,)</f>
        <v/>
      </c>
      <c r="AN15" s="55" t="str">
        <f t="array" ref="AN15">_xlfn.XLOOKUP(B15,'Up Max'!A:A,'Up Max'!J:J,)</f>
        <v/>
      </c>
      <c r="AO15" s="51" t="str">
        <f t="array" ref="AO15">CONCATENATE(_xlfn.XLOOKUP(B15,'Up Cells'!A:A,'Up Cells'!B:B,))</f>
        <v>5</v>
      </c>
      <c r="AP15" s="51" t="str">
        <f t="array" ref="AP15">CONCATENATE(_xlfn.XLOOKUP(B15,'Up Rarity'!A:A,'Up Rarity'!B:B,),CHAR(10),"-")</f>
        <v>Epic
-</v>
      </c>
    </row>
    <row r="16">
      <c r="A16" s="75" t="str">
        <f t="array" ref="A16">_xlfn.XLOOKUP(B16,'Up Icon'!A:A,'Up Icon'!B:B,)</f>
        <v/>
      </c>
      <c r="B16" s="66" t="str">
        <f t="array" ref="B16">HYPERLINK(_xlfn.XLOOKUP('Up Names'!O9,'Up Wiki'!A:A,'Up Wiki'!B:B,),'Up Names'!O9)</f>
        <v>Lightspeed Material Transfer</v>
      </c>
      <c r="C16" s="67" t="str">
        <f t="array" ref="C16">_xlfn.XLOOKUP(B16,'Up Desc'!A:A,'Up Desc'!B:B,)</f>
        <v>Teleport to your grenade when it lands.</v>
      </c>
      <c r="D16" s="37" t="str">
        <f t="array" ref="D16">_xlfn.XLOOKUP(B16,'Up Turbo'!A:A,'Up Turbo'!B:B,)</f>
        <v>n/a</v>
      </c>
      <c r="E16" s="48" t="str">
        <f t="array" ref="E16">_xlfn.XLOOKUP(B16,'Up Stats'!A:A,'Up Stats'!B:B,)</f>
        <v/>
      </c>
      <c r="F16" s="40" t="str">
        <f>IFERROR(__xludf.DUMMYFUNCTION("if(AND(G16=FALSE,H16=FALSE),,if(G16=H16,JOIN("""",""Static: "",G16),JOIN("""",""Min:  "",G16, CHAR(10),""Max: "",H16)))"),"")</f>
        <v/>
      </c>
      <c r="G16" s="42" t="str">
        <f t="array" ref="G16">_xlfn.XLOOKUP(B16,'Up Min'!A:A,'Up Min'!B:B,)</f>
        <v/>
      </c>
      <c r="H16" s="42" t="str">
        <f t="array" ref="H16">_xlfn.XLOOKUP(B16,'Up Max'!A:A,'Up Max'!B:B,)</f>
        <v/>
      </c>
      <c r="I16" s="48" t="str">
        <f t="array" ref="I16">_xlfn.XLOOKUP(B16,'Up Stats'!A:A,'Up Stats'!C:C,)</f>
        <v/>
      </c>
      <c r="J16" s="40" t="str">
        <f>IFERROR(__xludf.DUMMYFUNCTION("if(AND(K16=FALSE,L16=FALSE),,if(K16=L16,JOIN("""",""Static: "",K16),JOIN("""",""Min:  "",K16, CHAR(10),""Max: "",L16)))"),"")</f>
        <v/>
      </c>
      <c r="K16" s="74" t="str">
        <f t="array" ref="K16">_xlfn.XLOOKUP(B16,'Up Min'!A:A,'Up Min'!C:C,)</f>
        <v/>
      </c>
      <c r="L16" s="74" t="str">
        <f t="array" ref="L16">_xlfn.XLOOKUP(B16,'Up Max'!A:A,'Up Max'!C:C,)</f>
        <v/>
      </c>
      <c r="M16" s="48" t="str">
        <f t="array" ref="M16">_xlfn.XLOOKUP(B16,'Up Stats'!A:A,'Up Stats'!D:D,)</f>
        <v/>
      </c>
      <c r="N16" s="40" t="str">
        <f>IFERROR(__xludf.DUMMYFUNCTION("if(AND(O16=FALSE,P16=FALSE),,if(O16=P16,JOIN("""",""Static: "",O16),JOIN("""",""Min:  "",O16, CHAR(10),""Max: "",P16)))"),"")</f>
        <v/>
      </c>
      <c r="O16" s="42" t="str">
        <f t="array" ref="O16">_xlfn.XLOOKUP(B16,'Up Min'!A:A,'Up Min'!D:D,)</f>
        <v/>
      </c>
      <c r="P16" s="42" t="str">
        <f t="array" ref="P16">_xlfn.XLOOKUP(B16,'Up Max'!A:A,'Up Max'!D:D,)</f>
        <v/>
      </c>
      <c r="Q16" s="48" t="str">
        <f t="array" ref="Q16">_xlfn.XLOOKUP(B16,'Up Stats'!A:A,'Up Stats'!E:E,)</f>
        <v/>
      </c>
      <c r="R16" s="40" t="str">
        <f>IFERROR(__xludf.DUMMYFUNCTION("if(AND(S16=FALSE,T16=FALSE),,if(S16=T16,JOIN("""",""Static: "",S16),JOIN("""",""Min:  "",S16, CHAR(10),""Max: "",T16)))"),"")</f>
        <v/>
      </c>
      <c r="S16" s="42" t="str">
        <f t="array" ref="S16">_xlfn.XLOOKUP(B16,'Up Min'!A:A,'Up Min'!E:E,)</f>
        <v/>
      </c>
      <c r="T16" s="42" t="str">
        <f t="array" ref="T16">_xlfn.XLOOKUP(B16,'Up Max'!A:A,'Up Max'!E:E,)</f>
        <v/>
      </c>
      <c r="U16" s="48" t="str">
        <f t="array" ref="U16">_xlfn.XLOOKUP(B16,'Up Stats'!A:A,'Up Stats'!F:F,)</f>
        <v/>
      </c>
      <c r="V16" s="40" t="str">
        <f>IFERROR(__xludf.DUMMYFUNCTION("if(AND(W16=FALSE,X16=FALSE),,if(W16=X16,JOIN("""",""Static: "",W16),JOIN("""",""Min:  "",W16, CHAR(10),""Max: "",X16)))"),"")</f>
        <v/>
      </c>
      <c r="W16" s="42" t="str">
        <f t="array" ref="W16">_xlfn.XLOOKUP(B16,'Up Min'!A:A,'Up Min'!F:F,)</f>
        <v/>
      </c>
      <c r="X16" s="42" t="str">
        <f t="array" ref="X16">_xlfn.XLOOKUP(B16,'Up Max'!A:A,'Up Max'!F:F,)</f>
        <v/>
      </c>
      <c r="Y16" s="48" t="str">
        <f t="array" ref="Y16">_xlfn.XLOOKUP(B16,'Up Stats'!A:A,'Up Stats'!G:G,)</f>
        <v/>
      </c>
      <c r="Z16" s="40" t="str">
        <f>IFERROR(__xludf.DUMMYFUNCTION("if(AND(AA16=FALSE,AB16=FALSE),,if(AA16=AB16,JOIN("""",""Static: "",AA16),JOIN("""",""Min:  "",AA16, CHAR(10),""Max: "",AB16)))"),"")</f>
        <v/>
      </c>
      <c r="AA16" s="42" t="str">
        <f t="array" ref="AA16">_xlfn.XLOOKUP(B16,'Up Min'!A:A,'Up Min'!G:G,)</f>
        <v/>
      </c>
      <c r="AB16" s="42" t="str">
        <f t="array" ref="AB16">_xlfn.XLOOKUP(B16,'Up Max'!A:A,'Up Max'!G:G,)</f>
        <v/>
      </c>
      <c r="AC16" s="48" t="str">
        <f t="array" ref="AC16">_xlfn.XLOOKUP(B16,'Up Stats'!A:A,'Up Stats'!H:H,)</f>
        <v/>
      </c>
      <c r="AD16" s="40" t="str">
        <f>IFERROR(__xludf.DUMMYFUNCTION("if(AND(AE16=FALSE,AF16=FALSE),,if(AE16=AF16,JOIN("""",""Static: "",AE16),JOIN("""",""Min:  "",AE16, CHAR(10),""Max: "",AF16)))"),"")</f>
        <v/>
      </c>
      <c r="AE16" s="42" t="str">
        <f t="array" ref="AE16">_xlfn.XLOOKUP(B16,'Up Min'!A:A,'Up Min'!H:H,)</f>
        <v/>
      </c>
      <c r="AF16" s="42" t="str">
        <f t="array" ref="AF16">_xlfn.XLOOKUP(B16,'Up Max'!A:A,'Up Max'!H:H,)</f>
        <v/>
      </c>
      <c r="AG16" s="48" t="str">
        <f t="array" ref="AG16">_xlfn.XLOOKUP(B16,'Up Stats'!A:A,'Up Stats'!I:I,)</f>
        <v/>
      </c>
      <c r="AH16" s="40" t="str">
        <f>IFERROR(__xludf.DUMMYFUNCTION("if(AND(AI16=FALSE,AJ16=FALSE),,if(AI16=AJ16,JOIN("""",""Static: "",AI16),JOIN("""",""Min:  "",AI16, CHAR(10),""Max: "",AJ16)))"),"")</f>
        <v/>
      </c>
      <c r="AI16" s="42" t="str">
        <f t="array" ref="AI16">_xlfn.XLOOKUP(B16,'Up Min'!A:A,'Up Min'!I:I,)</f>
        <v/>
      </c>
      <c r="AJ16" s="42" t="str">
        <f t="array" ref="AJ16">_xlfn.XLOOKUP(B16,'Up Max'!A:A,'Up Max'!I:I,)</f>
        <v/>
      </c>
      <c r="AK16" s="48" t="str">
        <f t="array" ref="AK16">_xlfn.XLOOKUP(B16,'Up Stats'!A:A,'Up Stats'!J:J,)</f>
        <v/>
      </c>
      <c r="AL16" s="40" t="str">
        <f>IFERROR(__xludf.DUMMYFUNCTION("if(AND(AM16=FALSE,AN16=FALSE),,if(AM16=AN16,JOIN("""",""Static: "",AM16),JOIN("""",""Min:  "",AM16, CHAR(10),""Max: "",AN16)))"),"")</f>
        <v/>
      </c>
      <c r="AM16" s="42" t="str">
        <f t="array" ref="AM16">_xlfn.XLOOKUP(B16,'Up Min'!A:A,'Up Min'!J:J,)</f>
        <v/>
      </c>
      <c r="AN16" s="42" t="str">
        <f t="array" ref="AN16">_xlfn.XLOOKUP(B16,'Up Max'!A:A,'Up Max'!J:J,)</f>
        <v/>
      </c>
      <c r="AO16" s="34" t="str">
        <f t="array" ref="AO16">CONCATENATE(_xlfn.XLOOKUP(B16,'Up Cells'!A:A,'Up Cells'!B:B,))</f>
        <v>4</v>
      </c>
      <c r="AP16" s="34" t="str">
        <f t="array" ref="AP16">CONCATENATE(_xlfn.XLOOKUP(B16,'Up Rarity'!A:A,'Up Rarity'!B:B,),CHAR(10),"-")</f>
        <v>Epic
-</v>
      </c>
    </row>
    <row r="17">
      <c r="A17" s="75" t="str">
        <f t="array" ref="A17">_xlfn.XLOOKUP(B17,'Up Icon'!A:A,'Up Icon'!B:B,)</f>
        <v/>
      </c>
      <c r="B17" s="63" t="str">
        <f t="array" ref="B17">HYPERLINK(_xlfn.XLOOKUP('Up Names'!O10,'Up Wiki'!A:A,'Up Wiki'!B:B,),'Up Names'!O10)</f>
        <v>Sloth's Day Out</v>
      </c>
      <c r="C17" s="52" t="str">
        <f t="array" ref="C17">_xlfn.XLOOKUP(B17,'Up Desc'!A:A,'Up Desc'!B:B,)</f>
        <v>Your grenade recharges faster while you are standing still.</v>
      </c>
      <c r="D17" s="52" t="str">
        <f t="array" ref="D17">_xlfn.XLOOKUP(B17,'Up Turbo'!A:A,'Up Turbo'!B:B,)</f>
        <v>n/a</v>
      </c>
      <c r="E17" s="53" t="str">
        <f t="array" ref="E17">_xlfn.XLOOKUP(B17,'Up Stats'!A:A,'Up Stats'!B:B,)</f>
        <v>Charge per Second</v>
      </c>
      <c r="F17" s="54" t="str">
        <f>IFERROR(__xludf.DUMMYFUNCTION("if(AND(G17=FALSE,H17=FALSE),,if(G17=H17,JOIN("""",""Static: "",G17),JOIN("""",""Min:  "",G17, CHAR(10),""Max: "",H17)))"),"Min:  46%
Max: 90%")</f>
        <v>Min:  46%
Max: 90%</v>
      </c>
      <c r="G17" s="59">
        <f t="array" ref="G17">_xlfn.XLOOKUP(B17,'Up Min'!A:A,'Up Min'!B:B,)</f>
        <v>0.46</v>
      </c>
      <c r="H17" s="59">
        <f t="array" ref="H17">_xlfn.XLOOKUP(B17,'Up Max'!A:A,'Up Max'!B:B,)</f>
        <v>0.9</v>
      </c>
      <c r="I17" s="53" t="str">
        <f t="array" ref="I17">_xlfn.XLOOKUP(B17,'Up Stats'!A:A,'Up Stats'!C:C,)</f>
        <v/>
      </c>
      <c r="J17" s="54" t="str">
        <f>IFERROR(__xludf.DUMMYFUNCTION("if(AND(K17=FALSE,L17=FALSE),,if(K17=L17,JOIN("""",""Static: "",K17),JOIN("""",""Min:  "",K17, CHAR(10),""Max: "",L17)))"),"")</f>
        <v/>
      </c>
      <c r="K17" s="72" t="str">
        <f t="array" ref="K17">_xlfn.XLOOKUP(B17,'Up Min'!A:A,'Up Min'!C:C,)</f>
        <v/>
      </c>
      <c r="L17" s="72" t="str">
        <f t="array" ref="L17">_xlfn.XLOOKUP(B17,'Up Max'!A:A,'Up Max'!C:C,)</f>
        <v/>
      </c>
      <c r="M17" s="57" t="str">
        <f t="array" ref="M17">_xlfn.XLOOKUP(B17,'Up Stats'!A:A,'Up Stats'!D:D,)</f>
        <v/>
      </c>
      <c r="N17" s="54" t="str">
        <f>IFERROR(__xludf.DUMMYFUNCTION("if(AND(O17=FALSE,P17=FALSE),,if(O17=P17,JOIN("""",""Static: "",O17),JOIN("""",""Min:  "",O17, CHAR(10),""Max: "",P17)))"),"")</f>
        <v/>
      </c>
      <c r="O17" s="55" t="str">
        <f t="array" ref="O17">_xlfn.XLOOKUP(B17,'Up Min'!A:A,'Up Min'!D:D,)</f>
        <v/>
      </c>
      <c r="P17" s="55" t="str">
        <f t="array" ref="P17">_xlfn.XLOOKUP(B17,'Up Max'!A:A,'Up Max'!D:D,)</f>
        <v/>
      </c>
      <c r="Q17" s="57" t="str">
        <f t="array" ref="Q17">_xlfn.XLOOKUP(B17,'Up Stats'!A:A,'Up Stats'!E:E,)</f>
        <v/>
      </c>
      <c r="R17" s="54" t="str">
        <f>IFERROR(__xludf.DUMMYFUNCTION("if(AND(S17=FALSE,T17=FALSE),,if(S17=T17,JOIN("""",""Static: "",S17),JOIN("""",""Min:  "",S17, CHAR(10),""Max: "",T17)))"),"")</f>
        <v/>
      </c>
      <c r="S17" s="55" t="str">
        <f t="array" ref="S17">_xlfn.XLOOKUP(B17,'Up Min'!A:A,'Up Min'!E:E,)</f>
        <v/>
      </c>
      <c r="T17" s="55" t="str">
        <f t="array" ref="T17">_xlfn.XLOOKUP(B17,'Up Max'!A:A,'Up Max'!E:E,)</f>
        <v/>
      </c>
      <c r="U17" s="57" t="str">
        <f t="array" ref="U17">_xlfn.XLOOKUP(B17,'Up Stats'!A:A,'Up Stats'!F:F,)</f>
        <v/>
      </c>
      <c r="V17" s="54" t="str">
        <f>IFERROR(__xludf.DUMMYFUNCTION("if(AND(W17=FALSE,X17=FALSE),,if(W17=X17,JOIN("""",""Static: "",W17),JOIN("""",""Min:  "",W17, CHAR(10),""Max: "",X17)))"),"")</f>
        <v/>
      </c>
      <c r="W17" s="55" t="str">
        <f t="array" ref="W17">_xlfn.XLOOKUP(B17,'Up Min'!A:A,'Up Min'!F:F,)</f>
        <v/>
      </c>
      <c r="X17" s="55" t="str">
        <f t="array" ref="X17">_xlfn.XLOOKUP(B17,'Up Max'!A:A,'Up Max'!F:F,)</f>
        <v/>
      </c>
      <c r="Y17" s="57" t="str">
        <f t="array" ref="Y17">_xlfn.XLOOKUP(B17,'Up Stats'!A:A,'Up Stats'!G:G,)</f>
        <v/>
      </c>
      <c r="Z17" s="54" t="str">
        <f>IFERROR(__xludf.DUMMYFUNCTION("if(AND(AA17=FALSE,AB17=FALSE),,if(AA17=AB17,JOIN("""",""Static: "",AA17),JOIN("""",""Min:  "",AA17, CHAR(10),""Max: "",AB17)))"),"")</f>
        <v/>
      </c>
      <c r="AA17" s="55" t="str">
        <f t="array" ref="AA17">_xlfn.XLOOKUP(B17,'Up Min'!A:A,'Up Min'!G:G,)</f>
        <v/>
      </c>
      <c r="AB17" s="55" t="str">
        <f t="array" ref="AB17">_xlfn.XLOOKUP(B17,'Up Max'!A:A,'Up Max'!G:G,)</f>
        <v/>
      </c>
      <c r="AC17" s="57" t="str">
        <f t="array" ref="AC17">_xlfn.XLOOKUP(B17,'Up Stats'!A:A,'Up Stats'!H:H,)</f>
        <v/>
      </c>
      <c r="AD17" s="54" t="str">
        <f>IFERROR(__xludf.DUMMYFUNCTION("if(AND(AE17=FALSE,AF17=FALSE),,if(AE17=AF17,JOIN("""",""Static: "",AE17),JOIN("""",""Min:  "",AE17, CHAR(10),""Max: "",AF17)))"),"")</f>
        <v/>
      </c>
      <c r="AE17" s="55" t="str">
        <f t="array" ref="AE17">_xlfn.XLOOKUP(B17,'Up Min'!A:A,'Up Min'!H:H,)</f>
        <v/>
      </c>
      <c r="AF17" s="55" t="str">
        <f t="array" ref="AF17">_xlfn.XLOOKUP(B17,'Up Max'!A:A,'Up Max'!H:H,)</f>
        <v/>
      </c>
      <c r="AG17" s="57" t="str">
        <f t="array" ref="AG17">_xlfn.XLOOKUP(B17,'Up Stats'!A:A,'Up Stats'!I:I,)</f>
        <v/>
      </c>
      <c r="AH17" s="54" t="str">
        <f>IFERROR(__xludf.DUMMYFUNCTION("if(AND(AI17=FALSE,AJ17=FALSE),,if(AI17=AJ17,JOIN("""",""Static: "",AI17),JOIN("""",""Min:  "",AI17, CHAR(10),""Max: "",AJ17)))"),"")</f>
        <v/>
      </c>
      <c r="AI17" s="55" t="str">
        <f t="array" ref="AI17">_xlfn.XLOOKUP(B17,'Up Min'!A:A,'Up Min'!I:I,)</f>
        <v/>
      </c>
      <c r="AJ17" s="55" t="str">
        <f t="array" ref="AJ17">_xlfn.XLOOKUP(B17,'Up Max'!A:A,'Up Max'!I:I,)</f>
        <v/>
      </c>
      <c r="AK17" s="57" t="str">
        <f t="array" ref="AK17">_xlfn.XLOOKUP(B17,'Up Stats'!A:A,'Up Stats'!J:J,)</f>
        <v/>
      </c>
      <c r="AL17" s="54" t="str">
        <f>IFERROR(__xludf.DUMMYFUNCTION("if(AND(AM17=FALSE,AN17=FALSE),,if(AM17=AN17,JOIN("""",""Static: "",AM17),JOIN("""",""Min:  "",AM17, CHAR(10),""Max: "",AN17)))"),"")</f>
        <v/>
      </c>
      <c r="AM17" s="55" t="str">
        <f t="array" ref="AM17">_xlfn.XLOOKUP(B17,'Up Min'!A:A,'Up Min'!J:J,)</f>
        <v/>
      </c>
      <c r="AN17" s="55" t="str">
        <f t="array" ref="AN17">_xlfn.XLOOKUP(B17,'Up Max'!A:A,'Up Max'!J:J,)</f>
        <v/>
      </c>
      <c r="AO17" s="51" t="str">
        <f t="array" ref="AO17">CONCATENATE(_xlfn.XLOOKUP(B17,'Up Cells'!A:A,'Up Cells'!B:B,))</f>
        <v>5</v>
      </c>
      <c r="AP17" s="51" t="str">
        <f t="array" ref="AP17">CONCATENATE(_xlfn.XLOOKUP(B17,'Up Rarity'!A:A,'Up Rarity'!B:B,),CHAR(10),"-")</f>
        <v>Epic
-</v>
      </c>
    </row>
    <row r="18">
      <c r="A18" s="75" t="str">
        <f t="array" ref="A18">_xlfn.XLOOKUP(B18,'Up Icon'!A:A,'Up Icon'!B:B,)</f>
        <v/>
      </c>
      <c r="B18" s="66" t="str">
        <f t="array" ref="B18">HYPERLINK(_xlfn.XLOOKUP('Up Names'!O11,'Up Wiki'!A:A,'Up Wiki'!B:B,),'Up Names'!O11)</f>
        <v>Vacuum Tube</v>
      </c>
      <c r="C18" s="67" t="str">
        <f t="array" ref="C18">_xlfn.XLOOKUP(B18,'Up Desc'!A:A,'Up Desc'!B:B,)</f>
        <v>Grenades pull targets in before exploding.</v>
      </c>
      <c r="D18" s="37" t="str">
        <f t="array" ref="D18">_xlfn.XLOOKUP(B18,'Up Turbo'!A:A,'Up Turbo'!B:B,)</f>
        <v>n/a</v>
      </c>
      <c r="E18" s="39" t="str">
        <f t="array" ref="E18">_xlfn.XLOOKUP(B18,'Up Stats'!A:A,'Up Stats'!B:B,)</f>
        <v>Force</v>
      </c>
      <c r="F18" s="40" t="str">
        <f>IFERROR(__xludf.DUMMYFUNCTION("if(AND(G18=FALSE,H18=FALSE),,if(G18=H18,JOIN("""",""Static: "",G18),JOIN("""",""Min:  "",G18, CHAR(10),""Max: "",H18)))"),"Min:  10
Max: 20")</f>
        <v>Min:  10
Max: 20</v>
      </c>
      <c r="G18" s="69">
        <f t="array" ref="G18">_xlfn.XLOOKUP(B18,'Up Min'!A:A,'Up Min'!B:B,)</f>
        <v>10</v>
      </c>
      <c r="H18" s="68">
        <f t="array" ref="H18">_xlfn.XLOOKUP(B18,'Up Max'!A:A,'Up Max'!B:B,)</f>
        <v>20</v>
      </c>
      <c r="I18" s="39" t="str">
        <f t="array" ref="I18">_xlfn.XLOOKUP(B18,'Up Stats'!A:A,'Up Stats'!C:C,)</f>
        <v>Size</v>
      </c>
      <c r="J18" s="40" t="str">
        <f>IFERROR(__xludf.DUMMYFUNCTION("if(AND(K18=FALSE,L18=FALSE),,if(K18=L18,JOIN("""",""Static: "",K18),JOIN("""",""Min:  "",K18, CHAR(10),""Max: "",L18)))"),"Min:  50%
Max: 65%")</f>
        <v>Min:  50%
Max: 65%</v>
      </c>
      <c r="K18" s="41">
        <f t="array" ref="K18">_xlfn.XLOOKUP(B18,'Up Min'!A:A,'Up Min'!C:C,)</f>
        <v>0.5</v>
      </c>
      <c r="L18" s="41">
        <f t="array" ref="L18">_xlfn.XLOOKUP(B18,'Up Max'!A:A,'Up Max'!C:C,)</f>
        <v>0.65</v>
      </c>
      <c r="M18" s="39" t="str">
        <f t="array" ref="M18">_xlfn.XLOOKUP(B18,'Up Stats'!A:A,'Up Stats'!D:D,)</f>
        <v>Fuse</v>
      </c>
      <c r="N18" s="40" t="str">
        <f>IFERROR(__xludf.DUMMYFUNCTION("if(AND(O18=FALSE,P18=FALSE),,if(O18=P18,JOIN("""",""Static: "",O18),JOIN("""",""Min:  "",O18, CHAR(10),""Max: "",P18)))"),"Min:  1.75
Max: 3.1")</f>
        <v>Min:  1.75
Max: 3.1</v>
      </c>
      <c r="O18" s="68">
        <f t="array" ref="O18">_xlfn.XLOOKUP(B18,'Up Min'!A:A,'Up Min'!D:D,)</f>
        <v>1.75</v>
      </c>
      <c r="P18" s="68">
        <f t="array" ref="P18">_xlfn.XLOOKUP(B18,'Up Max'!A:A,'Up Max'!D:D,)</f>
        <v>3.1</v>
      </c>
      <c r="Q18" s="48" t="str">
        <f t="array" ref="Q18">_xlfn.XLOOKUP(B18,'Up Stats'!A:A,'Up Stats'!E:E,)</f>
        <v/>
      </c>
      <c r="R18" s="40" t="str">
        <f>IFERROR(__xludf.DUMMYFUNCTION("if(AND(S18=FALSE,T18=FALSE),,if(S18=T18,JOIN("""",""Static: "",S18),JOIN("""",""Min:  "",S18, CHAR(10),""Max: "",T18)))"),"")</f>
        <v/>
      </c>
      <c r="S18" s="45" t="str">
        <f t="array" ref="S18">_xlfn.XLOOKUP(B18,'Up Min'!A:A,'Up Min'!E:E,)</f>
        <v/>
      </c>
      <c r="T18" s="42" t="str">
        <f t="array" ref="T18">_xlfn.XLOOKUP(B18,'Up Max'!A:A,'Up Max'!E:E,)</f>
        <v/>
      </c>
      <c r="U18" s="48" t="str">
        <f t="array" ref="U18">_xlfn.XLOOKUP(B18,'Up Stats'!A:A,'Up Stats'!F:F,)</f>
        <v/>
      </c>
      <c r="V18" s="40" t="str">
        <f>IFERROR(__xludf.DUMMYFUNCTION("if(AND(W18=FALSE,X18=FALSE),,if(W18=X18,JOIN("""",""Static: "",W18),JOIN("""",""Min:  "",W18, CHAR(10),""Max: "",X18)))"),"")</f>
        <v/>
      </c>
      <c r="W18" s="42" t="str">
        <f t="array" ref="W18">_xlfn.XLOOKUP(B18,'Up Min'!A:A,'Up Min'!F:F,)</f>
        <v/>
      </c>
      <c r="X18" s="42" t="str">
        <f t="array" ref="X18">_xlfn.XLOOKUP(B18,'Up Max'!A:A,'Up Max'!F:F,)</f>
        <v/>
      </c>
      <c r="Y18" s="48" t="str">
        <f t="array" ref="Y18">_xlfn.XLOOKUP(B18,'Up Stats'!A:A,'Up Stats'!G:G,)</f>
        <v/>
      </c>
      <c r="Z18" s="40" t="str">
        <f>IFERROR(__xludf.DUMMYFUNCTION("if(AND(AA18=FALSE,AB18=FALSE),,if(AA18=AB18,JOIN("""",""Static: "",AA18),JOIN("""",""Min:  "",AA18, CHAR(10),""Max: "",AB18)))"),"")</f>
        <v/>
      </c>
      <c r="AA18" s="42" t="str">
        <f t="array" ref="AA18">_xlfn.XLOOKUP(B18,'Up Min'!A:A,'Up Min'!G:G,)</f>
        <v/>
      </c>
      <c r="AB18" s="42" t="str">
        <f t="array" ref="AB18">_xlfn.XLOOKUP(B18,'Up Max'!A:A,'Up Max'!G:G,)</f>
        <v/>
      </c>
      <c r="AC18" s="48" t="str">
        <f t="array" ref="AC18">_xlfn.XLOOKUP(B18,'Up Stats'!A:A,'Up Stats'!H:H,)</f>
        <v/>
      </c>
      <c r="AD18" s="40" t="str">
        <f>IFERROR(__xludf.DUMMYFUNCTION("if(AND(AE18=FALSE,AF18=FALSE),,if(AE18=AF18,JOIN("""",""Static: "",AE18),JOIN("""",""Min:  "",AE18, CHAR(10),""Max: "",AF18)))"),"")</f>
        <v/>
      </c>
      <c r="AE18" s="42" t="str">
        <f t="array" ref="AE18">_xlfn.XLOOKUP(B18,'Up Min'!A:A,'Up Min'!H:H,)</f>
        <v/>
      </c>
      <c r="AF18" s="42" t="str">
        <f t="array" ref="AF18">_xlfn.XLOOKUP(B18,'Up Max'!A:A,'Up Max'!H:H,)</f>
        <v/>
      </c>
      <c r="AG18" s="48" t="str">
        <f t="array" ref="AG18">_xlfn.XLOOKUP(B18,'Up Stats'!A:A,'Up Stats'!I:I,)</f>
        <v/>
      </c>
      <c r="AH18" s="40" t="str">
        <f>IFERROR(__xludf.DUMMYFUNCTION("if(AND(AI18=FALSE,AJ18=FALSE),,if(AI18=AJ18,JOIN("""",""Static: "",AI18),JOIN("""",""Min:  "",AI18, CHAR(10),""Max: "",AJ18)))"),"")</f>
        <v/>
      </c>
      <c r="AI18" s="42" t="str">
        <f t="array" ref="AI18">_xlfn.XLOOKUP(B18,'Up Min'!A:A,'Up Min'!I:I,)</f>
        <v/>
      </c>
      <c r="AJ18" s="42" t="str">
        <f t="array" ref="AJ18">_xlfn.XLOOKUP(B18,'Up Max'!A:A,'Up Max'!I:I,)</f>
        <v/>
      </c>
      <c r="AK18" s="48" t="str">
        <f t="array" ref="AK18">_xlfn.XLOOKUP(B18,'Up Stats'!A:A,'Up Stats'!J:J,)</f>
        <v/>
      </c>
      <c r="AL18" s="40" t="str">
        <f>IFERROR(__xludf.DUMMYFUNCTION("if(AND(AM18=FALSE,AN18=FALSE),,if(AM18=AN18,JOIN("""",""Static: "",AM18),JOIN("""",""Min:  "",AM18, CHAR(10),""Max: "",AN18)))"),"")</f>
        <v/>
      </c>
      <c r="AM18" s="42" t="str">
        <f t="array" ref="AM18">_xlfn.XLOOKUP(B18,'Up Min'!A:A,'Up Min'!J:J,)</f>
        <v/>
      </c>
      <c r="AN18" s="42" t="str">
        <f t="array" ref="AN18">_xlfn.XLOOKUP(B18,'Up Max'!A:A,'Up Max'!J:J,)</f>
        <v/>
      </c>
      <c r="AO18" s="34" t="str">
        <f t="array" ref="AO18">CONCATENATE(_xlfn.XLOOKUP(B18,'Up Cells'!A:A,'Up Cells'!B:B,))</f>
        <v>7</v>
      </c>
      <c r="AP18" s="34" t="str">
        <f t="array" ref="AP18">CONCATENATE(_xlfn.XLOOKUP(B18,'Up Rarity'!A:A,'Up Rarity'!B:B,),CHAR(10),"-")</f>
        <v>Epic
-</v>
      </c>
    </row>
    <row r="19">
      <c r="A19" s="83" t="str">
        <f t="array" ref="A19">_xlfn.XLOOKUP(B19,'Up Icon'!A:A,'Up Icon'!B:B,)</f>
        <v/>
      </c>
      <c r="B19" s="63" t="str">
        <f t="array" ref="B19">HYPERLINK(_xlfn.XLOOKUP('Up Names'!O12,'Up Wiki'!A:A,'Up Wiki'!B:B,),'Up Names'!O12)</f>
        <v>Gas Valves</v>
      </c>
      <c r="C19" s="52" t="str">
        <f t="array" ref="C19">_xlfn.XLOOKUP(B19,'Up Desc'!A:A,'Up Desc'!B:B,)</f>
        <v>Your grenade recharges faster while standing in an acid puddle.</v>
      </c>
      <c r="D19" s="52" t="str">
        <f t="array" ref="D19">_xlfn.XLOOKUP(B19,'Up Turbo'!A:A,'Up Turbo'!B:B,)</f>
        <v>n/a</v>
      </c>
      <c r="E19" s="53" t="str">
        <f t="array" ref="E19">_xlfn.XLOOKUP(B19,'Up Stats'!A:A,'Up Stats'!B:B,)</f>
        <v>Puddle Recharge Speed</v>
      </c>
      <c r="F19" s="54" t="str">
        <f>IFERROR(__xludf.DUMMYFUNCTION("if(AND(G19=FALSE,H19=FALSE),,if(G19=H19,JOIN("""",""Static: "",G19),JOIN("""",""Min:  "",G19, CHAR(10),""Max: "",H19)))"),"Min:  290%
Max: 420%")</f>
        <v>Min:  290%
Max: 420%</v>
      </c>
      <c r="G19" s="59">
        <f t="array" ref="G19">_xlfn.XLOOKUP(B19,'Up Min'!A:A,'Up Min'!B:B,)</f>
        <v>2.9</v>
      </c>
      <c r="H19" s="59">
        <f t="array" ref="H19">_xlfn.XLOOKUP(B19,'Up Max'!A:A,'Up Max'!B:B,)</f>
        <v>4.2</v>
      </c>
      <c r="I19" s="53" t="str">
        <f t="array" ref="I19">_xlfn.XLOOKUP(B19,'Up Stats'!A:A,'Up Stats'!C:C,)</f>
        <v/>
      </c>
      <c r="J19" s="54" t="str">
        <f>IFERROR(__xludf.DUMMYFUNCTION("if(AND(K19=FALSE,L19=FALSE),,if(K19=L19,JOIN("""",""Static: "",K19),JOIN("""",""Min:  "",K19, CHAR(10),""Max: "",L19)))"),"")</f>
        <v/>
      </c>
      <c r="K19" s="72" t="str">
        <f t="array" ref="K19">_xlfn.XLOOKUP(B19,'Up Min'!A:A,'Up Min'!C:C,)</f>
        <v/>
      </c>
      <c r="L19" s="72" t="str">
        <f t="array" ref="L19">_xlfn.XLOOKUP(B19,'Up Max'!A:A,'Up Max'!C:C,)</f>
        <v/>
      </c>
      <c r="M19" s="57" t="str">
        <f t="array" ref="M19">_xlfn.XLOOKUP(B19,'Up Stats'!A:A,'Up Stats'!D:D,)</f>
        <v/>
      </c>
      <c r="N19" s="54" t="str">
        <f>IFERROR(__xludf.DUMMYFUNCTION("if(AND(O19=FALSE,P19=FALSE),,if(O19=P19,JOIN("""",""Static: "",O19),JOIN("""",""Min:  "",O19, CHAR(10),""Max: "",P19)))"),"")</f>
        <v/>
      </c>
      <c r="O19" s="55" t="str">
        <f t="array" ref="O19">_xlfn.XLOOKUP(B19,'Up Min'!A:A,'Up Min'!D:D,)</f>
        <v/>
      </c>
      <c r="P19" s="55" t="str">
        <f t="array" ref="P19">_xlfn.XLOOKUP(B19,'Up Max'!A:A,'Up Max'!D:D,)</f>
        <v/>
      </c>
      <c r="Q19" s="57" t="str">
        <f t="array" ref="Q19">_xlfn.XLOOKUP(B19,'Up Stats'!A:A,'Up Stats'!E:E,)</f>
        <v/>
      </c>
      <c r="R19" s="54" t="str">
        <f>IFERROR(__xludf.DUMMYFUNCTION("if(AND(S19=FALSE,T19=FALSE),,if(S19=T19,JOIN("""",""Static: "",S19),JOIN("""",""Min:  "",S19, CHAR(10),""Max: "",T19)))"),"")</f>
        <v/>
      </c>
      <c r="S19" s="55" t="str">
        <f t="array" ref="S19">_xlfn.XLOOKUP(B19,'Up Min'!A:A,'Up Min'!E:E,)</f>
        <v/>
      </c>
      <c r="T19" s="55" t="str">
        <f t="array" ref="T19">_xlfn.XLOOKUP(B19,'Up Max'!A:A,'Up Max'!E:E,)</f>
        <v/>
      </c>
      <c r="U19" s="57" t="str">
        <f t="array" ref="U19">_xlfn.XLOOKUP(B19,'Up Stats'!A:A,'Up Stats'!F:F,)</f>
        <v/>
      </c>
      <c r="V19" s="54" t="str">
        <f>IFERROR(__xludf.DUMMYFUNCTION("if(AND(W19=FALSE,X19=FALSE),,if(W19=X19,JOIN("""",""Static: "",W19),JOIN("""",""Min:  "",W19, CHAR(10),""Max: "",X19)))"),"")</f>
        <v/>
      </c>
      <c r="W19" s="55" t="str">
        <f t="array" ref="W19">_xlfn.XLOOKUP(B19,'Up Min'!A:A,'Up Min'!F:F,)</f>
        <v/>
      </c>
      <c r="X19" s="55" t="str">
        <f t="array" ref="X19">_xlfn.XLOOKUP(B19,'Up Max'!A:A,'Up Max'!F:F,)</f>
        <v/>
      </c>
      <c r="Y19" s="57" t="str">
        <f t="array" ref="Y19">_xlfn.XLOOKUP(B19,'Up Stats'!A:A,'Up Stats'!G:G,)</f>
        <v/>
      </c>
      <c r="Z19" s="54" t="str">
        <f>IFERROR(__xludf.DUMMYFUNCTION("if(AND(AA19=FALSE,AB19=FALSE),,if(AA19=AB19,JOIN("""",""Static: "",AA19),JOIN("""",""Min:  "",AA19, CHAR(10),""Max: "",AB19)))"),"")</f>
        <v/>
      </c>
      <c r="AA19" s="55" t="str">
        <f t="array" ref="AA19">_xlfn.XLOOKUP(B19,'Up Min'!A:A,'Up Min'!G:G,)</f>
        <v/>
      </c>
      <c r="AB19" s="55" t="str">
        <f t="array" ref="AB19">_xlfn.XLOOKUP(B19,'Up Max'!A:A,'Up Max'!G:G,)</f>
        <v/>
      </c>
      <c r="AC19" s="57" t="str">
        <f t="array" ref="AC19">_xlfn.XLOOKUP(B19,'Up Stats'!A:A,'Up Stats'!H:H,)</f>
        <v/>
      </c>
      <c r="AD19" s="54" t="str">
        <f>IFERROR(__xludf.DUMMYFUNCTION("if(AND(AE19=FALSE,AF19=FALSE),,if(AE19=AF19,JOIN("""",""Static: "",AE19),JOIN("""",""Min:  "",AE19, CHAR(10),""Max: "",AF19)))"),"")</f>
        <v/>
      </c>
      <c r="AE19" s="55" t="str">
        <f t="array" ref="AE19">_xlfn.XLOOKUP(B19,'Up Min'!A:A,'Up Min'!H:H,)</f>
        <v/>
      </c>
      <c r="AF19" s="55" t="str">
        <f t="array" ref="AF19">_xlfn.XLOOKUP(B19,'Up Max'!A:A,'Up Max'!H:H,)</f>
        <v/>
      </c>
      <c r="AG19" s="57" t="str">
        <f t="array" ref="AG19">_xlfn.XLOOKUP(B19,'Up Stats'!A:A,'Up Stats'!I:I,)</f>
        <v/>
      </c>
      <c r="AH19" s="54" t="str">
        <f>IFERROR(__xludf.DUMMYFUNCTION("if(AND(AI19=FALSE,AJ19=FALSE),,if(AI19=AJ19,JOIN("""",""Static: "",AI19),JOIN("""",""Min:  "",AI19, CHAR(10),""Max: "",AJ19)))"),"")</f>
        <v/>
      </c>
      <c r="AI19" s="55" t="str">
        <f t="array" ref="AI19">_xlfn.XLOOKUP(B19,'Up Min'!A:A,'Up Min'!I:I,)</f>
        <v/>
      </c>
      <c r="AJ19" s="55" t="str">
        <f t="array" ref="AJ19">_xlfn.XLOOKUP(B19,'Up Max'!A:A,'Up Max'!I:I,)</f>
        <v/>
      </c>
      <c r="AK19" s="57" t="str">
        <f t="array" ref="AK19">_xlfn.XLOOKUP(B19,'Up Stats'!A:A,'Up Stats'!J:J,)</f>
        <v/>
      </c>
      <c r="AL19" s="54" t="str">
        <f>IFERROR(__xludf.DUMMYFUNCTION("if(AND(AM19=FALSE,AN19=FALSE),,if(AM19=AN19,JOIN("""",""Static: "",AM19),JOIN("""",""Min:  "",AM19, CHAR(10),""Max: "",AN19)))"),"")</f>
        <v/>
      </c>
      <c r="AM19" s="55" t="str">
        <f t="array" ref="AM19">_xlfn.XLOOKUP(B19,'Up Min'!A:A,'Up Min'!J:J,)</f>
        <v/>
      </c>
      <c r="AN19" s="55" t="str">
        <f t="array" ref="AN19">_xlfn.XLOOKUP(B19,'Up Max'!A:A,'Up Max'!J:J,)</f>
        <v/>
      </c>
      <c r="AO19" s="51" t="str">
        <f t="array" ref="AO19">CONCATENATE(_xlfn.XLOOKUP(B19,'Up Cells'!A:A,'Up Cells'!B:B,))</f>
        <v>4</v>
      </c>
      <c r="AP19" s="51" t="str">
        <f t="array" ref="AP19">CONCATENATE(_xlfn.XLOOKUP(B19,'Up Rarity'!A:A,'Up Rarity'!B:B,),CHAR(10),"-")</f>
        <v>Rare
-</v>
      </c>
    </row>
    <row r="20">
      <c r="A20" s="83" t="str">
        <f t="array" ref="A20">_xlfn.XLOOKUP(B20,'Up Icon'!A:A,'Up Icon'!B:B,)</f>
        <v/>
      </c>
      <c r="B20" s="66" t="str">
        <f t="array" ref="B20">HYPERLINK(_xlfn.XLOOKUP('Up Names'!O13,'Up Wiki'!A:A,'Up Wiki'!B:B,),'Up Names'!O13)</f>
        <v>Glub Glub</v>
      </c>
      <c r="C20" s="37" t="str">
        <f t="array" ref="C20">_xlfn.XLOOKUP(B20,'Up Desc'!A:A,'Up Desc'!B:B,)</f>
        <v>Throw 2 grenades at once in a larger spread. Explosion size is decreased.</v>
      </c>
      <c r="D20" s="37" t="str">
        <f t="array" ref="D20">_xlfn.XLOOKUP(B20,'Up Turbo'!A:A,'Up Turbo'!B:B,)</f>
        <v>n/a</v>
      </c>
      <c r="E20" s="39" t="str">
        <f t="array" ref="E20">_xlfn.XLOOKUP(B20,'Up Stats'!A:A,'Up Stats'!B:B,)</f>
        <v>Bullets per Shot</v>
      </c>
      <c r="F20" s="40" t="str">
        <f>IFERROR(__xludf.DUMMYFUNCTION("if(AND(G20=FALSE,H20=FALSE),,if(G20=H20,JOIN("""",""Static: "",G20),JOIN("""",""Min:  "",G20, CHAR(10),""Max: "",H20)))"),"Static: 1")</f>
        <v>Static: 1</v>
      </c>
      <c r="G20" s="69">
        <f t="array" ref="G20">_xlfn.XLOOKUP(B20,'Up Min'!A:A,'Up Min'!B:B,)</f>
        <v>1</v>
      </c>
      <c r="H20" s="68">
        <f t="array" ref="H20">_xlfn.XLOOKUP(B20,'Up Max'!A:A,'Up Max'!B:B,)</f>
        <v>1</v>
      </c>
      <c r="I20" s="39" t="str">
        <f t="array" ref="I20">_xlfn.XLOOKUP(B20,'Up Stats'!A:A,'Up Stats'!C:C,)</f>
        <v>Horizontal Spread</v>
      </c>
      <c r="J20" s="40" t="str">
        <f>IFERROR(__xludf.DUMMYFUNCTION("if(AND(K20=FALSE,L20=FALSE),,if(K20=L20,JOIN("""",""Static: "",K20),JOIN("""",""Min:  "",K20, CHAR(10),""Max: "",L20)))"),"Min:  34
Max: 46")</f>
        <v>Min:  34
Max: 46</v>
      </c>
      <c r="K20" s="69">
        <f t="array" ref="K20">_xlfn.XLOOKUP(B20,'Up Min'!A:A,'Up Min'!C:C,)</f>
        <v>34</v>
      </c>
      <c r="L20" s="69">
        <f t="array" ref="L20">_xlfn.XLOOKUP(B20,'Up Max'!A:A,'Up Max'!C:C,)</f>
        <v>46</v>
      </c>
      <c r="M20" s="39" t="str">
        <f t="array" ref="M20">_xlfn.XLOOKUP(B20,'Up Stats'!A:A,'Up Stats'!D:D,)</f>
        <v>Vertical Spread</v>
      </c>
      <c r="N20" s="40" t="str">
        <f>IFERROR(__xludf.DUMMYFUNCTION("if(AND(O20=FALSE,P20=FALSE),,if(O20=P20,JOIN("""",""Static: "",O20),JOIN("""",""Min:  "",O20, CHAR(10),""Max: "",P20)))"),"Min:  8
Max: 14")</f>
        <v>Min:  8
Max: 14</v>
      </c>
      <c r="O20" s="68">
        <f t="array" ref="O20">_xlfn.XLOOKUP(B20,'Up Min'!A:A,'Up Min'!D:D,)</f>
        <v>8</v>
      </c>
      <c r="P20" s="69">
        <f t="array" ref="P20">_xlfn.XLOOKUP(B20,'Up Max'!A:A,'Up Max'!D:D,)</f>
        <v>14</v>
      </c>
      <c r="Q20" s="48" t="str">
        <f t="array" ref="Q20">_xlfn.XLOOKUP(B20,'Up Stats'!A:A,'Up Stats'!E:E,)</f>
        <v>Explosion Size</v>
      </c>
      <c r="R20" s="40" t="str">
        <f>IFERROR(__xludf.DUMMYFUNCTION("if(AND(S20=FALSE,T20=FALSE),,if(S20=T20,JOIN("""",""Static: "",S20),JOIN("""",""Min:  "",S20, CHAR(10),""Max: "",T20)))"),"Min:  -48%
Max: -32%")</f>
        <v>Min:  -48%
Max: -32%</v>
      </c>
      <c r="S20" s="41">
        <f t="array" ref="S20">_xlfn.XLOOKUP(B20,'Up Min'!A:A,'Up Min'!E:E,)</f>
        <v>-0.48</v>
      </c>
      <c r="T20" s="41">
        <f t="array" ref="T20">_xlfn.XLOOKUP(B20,'Up Max'!A:A,'Up Max'!E:E,)</f>
        <v>-0.32</v>
      </c>
      <c r="U20" s="48" t="str">
        <f t="array" ref="U20">_xlfn.XLOOKUP(B20,'Up Stats'!A:A,'Up Stats'!F:F,)</f>
        <v/>
      </c>
      <c r="V20" s="40" t="str">
        <f>IFERROR(__xludf.DUMMYFUNCTION("if(AND(W20=FALSE,X20=FALSE),,if(W20=X20,JOIN("""",""Static: "",W20),JOIN("""",""Min:  "",W20, CHAR(10),""Max: "",X20)))"),"")</f>
        <v/>
      </c>
      <c r="W20" s="42" t="str">
        <f t="array" ref="W20">_xlfn.XLOOKUP(B20,'Up Min'!A:A,'Up Min'!F:F,)</f>
        <v/>
      </c>
      <c r="X20" s="42" t="str">
        <f t="array" ref="X20">_xlfn.XLOOKUP(B20,'Up Max'!A:A,'Up Max'!F:F,)</f>
        <v/>
      </c>
      <c r="Y20" s="48" t="str">
        <f t="array" ref="Y20">_xlfn.XLOOKUP(B20,'Up Stats'!A:A,'Up Stats'!G:G,)</f>
        <v/>
      </c>
      <c r="Z20" s="40" t="str">
        <f>IFERROR(__xludf.DUMMYFUNCTION("if(AND(AA20=FALSE,AB20=FALSE),,if(AA20=AB20,JOIN("""",""Static: "",AA20),JOIN("""",""Min:  "",AA20, CHAR(10),""Max: "",AB20)))"),"")</f>
        <v/>
      </c>
      <c r="AA20" s="42" t="str">
        <f t="array" ref="AA20">_xlfn.XLOOKUP(B20,'Up Min'!A:A,'Up Min'!G:G,)</f>
        <v/>
      </c>
      <c r="AB20" s="42" t="str">
        <f t="array" ref="AB20">_xlfn.XLOOKUP(B20,'Up Max'!A:A,'Up Max'!G:G,)</f>
        <v/>
      </c>
      <c r="AC20" s="48" t="str">
        <f t="array" ref="AC20">_xlfn.XLOOKUP(B20,'Up Stats'!A:A,'Up Stats'!H:H,)</f>
        <v/>
      </c>
      <c r="AD20" s="40" t="str">
        <f>IFERROR(__xludf.DUMMYFUNCTION("if(AND(AE20=FALSE,AF20=FALSE),,if(AE20=AF20,JOIN("""",""Static: "",AE20),JOIN("""",""Min:  "",AE20, CHAR(10),""Max: "",AF20)))"),"")</f>
        <v/>
      </c>
      <c r="AE20" s="42" t="str">
        <f t="array" ref="AE20">_xlfn.XLOOKUP(B20,'Up Min'!A:A,'Up Min'!H:H,)</f>
        <v/>
      </c>
      <c r="AF20" s="42" t="str">
        <f t="array" ref="AF20">_xlfn.XLOOKUP(B20,'Up Max'!A:A,'Up Max'!H:H,)</f>
        <v/>
      </c>
      <c r="AG20" s="48" t="str">
        <f t="array" ref="AG20">_xlfn.XLOOKUP(B20,'Up Stats'!A:A,'Up Stats'!I:I,)</f>
        <v/>
      </c>
      <c r="AH20" s="40" t="str">
        <f>IFERROR(__xludf.DUMMYFUNCTION("if(AND(AI20=FALSE,AJ20=FALSE),,if(AI20=AJ20,JOIN("""",""Static: "",AI20),JOIN("""",""Min:  "",AI20, CHAR(10),""Max: "",AJ20)))"),"")</f>
        <v/>
      </c>
      <c r="AI20" s="42" t="str">
        <f t="array" ref="AI20">_xlfn.XLOOKUP(B20,'Up Min'!A:A,'Up Min'!I:I,)</f>
        <v/>
      </c>
      <c r="AJ20" s="42" t="str">
        <f t="array" ref="AJ20">_xlfn.XLOOKUP(B20,'Up Max'!A:A,'Up Max'!I:I,)</f>
        <v/>
      </c>
      <c r="AK20" s="48" t="str">
        <f t="array" ref="AK20">_xlfn.XLOOKUP(B20,'Up Stats'!A:A,'Up Stats'!J:J,)</f>
        <v/>
      </c>
      <c r="AL20" s="40" t="str">
        <f>IFERROR(__xludf.DUMMYFUNCTION("if(AND(AM20=FALSE,AN20=FALSE),,if(AM20=AN20,JOIN("""",""Static: "",AM20),JOIN("""",""Min:  "",AM20, CHAR(10),""Max: "",AN20)))"),"")</f>
        <v/>
      </c>
      <c r="AM20" s="42" t="str">
        <f t="array" ref="AM20">_xlfn.XLOOKUP(B20,'Up Min'!A:A,'Up Min'!J:J,)</f>
        <v/>
      </c>
      <c r="AN20" s="42" t="str">
        <f t="array" ref="AN20">_xlfn.XLOOKUP(B20,'Up Max'!A:A,'Up Max'!J:J,)</f>
        <v/>
      </c>
      <c r="AO20" s="34" t="str">
        <f t="array" ref="AO20">CONCATENATE(_xlfn.XLOOKUP(B20,'Up Cells'!A:A,'Up Cells'!B:B,))</f>
        <v>7</v>
      </c>
      <c r="AP20" s="34" t="str">
        <f t="array" ref="AP20">CONCATENATE(_xlfn.XLOOKUP(B20,'Up Rarity'!A:A,'Up Rarity'!B:B,),CHAR(10),"-")</f>
        <v>Rare
-</v>
      </c>
    </row>
    <row r="21">
      <c r="A21" s="83" t="str">
        <f t="array" ref="A21">_xlfn.XLOOKUP(B21,'Up Icon'!A:A,'Up Icon'!B:B,)</f>
        <v/>
      </c>
      <c r="B21" s="63" t="str">
        <f t="array" ref="B21">HYPERLINK(_xlfn.XLOOKUP('Up Names'!O14,'Up Wiki'!A:A,'Up Wiki'!B:B,),'Up Names'!O14)</f>
        <v>Greased Mixture</v>
      </c>
      <c r="C21" s="70" t="str">
        <f t="array" ref="C21">_xlfn.XLOOKUP(B21,'Up Desc'!A:A,'Up Desc'!B:B,)</f>
        <v>Players hit by your grenade's explosion gain movement ability charge. Cooldown is slightly reduced.</v>
      </c>
      <c r="D21" s="52" t="str">
        <f t="array" ref="D21">_xlfn.XLOOKUP(B21,'Up Turbo'!A:A,'Up Turbo'!B:B,)</f>
        <v>n/a</v>
      </c>
      <c r="E21" s="53" t="str">
        <f t="array" ref="E21">_xlfn.XLOOKUP(B21,'Up Stats'!A:A,'Up Stats'!B:B,)</f>
        <v>Charge</v>
      </c>
      <c r="F21" s="54" t="str">
        <f>IFERROR(__xludf.DUMMYFUNCTION("if(AND(G21=FALSE,H21=FALSE),,if(G21=H21,JOIN("""",""Static: "",G21),JOIN("""",""Min:  "",G21, CHAR(10),""Max: "",H21)))"),"Min:  90%
Max: 110%")</f>
        <v>Min:  90%
Max: 110%</v>
      </c>
      <c r="G21" s="59">
        <f t="array" ref="G21">_xlfn.XLOOKUP(B21,'Up Min'!A:A,'Up Min'!B:B,)</f>
        <v>0.9</v>
      </c>
      <c r="H21" s="59">
        <f t="array" ref="H21">_xlfn.XLOOKUP(B21,'Up Max'!A:A,'Up Max'!B:B,)</f>
        <v>1.1</v>
      </c>
      <c r="I21" s="53" t="str">
        <f t="array" ref="I21">_xlfn.XLOOKUP(B21,'Up Stats'!A:A,'Up Stats'!C:C,)</f>
        <v>Recharge Speed</v>
      </c>
      <c r="J21" s="54" t="str">
        <f>IFERROR(__xludf.DUMMYFUNCTION("if(AND(K21=FALSE,L21=FALSE),,if(K21=L21,JOIN("""",""Static: "",K21),JOIN("""",""Min:  "",K21, CHAR(10),""Max: "",L21)))"),"Min:  9.41%
Max: 4.17%")</f>
        <v>Min:  9.41%
Max: 4.17%</v>
      </c>
      <c r="K21" s="71">
        <f t="array" ref="K21">_xlfn.XLOOKUP(B21,'Up Min'!A:A,'Up Min'!C:C,)</f>
        <v>0.0941</v>
      </c>
      <c r="L21" s="71">
        <f t="array" ref="L21">_xlfn.XLOOKUP(B21,'Up Max'!A:A,'Up Max'!C:C,)</f>
        <v>0.0417</v>
      </c>
      <c r="M21" s="53" t="str">
        <f t="array" ref="M21">_xlfn.XLOOKUP(B21,'Up Stats'!A:A,'Up Stats'!D:D,)</f>
        <v/>
      </c>
      <c r="N21" s="54" t="str">
        <f>IFERROR(__xludf.DUMMYFUNCTION("if(AND(O21=FALSE,P21=FALSE),,if(O21=P21,JOIN("""",""Static: "",O21),JOIN("""",""Min:  "",O21, CHAR(10),""Max: "",P21)))"),"")</f>
        <v/>
      </c>
      <c r="O21" s="55" t="str">
        <f t="array" ref="O21">_xlfn.XLOOKUP(B21,'Up Min'!A:A,'Up Min'!D:D,)</f>
        <v/>
      </c>
      <c r="P21" s="55" t="str">
        <f t="array" ref="P21">_xlfn.XLOOKUP(B21,'Up Max'!A:A,'Up Max'!D:D,)</f>
        <v/>
      </c>
      <c r="Q21" s="57" t="str">
        <f t="array" ref="Q21">_xlfn.XLOOKUP(B21,'Up Stats'!A:A,'Up Stats'!E:E,)</f>
        <v/>
      </c>
      <c r="R21" s="54" t="str">
        <f>IFERROR(__xludf.DUMMYFUNCTION("if(AND(S21=FALSE,T21=FALSE),,if(S21=T21,JOIN("""",""Static: "",S21),JOIN("""",""Min:  "",S21, CHAR(10),""Max: "",T21)))"),"")</f>
        <v/>
      </c>
      <c r="S21" s="55" t="str">
        <f t="array" ref="S21">_xlfn.XLOOKUP(B21,'Up Min'!A:A,'Up Min'!E:E,)</f>
        <v/>
      </c>
      <c r="T21" s="55" t="str">
        <f t="array" ref="T21">_xlfn.XLOOKUP(B21,'Up Max'!A:A,'Up Max'!E:E,)</f>
        <v/>
      </c>
      <c r="U21" s="57" t="str">
        <f t="array" ref="U21">_xlfn.XLOOKUP(B21,'Up Stats'!A:A,'Up Stats'!F:F,)</f>
        <v/>
      </c>
      <c r="V21" s="54" t="str">
        <f>IFERROR(__xludf.DUMMYFUNCTION("if(AND(W21=FALSE,X21=FALSE),,if(W21=X21,JOIN("""",""Static: "",W21),JOIN("""",""Min:  "",W21, CHAR(10),""Max: "",X21)))"),"")</f>
        <v/>
      </c>
      <c r="W21" s="55" t="str">
        <f t="array" ref="W21">_xlfn.XLOOKUP(B21,'Up Min'!A:A,'Up Min'!F:F,)</f>
        <v/>
      </c>
      <c r="X21" s="55" t="str">
        <f t="array" ref="X21">_xlfn.XLOOKUP(B21,'Up Max'!A:A,'Up Max'!F:F,)</f>
        <v/>
      </c>
      <c r="Y21" s="57" t="str">
        <f t="array" ref="Y21">_xlfn.XLOOKUP(B21,'Up Stats'!A:A,'Up Stats'!G:G,)</f>
        <v/>
      </c>
      <c r="Z21" s="54" t="str">
        <f>IFERROR(__xludf.DUMMYFUNCTION("if(AND(AA21=FALSE,AB21=FALSE),,if(AA21=AB21,JOIN("""",""Static: "",AA21),JOIN("""",""Min:  "",AA21, CHAR(10),""Max: "",AB21)))"),"")</f>
        <v/>
      </c>
      <c r="AA21" s="55" t="str">
        <f t="array" ref="AA21">_xlfn.XLOOKUP(B21,'Up Min'!A:A,'Up Min'!G:G,)</f>
        <v/>
      </c>
      <c r="AB21" s="55" t="str">
        <f t="array" ref="AB21">_xlfn.XLOOKUP(B21,'Up Max'!A:A,'Up Max'!G:G,)</f>
        <v/>
      </c>
      <c r="AC21" s="57" t="str">
        <f t="array" ref="AC21">_xlfn.XLOOKUP(B21,'Up Stats'!A:A,'Up Stats'!H:H,)</f>
        <v/>
      </c>
      <c r="AD21" s="54" t="str">
        <f>IFERROR(__xludf.DUMMYFUNCTION("if(AND(AE21=FALSE,AF21=FALSE),,if(AE21=AF21,JOIN("""",""Static: "",AE21),JOIN("""",""Min:  "",AE21, CHAR(10),""Max: "",AF21)))"),"")</f>
        <v/>
      </c>
      <c r="AE21" s="55" t="str">
        <f t="array" ref="AE21">_xlfn.XLOOKUP(B21,'Up Min'!A:A,'Up Min'!H:H,)</f>
        <v/>
      </c>
      <c r="AF21" s="55" t="str">
        <f t="array" ref="AF21">_xlfn.XLOOKUP(B21,'Up Max'!A:A,'Up Max'!H:H,)</f>
        <v/>
      </c>
      <c r="AG21" s="57" t="str">
        <f t="array" ref="AG21">_xlfn.XLOOKUP(B21,'Up Stats'!A:A,'Up Stats'!I:I,)</f>
        <v/>
      </c>
      <c r="AH21" s="54" t="str">
        <f>IFERROR(__xludf.DUMMYFUNCTION("if(AND(AI21=FALSE,AJ21=FALSE),,if(AI21=AJ21,JOIN("""",""Static: "",AI21),JOIN("""",""Min:  "",AI21, CHAR(10),""Max: "",AJ21)))"),"")</f>
        <v/>
      </c>
      <c r="AI21" s="55" t="str">
        <f t="array" ref="AI21">_xlfn.XLOOKUP(B21,'Up Min'!A:A,'Up Min'!I:I,)</f>
        <v/>
      </c>
      <c r="AJ21" s="55" t="str">
        <f t="array" ref="AJ21">_xlfn.XLOOKUP(B21,'Up Max'!A:A,'Up Max'!I:I,)</f>
        <v/>
      </c>
      <c r="AK21" s="57" t="str">
        <f t="array" ref="AK21">_xlfn.XLOOKUP(B21,'Up Stats'!A:A,'Up Stats'!J:J,)</f>
        <v/>
      </c>
      <c r="AL21" s="54" t="str">
        <f>IFERROR(__xludf.DUMMYFUNCTION("if(AND(AM21=FALSE,AN21=FALSE),,if(AM21=AN21,JOIN("""",""Static: "",AM21),JOIN("""",""Min:  "",AM21, CHAR(10),""Max: "",AN21)))"),"")</f>
        <v/>
      </c>
      <c r="AM21" s="55" t="str">
        <f t="array" ref="AM21">_xlfn.XLOOKUP(B21,'Up Min'!A:A,'Up Min'!J:J,)</f>
        <v/>
      </c>
      <c r="AN21" s="55" t="str">
        <f t="array" ref="AN21">_xlfn.XLOOKUP(B21,'Up Max'!A:A,'Up Max'!J:J,)</f>
        <v/>
      </c>
      <c r="AO21" s="51" t="str">
        <f t="array" ref="AO21">CONCATENATE(_xlfn.XLOOKUP(B21,'Up Cells'!A:A,'Up Cells'!B:B,))</f>
        <v>5</v>
      </c>
      <c r="AP21" s="51" t="str">
        <f t="array" ref="AP21">CONCATENATE(_xlfn.XLOOKUP(B21,'Up Rarity'!A:A,'Up Rarity'!B:B,),CHAR(10),"-")</f>
        <v>Rare
-</v>
      </c>
    </row>
    <row r="22">
      <c r="A22" s="83" t="str">
        <f t="array" ref="A22">_xlfn.XLOOKUP(B22,'Up Icon'!A:A,'Up Icon'!B:B,)</f>
        <v/>
      </c>
      <c r="B22" s="66" t="str">
        <f t="array" ref="B22">HYPERLINK(_xlfn.XLOOKUP('Up Names'!O15,'Up Wiki'!A:A,'Up Wiki'!B:B,),'Up Names'!O15)</f>
        <v>Odd Cocktail</v>
      </c>
      <c r="C22" s="37" t="str">
        <f t="array" ref="C22">_xlfn.XLOOKUP(B22,'Up Desc'!A:A,'Up Desc'!B:B,)</f>
        <v>Grenades have a chance to create a second explosion of a random element.</v>
      </c>
      <c r="D22" s="37" t="str">
        <f t="array" ref="D22">_xlfn.XLOOKUP(B22,'Up Turbo'!A:A,'Up Turbo'!B:B,)</f>
        <v>n/a</v>
      </c>
      <c r="E22" s="39" t="str">
        <f t="array" ref="E22">_xlfn.XLOOKUP(B22,'Up Stats'!A:A,'Up Stats'!B:B,)</f>
        <v>Chance</v>
      </c>
      <c r="F22" s="40" t="str">
        <f>IFERROR(__xludf.DUMMYFUNCTION("if(AND(G22=FALSE,H22=FALSE),,if(G22=H22,JOIN("""",""Static: "",G22),JOIN("""",""Min:  "",G22, CHAR(10),""Max: "",H22)))"),"Min:  30%
Max: 51.70%")</f>
        <v>Min:  30%
Max: 51.70%</v>
      </c>
      <c r="G22" s="41">
        <f t="array" ref="G22">_xlfn.XLOOKUP(B22,'Up Min'!A:A,'Up Min'!B:B,)</f>
        <v>0.3</v>
      </c>
      <c r="H22" s="78">
        <f t="array" ref="H22">_xlfn.XLOOKUP(B22,'Up Max'!A:A,'Up Max'!B:B,)</f>
        <v>0.517</v>
      </c>
      <c r="I22" s="39" t="str">
        <f t="array" ref="I22">_xlfn.XLOOKUP(B22,'Up Stats'!A:A,'Up Stats'!C:C,)</f>
        <v/>
      </c>
      <c r="J22" s="40" t="str">
        <f>IFERROR(__xludf.DUMMYFUNCTION("if(AND(K22=FALSE,L22=FALSE),,if(K22=L22,JOIN("""",""Static: "",K22),JOIN("""",""Min:  "",K22, CHAR(10),""Max: "",L22)))"),"")</f>
        <v/>
      </c>
      <c r="K22" s="74" t="str">
        <f t="array" ref="K22">_xlfn.XLOOKUP(B22,'Up Min'!A:A,'Up Min'!C:C,)</f>
        <v/>
      </c>
      <c r="L22" s="74" t="str">
        <f t="array" ref="L22">_xlfn.XLOOKUP(B22,'Up Max'!A:A,'Up Max'!C:C,)</f>
        <v/>
      </c>
      <c r="M22" s="48" t="str">
        <f t="array" ref="M22">_xlfn.XLOOKUP(B22,'Up Stats'!A:A,'Up Stats'!D:D,)</f>
        <v/>
      </c>
      <c r="N22" s="40" t="str">
        <f>IFERROR(__xludf.DUMMYFUNCTION("if(AND(O22=FALSE,P22=FALSE),,if(O22=P22,JOIN("""",""Static: "",O22),JOIN("""",""Min:  "",O22, CHAR(10),""Max: "",P22)))"),"")</f>
        <v/>
      </c>
      <c r="O22" s="42" t="str">
        <f t="array" ref="O22">_xlfn.XLOOKUP(B22,'Up Min'!A:A,'Up Min'!D:D,)</f>
        <v/>
      </c>
      <c r="P22" s="42" t="str">
        <f t="array" ref="P22">_xlfn.XLOOKUP(B22,'Up Max'!A:A,'Up Max'!D:D,)</f>
        <v/>
      </c>
      <c r="Q22" s="48" t="str">
        <f t="array" ref="Q22">_xlfn.XLOOKUP(B22,'Up Stats'!A:A,'Up Stats'!E:E,)</f>
        <v/>
      </c>
      <c r="R22" s="40" t="str">
        <f>IFERROR(__xludf.DUMMYFUNCTION("if(AND(S22=FALSE,T22=FALSE),,if(S22=T22,JOIN("""",""Static: "",S22),JOIN("""",""Min:  "",S22, CHAR(10),""Max: "",T22)))"),"")</f>
        <v/>
      </c>
      <c r="S22" s="42" t="str">
        <f t="array" ref="S22">_xlfn.XLOOKUP(B22,'Up Min'!A:A,'Up Min'!E:E,)</f>
        <v/>
      </c>
      <c r="T22" s="42" t="str">
        <f t="array" ref="T22">_xlfn.XLOOKUP(B22,'Up Max'!A:A,'Up Max'!E:E,)</f>
        <v/>
      </c>
      <c r="U22" s="48" t="str">
        <f t="array" ref="U22">_xlfn.XLOOKUP(B22,'Up Stats'!A:A,'Up Stats'!F:F,)</f>
        <v/>
      </c>
      <c r="V22" s="40" t="str">
        <f>IFERROR(__xludf.DUMMYFUNCTION("if(AND(W22=FALSE,X22=FALSE),,if(W22=X22,JOIN("""",""Static: "",W22),JOIN("""",""Min:  "",W22, CHAR(10),""Max: "",X22)))"),"")</f>
        <v/>
      </c>
      <c r="W22" s="42" t="str">
        <f t="array" ref="W22">_xlfn.XLOOKUP(B22,'Up Min'!A:A,'Up Min'!F:F,)</f>
        <v/>
      </c>
      <c r="X22" s="42" t="str">
        <f t="array" ref="X22">_xlfn.XLOOKUP(B22,'Up Max'!A:A,'Up Max'!F:F,)</f>
        <v/>
      </c>
      <c r="Y22" s="48" t="str">
        <f t="array" ref="Y22">_xlfn.XLOOKUP(B22,'Up Stats'!A:A,'Up Stats'!G:G,)</f>
        <v/>
      </c>
      <c r="Z22" s="40" t="str">
        <f>IFERROR(__xludf.DUMMYFUNCTION("if(AND(AA22=FALSE,AB22=FALSE),,if(AA22=AB22,JOIN("""",""Static: "",AA22),JOIN("""",""Min:  "",AA22, CHAR(10),""Max: "",AB22)))"),"")</f>
        <v/>
      </c>
      <c r="AA22" s="42" t="str">
        <f t="array" ref="AA22">_xlfn.XLOOKUP(B22,'Up Min'!A:A,'Up Min'!G:G,)</f>
        <v/>
      </c>
      <c r="AB22" s="42" t="str">
        <f t="array" ref="AB22">_xlfn.XLOOKUP(B22,'Up Max'!A:A,'Up Max'!G:G,)</f>
        <v/>
      </c>
      <c r="AC22" s="48" t="str">
        <f t="array" ref="AC22">_xlfn.XLOOKUP(B22,'Up Stats'!A:A,'Up Stats'!H:H,)</f>
        <v/>
      </c>
      <c r="AD22" s="40" t="str">
        <f>IFERROR(__xludf.DUMMYFUNCTION("if(AND(AE22=FALSE,AF22=FALSE),,if(AE22=AF22,JOIN("""",""Static: "",AE22),JOIN("""",""Min:  "",AE22, CHAR(10),""Max: "",AF22)))"),"")</f>
        <v/>
      </c>
      <c r="AE22" s="42" t="str">
        <f t="array" ref="AE22">_xlfn.XLOOKUP(B22,'Up Min'!A:A,'Up Min'!H:H,)</f>
        <v/>
      </c>
      <c r="AF22" s="42" t="str">
        <f t="array" ref="AF22">_xlfn.XLOOKUP(B22,'Up Max'!A:A,'Up Max'!H:H,)</f>
        <v/>
      </c>
      <c r="AG22" s="48" t="str">
        <f t="array" ref="AG22">_xlfn.XLOOKUP(B22,'Up Stats'!A:A,'Up Stats'!I:I,)</f>
        <v/>
      </c>
      <c r="AH22" s="40" t="str">
        <f>IFERROR(__xludf.DUMMYFUNCTION("if(AND(AI22=FALSE,AJ22=FALSE),,if(AI22=AJ22,JOIN("""",""Static: "",AI22),JOIN("""",""Min:  "",AI22, CHAR(10),""Max: "",AJ22)))"),"")</f>
        <v/>
      </c>
      <c r="AI22" s="42" t="str">
        <f t="array" ref="AI22">_xlfn.XLOOKUP(B22,'Up Min'!A:A,'Up Min'!I:I,)</f>
        <v/>
      </c>
      <c r="AJ22" s="42" t="str">
        <f t="array" ref="AJ22">_xlfn.XLOOKUP(B22,'Up Max'!A:A,'Up Max'!I:I,)</f>
        <v/>
      </c>
      <c r="AK22" s="48" t="str">
        <f t="array" ref="AK22">_xlfn.XLOOKUP(B22,'Up Stats'!A:A,'Up Stats'!J:J,)</f>
        <v/>
      </c>
      <c r="AL22" s="40" t="str">
        <f>IFERROR(__xludf.DUMMYFUNCTION("if(AND(AM22=FALSE,AN22=FALSE),,if(AM22=AN22,JOIN("""",""Static: "",AM22),JOIN("""",""Min:  "",AM22, CHAR(10),""Max: "",AN22)))"),"")</f>
        <v/>
      </c>
      <c r="AM22" s="42" t="str">
        <f t="array" ref="AM22">_xlfn.XLOOKUP(B22,'Up Min'!A:A,'Up Min'!J:J,)</f>
        <v/>
      </c>
      <c r="AN22" s="42" t="str">
        <f t="array" ref="AN22">_xlfn.XLOOKUP(B22,'Up Max'!A:A,'Up Max'!J:J,)</f>
        <v/>
      </c>
      <c r="AO22" s="34" t="str">
        <f t="array" ref="AO22">CONCATENATE(_xlfn.XLOOKUP(B22,'Up Cells'!A:A,'Up Cells'!B:B,))</f>
        <v>5</v>
      </c>
      <c r="AP22" s="34" t="str">
        <f t="array" ref="AP22">CONCATENATE(_xlfn.XLOOKUP(B22,'Up Rarity'!A:A,'Up Rarity'!B:B,),CHAR(10),"-")</f>
        <v>Rare
-</v>
      </c>
    </row>
    <row r="23">
      <c r="A23" s="83" t="str">
        <f t="array" ref="A23">_xlfn.XLOOKUP(B23,'Up Icon'!A:A,'Up Icon'!B:B,)</f>
        <v/>
      </c>
      <c r="B23" s="63" t="str">
        <f t="array" ref="B23">HYPERLINK(_xlfn.XLOOKUP('Up Names'!O16,'Up Wiki'!A:A,'Up Wiki'!B:B,),'Up Names'!O16)</f>
        <v>Polymer Coating</v>
      </c>
      <c r="C23" s="52" t="str">
        <f t="array" ref="C23">_xlfn.XLOOKUP(B23,'Up Desc'!A:A,'Up Desc'!B:B,)</f>
        <v>Grenades give nearby players an overshield on impact.</v>
      </c>
      <c r="D23" s="52" t="str">
        <f t="array" ref="D23">_xlfn.XLOOKUP(B23,'Up Turbo'!A:A,'Up Turbo'!B:B,)</f>
        <v>n/a</v>
      </c>
      <c r="E23" s="53" t="str">
        <f t="array" ref="E23">_xlfn.XLOOKUP(B23,'Up Stats'!A:A,'Up Stats'!B:B,)</f>
        <v>Overshield Radius</v>
      </c>
      <c r="F23" s="54" t="str">
        <f>IFERROR(__xludf.DUMMYFUNCTION("if(AND(G23=FALSE,H23=FALSE),,if(G23=H23,JOIN("""",""Static: "",G23),JOIN("""",""Min:  "",G23, CHAR(10),""Max: "",H23)))"),"Min:  50%
Max: 100%")</f>
        <v>Min:  50%
Max: 100%</v>
      </c>
      <c r="G23" s="59">
        <f t="array" ref="G23">_xlfn.XLOOKUP(B23,'Up Min'!A:A,'Up Min'!B:B,)</f>
        <v>0.5</v>
      </c>
      <c r="H23" s="59">
        <f t="array" ref="H23">_xlfn.XLOOKUP(B23,'Up Max'!A:A,'Up Max'!B:B,)</f>
        <v>1</v>
      </c>
      <c r="I23" s="53" t="str">
        <f t="array" ref="I23">_xlfn.XLOOKUP(B23,'Up Stats'!A:A,'Up Stats'!C:C,)</f>
        <v/>
      </c>
      <c r="J23" s="54" t="str">
        <f>IFERROR(__xludf.DUMMYFUNCTION("if(AND(K23=FALSE,L23=FALSE),,if(K23=L23,JOIN("""",""Static: "",K23),JOIN("""",""Min:  "",K23, CHAR(10),""Max: "",L23)))"),"")</f>
        <v/>
      </c>
      <c r="K23" s="72" t="str">
        <f t="array" ref="K23">_xlfn.XLOOKUP(B23,'Up Min'!A:A,'Up Min'!C:C,)</f>
        <v/>
      </c>
      <c r="L23" s="72" t="str">
        <f t="array" ref="L23">_xlfn.XLOOKUP(B23,'Up Max'!A:A,'Up Max'!C:C,)</f>
        <v/>
      </c>
      <c r="M23" s="57" t="str">
        <f t="array" ref="M23">_xlfn.XLOOKUP(B23,'Up Stats'!A:A,'Up Stats'!D:D,)</f>
        <v/>
      </c>
      <c r="N23" s="54" t="str">
        <f>IFERROR(__xludf.DUMMYFUNCTION("if(AND(O23=FALSE,P23=FALSE),,if(O23=P23,JOIN("""",""Static: "",O23),JOIN("""",""Min:  "",O23, CHAR(10),""Max: "",P23)))"),"")</f>
        <v/>
      </c>
      <c r="O23" s="55" t="str">
        <f t="array" ref="O23">_xlfn.XLOOKUP(B23,'Up Min'!A:A,'Up Min'!D:D,)</f>
        <v/>
      </c>
      <c r="P23" s="55" t="str">
        <f t="array" ref="P23">_xlfn.XLOOKUP(B23,'Up Max'!A:A,'Up Max'!D:D,)</f>
        <v/>
      </c>
      <c r="Q23" s="57" t="str">
        <f t="array" ref="Q23">_xlfn.XLOOKUP(B23,'Up Stats'!A:A,'Up Stats'!E:E,)</f>
        <v/>
      </c>
      <c r="R23" s="54" t="str">
        <f>IFERROR(__xludf.DUMMYFUNCTION("if(AND(S23=FALSE,T23=FALSE),,if(S23=T23,JOIN("""",""Static: "",S23),JOIN("""",""Min:  "",S23, CHAR(10),""Max: "",T23)))"),"")</f>
        <v/>
      </c>
      <c r="S23" s="55" t="str">
        <f t="array" ref="S23">_xlfn.XLOOKUP(B23,'Up Min'!A:A,'Up Min'!E:E,)</f>
        <v/>
      </c>
      <c r="T23" s="55" t="str">
        <f t="array" ref="T23">_xlfn.XLOOKUP(B23,'Up Max'!A:A,'Up Max'!E:E,)</f>
        <v/>
      </c>
      <c r="U23" s="57" t="str">
        <f t="array" ref="U23">_xlfn.XLOOKUP(B23,'Up Stats'!A:A,'Up Stats'!F:F,)</f>
        <v/>
      </c>
      <c r="V23" s="54" t="str">
        <f>IFERROR(__xludf.DUMMYFUNCTION("if(AND(W23=FALSE,X23=FALSE),,if(W23=X23,JOIN("""",""Static: "",W23),JOIN("""",""Min:  "",W23, CHAR(10),""Max: "",X23)))"),"")</f>
        <v/>
      </c>
      <c r="W23" s="55" t="str">
        <f t="array" ref="W23">_xlfn.XLOOKUP(B23,'Up Min'!A:A,'Up Min'!F:F,)</f>
        <v/>
      </c>
      <c r="X23" s="55" t="str">
        <f t="array" ref="X23">_xlfn.XLOOKUP(B23,'Up Max'!A:A,'Up Max'!F:F,)</f>
        <v/>
      </c>
      <c r="Y23" s="57" t="str">
        <f t="array" ref="Y23">_xlfn.XLOOKUP(B23,'Up Stats'!A:A,'Up Stats'!G:G,)</f>
        <v/>
      </c>
      <c r="Z23" s="54" t="str">
        <f>IFERROR(__xludf.DUMMYFUNCTION("if(AND(AA23=FALSE,AB23=FALSE),,if(AA23=AB23,JOIN("""",""Static: "",AA23),JOIN("""",""Min:  "",AA23, CHAR(10),""Max: "",AB23)))"),"")</f>
        <v/>
      </c>
      <c r="AA23" s="55" t="str">
        <f t="array" ref="AA23">_xlfn.XLOOKUP(B23,'Up Min'!A:A,'Up Min'!G:G,)</f>
        <v/>
      </c>
      <c r="AB23" s="55" t="str">
        <f t="array" ref="AB23">_xlfn.XLOOKUP(B23,'Up Max'!A:A,'Up Max'!G:G,)</f>
        <v/>
      </c>
      <c r="AC23" s="57" t="str">
        <f t="array" ref="AC23">_xlfn.XLOOKUP(B23,'Up Stats'!A:A,'Up Stats'!H:H,)</f>
        <v/>
      </c>
      <c r="AD23" s="54" t="str">
        <f>IFERROR(__xludf.DUMMYFUNCTION("if(AND(AE23=FALSE,AF23=FALSE),,if(AE23=AF23,JOIN("""",""Static: "",AE23),JOIN("""",""Min:  "",AE23, CHAR(10),""Max: "",AF23)))"),"")</f>
        <v/>
      </c>
      <c r="AE23" s="55" t="str">
        <f t="array" ref="AE23">_xlfn.XLOOKUP(B23,'Up Min'!A:A,'Up Min'!H:H,)</f>
        <v/>
      </c>
      <c r="AF23" s="55" t="str">
        <f t="array" ref="AF23">_xlfn.XLOOKUP(B23,'Up Max'!A:A,'Up Max'!H:H,)</f>
        <v/>
      </c>
      <c r="AG23" s="57" t="str">
        <f t="array" ref="AG23">_xlfn.XLOOKUP(B23,'Up Stats'!A:A,'Up Stats'!I:I,)</f>
        <v/>
      </c>
      <c r="AH23" s="54" t="str">
        <f>IFERROR(__xludf.DUMMYFUNCTION("if(AND(AI23=FALSE,AJ23=FALSE),,if(AI23=AJ23,JOIN("""",""Static: "",AI23),JOIN("""",""Min:  "",AI23, CHAR(10),""Max: "",AJ23)))"),"")</f>
        <v/>
      </c>
      <c r="AI23" s="55" t="str">
        <f t="array" ref="AI23">_xlfn.XLOOKUP(B23,'Up Min'!A:A,'Up Min'!I:I,)</f>
        <v/>
      </c>
      <c r="AJ23" s="55" t="str">
        <f t="array" ref="AJ23">_xlfn.XLOOKUP(B23,'Up Max'!A:A,'Up Max'!I:I,)</f>
        <v/>
      </c>
      <c r="AK23" s="57" t="str">
        <f t="array" ref="AK23">_xlfn.XLOOKUP(B23,'Up Stats'!A:A,'Up Stats'!J:J,)</f>
        <v/>
      </c>
      <c r="AL23" s="54" t="str">
        <f>IFERROR(__xludf.DUMMYFUNCTION("if(AND(AM23=FALSE,AN23=FALSE),,if(AM23=AN23,JOIN("""",""Static: "",AM23),JOIN("""",""Min:  "",AM23, CHAR(10),""Max: "",AN23)))"),"")</f>
        <v/>
      </c>
      <c r="AM23" s="55" t="str">
        <f t="array" ref="AM23">_xlfn.XLOOKUP(B23,'Up Min'!A:A,'Up Min'!J:J,)</f>
        <v/>
      </c>
      <c r="AN23" s="55" t="str">
        <f t="array" ref="AN23">_xlfn.XLOOKUP(B23,'Up Max'!A:A,'Up Max'!J:J,)</f>
        <v/>
      </c>
      <c r="AO23" s="51" t="str">
        <f t="array" ref="AO23">CONCATENATE(_xlfn.XLOOKUP(B23,'Up Cells'!A:A,'Up Cells'!B:B,))</f>
        <v>4</v>
      </c>
      <c r="AP23" s="51" t="str">
        <f t="array" ref="AP23">CONCATENATE(_xlfn.XLOOKUP(B23,'Up Rarity'!A:A,'Up Rarity'!B:B,),CHAR(10),"-")</f>
        <v>Rare
-</v>
      </c>
    </row>
    <row r="24">
      <c r="A24" s="83" t="str">
        <f t="array" ref="A24">_xlfn.XLOOKUP(B24,'Up Icon'!A:A,'Up Icon'!B:B,)</f>
        <v/>
      </c>
      <c r="B24" s="66" t="str">
        <f t="array" ref="B24">HYPERLINK(_xlfn.XLOOKUP('Up Names'!O17,'Up Wiki'!A:A,'Up Wiki'!B:B,),'Up Names'!O17)</f>
        <v>Saxonite Coating</v>
      </c>
      <c r="C24" s="67" t="str">
        <f t="array" ref="C24">_xlfn.XLOOKUP(B24,'Up Desc'!A:A,'Up Desc'!B:B,)</f>
        <v>Grenades are thrown with more force and aren't affected by gravity.</v>
      </c>
      <c r="D24" s="37" t="str">
        <f t="array" ref="D24">_xlfn.XLOOKUP(B24,'Up Turbo'!A:A,'Up Turbo'!B:B,)</f>
        <v>n/a</v>
      </c>
      <c r="E24" s="39" t="str">
        <f t="array" ref="E24">_xlfn.XLOOKUP(B24,'Up Stats'!A:A,'Up Stats'!B:B,)</f>
        <v>Bullet Gravity</v>
      </c>
      <c r="F24" s="40" t="str">
        <f>IFERROR(__xludf.DUMMYFUNCTION("if(AND(G24=FALSE,H24=FALSE),,if(G24=H24,JOIN("""",""Static: "",G24),JOIN("""",""Min:  "",G24, CHAR(10),""Max: "",H24)))"),"Static: 0")</f>
        <v>Static: 0</v>
      </c>
      <c r="G24" s="69">
        <f t="array" ref="G24">_xlfn.XLOOKUP(B24,'Up Min'!A:A,'Up Min'!B:B,)</f>
        <v>0</v>
      </c>
      <c r="H24" s="68">
        <f t="array" ref="H24">_xlfn.XLOOKUP(B24,'Up Max'!A:A,'Up Max'!B:B,)</f>
        <v>0</v>
      </c>
      <c r="I24" s="39" t="str">
        <f t="array" ref="I24">_xlfn.XLOOKUP(B24,'Up Stats'!A:A,'Up Stats'!C:C,)</f>
        <v>Bullet Speed</v>
      </c>
      <c r="J24" s="40" t="str">
        <f>IFERROR(__xludf.DUMMYFUNCTION("if(AND(K24=FALSE,L24=FALSE),,if(K24=L24,JOIN("""",""Static: "",K24),JOIN("""",""Min:  "",K24, CHAR(10),""Max: "",L24)))"),"Min:  25%
Max: 36%")</f>
        <v>Min:  25%
Max: 36%</v>
      </c>
      <c r="K24" s="41">
        <f t="array" ref="K24">_xlfn.XLOOKUP(B24,'Up Min'!A:A,'Up Min'!C:C,)</f>
        <v>0.25</v>
      </c>
      <c r="L24" s="41">
        <f t="array" ref="L24">_xlfn.XLOOKUP(B24,'Up Max'!A:A,'Up Max'!C:C,)</f>
        <v>0.36</v>
      </c>
      <c r="M24" s="39" t="str">
        <f t="array" ref="M24">_xlfn.XLOOKUP(B24,'Up Stats'!A:A,'Up Stats'!D:D,)</f>
        <v/>
      </c>
      <c r="N24" s="40" t="str">
        <f>IFERROR(__xludf.DUMMYFUNCTION("if(AND(O24=FALSE,P24=FALSE),,if(O24=P24,JOIN("""",""Static: "",O24),JOIN("""",""Min:  "",O24, CHAR(10),""Max: "",P24)))"),"")</f>
        <v/>
      </c>
      <c r="O24" s="42" t="str">
        <f t="array" ref="O24">_xlfn.XLOOKUP(B24,'Up Min'!A:A,'Up Min'!D:D,)</f>
        <v/>
      </c>
      <c r="P24" s="42" t="str">
        <f t="array" ref="P24">_xlfn.XLOOKUP(B24,'Up Max'!A:A,'Up Max'!D:D,)</f>
        <v/>
      </c>
      <c r="Q24" s="48" t="str">
        <f t="array" ref="Q24">_xlfn.XLOOKUP(B24,'Up Stats'!A:A,'Up Stats'!E:E,)</f>
        <v/>
      </c>
      <c r="R24" s="40" t="str">
        <f>IFERROR(__xludf.DUMMYFUNCTION("if(AND(S24=FALSE,T24=FALSE),,if(S24=T24,JOIN("""",""Static: "",S24),JOIN("""",""Min:  "",S24, CHAR(10),""Max: "",T24)))"),"")</f>
        <v/>
      </c>
      <c r="S24" s="42" t="str">
        <f t="array" ref="S24">_xlfn.XLOOKUP(B24,'Up Min'!A:A,'Up Min'!E:E,)</f>
        <v/>
      </c>
      <c r="T24" s="42" t="str">
        <f t="array" ref="T24">_xlfn.XLOOKUP(B24,'Up Max'!A:A,'Up Max'!E:E,)</f>
        <v/>
      </c>
      <c r="U24" s="48" t="str">
        <f t="array" ref="U24">_xlfn.XLOOKUP(B24,'Up Stats'!A:A,'Up Stats'!F:F,)</f>
        <v/>
      </c>
      <c r="V24" s="40" t="str">
        <f>IFERROR(__xludf.DUMMYFUNCTION("if(AND(W24=FALSE,X24=FALSE),,if(W24=X24,JOIN("""",""Static: "",W24),JOIN("""",""Min:  "",W24, CHAR(10),""Max: "",X24)))"),"")</f>
        <v/>
      </c>
      <c r="W24" s="42" t="str">
        <f t="array" ref="W24">_xlfn.XLOOKUP(B24,'Up Min'!A:A,'Up Min'!F:F,)</f>
        <v/>
      </c>
      <c r="X24" s="42" t="str">
        <f t="array" ref="X24">_xlfn.XLOOKUP(B24,'Up Max'!A:A,'Up Max'!F:F,)</f>
        <v/>
      </c>
      <c r="Y24" s="48" t="str">
        <f t="array" ref="Y24">_xlfn.XLOOKUP(B24,'Up Stats'!A:A,'Up Stats'!G:G,)</f>
        <v/>
      </c>
      <c r="Z24" s="40" t="str">
        <f>IFERROR(__xludf.DUMMYFUNCTION("if(AND(AA24=FALSE,AB24=FALSE),,if(AA24=AB24,JOIN("""",""Static: "",AA24),JOIN("""",""Min:  "",AA24, CHAR(10),""Max: "",AB24)))"),"")</f>
        <v/>
      </c>
      <c r="AA24" s="42" t="str">
        <f t="array" ref="AA24">_xlfn.XLOOKUP(B24,'Up Min'!A:A,'Up Min'!G:G,)</f>
        <v/>
      </c>
      <c r="AB24" s="42" t="str">
        <f t="array" ref="AB24">_xlfn.XLOOKUP(B24,'Up Max'!A:A,'Up Max'!G:G,)</f>
        <v/>
      </c>
      <c r="AC24" s="48" t="str">
        <f t="array" ref="AC24">_xlfn.XLOOKUP(B24,'Up Stats'!A:A,'Up Stats'!H:H,)</f>
        <v/>
      </c>
      <c r="AD24" s="40" t="str">
        <f>IFERROR(__xludf.DUMMYFUNCTION("if(AND(AE24=FALSE,AF24=FALSE),,if(AE24=AF24,JOIN("""",""Static: "",AE24),JOIN("""",""Min:  "",AE24, CHAR(10),""Max: "",AF24)))"),"")</f>
        <v/>
      </c>
      <c r="AE24" s="42" t="str">
        <f t="array" ref="AE24">_xlfn.XLOOKUP(B24,'Up Min'!A:A,'Up Min'!H:H,)</f>
        <v/>
      </c>
      <c r="AF24" s="42" t="str">
        <f t="array" ref="AF24">_xlfn.XLOOKUP(B24,'Up Max'!A:A,'Up Max'!H:H,)</f>
        <v/>
      </c>
      <c r="AG24" s="48" t="str">
        <f t="array" ref="AG24">_xlfn.XLOOKUP(B24,'Up Stats'!A:A,'Up Stats'!I:I,)</f>
        <v/>
      </c>
      <c r="AH24" s="40" t="str">
        <f>IFERROR(__xludf.DUMMYFUNCTION("if(AND(AI24=FALSE,AJ24=FALSE),,if(AI24=AJ24,JOIN("""",""Static: "",AI24),JOIN("""",""Min:  "",AI24, CHAR(10),""Max: "",AJ24)))"),"")</f>
        <v/>
      </c>
      <c r="AI24" s="42" t="str">
        <f t="array" ref="AI24">_xlfn.XLOOKUP(B24,'Up Min'!A:A,'Up Min'!I:I,)</f>
        <v/>
      </c>
      <c r="AJ24" s="42" t="str">
        <f t="array" ref="AJ24">_xlfn.XLOOKUP(B24,'Up Max'!A:A,'Up Max'!I:I,)</f>
        <v/>
      </c>
      <c r="AK24" s="48" t="str">
        <f t="array" ref="AK24">_xlfn.XLOOKUP(B24,'Up Stats'!A:A,'Up Stats'!J:J,)</f>
        <v/>
      </c>
      <c r="AL24" s="40" t="str">
        <f>IFERROR(__xludf.DUMMYFUNCTION("if(AND(AM24=FALSE,AN24=FALSE),,if(AM24=AN24,JOIN("""",""Static: "",AM24),JOIN("""",""Min:  "",AM24, CHAR(10),""Max: "",AN24)))"),"")</f>
        <v/>
      </c>
      <c r="AM24" s="42" t="str">
        <f t="array" ref="AM24">_xlfn.XLOOKUP(B24,'Up Min'!A:A,'Up Min'!J:J,)</f>
        <v/>
      </c>
      <c r="AN24" s="42" t="str">
        <f t="array" ref="AN24">_xlfn.XLOOKUP(B24,'Up Max'!A:A,'Up Max'!J:J,)</f>
        <v/>
      </c>
      <c r="AO24" s="34" t="str">
        <f t="array" ref="AO24">CONCATENATE(_xlfn.XLOOKUP(B24,'Up Cells'!A:A,'Up Cells'!B:B,))</f>
        <v>4</v>
      </c>
      <c r="AP24" s="34" t="str">
        <f t="array" ref="AP24">CONCATENATE(_xlfn.XLOOKUP(B24,'Up Rarity'!A:A,'Up Rarity'!B:B,),CHAR(10),"-")</f>
        <v>Rare
-</v>
      </c>
    </row>
    <row r="25">
      <c r="A25" s="83" t="str">
        <f t="array" ref="A25">_xlfn.XLOOKUP(B25,'Up Icon'!A:A,'Up Icon'!B:B,)</f>
        <v/>
      </c>
      <c r="B25" s="63" t="str">
        <f t="array" ref="B25">HYPERLINK(_xlfn.XLOOKUP('Up Names'!O18,'Up Wiki'!A:A,'Up Wiki'!B:B,),'Up Names'!O18)</f>
        <v>Universal Solvent</v>
      </c>
      <c r="C25" s="70" t="str">
        <f t="array" ref="C25">_xlfn.XLOOKUP(B25,'Up Desc'!A:A,'Up Desc'!B:B,)</f>
        <v>Any outgoing damage matching this grenade's element is increased.</v>
      </c>
      <c r="D25" s="52" t="str">
        <f t="array" ref="D25">_xlfn.XLOOKUP(B25,'Up Turbo'!A:A,'Up Turbo'!B:B,)</f>
        <v>n/a</v>
      </c>
      <c r="E25" s="53" t="str">
        <f t="array" ref="E25">_xlfn.XLOOKUP(B25,'Up Stats'!A:A,'Up Stats'!B:B,)</f>
        <v>Damage</v>
      </c>
      <c r="F25" s="54" t="str">
        <f>IFERROR(__xludf.DUMMYFUNCTION("if(AND(G25=FALSE,H25=FALSE),,if(G25=H25,JOIN("""",""Static: "",G25),JOIN("""",""Min:  "",G25, CHAR(10),""Max: "",H25)))"),"Min:  8%
Max: 14.55%")</f>
        <v>Min:  8%
Max: 14.55%</v>
      </c>
      <c r="G25" s="59">
        <f t="array" ref="G25">_xlfn.XLOOKUP(B25,'Up Min'!A:A,'Up Min'!B:B,)</f>
        <v>0.08</v>
      </c>
      <c r="H25" s="71">
        <f t="array" ref="H25">_xlfn.XLOOKUP(B25,'Up Max'!A:A,'Up Max'!B:B,)</f>
        <v>0.1455</v>
      </c>
      <c r="I25" s="53" t="str">
        <f t="array" ref="I25">_xlfn.XLOOKUP(B25,'Up Stats'!A:A,'Up Stats'!C:C,)</f>
        <v/>
      </c>
      <c r="J25" s="54" t="str">
        <f>IFERROR(__xludf.DUMMYFUNCTION("if(AND(K25=FALSE,L25=FALSE),,if(K25=L25,JOIN("""",""Static: "",K25),JOIN("""",""Min:  "",K25, CHAR(10),""Max: "",L25)))"),"")</f>
        <v/>
      </c>
      <c r="K25" s="72" t="str">
        <f t="array" ref="K25">_xlfn.XLOOKUP(B25,'Up Min'!A:A,'Up Min'!C:C,)</f>
        <v/>
      </c>
      <c r="L25" s="72" t="str">
        <f t="array" ref="L25">_xlfn.XLOOKUP(B25,'Up Max'!A:A,'Up Max'!C:C,)</f>
        <v/>
      </c>
      <c r="M25" s="57" t="str">
        <f t="array" ref="M25">_xlfn.XLOOKUP(B25,'Up Stats'!A:A,'Up Stats'!D:D,)</f>
        <v/>
      </c>
      <c r="N25" s="54" t="str">
        <f>IFERROR(__xludf.DUMMYFUNCTION("if(AND(O25=FALSE,P25=FALSE),,if(O25=P25,JOIN("""",""Static: "",O25),JOIN("""",""Min:  "",O25, CHAR(10),""Max: "",P25)))"),"")</f>
        <v/>
      </c>
      <c r="O25" s="55" t="str">
        <f t="array" ref="O25">_xlfn.XLOOKUP(B25,'Up Min'!A:A,'Up Min'!D:D,)</f>
        <v/>
      </c>
      <c r="P25" s="55" t="str">
        <f t="array" ref="P25">_xlfn.XLOOKUP(B25,'Up Max'!A:A,'Up Max'!D:D,)</f>
        <v/>
      </c>
      <c r="Q25" s="57" t="str">
        <f t="array" ref="Q25">_xlfn.XLOOKUP(B25,'Up Stats'!A:A,'Up Stats'!E:E,)</f>
        <v/>
      </c>
      <c r="R25" s="54" t="str">
        <f>IFERROR(__xludf.DUMMYFUNCTION("if(AND(S25=FALSE,T25=FALSE),,if(S25=T25,JOIN("""",""Static: "",S25),JOIN("""",""Min:  "",S25, CHAR(10),""Max: "",T25)))"),"")</f>
        <v/>
      </c>
      <c r="S25" s="55" t="str">
        <f t="array" ref="S25">_xlfn.XLOOKUP(B25,'Up Min'!A:A,'Up Min'!E:E,)</f>
        <v/>
      </c>
      <c r="T25" s="55" t="str">
        <f t="array" ref="T25">_xlfn.XLOOKUP(B25,'Up Max'!A:A,'Up Max'!E:E,)</f>
        <v/>
      </c>
      <c r="U25" s="57" t="str">
        <f t="array" ref="U25">_xlfn.XLOOKUP(B25,'Up Stats'!A:A,'Up Stats'!F:F,)</f>
        <v/>
      </c>
      <c r="V25" s="54" t="str">
        <f>IFERROR(__xludf.DUMMYFUNCTION("if(AND(W25=FALSE,X25=FALSE),,if(W25=X25,JOIN("""",""Static: "",W25),JOIN("""",""Min:  "",W25, CHAR(10),""Max: "",X25)))"),"")</f>
        <v/>
      </c>
      <c r="W25" s="55" t="str">
        <f t="array" ref="W25">_xlfn.XLOOKUP(B25,'Up Min'!A:A,'Up Min'!F:F,)</f>
        <v/>
      </c>
      <c r="X25" s="55" t="str">
        <f t="array" ref="X25">_xlfn.XLOOKUP(B25,'Up Max'!A:A,'Up Max'!F:F,)</f>
        <v/>
      </c>
      <c r="Y25" s="57" t="str">
        <f t="array" ref="Y25">_xlfn.XLOOKUP(B25,'Up Stats'!A:A,'Up Stats'!G:G,)</f>
        <v/>
      </c>
      <c r="Z25" s="54" t="str">
        <f>IFERROR(__xludf.DUMMYFUNCTION("if(AND(AA25=FALSE,AB25=FALSE),,if(AA25=AB25,JOIN("""",""Static: "",AA25),JOIN("""",""Min:  "",AA25, CHAR(10),""Max: "",AB25)))"),"")</f>
        <v/>
      </c>
      <c r="AA25" s="55" t="str">
        <f t="array" ref="AA25">_xlfn.XLOOKUP(B25,'Up Min'!A:A,'Up Min'!G:G,)</f>
        <v/>
      </c>
      <c r="AB25" s="55" t="str">
        <f t="array" ref="AB25">_xlfn.XLOOKUP(B25,'Up Max'!A:A,'Up Max'!G:G,)</f>
        <v/>
      </c>
      <c r="AC25" s="57" t="str">
        <f t="array" ref="AC25">_xlfn.XLOOKUP(B25,'Up Stats'!A:A,'Up Stats'!H:H,)</f>
        <v/>
      </c>
      <c r="AD25" s="54" t="str">
        <f>IFERROR(__xludf.DUMMYFUNCTION("if(AND(AE25=FALSE,AF25=FALSE),,if(AE25=AF25,JOIN("""",""Static: "",AE25),JOIN("""",""Min:  "",AE25, CHAR(10),""Max: "",AF25)))"),"")</f>
        <v/>
      </c>
      <c r="AE25" s="55" t="str">
        <f t="array" ref="AE25">_xlfn.XLOOKUP(B25,'Up Min'!A:A,'Up Min'!H:H,)</f>
        <v/>
      </c>
      <c r="AF25" s="55" t="str">
        <f t="array" ref="AF25">_xlfn.XLOOKUP(B25,'Up Max'!A:A,'Up Max'!H:H,)</f>
        <v/>
      </c>
      <c r="AG25" s="57" t="str">
        <f t="array" ref="AG25">_xlfn.XLOOKUP(B25,'Up Stats'!A:A,'Up Stats'!I:I,)</f>
        <v/>
      </c>
      <c r="AH25" s="54" t="str">
        <f>IFERROR(__xludf.DUMMYFUNCTION("if(AND(AI25=FALSE,AJ25=FALSE),,if(AI25=AJ25,JOIN("""",""Static: "",AI25),JOIN("""",""Min:  "",AI25, CHAR(10),""Max: "",AJ25)))"),"")</f>
        <v/>
      </c>
      <c r="AI25" s="55" t="str">
        <f t="array" ref="AI25">_xlfn.XLOOKUP(B25,'Up Min'!A:A,'Up Min'!I:I,)</f>
        <v/>
      </c>
      <c r="AJ25" s="55" t="str">
        <f t="array" ref="AJ25">_xlfn.XLOOKUP(B25,'Up Max'!A:A,'Up Max'!I:I,)</f>
        <v/>
      </c>
      <c r="AK25" s="57" t="str">
        <f t="array" ref="AK25">_xlfn.XLOOKUP(B25,'Up Stats'!A:A,'Up Stats'!J:J,)</f>
        <v/>
      </c>
      <c r="AL25" s="54" t="str">
        <f>IFERROR(__xludf.DUMMYFUNCTION("if(AND(AM25=FALSE,AN25=FALSE),,if(AM25=AN25,JOIN("""",""Static: "",AM25),JOIN("""",""Min:  "",AM25, CHAR(10),""Max: "",AN25)))"),"")</f>
        <v/>
      </c>
      <c r="AM25" s="55" t="str">
        <f t="array" ref="AM25">_xlfn.XLOOKUP(B25,'Up Min'!A:A,'Up Min'!J:J,)</f>
        <v/>
      </c>
      <c r="AN25" s="55" t="str">
        <f t="array" ref="AN25">_xlfn.XLOOKUP(B25,'Up Max'!A:A,'Up Max'!J:J,)</f>
        <v/>
      </c>
      <c r="AO25" s="51" t="str">
        <f t="array" ref="AO25">CONCATENATE(_xlfn.XLOOKUP(B25,'Up Cells'!A:A,'Up Cells'!B:B,))</f>
        <v>5</v>
      </c>
      <c r="AP25" s="51" t="str">
        <f t="array" ref="AP25">CONCATENATE(_xlfn.XLOOKUP(B25,'Up Rarity'!A:A,'Up Rarity'!B:B,),CHAR(10),"-")</f>
        <v>Rare
-</v>
      </c>
    </row>
    <row r="26">
      <c r="A26" s="84" t="str">
        <f t="array" ref="A26">_xlfn.XLOOKUP(B26,'Up Icon'!A:A,'Up Icon'!B:B,)</f>
        <v/>
      </c>
      <c r="B26" s="66" t="str">
        <f t="array" ref="B26">HYPERLINK(_xlfn.XLOOKUP('Up Names'!O19,'Up Wiki'!A:A,'Up Wiki'!B:B,),'Up Names'!O19)</f>
        <v>Base Coating</v>
      </c>
      <c r="C26" s="37" t="str">
        <f t="array" ref="C26">_xlfn.XLOOKUP(B26,'Up Desc'!A:A,'Up Desc'!B:B,)</f>
        <v>Your grenade applies less of its element to you.</v>
      </c>
      <c r="D26" s="37" t="str">
        <f t="array" ref="D26">_xlfn.XLOOKUP(B26,'Up Turbo'!A:A,'Up Turbo'!B:B,)</f>
        <v>n/a</v>
      </c>
      <c r="E26" s="39" t="str">
        <f t="array" ref="E26">_xlfn.XLOOKUP(B26,'Up Stats'!A:A,'Up Stats'!B:B,)</f>
        <v>Self Damage</v>
      </c>
      <c r="F26" s="40" t="str">
        <f>IFERROR(__xludf.DUMMYFUNCTION("if(AND(G26=FALSE,H26=FALSE),,if(G26=H26,JOIN("""",""Static: "",G26),JOIN("""",""Min:  "",G26, CHAR(10),""Max: "",H26)))"),"Min:  -85%
Max: -60%")</f>
        <v>Min:  -85%
Max: -60%</v>
      </c>
      <c r="G26" s="41">
        <f t="array" ref="G26">_xlfn.XLOOKUP(B26,'Up Min'!A:A,'Up Min'!B:B,)</f>
        <v>-0.85</v>
      </c>
      <c r="H26" s="41">
        <f t="array" ref="H26">_xlfn.XLOOKUP(B26,'Up Max'!A:A,'Up Max'!B:B,)</f>
        <v>-0.6</v>
      </c>
      <c r="I26" s="39" t="str">
        <f t="array" ref="I26">_xlfn.XLOOKUP(B26,'Up Stats'!A:A,'Up Stats'!C:C,)</f>
        <v/>
      </c>
      <c r="J26" s="40" t="str">
        <f>IFERROR(__xludf.DUMMYFUNCTION("if(AND(K26=FALSE,L26=FALSE),,if(K26=L26,JOIN("""",""Static: "",K26),JOIN("""",""Min:  "",K26, CHAR(10),""Max: "",L26)))"),"")</f>
        <v/>
      </c>
      <c r="K26" s="74" t="str">
        <f t="array" ref="K26">_xlfn.XLOOKUP(B26,'Up Min'!A:A,'Up Min'!C:C,)</f>
        <v/>
      </c>
      <c r="L26" s="74" t="str">
        <f t="array" ref="L26">_xlfn.XLOOKUP(B26,'Up Max'!A:A,'Up Max'!C:C,)</f>
        <v/>
      </c>
      <c r="M26" s="48" t="str">
        <f t="array" ref="M26">_xlfn.XLOOKUP(B26,'Up Stats'!A:A,'Up Stats'!D:D,)</f>
        <v/>
      </c>
      <c r="N26" s="40" t="str">
        <f>IFERROR(__xludf.DUMMYFUNCTION("if(AND(O26=FALSE,P26=FALSE),,if(O26=P26,JOIN("""",""Static: "",O26),JOIN("""",""Min:  "",O26, CHAR(10),""Max: "",P26)))"),"")</f>
        <v/>
      </c>
      <c r="O26" s="42" t="str">
        <f t="array" ref="O26">_xlfn.XLOOKUP(B26,'Up Min'!A:A,'Up Min'!D:D,)</f>
        <v/>
      </c>
      <c r="P26" s="42" t="str">
        <f t="array" ref="P26">_xlfn.XLOOKUP(B26,'Up Max'!A:A,'Up Max'!D:D,)</f>
        <v/>
      </c>
      <c r="Q26" s="48" t="str">
        <f t="array" ref="Q26">_xlfn.XLOOKUP(B26,'Up Stats'!A:A,'Up Stats'!E:E,)</f>
        <v/>
      </c>
      <c r="R26" s="40" t="str">
        <f>IFERROR(__xludf.DUMMYFUNCTION("if(AND(S26=FALSE,T26=FALSE),,if(S26=T26,JOIN("""",""Static: "",S26),JOIN("""",""Min:  "",S26, CHAR(10),""Max: "",T26)))"),"")</f>
        <v/>
      </c>
      <c r="S26" s="42" t="str">
        <f t="array" ref="S26">_xlfn.XLOOKUP(B26,'Up Min'!A:A,'Up Min'!E:E,)</f>
        <v/>
      </c>
      <c r="T26" s="42" t="str">
        <f t="array" ref="T26">_xlfn.XLOOKUP(B26,'Up Max'!A:A,'Up Max'!E:E,)</f>
        <v/>
      </c>
      <c r="U26" s="48" t="str">
        <f t="array" ref="U26">_xlfn.XLOOKUP(B26,'Up Stats'!A:A,'Up Stats'!F:F,)</f>
        <v/>
      </c>
      <c r="V26" s="40" t="str">
        <f>IFERROR(__xludf.DUMMYFUNCTION("if(AND(W26=FALSE,X26=FALSE),,if(W26=X26,JOIN("""",""Static: "",W26),JOIN("""",""Min:  "",W26, CHAR(10),""Max: "",X26)))"),"")</f>
        <v/>
      </c>
      <c r="W26" s="42" t="str">
        <f t="array" ref="W26">_xlfn.XLOOKUP(B26,'Up Min'!A:A,'Up Min'!F:F,)</f>
        <v/>
      </c>
      <c r="X26" s="42" t="str">
        <f t="array" ref="X26">_xlfn.XLOOKUP(B26,'Up Max'!A:A,'Up Max'!F:F,)</f>
        <v/>
      </c>
      <c r="Y26" s="48" t="str">
        <f t="array" ref="Y26">_xlfn.XLOOKUP(B26,'Up Stats'!A:A,'Up Stats'!G:G,)</f>
        <v/>
      </c>
      <c r="Z26" s="40" t="str">
        <f>IFERROR(__xludf.DUMMYFUNCTION("if(AND(AA26=FALSE,AB26=FALSE),,if(AA26=AB26,JOIN("""",""Static: "",AA26),JOIN("""",""Min:  "",AA26, CHAR(10),""Max: "",AB26)))"),"")</f>
        <v/>
      </c>
      <c r="AA26" s="42" t="str">
        <f t="array" ref="AA26">_xlfn.XLOOKUP(B26,'Up Min'!A:A,'Up Min'!G:G,)</f>
        <v/>
      </c>
      <c r="AB26" s="42" t="str">
        <f t="array" ref="AB26">_xlfn.XLOOKUP(B26,'Up Max'!A:A,'Up Max'!G:G,)</f>
        <v/>
      </c>
      <c r="AC26" s="48" t="str">
        <f t="array" ref="AC26">_xlfn.XLOOKUP(B26,'Up Stats'!A:A,'Up Stats'!H:H,)</f>
        <v/>
      </c>
      <c r="AD26" s="40" t="str">
        <f>IFERROR(__xludf.DUMMYFUNCTION("if(AND(AE26=FALSE,AF26=FALSE),,if(AE26=AF26,JOIN("""",""Static: "",AE26),JOIN("""",""Min:  "",AE26, CHAR(10),""Max: "",AF26)))"),"")</f>
        <v/>
      </c>
      <c r="AE26" s="42" t="str">
        <f t="array" ref="AE26">_xlfn.XLOOKUP(B26,'Up Min'!A:A,'Up Min'!H:H,)</f>
        <v/>
      </c>
      <c r="AF26" s="42" t="str">
        <f t="array" ref="AF26">_xlfn.XLOOKUP(B26,'Up Max'!A:A,'Up Max'!H:H,)</f>
        <v/>
      </c>
      <c r="AG26" s="48" t="str">
        <f t="array" ref="AG26">_xlfn.XLOOKUP(B26,'Up Stats'!A:A,'Up Stats'!I:I,)</f>
        <v/>
      </c>
      <c r="AH26" s="40" t="str">
        <f>IFERROR(__xludf.DUMMYFUNCTION("if(AND(AI26=FALSE,AJ26=FALSE),,if(AI26=AJ26,JOIN("""",""Static: "",AI26),JOIN("""",""Min:  "",AI26, CHAR(10),""Max: "",AJ26)))"),"")</f>
        <v/>
      </c>
      <c r="AI26" s="42" t="str">
        <f t="array" ref="AI26">_xlfn.XLOOKUP(B26,'Up Min'!A:A,'Up Min'!I:I,)</f>
        <v/>
      </c>
      <c r="AJ26" s="42" t="str">
        <f t="array" ref="AJ26">_xlfn.XLOOKUP(B26,'Up Max'!A:A,'Up Max'!I:I,)</f>
        <v/>
      </c>
      <c r="AK26" s="48" t="str">
        <f t="array" ref="AK26">_xlfn.XLOOKUP(B26,'Up Stats'!A:A,'Up Stats'!J:J,)</f>
        <v/>
      </c>
      <c r="AL26" s="40" t="str">
        <f>IFERROR(__xludf.DUMMYFUNCTION("if(AND(AM26=FALSE,AN26=FALSE),,if(AM26=AN26,JOIN("""",""Static: "",AM26),JOIN("""",""Min:  "",AM26, CHAR(10),""Max: "",AN26)))"),"")</f>
        <v/>
      </c>
      <c r="AM26" s="42" t="str">
        <f t="array" ref="AM26">_xlfn.XLOOKUP(B26,'Up Min'!A:A,'Up Min'!J:J,)</f>
        <v/>
      </c>
      <c r="AN26" s="42" t="str">
        <f t="array" ref="AN26">_xlfn.XLOOKUP(B26,'Up Max'!A:A,'Up Max'!J:J,)</f>
        <v/>
      </c>
      <c r="AO26" s="34" t="str">
        <f t="array" ref="AO26">CONCATENATE(_xlfn.XLOOKUP(B26,'Up Cells'!A:A,'Up Cells'!B:B,))</f>
        <v>3</v>
      </c>
      <c r="AP26" s="34" t="str">
        <f t="array" ref="AP26">CONCATENATE(_xlfn.XLOOKUP(B26,'Up Rarity'!A:A,'Up Rarity'!B:B,),CHAR(10),"-")</f>
        <v>Standard
-</v>
      </c>
    </row>
    <row r="27">
      <c r="A27" s="84" t="str">
        <f t="array" ref="A27">_xlfn.XLOOKUP(B27,'Up Icon'!A:A,'Up Icon'!B:B,)</f>
        <v/>
      </c>
      <c r="B27" s="63" t="str">
        <f t="array" ref="B27">HYPERLINK(_xlfn.XLOOKUP('Up Names'!O20,'Up Wiki'!A:A,'Up Wiki'!B:B,),'Up Names'!O20)</f>
        <v>Cooling System</v>
      </c>
      <c r="C27" s="52" t="str">
        <f t="array" ref="C27">_xlfn.XLOOKUP(B27,'Up Desc'!A:A,'Up Desc'!B:B,)</f>
        <v>Cooldown is reduced.</v>
      </c>
      <c r="D27" s="52" t="str">
        <f t="array" ref="D27">_xlfn.XLOOKUP(B27,'Up Turbo'!A:A,'Up Turbo'!B:B,)</f>
        <v>n/a</v>
      </c>
      <c r="E27" s="53" t="str">
        <f t="array" ref="E27">_xlfn.XLOOKUP(B27,'Up Stats'!A:A,'Up Stats'!B:B,)</f>
        <v>Recharge Speed</v>
      </c>
      <c r="F27" s="54" t="str">
        <f>IFERROR(__xludf.DUMMYFUNCTION("if(AND(G27=FALSE,H27=FALSE),,if(G27=H27,JOIN("""",""Static: "",G27),JOIN("""",""Min:  "",G27, CHAR(10),""Max: "",H27)))"),"Min:  14.94%
Max: 7.53%")</f>
        <v>Min:  14.94%
Max: 7.53%</v>
      </c>
      <c r="G27" s="71">
        <f t="array" ref="G27">_xlfn.XLOOKUP(B27,'Up Min'!A:A,'Up Min'!B:B,)</f>
        <v>0.1494</v>
      </c>
      <c r="H27" s="71">
        <f t="array" ref="H27">_xlfn.XLOOKUP(B27,'Up Max'!A:A,'Up Max'!B:B,)</f>
        <v>0.0753</v>
      </c>
      <c r="I27" s="53" t="str">
        <f t="array" ref="I27">_xlfn.XLOOKUP(B27,'Up Stats'!A:A,'Up Stats'!C:C,)</f>
        <v/>
      </c>
      <c r="J27" s="54" t="str">
        <f>IFERROR(__xludf.DUMMYFUNCTION("if(AND(K27=FALSE,L27=FALSE),,if(K27=L27,JOIN("""",""Static: "",K27),JOIN("""",""Min:  "",K27, CHAR(10),""Max: "",L27)))"),"")</f>
        <v/>
      </c>
      <c r="K27" s="72" t="str">
        <f t="array" ref="K27">_xlfn.XLOOKUP(B27,'Up Min'!A:A,'Up Min'!C:C,)</f>
        <v/>
      </c>
      <c r="L27" s="72" t="str">
        <f t="array" ref="L27">_xlfn.XLOOKUP(B27,'Up Max'!A:A,'Up Max'!C:C,)</f>
        <v/>
      </c>
      <c r="M27" s="57" t="str">
        <f t="array" ref="M27">_xlfn.XLOOKUP(B27,'Up Stats'!A:A,'Up Stats'!D:D,)</f>
        <v/>
      </c>
      <c r="N27" s="54" t="str">
        <f>IFERROR(__xludf.DUMMYFUNCTION("if(AND(O27=FALSE,P27=FALSE),,if(O27=P27,JOIN("""",""Static: "",O27),JOIN("""",""Min:  "",O27, CHAR(10),""Max: "",P27)))"),"")</f>
        <v/>
      </c>
      <c r="O27" s="55" t="str">
        <f t="array" ref="O27">_xlfn.XLOOKUP(B27,'Up Min'!A:A,'Up Min'!D:D,)</f>
        <v/>
      </c>
      <c r="P27" s="55" t="str">
        <f t="array" ref="P27">_xlfn.XLOOKUP(B27,'Up Max'!A:A,'Up Max'!D:D,)</f>
        <v/>
      </c>
      <c r="Q27" s="57" t="str">
        <f t="array" ref="Q27">_xlfn.XLOOKUP(B27,'Up Stats'!A:A,'Up Stats'!E:E,)</f>
        <v/>
      </c>
      <c r="R27" s="54" t="str">
        <f>IFERROR(__xludf.DUMMYFUNCTION("if(AND(S27=FALSE,T27=FALSE),,if(S27=T27,JOIN("""",""Static: "",S27),JOIN("""",""Min:  "",S27, CHAR(10),""Max: "",T27)))"),"")</f>
        <v/>
      </c>
      <c r="S27" s="55" t="str">
        <f t="array" ref="S27">_xlfn.XLOOKUP(B27,'Up Min'!A:A,'Up Min'!E:E,)</f>
        <v/>
      </c>
      <c r="T27" s="55" t="str">
        <f t="array" ref="T27">_xlfn.XLOOKUP(B27,'Up Max'!A:A,'Up Max'!E:E,)</f>
        <v/>
      </c>
      <c r="U27" s="57" t="str">
        <f t="array" ref="U27">_xlfn.XLOOKUP(B27,'Up Stats'!A:A,'Up Stats'!F:F,)</f>
        <v/>
      </c>
      <c r="V27" s="54" t="str">
        <f>IFERROR(__xludf.DUMMYFUNCTION("if(AND(W27=FALSE,X27=FALSE),,if(W27=X27,JOIN("""",""Static: "",W27),JOIN("""",""Min:  "",W27, CHAR(10),""Max: "",X27)))"),"")</f>
        <v/>
      </c>
      <c r="W27" s="55" t="str">
        <f t="array" ref="W27">_xlfn.XLOOKUP(B27,'Up Min'!A:A,'Up Min'!F:F,)</f>
        <v/>
      </c>
      <c r="X27" s="55" t="str">
        <f t="array" ref="X27">_xlfn.XLOOKUP(B27,'Up Max'!A:A,'Up Max'!F:F,)</f>
        <v/>
      </c>
      <c r="Y27" s="57" t="str">
        <f t="array" ref="Y27">_xlfn.XLOOKUP(B27,'Up Stats'!A:A,'Up Stats'!G:G,)</f>
        <v/>
      </c>
      <c r="Z27" s="54" t="str">
        <f>IFERROR(__xludf.DUMMYFUNCTION("if(AND(AA27=FALSE,AB27=FALSE),,if(AA27=AB27,JOIN("""",""Static: "",AA27),JOIN("""",""Min:  "",AA27, CHAR(10),""Max: "",AB27)))"),"")</f>
        <v/>
      </c>
      <c r="AA27" s="55" t="str">
        <f t="array" ref="AA27">_xlfn.XLOOKUP(B27,'Up Min'!A:A,'Up Min'!G:G,)</f>
        <v/>
      </c>
      <c r="AB27" s="55" t="str">
        <f t="array" ref="AB27">_xlfn.XLOOKUP(B27,'Up Max'!A:A,'Up Max'!G:G,)</f>
        <v/>
      </c>
      <c r="AC27" s="57" t="str">
        <f t="array" ref="AC27">_xlfn.XLOOKUP(B27,'Up Stats'!A:A,'Up Stats'!H:H,)</f>
        <v/>
      </c>
      <c r="AD27" s="54" t="str">
        <f>IFERROR(__xludf.DUMMYFUNCTION("if(AND(AE27=FALSE,AF27=FALSE),,if(AE27=AF27,JOIN("""",""Static: "",AE27),JOIN("""",""Min:  "",AE27, CHAR(10),""Max: "",AF27)))"),"")</f>
        <v/>
      </c>
      <c r="AE27" s="55" t="str">
        <f t="array" ref="AE27">_xlfn.XLOOKUP(B27,'Up Min'!A:A,'Up Min'!H:H,)</f>
        <v/>
      </c>
      <c r="AF27" s="55" t="str">
        <f t="array" ref="AF27">_xlfn.XLOOKUP(B27,'Up Max'!A:A,'Up Max'!H:H,)</f>
        <v/>
      </c>
      <c r="AG27" s="57" t="str">
        <f t="array" ref="AG27">_xlfn.XLOOKUP(B27,'Up Stats'!A:A,'Up Stats'!I:I,)</f>
        <v/>
      </c>
      <c r="AH27" s="54" t="str">
        <f>IFERROR(__xludf.DUMMYFUNCTION("if(AND(AI27=FALSE,AJ27=FALSE),,if(AI27=AJ27,JOIN("""",""Static: "",AI27),JOIN("""",""Min:  "",AI27, CHAR(10),""Max: "",AJ27)))"),"")</f>
        <v/>
      </c>
      <c r="AI27" s="55" t="str">
        <f t="array" ref="AI27">_xlfn.XLOOKUP(B27,'Up Min'!A:A,'Up Min'!I:I,)</f>
        <v/>
      </c>
      <c r="AJ27" s="55" t="str">
        <f t="array" ref="AJ27">_xlfn.XLOOKUP(B27,'Up Max'!A:A,'Up Max'!I:I,)</f>
        <v/>
      </c>
      <c r="AK27" s="57" t="str">
        <f t="array" ref="AK27">_xlfn.XLOOKUP(B27,'Up Stats'!A:A,'Up Stats'!J:J,)</f>
        <v/>
      </c>
      <c r="AL27" s="54" t="str">
        <f>IFERROR(__xludf.DUMMYFUNCTION("if(AND(AM27=FALSE,AN27=FALSE),,if(AM27=AN27,JOIN("""",""Static: "",AM27),JOIN("""",""Min:  "",AM27, CHAR(10),""Max: "",AN27)))"),"")</f>
        <v/>
      </c>
      <c r="AM27" s="55" t="str">
        <f t="array" ref="AM27">_xlfn.XLOOKUP(B27,'Up Min'!A:A,'Up Min'!J:J,)</f>
        <v/>
      </c>
      <c r="AN27" s="55" t="str">
        <f t="array" ref="AN27">_xlfn.XLOOKUP(B27,'Up Max'!A:A,'Up Max'!J:J,)</f>
        <v/>
      </c>
      <c r="AO27" s="51" t="str">
        <f t="array" ref="AO27">CONCATENATE(_xlfn.XLOOKUP(B27,'Up Cells'!A:A,'Up Cells'!B:B,))</f>
        <v>5</v>
      </c>
      <c r="AP27" s="51" t="str">
        <f t="array" ref="AP27">CONCATENATE(_xlfn.XLOOKUP(B27,'Up Rarity'!A:A,'Up Rarity'!B:B,),CHAR(10),"-")</f>
        <v>Standard
-</v>
      </c>
    </row>
    <row r="28">
      <c r="A28" s="84" t="str">
        <f t="array" ref="A28">_xlfn.XLOOKUP(B28,'Up Icon'!A:A,'Up Icon'!B:B,)</f>
        <v/>
      </c>
      <c r="B28" s="66" t="str">
        <f t="array" ref="B28">HYPERLINK(_xlfn.XLOOKUP('Up Names'!O21,'Up Wiki'!A:A,'Up Wiki'!B:B,),'Up Names'!O21)</f>
        <v>Overcharge</v>
      </c>
      <c r="C28" s="37" t="str">
        <f t="array" ref="C28">_xlfn.XLOOKUP(B28,'Up Desc'!A:A,'Up Desc'!B:B,)</f>
        <v>Explosion size is increased, but so is cooldown.</v>
      </c>
      <c r="D28" s="37" t="str">
        <f t="array" ref="D28">_xlfn.XLOOKUP(B28,'Up Turbo'!A:A,'Up Turbo'!B:B,)</f>
        <v>n/a</v>
      </c>
      <c r="E28" s="39" t="str">
        <f t="array" ref="E28">_xlfn.XLOOKUP(B28,'Up Stats'!A:A,'Up Stats'!B:B,)</f>
        <v>Explosion Size</v>
      </c>
      <c r="F28" s="40" t="str">
        <f>IFERROR(__xludf.DUMMYFUNCTION("if(AND(G28=FALSE,H28=FALSE),,if(G28=H28,JOIN("""",""Static: "",G28),JOIN("""",""Min:  "",G28, CHAR(10),""Max: "",H28)))"),"Min:  10%
Max: 25%")</f>
        <v>Min:  10%
Max: 25%</v>
      </c>
      <c r="G28" s="41">
        <f t="array" ref="G28">_xlfn.XLOOKUP(B28,'Up Min'!A:A,'Up Min'!B:B,)</f>
        <v>0.1</v>
      </c>
      <c r="H28" s="41">
        <f t="array" ref="H28">_xlfn.XLOOKUP(B28,'Up Max'!A:A,'Up Max'!B:B,)</f>
        <v>0.25</v>
      </c>
      <c r="I28" s="39" t="str">
        <f t="array" ref="I28">_xlfn.XLOOKUP(B28,'Up Stats'!A:A,'Up Stats'!C:C,)</f>
        <v>Recharge Speed</v>
      </c>
      <c r="J28" s="40" t="str">
        <f>IFERROR(__xludf.DUMMYFUNCTION("if(AND(K28=FALSE,L28=FALSE),,if(K28=L28,JOIN("""",""Static: "",K28),JOIN("""",""Min:  "",K28, CHAR(10),""Max: "",L28)))"),"Min:  -9.09%
Max: -20%")</f>
        <v>Min:  -9.09%
Max: -20%</v>
      </c>
      <c r="K28" s="78">
        <f t="array" ref="K28">_xlfn.XLOOKUP(B28,'Up Min'!A:A,'Up Min'!C:C,)</f>
        <v>-0.0909</v>
      </c>
      <c r="L28" s="41">
        <f t="array" ref="L28">_xlfn.XLOOKUP(B28,'Up Max'!A:A,'Up Max'!C:C,)</f>
        <v>-0.2</v>
      </c>
      <c r="M28" s="39" t="str">
        <f t="array" ref="M28">_xlfn.XLOOKUP(B28,'Up Stats'!A:A,'Up Stats'!D:D,)</f>
        <v/>
      </c>
      <c r="N28" s="40" t="str">
        <f>IFERROR(__xludf.DUMMYFUNCTION("if(AND(O28=FALSE,P28=FALSE),,if(O28=P28,JOIN("""",""Static: "",O28),JOIN("""",""Min:  "",O28, CHAR(10),""Max: "",P28)))"),"")</f>
        <v/>
      </c>
      <c r="O28" s="42" t="str">
        <f t="array" ref="O28">_xlfn.XLOOKUP(B28,'Up Min'!A:A,'Up Min'!D:D,)</f>
        <v/>
      </c>
      <c r="P28" s="42" t="str">
        <f t="array" ref="P28">_xlfn.XLOOKUP(B28,'Up Max'!A:A,'Up Max'!D:D,)</f>
        <v/>
      </c>
      <c r="Q28" s="48" t="str">
        <f t="array" ref="Q28">_xlfn.XLOOKUP(B28,'Up Stats'!A:A,'Up Stats'!E:E,)</f>
        <v/>
      </c>
      <c r="R28" s="40" t="str">
        <f>IFERROR(__xludf.DUMMYFUNCTION("if(AND(S28=FALSE,T28=FALSE),,if(S28=T28,JOIN("""",""Static: "",S28),JOIN("""",""Min:  "",S28, CHAR(10),""Max: "",T28)))"),"")</f>
        <v/>
      </c>
      <c r="S28" s="42" t="str">
        <f t="array" ref="S28">_xlfn.XLOOKUP(B28,'Up Min'!A:A,'Up Min'!E:E,)</f>
        <v/>
      </c>
      <c r="T28" s="42" t="str">
        <f t="array" ref="T28">_xlfn.XLOOKUP(B28,'Up Max'!A:A,'Up Max'!E:E,)</f>
        <v/>
      </c>
      <c r="U28" s="48" t="str">
        <f t="array" ref="U28">_xlfn.XLOOKUP(B28,'Up Stats'!A:A,'Up Stats'!F:F,)</f>
        <v/>
      </c>
      <c r="V28" s="40" t="str">
        <f>IFERROR(__xludf.DUMMYFUNCTION("if(AND(W28=FALSE,X28=FALSE),,if(W28=X28,JOIN("""",""Static: "",W28),JOIN("""",""Min:  "",W28, CHAR(10),""Max: "",X28)))"),"")</f>
        <v/>
      </c>
      <c r="W28" s="42" t="str">
        <f t="array" ref="W28">_xlfn.XLOOKUP(B28,'Up Min'!A:A,'Up Min'!F:F,)</f>
        <v/>
      </c>
      <c r="X28" s="42" t="str">
        <f t="array" ref="X28">_xlfn.XLOOKUP(B28,'Up Max'!A:A,'Up Max'!F:F,)</f>
        <v/>
      </c>
      <c r="Y28" s="48" t="str">
        <f t="array" ref="Y28">_xlfn.XLOOKUP(B28,'Up Stats'!A:A,'Up Stats'!G:G,)</f>
        <v/>
      </c>
      <c r="Z28" s="40" t="str">
        <f>IFERROR(__xludf.DUMMYFUNCTION("if(AND(AA28=FALSE,AB28=FALSE),,if(AA28=AB28,JOIN("""",""Static: "",AA28),JOIN("""",""Min:  "",AA28, CHAR(10),""Max: "",AB28)))"),"")</f>
        <v/>
      </c>
      <c r="AA28" s="42" t="str">
        <f t="array" ref="AA28">_xlfn.XLOOKUP(B28,'Up Min'!A:A,'Up Min'!G:G,)</f>
        <v/>
      </c>
      <c r="AB28" s="42" t="str">
        <f t="array" ref="AB28">_xlfn.XLOOKUP(B28,'Up Max'!A:A,'Up Max'!G:G,)</f>
        <v/>
      </c>
      <c r="AC28" s="48" t="str">
        <f t="array" ref="AC28">_xlfn.XLOOKUP(B28,'Up Stats'!A:A,'Up Stats'!H:H,)</f>
        <v/>
      </c>
      <c r="AD28" s="40" t="str">
        <f>IFERROR(__xludf.DUMMYFUNCTION("if(AND(AE28=FALSE,AF28=FALSE),,if(AE28=AF28,JOIN("""",""Static: "",AE28),JOIN("""",""Min:  "",AE28, CHAR(10),""Max: "",AF28)))"),"")</f>
        <v/>
      </c>
      <c r="AE28" s="42" t="str">
        <f t="array" ref="AE28">_xlfn.XLOOKUP(B28,'Up Min'!A:A,'Up Min'!H:H,)</f>
        <v/>
      </c>
      <c r="AF28" s="42" t="str">
        <f t="array" ref="AF28">_xlfn.XLOOKUP(B28,'Up Max'!A:A,'Up Max'!H:H,)</f>
        <v/>
      </c>
      <c r="AG28" s="48" t="str">
        <f t="array" ref="AG28">_xlfn.XLOOKUP(B28,'Up Stats'!A:A,'Up Stats'!I:I,)</f>
        <v/>
      </c>
      <c r="AH28" s="40" t="str">
        <f>IFERROR(__xludf.DUMMYFUNCTION("if(AND(AI28=FALSE,AJ28=FALSE),,if(AI28=AJ28,JOIN("""",""Static: "",AI28),JOIN("""",""Min:  "",AI28, CHAR(10),""Max: "",AJ28)))"),"")</f>
        <v/>
      </c>
      <c r="AI28" s="42" t="str">
        <f t="array" ref="AI28">_xlfn.XLOOKUP(B28,'Up Min'!A:A,'Up Min'!I:I,)</f>
        <v/>
      </c>
      <c r="AJ28" s="42" t="str">
        <f t="array" ref="AJ28">_xlfn.XLOOKUP(B28,'Up Max'!A:A,'Up Max'!I:I,)</f>
        <v/>
      </c>
      <c r="AK28" s="48" t="str">
        <f t="array" ref="AK28">_xlfn.XLOOKUP(B28,'Up Stats'!A:A,'Up Stats'!J:J,)</f>
        <v/>
      </c>
      <c r="AL28" s="40" t="str">
        <f>IFERROR(__xludf.DUMMYFUNCTION("if(AND(AM28=FALSE,AN28=FALSE),,if(AM28=AN28,JOIN("""",""Static: "",AM28),JOIN("""",""Min:  "",AM28, CHAR(10),""Max: "",AN28)))"),"")</f>
        <v/>
      </c>
      <c r="AM28" s="42" t="str">
        <f t="array" ref="AM28">_xlfn.XLOOKUP(B28,'Up Min'!A:A,'Up Min'!J:J,)</f>
        <v/>
      </c>
      <c r="AN28" s="42" t="str">
        <f t="array" ref="AN28">_xlfn.XLOOKUP(B28,'Up Max'!A:A,'Up Max'!J:J,)</f>
        <v/>
      </c>
      <c r="AO28" s="34" t="str">
        <f t="array" ref="AO28">CONCATENATE(_xlfn.XLOOKUP(B28,'Up Cells'!A:A,'Up Cells'!B:B,))</f>
        <v>5</v>
      </c>
      <c r="AP28" s="34" t="str">
        <f t="array" ref="AP28">CONCATENATE(_xlfn.XLOOKUP(B28,'Up Rarity'!A:A,'Up Rarity'!B:B,),CHAR(10),"-")</f>
        <v>Standard
-</v>
      </c>
    </row>
    <row r="29">
      <c r="A29" s="86" t="str">
        <f t="array" ref="A29">_xlfn.XLOOKUP(B29,'Up Icon'!A:A,'Up Icon'!B:B,)</f>
        <v/>
      </c>
      <c r="B29" s="51" t="str">
        <f t="array" ref="B29">HYPERLINK(_xlfn.XLOOKUP('Up Names'!O29,'Up Wiki'!A:A,'Up Wiki'!B:B,),'Up Names'!O29)</f>
        <v/>
      </c>
      <c r="C29" s="52" t="str">
        <f t="array" ref="C29">_xlfn.XLOOKUP(B29,'Up Desc'!A:A,'Up Desc'!B:B,)</f>
        <v/>
      </c>
      <c r="D29" s="52" t="str">
        <f t="array" ref="D29">_xlfn.XLOOKUP(B29,'Up Turbo'!A:A,'Up Turbo'!B:B,)</f>
        <v/>
      </c>
      <c r="E29" s="53" t="str">
        <f t="array" ref="E29">_xlfn.XLOOKUP(B29,'Up Stats'!A:A,'Up Stats'!B:B,)</f>
        <v/>
      </c>
      <c r="F29" s="54" t="str">
        <f>IFERROR(__xludf.DUMMYFUNCTION("if(AND(G29=FALSE,H29=FALSE),,if(G29=H29,JOIN("""",""Static: "",G29),JOIN("""",""Min:  "",G29, CHAR(10),""Max: "",H29)))"),"")</f>
        <v/>
      </c>
      <c r="G29" s="55" t="str">
        <f t="array" ref="G29">_xlfn.XLOOKUP(B29,'Up Min'!A:A,'Up Min'!B:B,)</f>
        <v/>
      </c>
      <c r="H29" s="56" t="str">
        <f t="array" ref="H29">_xlfn.XLOOKUP(B29,'Up Max'!A:A,'Up Max'!B:B,)</f>
        <v/>
      </c>
      <c r="I29" s="53" t="str">
        <f t="array" ref="I29">_xlfn.XLOOKUP(B29,'Up Stats'!A:A,'Up Stats'!C:C,)</f>
        <v/>
      </c>
      <c r="J29" s="54" t="str">
        <f>IFERROR(__xludf.DUMMYFUNCTION("if(AND(K29=FALSE,L29=FALSE),,if(K29=L29,JOIN("""",""Static: "",K29),JOIN("""",""Min:  "",K29, CHAR(10),""Max: "",L29)))"),"")</f>
        <v/>
      </c>
      <c r="K29" s="55" t="str">
        <f t="array" ref="K29">_xlfn.XLOOKUP(B29,'Up Min'!A:A,'Up Min'!C:C,)</f>
        <v/>
      </c>
      <c r="L29" s="55" t="str">
        <f t="array" ref="L29">_xlfn.XLOOKUP(B29,'Up Max'!A:A,'Up Max'!C:C,)</f>
        <v/>
      </c>
      <c r="M29" s="53" t="str">
        <f t="array" ref="M29">_xlfn.XLOOKUP(B29,'Up Stats'!A:A,'Up Stats'!D:D,)</f>
        <v/>
      </c>
      <c r="N29" s="54" t="str">
        <f>IFERROR(__xludf.DUMMYFUNCTION("if(AND(O29=FALSE,P29=FALSE),,if(O29=P29,JOIN("""",""Static: "",O29),JOIN("""",""Min:  "",O29, CHAR(10),""Max: "",P29)))"),"")</f>
        <v/>
      </c>
      <c r="O29" s="55" t="str">
        <f t="array" ref="O29">_xlfn.XLOOKUP(B29,'Up Min'!A:A,'Up Min'!D:D,)</f>
        <v/>
      </c>
      <c r="P29" s="55" t="str">
        <f t="array" ref="P29">_xlfn.XLOOKUP(B29,'Up Max'!A:A,'Up Max'!D:D,)</f>
        <v/>
      </c>
      <c r="Q29" s="57" t="str">
        <f t="array" ref="Q29">_xlfn.XLOOKUP(B29,'Up Stats'!A:A,'Up Stats'!E:E,)</f>
        <v/>
      </c>
      <c r="R29" s="54" t="str">
        <f>IFERROR(__xludf.DUMMYFUNCTION("if(AND(S29=FALSE,T29=FALSE),,if(S29=T29,JOIN("""",""Static: "",S29),JOIN("""",""Min:  "",S29, CHAR(10),""Max: "",T29)))"),"")</f>
        <v/>
      </c>
      <c r="S29" s="55" t="str">
        <f t="array" ref="S29">_xlfn.XLOOKUP(B29,'Up Min'!A:A,'Up Min'!E:E,)</f>
        <v/>
      </c>
      <c r="T29" s="55" t="str">
        <f t="array" ref="T29">_xlfn.XLOOKUP(B29,'Up Max'!A:A,'Up Max'!E:E,)</f>
        <v/>
      </c>
      <c r="U29" s="57" t="str">
        <f t="array" ref="U29">_xlfn.XLOOKUP(B29,'Up Stats'!A:A,'Up Stats'!F:F,)</f>
        <v/>
      </c>
      <c r="V29" s="54" t="str">
        <f>IFERROR(__xludf.DUMMYFUNCTION("if(AND(W29=FALSE,X29=FALSE),,if(W29=X29,JOIN("""",""Static: "",W29),JOIN("""",""Min:  "",W29, CHAR(10),""Max: "",X29)))"),"")</f>
        <v/>
      </c>
      <c r="W29" s="55" t="str">
        <f t="array" ref="W29">_xlfn.XLOOKUP(B29,'Up Min'!A:A,'Up Min'!F:F,)</f>
        <v/>
      </c>
      <c r="X29" s="55" t="str">
        <f t="array" ref="X29">_xlfn.XLOOKUP(B29,'Up Max'!A:A,'Up Max'!F:F,)</f>
        <v/>
      </c>
      <c r="Y29" s="57" t="str">
        <f t="array" ref="Y29">_xlfn.XLOOKUP(B29,'Up Stats'!A:A,'Up Stats'!G:G,)</f>
        <v/>
      </c>
      <c r="Z29" s="54" t="str">
        <f>IFERROR(__xludf.DUMMYFUNCTION("if(AND(AA29=FALSE,AB29=FALSE),,if(AA29=AB29,JOIN("""",""Static: "",AA29),JOIN("""",""Min:  "",AA29, CHAR(10),""Max: "",AB29)))"),"")</f>
        <v/>
      </c>
      <c r="AA29" s="55" t="str">
        <f t="array" ref="AA29">_xlfn.XLOOKUP(B29,'Up Min'!A:A,'Up Min'!G:G,)</f>
        <v/>
      </c>
      <c r="AB29" s="55" t="str">
        <f t="array" ref="AB29">_xlfn.XLOOKUP(B29,'Up Max'!A:A,'Up Max'!G:G,)</f>
        <v/>
      </c>
      <c r="AC29" s="57" t="str">
        <f t="array" ref="AC29">_xlfn.XLOOKUP(B29,'Up Stats'!A:A,'Up Stats'!H:H,)</f>
        <v/>
      </c>
      <c r="AD29" s="54" t="str">
        <f>IFERROR(__xludf.DUMMYFUNCTION("if(AND(AE29=FALSE,AF29=FALSE),,if(AE29=AF29,JOIN("""",""Static: "",AE29),JOIN("""",""Min:  "",AE29, CHAR(10),""Max: "",AF29)))"),"")</f>
        <v/>
      </c>
      <c r="AE29" s="55" t="str">
        <f t="array" ref="AE29">_xlfn.XLOOKUP(B29,'Up Min'!A:A,'Up Min'!H:H,)</f>
        <v/>
      </c>
      <c r="AF29" s="55" t="str">
        <f t="array" ref="AF29">_xlfn.XLOOKUP(B29,'Up Max'!A:A,'Up Max'!H:H,)</f>
        <v/>
      </c>
      <c r="AG29" s="57" t="str">
        <f t="array" ref="AG29">_xlfn.XLOOKUP(B29,'Up Stats'!A:A,'Up Stats'!I:I,)</f>
        <v/>
      </c>
      <c r="AH29" s="54" t="str">
        <f>IFERROR(__xludf.DUMMYFUNCTION("if(AND(AI29=FALSE,AJ29=FALSE),,if(AI29=AJ29,JOIN("""",""Static: "",AI29),JOIN("""",""Min:  "",AI29, CHAR(10),""Max: "",AJ29)))"),"")</f>
        <v/>
      </c>
      <c r="AI29" s="55" t="str">
        <f t="array" ref="AI29">_xlfn.XLOOKUP(B29,'Up Min'!A:A,'Up Min'!I:I,)</f>
        <v/>
      </c>
      <c r="AJ29" s="55" t="str">
        <f t="array" ref="AJ29">_xlfn.XLOOKUP(B29,'Up Max'!A:A,'Up Max'!I:I,)</f>
        <v/>
      </c>
      <c r="AK29" s="57" t="str">
        <f t="array" ref="AK29">_xlfn.XLOOKUP(B29,'Up Stats'!A:A,'Up Stats'!J:J,)</f>
        <v/>
      </c>
      <c r="AL29" s="54" t="str">
        <f>IFERROR(__xludf.DUMMYFUNCTION("if(AND(AM29=FALSE,AN29=FALSE),,if(AM29=AN29,JOIN("""",""Static: "",AM29),JOIN("""",""Min:  "",AM29, CHAR(10),""Max: "",AN29)))"),"")</f>
        <v/>
      </c>
      <c r="AM29" s="55" t="str">
        <f t="array" ref="AM29">_xlfn.XLOOKUP(B29,'Up Min'!A:A,'Up Min'!J:J,)</f>
        <v/>
      </c>
      <c r="AN29" s="55" t="str">
        <f t="array" ref="AN29">_xlfn.XLOOKUP(B29,'Up Max'!A:A,'Up Max'!J:J,)</f>
        <v/>
      </c>
      <c r="AO29" s="51" t="str">
        <f t="array" ref="AO29">CONCATENATE(_xlfn.XLOOKUP(B29,'Up Cells'!A:A,'Up Cells'!B:B,))</f>
        <v/>
      </c>
      <c r="AP29" s="51" t="str">
        <f t="array" ref="AP29">CONCATENATE(_xlfn.XLOOKUP(B29,'Up Rarity'!A:A,'Up Rarity'!B:B,),CHAR(10),"-")</f>
        <v>
-</v>
      </c>
    </row>
    <row r="30">
      <c r="A30" s="87" t="str">
        <f t="array" ref="A30">_xlfn.XLOOKUP(B30,'Up Icon'!A:A,'Up Icon'!B:B,)</f>
        <v/>
      </c>
      <c r="B30" s="34" t="str">
        <f t="array" ref="B30">HYPERLINK(_xlfn.XLOOKUP('Up Names'!O30,'Up Wiki'!A:A,'Up Wiki'!B:B,),'Up Names'!O30)</f>
        <v/>
      </c>
      <c r="C30" s="37" t="str">
        <f t="array" ref="C30">_xlfn.XLOOKUP(B30,'Up Desc'!A:A,'Up Desc'!B:B,)</f>
        <v/>
      </c>
      <c r="D30" s="37" t="str">
        <f t="array" ref="D30">_xlfn.XLOOKUP(B30,'Up Turbo'!A:A,'Up Turbo'!B:B,)</f>
        <v/>
      </c>
      <c r="E30" s="39" t="str">
        <f t="array" ref="E30">_xlfn.XLOOKUP(B30,'Up Stats'!A:A,'Up Stats'!B:B,)</f>
        <v/>
      </c>
      <c r="F30" s="40" t="str">
        <f>IFERROR(__xludf.DUMMYFUNCTION("if(AND(G30=FALSE,H30=FALSE),,if(G30=H30,JOIN("""",""Static: "",G30),JOIN("""",""Min:  "",G30, CHAR(10),""Max: "",H30)))"),"")</f>
        <v/>
      </c>
      <c r="G30" s="42" t="str">
        <f t="array" ref="G30">_xlfn.XLOOKUP(B30,'Up Min'!A:A,'Up Min'!B:B,)</f>
        <v/>
      </c>
      <c r="H30" s="45" t="str">
        <f t="array" ref="H30">_xlfn.XLOOKUP(B30,'Up Max'!A:A,'Up Max'!B:B,)</f>
        <v/>
      </c>
      <c r="I30" s="39" t="str">
        <f t="array" ref="I30">_xlfn.XLOOKUP(B30,'Up Stats'!A:A,'Up Stats'!C:C,)</f>
        <v/>
      </c>
      <c r="J30" s="40" t="str">
        <f>IFERROR(__xludf.DUMMYFUNCTION("if(AND(K30=FALSE,L30=FALSE),,if(K30=L30,JOIN("""",""Static: "",K30),JOIN("""",""Min:  "",K30, CHAR(10),""Max: "",L30)))"),"")</f>
        <v/>
      </c>
      <c r="K30" s="42" t="str">
        <f t="array" ref="K30">_xlfn.XLOOKUP(B30,'Up Min'!A:A,'Up Min'!C:C,)</f>
        <v/>
      </c>
      <c r="L30" s="42" t="str">
        <f t="array" ref="L30">_xlfn.XLOOKUP(B30,'Up Max'!A:A,'Up Max'!C:C,)</f>
        <v/>
      </c>
      <c r="M30" s="39" t="str">
        <f t="array" ref="M30">_xlfn.XLOOKUP(B30,'Up Stats'!A:A,'Up Stats'!D:D,)</f>
        <v/>
      </c>
      <c r="N30" s="40" t="str">
        <f>IFERROR(__xludf.DUMMYFUNCTION("if(AND(O30=FALSE,P30=FALSE),,if(O30=P30,JOIN("""",""Static: "",O30),JOIN("""",""Min:  "",O30, CHAR(10),""Max: "",P30)))"),"")</f>
        <v/>
      </c>
      <c r="O30" s="42" t="str">
        <f t="array" ref="O30">_xlfn.XLOOKUP(B30,'Up Min'!A:A,'Up Min'!D:D,)</f>
        <v/>
      </c>
      <c r="P30" s="42" t="str">
        <f t="array" ref="P30">_xlfn.XLOOKUP(B30,'Up Max'!A:A,'Up Max'!D:D,)</f>
        <v/>
      </c>
      <c r="Q30" s="48" t="str">
        <f t="array" ref="Q30">_xlfn.XLOOKUP(B30,'Up Stats'!A:A,'Up Stats'!E:E,)</f>
        <v/>
      </c>
      <c r="R30" s="40" t="str">
        <f>IFERROR(__xludf.DUMMYFUNCTION("if(AND(S30=FALSE,T30=FALSE),,if(S30=T30,JOIN("""",""Static: "",S30),JOIN("""",""Min:  "",S30, CHAR(10),""Max: "",T30)))"),"")</f>
        <v/>
      </c>
      <c r="S30" s="42" t="str">
        <f t="array" ref="S30">_xlfn.XLOOKUP(B30,'Up Min'!A:A,'Up Min'!E:E,)</f>
        <v/>
      </c>
      <c r="T30" s="42" t="str">
        <f t="array" ref="T30">_xlfn.XLOOKUP(B30,'Up Max'!A:A,'Up Max'!E:E,)</f>
        <v/>
      </c>
      <c r="U30" s="48" t="str">
        <f t="array" ref="U30">_xlfn.XLOOKUP(B30,'Up Stats'!A:A,'Up Stats'!F:F,)</f>
        <v/>
      </c>
      <c r="V30" s="40" t="str">
        <f>IFERROR(__xludf.DUMMYFUNCTION("if(AND(W30=FALSE,X30=FALSE),,if(W30=X30,JOIN("""",""Static: "",W30),JOIN("""",""Min:  "",W30, CHAR(10),""Max: "",X30)))"),"")</f>
        <v/>
      </c>
      <c r="W30" s="42" t="str">
        <f t="array" ref="W30">_xlfn.XLOOKUP(B30,'Up Min'!A:A,'Up Min'!F:F,)</f>
        <v/>
      </c>
      <c r="X30" s="42" t="str">
        <f t="array" ref="X30">_xlfn.XLOOKUP(B30,'Up Max'!A:A,'Up Max'!F:F,)</f>
        <v/>
      </c>
      <c r="Y30" s="48" t="str">
        <f t="array" ref="Y30">_xlfn.XLOOKUP(B30,'Up Stats'!A:A,'Up Stats'!G:G,)</f>
        <v/>
      </c>
      <c r="Z30" s="40" t="str">
        <f>IFERROR(__xludf.DUMMYFUNCTION("if(AND(AA30=FALSE,AB30=FALSE),,if(AA30=AB30,JOIN("""",""Static: "",AA30),JOIN("""",""Min:  "",AA30, CHAR(10),""Max: "",AB30)))"),"")</f>
        <v/>
      </c>
      <c r="AA30" s="42" t="str">
        <f t="array" ref="AA30">_xlfn.XLOOKUP(B30,'Up Min'!A:A,'Up Min'!G:G,)</f>
        <v/>
      </c>
      <c r="AB30" s="42" t="str">
        <f t="array" ref="AB30">_xlfn.XLOOKUP(B30,'Up Max'!A:A,'Up Max'!G:G,)</f>
        <v/>
      </c>
      <c r="AC30" s="48" t="str">
        <f t="array" ref="AC30">_xlfn.XLOOKUP(B30,'Up Stats'!A:A,'Up Stats'!H:H,)</f>
        <v/>
      </c>
      <c r="AD30" s="40" t="str">
        <f>IFERROR(__xludf.DUMMYFUNCTION("if(AND(AE30=FALSE,AF30=FALSE),,if(AE30=AF30,JOIN("""",""Static: "",AE30),JOIN("""",""Min:  "",AE30, CHAR(10),""Max: "",AF30)))"),"")</f>
        <v/>
      </c>
      <c r="AE30" s="42" t="str">
        <f t="array" ref="AE30">_xlfn.XLOOKUP(B30,'Up Min'!A:A,'Up Min'!H:H,)</f>
        <v/>
      </c>
      <c r="AF30" s="42" t="str">
        <f t="array" ref="AF30">_xlfn.XLOOKUP(B30,'Up Max'!A:A,'Up Max'!H:H,)</f>
        <v/>
      </c>
      <c r="AG30" s="48" t="str">
        <f t="array" ref="AG30">_xlfn.XLOOKUP(B30,'Up Stats'!A:A,'Up Stats'!I:I,)</f>
        <v/>
      </c>
      <c r="AH30" s="40" t="str">
        <f>IFERROR(__xludf.DUMMYFUNCTION("if(AND(AI30=FALSE,AJ30=FALSE),,if(AI30=AJ30,JOIN("""",""Static: "",AI30),JOIN("""",""Min:  "",AI30, CHAR(10),""Max: "",AJ30)))"),"")</f>
        <v/>
      </c>
      <c r="AI30" s="42" t="str">
        <f t="array" ref="AI30">_xlfn.XLOOKUP(B30,'Up Min'!A:A,'Up Min'!I:I,)</f>
        <v/>
      </c>
      <c r="AJ30" s="42" t="str">
        <f t="array" ref="AJ30">_xlfn.XLOOKUP(B30,'Up Max'!A:A,'Up Max'!I:I,)</f>
        <v/>
      </c>
      <c r="AK30" s="48" t="str">
        <f t="array" ref="AK30">_xlfn.XLOOKUP(B30,'Up Stats'!A:A,'Up Stats'!J:J,)</f>
        <v/>
      </c>
      <c r="AL30" s="40" t="str">
        <f>IFERROR(__xludf.DUMMYFUNCTION("if(AND(AM30=FALSE,AN30=FALSE),,if(AM30=AN30,JOIN("""",""Static: "",AM30),JOIN("""",""Min:  "",AM30, CHAR(10),""Max: "",AN30)))"),"")</f>
        <v/>
      </c>
      <c r="AM30" s="42" t="str">
        <f t="array" ref="AM30">_xlfn.XLOOKUP(B30,'Up Min'!A:A,'Up Min'!J:J,)</f>
        <v/>
      </c>
      <c r="AN30" s="42" t="str">
        <f t="array" ref="AN30">_xlfn.XLOOKUP(B30,'Up Max'!A:A,'Up Max'!J:J,)</f>
        <v/>
      </c>
      <c r="AO30" s="34" t="str">
        <f t="array" ref="AO30">CONCATENATE(_xlfn.XLOOKUP(B30,'Up Cells'!A:A,'Up Cells'!B:B,))</f>
        <v/>
      </c>
      <c r="AP30" s="34" t="str">
        <f t="array" ref="AP30">CONCATENATE(_xlfn.XLOOKUP(B30,'Up Rarity'!A:A,'Up Rarity'!B:B,),CHAR(10),"-")</f>
        <v>
-</v>
      </c>
    </row>
    <row r="31">
      <c r="A31" s="86" t="str">
        <f t="array" ref="A31">_xlfn.XLOOKUP(B31,'Up Icon'!A:A,'Up Icon'!B:B,)</f>
        <v/>
      </c>
      <c r="B31" s="51" t="str">
        <f t="array" ref="B31">HYPERLINK(_xlfn.XLOOKUP('Up Names'!O31,'Up Wiki'!A:A,'Up Wiki'!B:B,),'Up Names'!O31)</f>
        <v/>
      </c>
      <c r="C31" s="52" t="str">
        <f t="array" ref="C31">_xlfn.XLOOKUP(B31,'Up Desc'!A:A,'Up Desc'!B:B,)</f>
        <v/>
      </c>
      <c r="D31" s="52" t="str">
        <f t="array" ref="D31">_xlfn.XLOOKUP(B31,'Up Turbo'!A:A,'Up Turbo'!B:B,)</f>
        <v/>
      </c>
      <c r="E31" s="53" t="str">
        <f t="array" ref="E31">_xlfn.XLOOKUP(B31,'Up Stats'!A:A,'Up Stats'!B:B,)</f>
        <v/>
      </c>
      <c r="F31" s="54" t="str">
        <f>IFERROR(__xludf.DUMMYFUNCTION("if(AND(G31=FALSE,H31=FALSE),,if(G31=H31,JOIN("""",""Static: "",G31),JOIN("""",""Min:  "",G31, CHAR(10),""Max: "",H31)))"),"")</f>
        <v/>
      </c>
      <c r="G31" s="55" t="str">
        <f t="array" ref="G31">_xlfn.XLOOKUP(B31,'Up Min'!A:A,'Up Min'!B:B,)</f>
        <v/>
      </c>
      <c r="H31" s="56" t="str">
        <f t="array" ref="H31">_xlfn.XLOOKUP(B31,'Up Max'!A:A,'Up Max'!B:B,)</f>
        <v/>
      </c>
      <c r="I31" s="53" t="str">
        <f t="array" ref="I31">_xlfn.XLOOKUP(B31,'Up Stats'!A:A,'Up Stats'!C:C,)</f>
        <v/>
      </c>
      <c r="J31" s="54" t="str">
        <f>IFERROR(__xludf.DUMMYFUNCTION("if(AND(K31=FALSE,L31=FALSE),,if(K31=L31,JOIN("""",""Static: "",K31),JOIN("""",""Min:  "",K31, CHAR(10),""Max: "",L31)))"),"")</f>
        <v/>
      </c>
      <c r="K31" s="55" t="str">
        <f t="array" ref="K31">_xlfn.XLOOKUP(B31,'Up Min'!A:A,'Up Min'!C:C,)</f>
        <v/>
      </c>
      <c r="L31" s="55" t="str">
        <f t="array" ref="L31">_xlfn.XLOOKUP(B31,'Up Max'!A:A,'Up Max'!C:C,)</f>
        <v/>
      </c>
      <c r="M31" s="53" t="str">
        <f t="array" ref="M31">_xlfn.XLOOKUP(B31,'Up Stats'!A:A,'Up Stats'!D:D,)</f>
        <v/>
      </c>
      <c r="N31" s="54" t="str">
        <f>IFERROR(__xludf.DUMMYFUNCTION("if(AND(O31=FALSE,P31=FALSE),,if(O31=P31,JOIN("""",""Static: "",O31),JOIN("""",""Min:  "",O31, CHAR(10),""Max: "",P31)))"),"")</f>
        <v/>
      </c>
      <c r="O31" s="55" t="str">
        <f t="array" ref="O31">_xlfn.XLOOKUP(B31,'Up Min'!A:A,'Up Min'!D:D,)</f>
        <v/>
      </c>
      <c r="P31" s="55" t="str">
        <f t="array" ref="P31">_xlfn.XLOOKUP(B31,'Up Max'!A:A,'Up Max'!D:D,)</f>
        <v/>
      </c>
      <c r="Q31" s="57" t="str">
        <f t="array" ref="Q31">_xlfn.XLOOKUP(B31,'Up Stats'!A:A,'Up Stats'!E:E,)</f>
        <v/>
      </c>
      <c r="R31" s="54" t="str">
        <f>IFERROR(__xludf.DUMMYFUNCTION("if(AND(S31=FALSE,T31=FALSE),,if(S31=T31,JOIN("""",""Static: "",S31),JOIN("""",""Min:  "",S31, CHAR(10),""Max: "",T31)))"),"")</f>
        <v/>
      </c>
      <c r="S31" s="55" t="str">
        <f t="array" ref="S31">_xlfn.XLOOKUP(B31,'Up Min'!A:A,'Up Min'!E:E,)</f>
        <v/>
      </c>
      <c r="T31" s="55" t="str">
        <f t="array" ref="T31">_xlfn.XLOOKUP(B31,'Up Max'!A:A,'Up Max'!E:E,)</f>
        <v/>
      </c>
      <c r="U31" s="57" t="str">
        <f t="array" ref="U31">_xlfn.XLOOKUP(B31,'Up Stats'!A:A,'Up Stats'!F:F,)</f>
        <v/>
      </c>
      <c r="V31" s="54" t="str">
        <f>IFERROR(__xludf.DUMMYFUNCTION("if(AND(W31=FALSE,X31=FALSE),,if(W31=X31,JOIN("""",""Static: "",W31),JOIN("""",""Min:  "",W31, CHAR(10),""Max: "",X31)))"),"")</f>
        <v/>
      </c>
      <c r="W31" s="55" t="str">
        <f t="array" ref="W31">_xlfn.XLOOKUP(B31,'Up Min'!A:A,'Up Min'!F:F,)</f>
        <v/>
      </c>
      <c r="X31" s="55" t="str">
        <f t="array" ref="X31">_xlfn.XLOOKUP(B31,'Up Max'!A:A,'Up Max'!F:F,)</f>
        <v/>
      </c>
      <c r="Y31" s="57" t="str">
        <f t="array" ref="Y31">_xlfn.XLOOKUP(B31,'Up Stats'!A:A,'Up Stats'!G:G,)</f>
        <v/>
      </c>
      <c r="Z31" s="54" t="str">
        <f>IFERROR(__xludf.DUMMYFUNCTION("if(AND(AA31=FALSE,AB31=FALSE),,if(AA31=AB31,JOIN("""",""Static: "",AA31),JOIN("""",""Min:  "",AA31, CHAR(10),""Max: "",AB31)))"),"")</f>
        <v/>
      </c>
      <c r="AA31" s="55" t="str">
        <f t="array" ref="AA31">_xlfn.XLOOKUP(B31,'Up Min'!A:A,'Up Min'!G:G,)</f>
        <v/>
      </c>
      <c r="AB31" s="55" t="str">
        <f t="array" ref="AB31">_xlfn.XLOOKUP(B31,'Up Max'!A:A,'Up Max'!G:G,)</f>
        <v/>
      </c>
      <c r="AC31" s="57" t="str">
        <f t="array" ref="AC31">_xlfn.XLOOKUP(B31,'Up Stats'!A:A,'Up Stats'!H:H,)</f>
        <v/>
      </c>
      <c r="AD31" s="54" t="str">
        <f>IFERROR(__xludf.DUMMYFUNCTION("if(AND(AE31=FALSE,AF31=FALSE),,if(AE31=AF31,JOIN("""",""Static: "",AE31),JOIN("""",""Min:  "",AE31, CHAR(10),""Max: "",AF31)))"),"")</f>
        <v/>
      </c>
      <c r="AE31" s="55" t="str">
        <f t="array" ref="AE31">_xlfn.XLOOKUP(B31,'Up Min'!A:A,'Up Min'!H:H,)</f>
        <v/>
      </c>
      <c r="AF31" s="55" t="str">
        <f t="array" ref="AF31">_xlfn.XLOOKUP(B31,'Up Max'!A:A,'Up Max'!H:H,)</f>
        <v/>
      </c>
      <c r="AG31" s="57" t="str">
        <f t="array" ref="AG31">_xlfn.XLOOKUP(B31,'Up Stats'!A:A,'Up Stats'!I:I,)</f>
        <v/>
      </c>
      <c r="AH31" s="54" t="str">
        <f>IFERROR(__xludf.DUMMYFUNCTION("if(AND(AI31=FALSE,AJ31=FALSE),,if(AI31=AJ31,JOIN("""",""Static: "",AI31),JOIN("""",""Min:  "",AI31, CHAR(10),""Max: "",AJ31)))"),"")</f>
        <v/>
      </c>
      <c r="AI31" s="55" t="str">
        <f t="array" ref="AI31">_xlfn.XLOOKUP(B31,'Up Min'!A:A,'Up Min'!I:I,)</f>
        <v/>
      </c>
      <c r="AJ31" s="55" t="str">
        <f t="array" ref="AJ31">_xlfn.XLOOKUP(B31,'Up Max'!A:A,'Up Max'!I:I,)</f>
        <v/>
      </c>
      <c r="AK31" s="57" t="str">
        <f t="array" ref="AK31">_xlfn.XLOOKUP(B31,'Up Stats'!A:A,'Up Stats'!J:J,)</f>
        <v/>
      </c>
      <c r="AL31" s="54" t="str">
        <f>IFERROR(__xludf.DUMMYFUNCTION("if(AND(AM31=FALSE,AN31=FALSE),,if(AM31=AN31,JOIN("""",""Static: "",AM31),JOIN("""",""Min:  "",AM31, CHAR(10),""Max: "",AN31)))"),"")</f>
        <v/>
      </c>
      <c r="AM31" s="55" t="str">
        <f t="array" ref="AM31">_xlfn.XLOOKUP(B31,'Up Min'!A:A,'Up Min'!J:J,)</f>
        <v/>
      </c>
      <c r="AN31" s="55" t="str">
        <f t="array" ref="AN31">_xlfn.XLOOKUP(B31,'Up Max'!A:A,'Up Max'!J:J,)</f>
        <v/>
      </c>
      <c r="AO31" s="51" t="str">
        <f t="array" ref="AO31">CONCATENATE(_xlfn.XLOOKUP(B31,'Up Cells'!A:A,'Up Cells'!B:B,))</f>
        <v/>
      </c>
      <c r="AP31" s="51" t="str">
        <f t="array" ref="AP31">CONCATENATE(_xlfn.XLOOKUP(B31,'Up Rarity'!A:A,'Up Rarity'!B:B,),CHAR(10),"-")</f>
        <v>
-</v>
      </c>
    </row>
    <row r="32">
      <c r="A32" s="87" t="str">
        <f t="array" ref="A32">_xlfn.XLOOKUP(B32,'Up Icon'!A:A,'Up Icon'!B:B,)</f>
        <v/>
      </c>
      <c r="B32" s="34" t="str">
        <f t="array" ref="B32">HYPERLINK(_xlfn.XLOOKUP('Up Names'!O32,'Up Wiki'!A:A,'Up Wiki'!B:B,),'Up Names'!O32)</f>
        <v/>
      </c>
      <c r="C32" s="37" t="str">
        <f t="array" ref="C32">_xlfn.XLOOKUP(B32,'Up Desc'!A:A,'Up Desc'!B:B,)</f>
        <v/>
      </c>
      <c r="D32" s="37" t="str">
        <f t="array" ref="D32">_xlfn.XLOOKUP(B32,'Up Turbo'!A:A,'Up Turbo'!B:B,)</f>
        <v/>
      </c>
      <c r="E32" s="39" t="str">
        <f t="array" ref="E32">_xlfn.XLOOKUP(B32,'Up Stats'!A:A,'Up Stats'!B:B,)</f>
        <v/>
      </c>
      <c r="F32" s="40" t="str">
        <f>IFERROR(__xludf.DUMMYFUNCTION("if(AND(G32=FALSE,H32=FALSE),,if(G32=H32,JOIN("""",""Static: "",G32),JOIN("""",""Min:  "",G32, CHAR(10),""Max: "",H32)))"),"")</f>
        <v/>
      </c>
      <c r="G32" s="42" t="str">
        <f t="array" ref="G32">_xlfn.XLOOKUP(B32,'Up Min'!A:A,'Up Min'!B:B,)</f>
        <v/>
      </c>
      <c r="H32" s="45" t="str">
        <f t="array" ref="H32">_xlfn.XLOOKUP(B32,'Up Max'!A:A,'Up Max'!B:B,)</f>
        <v/>
      </c>
      <c r="I32" s="39" t="str">
        <f t="array" ref="I32">_xlfn.XLOOKUP(B32,'Up Stats'!A:A,'Up Stats'!C:C,)</f>
        <v/>
      </c>
      <c r="J32" s="40" t="str">
        <f>IFERROR(__xludf.DUMMYFUNCTION("if(AND(K32=FALSE,L32=FALSE),,if(K32=L32,JOIN("""",""Static: "",K32),JOIN("""",""Min:  "",K32, CHAR(10),""Max: "",L32)))"),"")</f>
        <v/>
      </c>
      <c r="K32" s="42" t="str">
        <f t="array" ref="K32">_xlfn.XLOOKUP(B32,'Up Min'!A:A,'Up Min'!C:C,)</f>
        <v/>
      </c>
      <c r="L32" s="42" t="str">
        <f t="array" ref="L32">_xlfn.XLOOKUP(B32,'Up Max'!A:A,'Up Max'!C:C,)</f>
        <v/>
      </c>
      <c r="M32" s="39" t="str">
        <f t="array" ref="M32">_xlfn.XLOOKUP(B32,'Up Stats'!A:A,'Up Stats'!D:D,)</f>
        <v/>
      </c>
      <c r="N32" s="40" t="str">
        <f>IFERROR(__xludf.DUMMYFUNCTION("if(AND(O32=FALSE,P32=FALSE),,if(O32=P32,JOIN("""",""Static: "",O32),JOIN("""",""Min:  "",O32, CHAR(10),""Max: "",P32)))"),"")</f>
        <v/>
      </c>
      <c r="O32" s="42" t="str">
        <f t="array" ref="O32">_xlfn.XLOOKUP(B32,'Up Min'!A:A,'Up Min'!D:D,)</f>
        <v/>
      </c>
      <c r="P32" s="42" t="str">
        <f t="array" ref="P32">_xlfn.XLOOKUP(B32,'Up Max'!A:A,'Up Max'!D:D,)</f>
        <v/>
      </c>
      <c r="Q32" s="48" t="str">
        <f t="array" ref="Q32">_xlfn.XLOOKUP(B32,'Up Stats'!A:A,'Up Stats'!E:E,)</f>
        <v/>
      </c>
      <c r="R32" s="40" t="str">
        <f>IFERROR(__xludf.DUMMYFUNCTION("if(AND(S32=FALSE,T32=FALSE),,if(S32=T32,JOIN("""",""Static: "",S32),JOIN("""",""Min:  "",S32, CHAR(10),""Max: "",T32)))"),"")</f>
        <v/>
      </c>
      <c r="S32" s="42" t="str">
        <f t="array" ref="S32">_xlfn.XLOOKUP(B32,'Up Min'!A:A,'Up Min'!E:E,)</f>
        <v/>
      </c>
      <c r="T32" s="42" t="str">
        <f t="array" ref="T32">_xlfn.XLOOKUP(B32,'Up Max'!A:A,'Up Max'!E:E,)</f>
        <v/>
      </c>
      <c r="U32" s="48" t="str">
        <f t="array" ref="U32">_xlfn.XLOOKUP(B32,'Up Stats'!A:A,'Up Stats'!F:F,)</f>
        <v/>
      </c>
      <c r="V32" s="40" t="str">
        <f>IFERROR(__xludf.DUMMYFUNCTION("if(AND(W32=FALSE,X32=FALSE),,if(W32=X32,JOIN("""",""Static: "",W32),JOIN("""",""Min:  "",W32, CHAR(10),""Max: "",X32)))"),"")</f>
        <v/>
      </c>
      <c r="W32" s="42" t="str">
        <f t="array" ref="W32">_xlfn.XLOOKUP(B32,'Up Min'!A:A,'Up Min'!F:F,)</f>
        <v/>
      </c>
      <c r="X32" s="42" t="str">
        <f t="array" ref="X32">_xlfn.XLOOKUP(B32,'Up Max'!A:A,'Up Max'!F:F,)</f>
        <v/>
      </c>
      <c r="Y32" s="48" t="str">
        <f t="array" ref="Y32">_xlfn.XLOOKUP(B32,'Up Stats'!A:A,'Up Stats'!G:G,)</f>
        <v/>
      </c>
      <c r="Z32" s="40" t="str">
        <f>IFERROR(__xludf.DUMMYFUNCTION("if(AND(AA32=FALSE,AB32=FALSE),,if(AA32=AB32,JOIN("""",""Static: "",AA32),JOIN("""",""Min:  "",AA32, CHAR(10),""Max: "",AB32)))"),"")</f>
        <v/>
      </c>
      <c r="AA32" s="42" t="str">
        <f t="array" ref="AA32">_xlfn.XLOOKUP(B32,'Up Min'!A:A,'Up Min'!G:G,)</f>
        <v/>
      </c>
      <c r="AB32" s="42" t="str">
        <f t="array" ref="AB32">_xlfn.XLOOKUP(B32,'Up Max'!A:A,'Up Max'!G:G,)</f>
        <v/>
      </c>
      <c r="AC32" s="48" t="str">
        <f t="array" ref="AC32">_xlfn.XLOOKUP(B32,'Up Stats'!A:A,'Up Stats'!H:H,)</f>
        <v/>
      </c>
      <c r="AD32" s="40" t="str">
        <f>IFERROR(__xludf.DUMMYFUNCTION("if(AND(AE32=FALSE,AF32=FALSE),,if(AE32=AF32,JOIN("""",""Static: "",AE32),JOIN("""",""Min:  "",AE32, CHAR(10),""Max: "",AF32)))"),"")</f>
        <v/>
      </c>
      <c r="AE32" s="42" t="str">
        <f t="array" ref="AE32">_xlfn.XLOOKUP(B32,'Up Min'!A:A,'Up Min'!H:H,)</f>
        <v/>
      </c>
      <c r="AF32" s="42" t="str">
        <f t="array" ref="AF32">_xlfn.XLOOKUP(B32,'Up Max'!A:A,'Up Max'!H:H,)</f>
        <v/>
      </c>
      <c r="AG32" s="48" t="str">
        <f t="array" ref="AG32">_xlfn.XLOOKUP(B32,'Up Stats'!A:A,'Up Stats'!I:I,)</f>
        <v/>
      </c>
      <c r="AH32" s="40" t="str">
        <f>IFERROR(__xludf.DUMMYFUNCTION("if(AND(AI32=FALSE,AJ32=FALSE),,if(AI32=AJ32,JOIN("""",""Static: "",AI32),JOIN("""",""Min:  "",AI32, CHAR(10),""Max: "",AJ32)))"),"")</f>
        <v/>
      </c>
      <c r="AI32" s="42" t="str">
        <f t="array" ref="AI32">_xlfn.XLOOKUP(B32,'Up Min'!A:A,'Up Min'!I:I,)</f>
        <v/>
      </c>
      <c r="AJ32" s="42" t="str">
        <f t="array" ref="AJ32">_xlfn.XLOOKUP(B32,'Up Max'!A:A,'Up Max'!I:I,)</f>
        <v/>
      </c>
      <c r="AK32" s="48" t="str">
        <f t="array" ref="AK32">_xlfn.XLOOKUP(B32,'Up Stats'!A:A,'Up Stats'!J:J,)</f>
        <v/>
      </c>
      <c r="AL32" s="40" t="str">
        <f>IFERROR(__xludf.DUMMYFUNCTION("if(AND(AM32=FALSE,AN32=FALSE),,if(AM32=AN32,JOIN("""",""Static: "",AM32),JOIN("""",""Min:  "",AM32, CHAR(10),""Max: "",AN32)))"),"")</f>
        <v/>
      </c>
      <c r="AM32" s="42" t="str">
        <f t="array" ref="AM32">_xlfn.XLOOKUP(B32,'Up Min'!A:A,'Up Min'!J:J,)</f>
        <v/>
      </c>
      <c r="AN32" s="42" t="str">
        <f t="array" ref="AN32">_xlfn.XLOOKUP(B32,'Up Max'!A:A,'Up Max'!J:J,)</f>
        <v/>
      </c>
      <c r="AO32" s="34" t="str">
        <f t="array" ref="AO32">CONCATENATE(_xlfn.XLOOKUP(B32,'Up Cells'!A:A,'Up Cells'!B:B,))</f>
        <v/>
      </c>
      <c r="AP32" s="34" t="str">
        <f t="array" ref="AP32">CONCATENATE(_xlfn.XLOOKUP(B32,'Up Rarity'!A:A,'Up Rarity'!B:B,),CHAR(10),"-")</f>
        <v>
-</v>
      </c>
    </row>
    <row r="33">
      <c r="A33" s="86" t="str">
        <f t="array" ref="A33">_xlfn.XLOOKUP(B33,'Up Icon'!A:A,'Up Icon'!B:B,)</f>
        <v/>
      </c>
      <c r="B33" s="51" t="str">
        <f t="array" ref="B33">HYPERLINK(_xlfn.XLOOKUP('Up Names'!O33,'Up Wiki'!A:A,'Up Wiki'!B:B,),'Up Names'!O33)</f>
        <v/>
      </c>
      <c r="C33" s="52" t="str">
        <f t="array" ref="C33">_xlfn.XLOOKUP(B33,'Up Desc'!A:A,'Up Desc'!B:B,)</f>
        <v/>
      </c>
      <c r="D33" s="52" t="str">
        <f t="array" ref="D33">_xlfn.XLOOKUP(B33,'Up Turbo'!A:A,'Up Turbo'!B:B,)</f>
        <v/>
      </c>
      <c r="E33" s="53" t="str">
        <f t="array" ref="E33">_xlfn.XLOOKUP(B33,'Up Stats'!A:A,'Up Stats'!B:B,)</f>
        <v/>
      </c>
      <c r="F33" s="54" t="str">
        <f>IFERROR(__xludf.DUMMYFUNCTION("if(AND(G33=FALSE,H33=FALSE),,if(G33=H33,JOIN("""",""Static: "",G33),JOIN("""",""Min:  "",G33, CHAR(10),""Max: "",H33)))"),"")</f>
        <v/>
      </c>
      <c r="G33" s="55" t="str">
        <f t="array" ref="G33">_xlfn.XLOOKUP(B33,'Up Min'!A:A,'Up Min'!B:B,)</f>
        <v/>
      </c>
      <c r="H33" s="56" t="str">
        <f t="array" ref="H33">_xlfn.XLOOKUP(B33,'Up Max'!A:A,'Up Max'!B:B,)</f>
        <v/>
      </c>
      <c r="I33" s="53" t="str">
        <f t="array" ref="I33">_xlfn.XLOOKUP(B33,'Up Stats'!A:A,'Up Stats'!C:C,)</f>
        <v/>
      </c>
      <c r="J33" s="54" t="str">
        <f>IFERROR(__xludf.DUMMYFUNCTION("if(AND(K33=FALSE,L33=FALSE),,if(K33=L33,JOIN("""",""Static: "",K33),JOIN("""",""Min:  "",K33, CHAR(10),""Max: "",L33)))"),"")</f>
        <v/>
      </c>
      <c r="K33" s="55" t="str">
        <f t="array" ref="K33">_xlfn.XLOOKUP(B33,'Up Min'!A:A,'Up Min'!C:C,)</f>
        <v/>
      </c>
      <c r="L33" s="55" t="str">
        <f t="array" ref="L33">_xlfn.XLOOKUP(B33,'Up Max'!A:A,'Up Max'!C:C,)</f>
        <v/>
      </c>
      <c r="M33" s="53" t="str">
        <f t="array" ref="M33">_xlfn.XLOOKUP(B33,'Up Stats'!A:A,'Up Stats'!D:D,)</f>
        <v/>
      </c>
      <c r="N33" s="54" t="str">
        <f>IFERROR(__xludf.DUMMYFUNCTION("if(AND(O33=FALSE,P33=FALSE),,if(O33=P33,JOIN("""",""Static: "",O33),JOIN("""",""Min:  "",O33, CHAR(10),""Max: "",P33)))"),"")</f>
        <v/>
      </c>
      <c r="O33" s="55" t="str">
        <f t="array" ref="O33">_xlfn.XLOOKUP(B33,'Up Min'!A:A,'Up Min'!D:D,)</f>
        <v/>
      </c>
      <c r="P33" s="55" t="str">
        <f t="array" ref="P33">_xlfn.XLOOKUP(B33,'Up Max'!A:A,'Up Max'!D:D,)</f>
        <v/>
      </c>
      <c r="Q33" s="57" t="str">
        <f t="array" ref="Q33">_xlfn.XLOOKUP(B33,'Up Stats'!A:A,'Up Stats'!E:E,)</f>
        <v/>
      </c>
      <c r="R33" s="54" t="str">
        <f>IFERROR(__xludf.DUMMYFUNCTION("if(AND(S33=FALSE,T33=FALSE),,if(S33=T33,JOIN("""",""Static: "",S33),JOIN("""",""Min:  "",S33, CHAR(10),""Max: "",T33)))"),"")</f>
        <v/>
      </c>
      <c r="S33" s="55" t="str">
        <f t="array" ref="S33">_xlfn.XLOOKUP(B33,'Up Min'!A:A,'Up Min'!E:E,)</f>
        <v/>
      </c>
      <c r="T33" s="55" t="str">
        <f t="array" ref="T33">_xlfn.XLOOKUP(B33,'Up Max'!A:A,'Up Max'!E:E,)</f>
        <v/>
      </c>
      <c r="U33" s="57" t="str">
        <f t="array" ref="U33">_xlfn.XLOOKUP(B33,'Up Stats'!A:A,'Up Stats'!F:F,)</f>
        <v/>
      </c>
      <c r="V33" s="54" t="str">
        <f>IFERROR(__xludf.DUMMYFUNCTION("if(AND(W33=FALSE,X33=FALSE),,if(W33=X33,JOIN("""",""Static: "",W33),JOIN("""",""Min:  "",W33, CHAR(10),""Max: "",X33)))"),"")</f>
        <v/>
      </c>
      <c r="W33" s="55" t="str">
        <f t="array" ref="W33">_xlfn.XLOOKUP(B33,'Up Min'!A:A,'Up Min'!F:F,)</f>
        <v/>
      </c>
      <c r="X33" s="55" t="str">
        <f t="array" ref="X33">_xlfn.XLOOKUP(B33,'Up Max'!A:A,'Up Max'!F:F,)</f>
        <v/>
      </c>
      <c r="Y33" s="57" t="str">
        <f t="array" ref="Y33">_xlfn.XLOOKUP(B33,'Up Stats'!A:A,'Up Stats'!G:G,)</f>
        <v/>
      </c>
      <c r="Z33" s="54" t="str">
        <f>IFERROR(__xludf.DUMMYFUNCTION("if(AND(AA33=FALSE,AB33=FALSE),,if(AA33=AB33,JOIN("""",""Static: "",AA33),JOIN("""",""Min:  "",AA33, CHAR(10),""Max: "",AB33)))"),"")</f>
        <v/>
      </c>
      <c r="AA33" s="55" t="str">
        <f t="array" ref="AA33">_xlfn.XLOOKUP(B33,'Up Min'!A:A,'Up Min'!G:G,)</f>
        <v/>
      </c>
      <c r="AB33" s="55" t="str">
        <f t="array" ref="AB33">_xlfn.XLOOKUP(B33,'Up Max'!A:A,'Up Max'!G:G,)</f>
        <v/>
      </c>
      <c r="AC33" s="57" t="str">
        <f t="array" ref="AC33">_xlfn.XLOOKUP(B33,'Up Stats'!A:A,'Up Stats'!H:H,)</f>
        <v/>
      </c>
      <c r="AD33" s="54" t="str">
        <f>IFERROR(__xludf.DUMMYFUNCTION("if(AND(AE33=FALSE,AF33=FALSE),,if(AE33=AF33,JOIN("""",""Static: "",AE33),JOIN("""",""Min:  "",AE33, CHAR(10),""Max: "",AF33)))"),"")</f>
        <v/>
      </c>
      <c r="AE33" s="55" t="str">
        <f t="array" ref="AE33">_xlfn.XLOOKUP(B33,'Up Min'!A:A,'Up Min'!H:H,)</f>
        <v/>
      </c>
      <c r="AF33" s="55" t="str">
        <f t="array" ref="AF33">_xlfn.XLOOKUP(B33,'Up Max'!A:A,'Up Max'!H:H,)</f>
        <v/>
      </c>
      <c r="AG33" s="57" t="str">
        <f t="array" ref="AG33">_xlfn.XLOOKUP(B33,'Up Stats'!A:A,'Up Stats'!I:I,)</f>
        <v/>
      </c>
      <c r="AH33" s="54" t="str">
        <f>IFERROR(__xludf.DUMMYFUNCTION("if(AND(AI33=FALSE,AJ33=FALSE),,if(AI33=AJ33,JOIN("""",""Static: "",AI33),JOIN("""",""Min:  "",AI33, CHAR(10),""Max: "",AJ33)))"),"")</f>
        <v/>
      </c>
      <c r="AI33" s="55" t="str">
        <f t="array" ref="AI33">_xlfn.XLOOKUP(B33,'Up Min'!A:A,'Up Min'!I:I,)</f>
        <v/>
      </c>
      <c r="AJ33" s="55" t="str">
        <f t="array" ref="AJ33">_xlfn.XLOOKUP(B33,'Up Max'!A:A,'Up Max'!I:I,)</f>
        <v/>
      </c>
      <c r="AK33" s="57" t="str">
        <f t="array" ref="AK33">_xlfn.XLOOKUP(B33,'Up Stats'!A:A,'Up Stats'!J:J,)</f>
        <v/>
      </c>
      <c r="AL33" s="54" t="str">
        <f>IFERROR(__xludf.DUMMYFUNCTION("if(AND(AM33=FALSE,AN33=FALSE),,if(AM33=AN33,JOIN("""",""Static: "",AM33),JOIN("""",""Min:  "",AM33, CHAR(10),""Max: "",AN33)))"),"")</f>
        <v/>
      </c>
      <c r="AM33" s="55" t="str">
        <f t="array" ref="AM33">_xlfn.XLOOKUP(B33,'Up Min'!A:A,'Up Min'!J:J,)</f>
        <v/>
      </c>
      <c r="AN33" s="55" t="str">
        <f t="array" ref="AN33">_xlfn.XLOOKUP(B33,'Up Max'!A:A,'Up Max'!J:J,)</f>
        <v/>
      </c>
      <c r="AO33" s="51" t="str">
        <f t="array" ref="AO33">CONCATENATE(_xlfn.XLOOKUP(B33,'Up Cells'!A:A,'Up Cells'!B:B,))</f>
        <v/>
      </c>
      <c r="AP33" s="51" t="str">
        <f t="array" ref="AP33">CONCATENATE(_xlfn.XLOOKUP(B33,'Up Rarity'!A:A,'Up Rarity'!B:B,),CHAR(10),"-")</f>
        <v>
-</v>
      </c>
    </row>
    <row r="34">
      <c r="A34" s="87" t="str">
        <f t="array" ref="A34">_xlfn.XLOOKUP(B34,'Up Icon'!A:A,'Up Icon'!B:B,)</f>
        <v/>
      </c>
      <c r="B34" s="34" t="str">
        <f t="array" ref="B34">HYPERLINK(_xlfn.XLOOKUP('Up Names'!O34,'Up Wiki'!A:A,'Up Wiki'!B:B,),'Up Names'!O34)</f>
        <v/>
      </c>
      <c r="C34" s="37" t="str">
        <f t="array" ref="C34">_xlfn.XLOOKUP(B34,'Up Desc'!A:A,'Up Desc'!B:B,)</f>
        <v/>
      </c>
      <c r="D34" s="37" t="str">
        <f t="array" ref="D34">_xlfn.XLOOKUP(B34,'Up Turbo'!A:A,'Up Turbo'!B:B,)</f>
        <v/>
      </c>
      <c r="E34" s="39" t="str">
        <f t="array" ref="E34">_xlfn.XLOOKUP(B34,'Up Stats'!A:A,'Up Stats'!B:B,)</f>
        <v/>
      </c>
      <c r="F34" s="40" t="str">
        <f>IFERROR(__xludf.DUMMYFUNCTION("if(AND(G34=FALSE,H34=FALSE),,if(G34=H34,JOIN("""",""Static: "",G34),JOIN("""",""Min:  "",G34, CHAR(10),""Max: "",H34)))"),"")</f>
        <v/>
      </c>
      <c r="G34" s="42" t="str">
        <f t="array" ref="G34">_xlfn.XLOOKUP(B34,'Up Min'!A:A,'Up Min'!B:B,)</f>
        <v/>
      </c>
      <c r="H34" s="45" t="str">
        <f t="array" ref="H34">_xlfn.XLOOKUP(B34,'Up Max'!A:A,'Up Max'!B:B,)</f>
        <v/>
      </c>
      <c r="I34" s="39" t="str">
        <f t="array" ref="I34">_xlfn.XLOOKUP(B34,'Up Stats'!A:A,'Up Stats'!C:C,)</f>
        <v/>
      </c>
      <c r="J34" s="40" t="str">
        <f>IFERROR(__xludf.DUMMYFUNCTION("if(AND(K34=FALSE,L34=FALSE),,if(K34=L34,JOIN("""",""Static: "",K34),JOIN("""",""Min:  "",K34, CHAR(10),""Max: "",L34)))"),"")</f>
        <v/>
      </c>
      <c r="K34" s="42" t="str">
        <f t="array" ref="K34">_xlfn.XLOOKUP(B34,'Up Min'!A:A,'Up Min'!C:C,)</f>
        <v/>
      </c>
      <c r="L34" s="42" t="str">
        <f t="array" ref="L34">_xlfn.XLOOKUP(B34,'Up Max'!A:A,'Up Max'!C:C,)</f>
        <v/>
      </c>
      <c r="M34" s="39" t="str">
        <f t="array" ref="M34">_xlfn.XLOOKUP(B34,'Up Stats'!A:A,'Up Stats'!D:D,)</f>
        <v/>
      </c>
      <c r="N34" s="40" t="str">
        <f>IFERROR(__xludf.DUMMYFUNCTION("if(AND(O34=FALSE,P34=FALSE),,if(O34=P34,JOIN("""",""Static: "",O34),JOIN("""",""Min:  "",O34, CHAR(10),""Max: "",P34)))"),"")</f>
        <v/>
      </c>
      <c r="O34" s="42" t="str">
        <f t="array" ref="O34">_xlfn.XLOOKUP(B34,'Up Min'!A:A,'Up Min'!D:D,)</f>
        <v/>
      </c>
      <c r="P34" s="42" t="str">
        <f t="array" ref="P34">_xlfn.XLOOKUP(B34,'Up Max'!A:A,'Up Max'!D:D,)</f>
        <v/>
      </c>
      <c r="Q34" s="48" t="str">
        <f t="array" ref="Q34">_xlfn.XLOOKUP(B34,'Up Stats'!A:A,'Up Stats'!E:E,)</f>
        <v/>
      </c>
      <c r="R34" s="40" t="str">
        <f>IFERROR(__xludf.DUMMYFUNCTION("if(AND(S34=FALSE,T34=FALSE),,if(S34=T34,JOIN("""",""Static: "",S34),JOIN("""",""Min:  "",S34, CHAR(10),""Max: "",T34)))"),"")</f>
        <v/>
      </c>
      <c r="S34" s="42" t="str">
        <f t="array" ref="S34">_xlfn.XLOOKUP(B34,'Up Min'!A:A,'Up Min'!E:E,)</f>
        <v/>
      </c>
      <c r="T34" s="42" t="str">
        <f t="array" ref="T34">_xlfn.XLOOKUP(B34,'Up Max'!A:A,'Up Max'!E:E,)</f>
        <v/>
      </c>
      <c r="U34" s="48" t="str">
        <f t="array" ref="U34">_xlfn.XLOOKUP(B34,'Up Stats'!A:A,'Up Stats'!F:F,)</f>
        <v/>
      </c>
      <c r="V34" s="40" t="str">
        <f>IFERROR(__xludf.DUMMYFUNCTION("if(AND(W34=FALSE,X34=FALSE),,if(W34=X34,JOIN("""",""Static: "",W34),JOIN("""",""Min:  "",W34, CHAR(10),""Max: "",X34)))"),"")</f>
        <v/>
      </c>
      <c r="W34" s="42" t="str">
        <f t="array" ref="W34">_xlfn.XLOOKUP(B34,'Up Min'!A:A,'Up Min'!F:F,)</f>
        <v/>
      </c>
      <c r="X34" s="42" t="str">
        <f t="array" ref="X34">_xlfn.XLOOKUP(B34,'Up Max'!A:A,'Up Max'!F:F,)</f>
        <v/>
      </c>
      <c r="Y34" s="48" t="str">
        <f t="array" ref="Y34">_xlfn.XLOOKUP(B34,'Up Stats'!A:A,'Up Stats'!G:G,)</f>
        <v/>
      </c>
      <c r="Z34" s="40" t="str">
        <f>IFERROR(__xludf.DUMMYFUNCTION("if(AND(AA34=FALSE,AB34=FALSE),,if(AA34=AB34,JOIN("""",""Static: "",AA34),JOIN("""",""Min:  "",AA34, CHAR(10),""Max: "",AB34)))"),"")</f>
        <v/>
      </c>
      <c r="AA34" s="42" t="str">
        <f t="array" ref="AA34">_xlfn.XLOOKUP(B34,'Up Min'!A:A,'Up Min'!G:G,)</f>
        <v/>
      </c>
      <c r="AB34" s="42" t="str">
        <f t="array" ref="AB34">_xlfn.XLOOKUP(B34,'Up Max'!A:A,'Up Max'!G:G,)</f>
        <v/>
      </c>
      <c r="AC34" s="48" t="str">
        <f t="array" ref="AC34">_xlfn.XLOOKUP(B34,'Up Stats'!A:A,'Up Stats'!H:H,)</f>
        <v/>
      </c>
      <c r="AD34" s="40" t="str">
        <f>IFERROR(__xludf.DUMMYFUNCTION("if(AND(AE34=FALSE,AF34=FALSE),,if(AE34=AF34,JOIN("""",""Static: "",AE34),JOIN("""",""Min:  "",AE34, CHAR(10),""Max: "",AF34)))"),"")</f>
        <v/>
      </c>
      <c r="AE34" s="42" t="str">
        <f t="array" ref="AE34">_xlfn.XLOOKUP(B34,'Up Min'!A:A,'Up Min'!H:H,)</f>
        <v/>
      </c>
      <c r="AF34" s="42" t="str">
        <f t="array" ref="AF34">_xlfn.XLOOKUP(B34,'Up Max'!A:A,'Up Max'!H:H,)</f>
        <v/>
      </c>
      <c r="AG34" s="48" t="str">
        <f t="array" ref="AG34">_xlfn.XLOOKUP(B34,'Up Stats'!A:A,'Up Stats'!I:I,)</f>
        <v/>
      </c>
      <c r="AH34" s="40" t="str">
        <f>IFERROR(__xludf.DUMMYFUNCTION("if(AND(AI34=FALSE,AJ34=FALSE),,if(AI34=AJ34,JOIN("""",""Static: "",AI34),JOIN("""",""Min:  "",AI34, CHAR(10),""Max: "",AJ34)))"),"")</f>
        <v/>
      </c>
      <c r="AI34" s="42" t="str">
        <f t="array" ref="AI34">_xlfn.XLOOKUP(B34,'Up Min'!A:A,'Up Min'!I:I,)</f>
        <v/>
      </c>
      <c r="AJ34" s="42" t="str">
        <f t="array" ref="AJ34">_xlfn.XLOOKUP(B34,'Up Max'!A:A,'Up Max'!I:I,)</f>
        <v/>
      </c>
      <c r="AK34" s="48" t="str">
        <f t="array" ref="AK34">_xlfn.XLOOKUP(B34,'Up Stats'!A:A,'Up Stats'!J:J,)</f>
        <v/>
      </c>
      <c r="AL34" s="40" t="str">
        <f>IFERROR(__xludf.DUMMYFUNCTION("if(AND(AM34=FALSE,AN34=FALSE),,if(AM34=AN34,JOIN("""",""Static: "",AM34),JOIN("""",""Min:  "",AM34, CHAR(10),""Max: "",AN34)))"),"")</f>
        <v/>
      </c>
      <c r="AM34" s="42" t="str">
        <f t="array" ref="AM34">_xlfn.XLOOKUP(B34,'Up Min'!A:A,'Up Min'!J:J,)</f>
        <v/>
      </c>
      <c r="AN34" s="42" t="str">
        <f t="array" ref="AN34">_xlfn.XLOOKUP(B34,'Up Max'!A:A,'Up Max'!J:J,)</f>
        <v/>
      </c>
      <c r="AO34" s="34" t="str">
        <f t="array" ref="AO34">CONCATENATE(_xlfn.XLOOKUP(B34,'Up Cells'!A:A,'Up Cells'!B:B,))</f>
        <v/>
      </c>
      <c r="AP34" s="34" t="str">
        <f t="array" ref="AP34">CONCATENATE(_xlfn.XLOOKUP(B34,'Up Rarity'!A:A,'Up Rarity'!B:B,),CHAR(10),"-")</f>
        <v>
-</v>
      </c>
    </row>
    <row r="35">
      <c r="A35" s="86" t="str">
        <f t="array" ref="A35">_xlfn.XLOOKUP(B35,'Up Icon'!A:A,'Up Icon'!B:B,)</f>
        <v/>
      </c>
      <c r="B35" s="51" t="str">
        <f t="array" ref="B35">HYPERLINK(_xlfn.XLOOKUP('Up Names'!O35,'Up Wiki'!A:A,'Up Wiki'!B:B,),'Up Names'!O35)</f>
        <v/>
      </c>
      <c r="C35" s="52" t="str">
        <f t="array" ref="C35">_xlfn.XLOOKUP(B35,'Up Desc'!A:A,'Up Desc'!B:B,)</f>
        <v/>
      </c>
      <c r="D35" s="52" t="str">
        <f t="array" ref="D35">_xlfn.XLOOKUP(B35,'Up Turbo'!A:A,'Up Turbo'!B:B,)</f>
        <v/>
      </c>
      <c r="E35" s="53" t="str">
        <f t="array" ref="E35">_xlfn.XLOOKUP(B35,'Up Stats'!A:A,'Up Stats'!B:B,)</f>
        <v/>
      </c>
      <c r="F35" s="54" t="str">
        <f>IFERROR(__xludf.DUMMYFUNCTION("if(AND(G35=FALSE,H35=FALSE),,if(G35=H35,JOIN("""",""Static: "",G35),JOIN("""",""Min:  "",G35, CHAR(10),""Max: "",H35)))"),"")</f>
        <v/>
      </c>
      <c r="G35" s="55" t="str">
        <f t="array" ref="G35">_xlfn.XLOOKUP(B35,'Up Min'!A:A,'Up Min'!B:B,)</f>
        <v/>
      </c>
      <c r="H35" s="56" t="str">
        <f t="array" ref="H35">_xlfn.XLOOKUP(B35,'Up Max'!A:A,'Up Max'!B:B,)</f>
        <v/>
      </c>
      <c r="I35" s="53" t="str">
        <f t="array" ref="I35">_xlfn.XLOOKUP(B35,'Up Stats'!A:A,'Up Stats'!C:C,)</f>
        <v/>
      </c>
      <c r="J35" s="54" t="str">
        <f>IFERROR(__xludf.DUMMYFUNCTION("if(AND(K35=FALSE,L35=FALSE),,if(K35=L35,JOIN("""",""Static: "",K35),JOIN("""",""Min:  "",K35, CHAR(10),""Max: "",L35)))"),"")</f>
        <v/>
      </c>
      <c r="K35" s="55" t="str">
        <f t="array" ref="K35">_xlfn.XLOOKUP(B35,'Up Min'!A:A,'Up Min'!C:C,)</f>
        <v/>
      </c>
      <c r="L35" s="55" t="str">
        <f t="array" ref="L35">_xlfn.XLOOKUP(B35,'Up Max'!A:A,'Up Max'!C:C,)</f>
        <v/>
      </c>
      <c r="M35" s="53" t="str">
        <f t="array" ref="M35">_xlfn.XLOOKUP(B35,'Up Stats'!A:A,'Up Stats'!D:D,)</f>
        <v/>
      </c>
      <c r="N35" s="54" t="str">
        <f>IFERROR(__xludf.DUMMYFUNCTION("if(AND(O35=FALSE,P35=FALSE),,if(O35=P35,JOIN("""",""Static: "",O35),JOIN("""",""Min:  "",O35, CHAR(10),""Max: "",P35)))"),"")</f>
        <v/>
      </c>
      <c r="O35" s="55" t="str">
        <f t="array" ref="O35">_xlfn.XLOOKUP(B35,'Up Min'!A:A,'Up Min'!D:D,)</f>
        <v/>
      </c>
      <c r="P35" s="55" t="str">
        <f t="array" ref="P35">_xlfn.XLOOKUP(B35,'Up Max'!A:A,'Up Max'!D:D,)</f>
        <v/>
      </c>
      <c r="Q35" s="57" t="str">
        <f t="array" ref="Q35">_xlfn.XLOOKUP(B35,'Up Stats'!A:A,'Up Stats'!E:E,)</f>
        <v/>
      </c>
      <c r="R35" s="54" t="str">
        <f>IFERROR(__xludf.DUMMYFUNCTION("if(AND(S35=FALSE,T35=FALSE),,if(S35=T35,JOIN("""",""Static: "",S35),JOIN("""",""Min:  "",S35, CHAR(10),""Max: "",T35)))"),"")</f>
        <v/>
      </c>
      <c r="S35" s="55" t="str">
        <f t="array" ref="S35">_xlfn.XLOOKUP(B35,'Up Min'!A:A,'Up Min'!E:E,)</f>
        <v/>
      </c>
      <c r="T35" s="55" t="str">
        <f t="array" ref="T35">_xlfn.XLOOKUP(B35,'Up Max'!A:A,'Up Max'!E:E,)</f>
        <v/>
      </c>
      <c r="U35" s="57" t="str">
        <f t="array" ref="U35">_xlfn.XLOOKUP(B35,'Up Stats'!A:A,'Up Stats'!F:F,)</f>
        <v/>
      </c>
      <c r="V35" s="54" t="str">
        <f>IFERROR(__xludf.DUMMYFUNCTION("if(AND(W35=FALSE,X35=FALSE),,if(W35=X35,JOIN("""",""Static: "",W35),JOIN("""",""Min:  "",W35, CHAR(10),""Max: "",X35)))"),"")</f>
        <v/>
      </c>
      <c r="W35" s="55" t="str">
        <f t="array" ref="W35">_xlfn.XLOOKUP(B35,'Up Min'!A:A,'Up Min'!F:F,)</f>
        <v/>
      </c>
      <c r="X35" s="55" t="str">
        <f t="array" ref="X35">_xlfn.XLOOKUP(B35,'Up Max'!A:A,'Up Max'!F:F,)</f>
        <v/>
      </c>
      <c r="Y35" s="57" t="str">
        <f t="array" ref="Y35">_xlfn.XLOOKUP(B35,'Up Stats'!A:A,'Up Stats'!G:G,)</f>
        <v/>
      </c>
      <c r="Z35" s="54" t="str">
        <f>IFERROR(__xludf.DUMMYFUNCTION("if(AND(AA35=FALSE,AB35=FALSE),,if(AA35=AB35,JOIN("""",""Static: "",AA35),JOIN("""",""Min:  "",AA35, CHAR(10),""Max: "",AB35)))"),"")</f>
        <v/>
      </c>
      <c r="AA35" s="55" t="str">
        <f t="array" ref="AA35">_xlfn.XLOOKUP(B35,'Up Min'!A:A,'Up Min'!G:G,)</f>
        <v/>
      </c>
      <c r="AB35" s="55" t="str">
        <f t="array" ref="AB35">_xlfn.XLOOKUP(B35,'Up Max'!A:A,'Up Max'!G:G,)</f>
        <v/>
      </c>
      <c r="AC35" s="57" t="str">
        <f t="array" ref="AC35">_xlfn.XLOOKUP(B35,'Up Stats'!A:A,'Up Stats'!H:H,)</f>
        <v/>
      </c>
      <c r="AD35" s="54" t="str">
        <f>IFERROR(__xludf.DUMMYFUNCTION("if(AND(AE35=FALSE,AF35=FALSE),,if(AE35=AF35,JOIN("""",""Static: "",AE35),JOIN("""",""Min:  "",AE35, CHAR(10),""Max: "",AF35)))"),"")</f>
        <v/>
      </c>
      <c r="AE35" s="55" t="str">
        <f t="array" ref="AE35">_xlfn.XLOOKUP(B35,'Up Min'!A:A,'Up Min'!H:H,)</f>
        <v/>
      </c>
      <c r="AF35" s="55" t="str">
        <f t="array" ref="AF35">_xlfn.XLOOKUP(B35,'Up Max'!A:A,'Up Max'!H:H,)</f>
        <v/>
      </c>
      <c r="AG35" s="57" t="str">
        <f t="array" ref="AG35">_xlfn.XLOOKUP(B35,'Up Stats'!A:A,'Up Stats'!I:I,)</f>
        <v/>
      </c>
      <c r="AH35" s="54" t="str">
        <f>IFERROR(__xludf.DUMMYFUNCTION("if(AND(AI35=FALSE,AJ35=FALSE),,if(AI35=AJ35,JOIN("""",""Static: "",AI35),JOIN("""",""Min:  "",AI35, CHAR(10),""Max: "",AJ35)))"),"")</f>
        <v/>
      </c>
      <c r="AI35" s="55" t="str">
        <f t="array" ref="AI35">_xlfn.XLOOKUP(B35,'Up Min'!A:A,'Up Min'!I:I,)</f>
        <v/>
      </c>
      <c r="AJ35" s="55" t="str">
        <f t="array" ref="AJ35">_xlfn.XLOOKUP(B35,'Up Max'!A:A,'Up Max'!I:I,)</f>
        <v/>
      </c>
      <c r="AK35" s="57" t="str">
        <f t="array" ref="AK35">_xlfn.XLOOKUP(B35,'Up Stats'!A:A,'Up Stats'!J:J,)</f>
        <v/>
      </c>
      <c r="AL35" s="54" t="str">
        <f>IFERROR(__xludf.DUMMYFUNCTION("if(AND(AM35=FALSE,AN35=FALSE),,if(AM35=AN35,JOIN("""",""Static: "",AM35),JOIN("""",""Min:  "",AM35, CHAR(10),""Max: "",AN35)))"),"")</f>
        <v/>
      </c>
      <c r="AM35" s="55" t="str">
        <f t="array" ref="AM35">_xlfn.XLOOKUP(B35,'Up Min'!A:A,'Up Min'!J:J,)</f>
        <v/>
      </c>
      <c r="AN35" s="55" t="str">
        <f t="array" ref="AN35">_xlfn.XLOOKUP(B35,'Up Max'!A:A,'Up Max'!J:J,)</f>
        <v/>
      </c>
      <c r="AO35" s="51" t="str">
        <f t="array" ref="AO35">CONCATENATE(_xlfn.XLOOKUP(B35,'Up Cells'!A:A,'Up Cells'!B:B,))</f>
        <v/>
      </c>
      <c r="AP35" s="51" t="str">
        <f t="array" ref="AP35">CONCATENATE(_xlfn.XLOOKUP(B35,'Up Rarity'!A:A,'Up Rarity'!B:B,),CHAR(10),"-")</f>
        <v>
-</v>
      </c>
    </row>
    <row r="36">
      <c r="A36" s="87" t="str">
        <f t="array" ref="A36">_xlfn.XLOOKUP(B36,'Up Icon'!A:A,'Up Icon'!B:B,)</f>
        <v/>
      </c>
      <c r="B36" s="34" t="str">
        <f t="array" ref="B36">HYPERLINK(_xlfn.XLOOKUP('Up Names'!O36,'Up Wiki'!A:A,'Up Wiki'!B:B,),'Up Names'!O36)</f>
        <v/>
      </c>
      <c r="C36" s="37" t="str">
        <f t="array" ref="C36">_xlfn.XLOOKUP(B36,'Up Desc'!A:A,'Up Desc'!B:B,)</f>
        <v/>
      </c>
      <c r="D36" s="37" t="str">
        <f t="array" ref="D36">_xlfn.XLOOKUP(B36,'Up Turbo'!A:A,'Up Turbo'!B:B,)</f>
        <v/>
      </c>
      <c r="E36" s="39" t="str">
        <f t="array" ref="E36">_xlfn.XLOOKUP(B36,'Up Stats'!A:A,'Up Stats'!B:B,)</f>
        <v/>
      </c>
      <c r="F36" s="40" t="str">
        <f>IFERROR(__xludf.DUMMYFUNCTION("if(AND(G36=FALSE,H36=FALSE),,if(G36=H36,JOIN("""",""Static: "",G36),JOIN("""",""Min:  "",G36, CHAR(10),""Max: "",H36)))"),"")</f>
        <v/>
      </c>
      <c r="G36" s="42" t="str">
        <f t="array" ref="G36">_xlfn.XLOOKUP(B36,'Up Min'!A:A,'Up Min'!B:B,)</f>
        <v/>
      </c>
      <c r="H36" s="45" t="str">
        <f t="array" ref="H36">_xlfn.XLOOKUP(B36,'Up Max'!A:A,'Up Max'!B:B,)</f>
        <v/>
      </c>
      <c r="I36" s="39" t="str">
        <f t="array" ref="I36">_xlfn.XLOOKUP(B36,'Up Stats'!A:A,'Up Stats'!C:C,)</f>
        <v/>
      </c>
      <c r="J36" s="40" t="str">
        <f>IFERROR(__xludf.DUMMYFUNCTION("if(AND(K36=FALSE,L36=FALSE),,if(K36=L36,JOIN("""",""Static: "",K36),JOIN("""",""Min:  "",K36, CHAR(10),""Max: "",L36)))"),"")</f>
        <v/>
      </c>
      <c r="K36" s="42" t="str">
        <f t="array" ref="K36">_xlfn.XLOOKUP(B36,'Up Min'!A:A,'Up Min'!C:C,)</f>
        <v/>
      </c>
      <c r="L36" s="42" t="str">
        <f t="array" ref="L36">_xlfn.XLOOKUP(B36,'Up Max'!A:A,'Up Max'!C:C,)</f>
        <v/>
      </c>
      <c r="M36" s="39" t="str">
        <f t="array" ref="M36">_xlfn.XLOOKUP(B36,'Up Stats'!A:A,'Up Stats'!D:D,)</f>
        <v/>
      </c>
      <c r="N36" s="40" t="str">
        <f>IFERROR(__xludf.DUMMYFUNCTION("if(AND(O36=FALSE,P36=FALSE),,if(O36=P36,JOIN("""",""Static: "",O36),JOIN("""",""Min:  "",O36, CHAR(10),""Max: "",P36)))"),"")</f>
        <v/>
      </c>
      <c r="O36" s="42" t="str">
        <f t="array" ref="O36">_xlfn.XLOOKUP(B36,'Up Min'!A:A,'Up Min'!D:D,)</f>
        <v/>
      </c>
      <c r="P36" s="42" t="str">
        <f t="array" ref="P36">_xlfn.XLOOKUP(B36,'Up Max'!A:A,'Up Max'!D:D,)</f>
        <v/>
      </c>
      <c r="Q36" s="48" t="str">
        <f t="array" ref="Q36">_xlfn.XLOOKUP(B36,'Up Stats'!A:A,'Up Stats'!E:E,)</f>
        <v/>
      </c>
      <c r="R36" s="40" t="str">
        <f>IFERROR(__xludf.DUMMYFUNCTION("if(AND(S36=FALSE,T36=FALSE),,if(S36=T36,JOIN("""",""Static: "",S36),JOIN("""",""Min:  "",S36, CHAR(10),""Max: "",T36)))"),"")</f>
        <v/>
      </c>
      <c r="S36" s="42" t="str">
        <f t="array" ref="S36">_xlfn.XLOOKUP(B36,'Up Min'!A:A,'Up Min'!E:E,)</f>
        <v/>
      </c>
      <c r="T36" s="42" t="str">
        <f t="array" ref="T36">_xlfn.XLOOKUP(B36,'Up Max'!A:A,'Up Max'!E:E,)</f>
        <v/>
      </c>
      <c r="U36" s="48" t="str">
        <f t="array" ref="U36">_xlfn.XLOOKUP(B36,'Up Stats'!A:A,'Up Stats'!F:F,)</f>
        <v/>
      </c>
      <c r="V36" s="40" t="str">
        <f>IFERROR(__xludf.DUMMYFUNCTION("if(AND(W36=FALSE,X36=FALSE),,if(W36=X36,JOIN("""",""Static: "",W36),JOIN("""",""Min:  "",W36, CHAR(10),""Max: "",X36)))"),"")</f>
        <v/>
      </c>
      <c r="W36" s="42" t="str">
        <f t="array" ref="W36">_xlfn.XLOOKUP(B36,'Up Min'!A:A,'Up Min'!F:F,)</f>
        <v/>
      </c>
      <c r="X36" s="42" t="str">
        <f t="array" ref="X36">_xlfn.XLOOKUP(B36,'Up Max'!A:A,'Up Max'!F:F,)</f>
        <v/>
      </c>
      <c r="Y36" s="48" t="str">
        <f t="array" ref="Y36">_xlfn.XLOOKUP(B36,'Up Stats'!A:A,'Up Stats'!G:G,)</f>
        <v/>
      </c>
      <c r="Z36" s="40" t="str">
        <f>IFERROR(__xludf.DUMMYFUNCTION("if(AND(AA36=FALSE,AB36=FALSE),,if(AA36=AB36,JOIN("""",""Static: "",AA36),JOIN("""",""Min:  "",AA36, CHAR(10),""Max: "",AB36)))"),"")</f>
        <v/>
      </c>
      <c r="AA36" s="42" t="str">
        <f t="array" ref="AA36">_xlfn.XLOOKUP(B36,'Up Min'!A:A,'Up Min'!G:G,)</f>
        <v/>
      </c>
      <c r="AB36" s="42" t="str">
        <f t="array" ref="AB36">_xlfn.XLOOKUP(B36,'Up Max'!A:A,'Up Max'!G:G,)</f>
        <v/>
      </c>
      <c r="AC36" s="48" t="str">
        <f t="array" ref="AC36">_xlfn.XLOOKUP(B36,'Up Stats'!A:A,'Up Stats'!H:H,)</f>
        <v/>
      </c>
      <c r="AD36" s="40" t="str">
        <f>IFERROR(__xludf.DUMMYFUNCTION("if(AND(AE36=FALSE,AF36=FALSE),,if(AE36=AF36,JOIN("""",""Static: "",AE36),JOIN("""",""Min:  "",AE36, CHAR(10),""Max: "",AF36)))"),"")</f>
        <v/>
      </c>
      <c r="AE36" s="42" t="str">
        <f t="array" ref="AE36">_xlfn.XLOOKUP(B36,'Up Min'!A:A,'Up Min'!H:H,)</f>
        <v/>
      </c>
      <c r="AF36" s="42" t="str">
        <f t="array" ref="AF36">_xlfn.XLOOKUP(B36,'Up Max'!A:A,'Up Max'!H:H,)</f>
        <v/>
      </c>
      <c r="AG36" s="48" t="str">
        <f t="array" ref="AG36">_xlfn.XLOOKUP(B36,'Up Stats'!A:A,'Up Stats'!I:I,)</f>
        <v/>
      </c>
      <c r="AH36" s="40" t="str">
        <f>IFERROR(__xludf.DUMMYFUNCTION("if(AND(AI36=FALSE,AJ36=FALSE),,if(AI36=AJ36,JOIN("""",""Static: "",AI36),JOIN("""",""Min:  "",AI36, CHAR(10),""Max: "",AJ36)))"),"")</f>
        <v/>
      </c>
      <c r="AI36" s="42" t="str">
        <f t="array" ref="AI36">_xlfn.XLOOKUP(B36,'Up Min'!A:A,'Up Min'!I:I,)</f>
        <v/>
      </c>
      <c r="AJ36" s="42" t="str">
        <f t="array" ref="AJ36">_xlfn.XLOOKUP(B36,'Up Max'!A:A,'Up Max'!I:I,)</f>
        <v/>
      </c>
      <c r="AK36" s="48" t="str">
        <f t="array" ref="AK36">_xlfn.XLOOKUP(B36,'Up Stats'!A:A,'Up Stats'!J:J,)</f>
        <v/>
      </c>
      <c r="AL36" s="40" t="str">
        <f>IFERROR(__xludf.DUMMYFUNCTION("if(AND(AM36=FALSE,AN36=FALSE),,if(AM36=AN36,JOIN("""",""Static: "",AM36),JOIN("""",""Min:  "",AM36, CHAR(10),""Max: "",AN36)))"),"")</f>
        <v/>
      </c>
      <c r="AM36" s="42" t="str">
        <f t="array" ref="AM36">_xlfn.XLOOKUP(B36,'Up Min'!A:A,'Up Min'!J:J,)</f>
        <v/>
      </c>
      <c r="AN36" s="42" t="str">
        <f t="array" ref="AN36">_xlfn.XLOOKUP(B36,'Up Max'!A:A,'Up Max'!J:J,)</f>
        <v/>
      </c>
      <c r="AO36" s="34" t="str">
        <f t="array" ref="AO36">CONCATENATE(_xlfn.XLOOKUP(B36,'Up Cells'!A:A,'Up Cells'!B:B,))</f>
        <v/>
      </c>
      <c r="AP36" s="34" t="str">
        <f t="array" ref="AP36">CONCATENATE(_xlfn.XLOOKUP(B36,'Up Rarity'!A:A,'Up Rarity'!B:B,),CHAR(10),"-")</f>
        <v>
-</v>
      </c>
    </row>
    <row r="37">
      <c r="A37" s="86" t="str">
        <f t="array" ref="A37">_xlfn.XLOOKUP(B37,'Up Icon'!A:A,'Up Icon'!B:B,)</f>
        <v/>
      </c>
      <c r="B37" s="51" t="str">
        <f t="array" ref="B37">HYPERLINK(_xlfn.XLOOKUP('Up Names'!O37,'Up Wiki'!A:A,'Up Wiki'!B:B,),'Up Names'!O37)</f>
        <v/>
      </c>
      <c r="C37" s="52" t="str">
        <f t="array" ref="C37">_xlfn.XLOOKUP(B37,'Up Desc'!A:A,'Up Desc'!B:B,)</f>
        <v/>
      </c>
      <c r="D37" s="52" t="str">
        <f t="array" ref="D37">_xlfn.XLOOKUP(B37,'Up Turbo'!A:A,'Up Turbo'!B:B,)</f>
        <v/>
      </c>
      <c r="E37" s="53" t="str">
        <f t="array" ref="E37">_xlfn.XLOOKUP(B37,'Up Stats'!A:A,'Up Stats'!B:B,)</f>
        <v/>
      </c>
      <c r="F37" s="54" t="str">
        <f>IFERROR(__xludf.DUMMYFUNCTION("if(AND(G37=FALSE,H37=FALSE),,if(G37=H37,JOIN("""",""Static: "",G37),JOIN("""",""Min:  "",G37, CHAR(10),""Max: "",H37)))"),"")</f>
        <v/>
      </c>
      <c r="G37" s="55" t="str">
        <f t="array" ref="G37">_xlfn.XLOOKUP(B37,'Up Min'!A:A,'Up Min'!B:B,)</f>
        <v/>
      </c>
      <c r="H37" s="56" t="str">
        <f t="array" ref="H37">_xlfn.XLOOKUP(B37,'Up Max'!A:A,'Up Max'!B:B,)</f>
        <v/>
      </c>
      <c r="I37" s="53" t="str">
        <f t="array" ref="I37">_xlfn.XLOOKUP(B37,'Up Stats'!A:A,'Up Stats'!C:C,)</f>
        <v/>
      </c>
      <c r="J37" s="54" t="str">
        <f>IFERROR(__xludf.DUMMYFUNCTION("if(AND(K37=FALSE,L37=FALSE),,if(K37=L37,JOIN("""",""Static: "",K37),JOIN("""",""Min:  "",K37, CHAR(10),""Max: "",L37)))"),"")</f>
        <v/>
      </c>
      <c r="K37" s="55" t="str">
        <f t="array" ref="K37">_xlfn.XLOOKUP(B37,'Up Min'!A:A,'Up Min'!C:C,)</f>
        <v/>
      </c>
      <c r="L37" s="55" t="str">
        <f t="array" ref="L37">_xlfn.XLOOKUP(B37,'Up Max'!A:A,'Up Max'!C:C,)</f>
        <v/>
      </c>
      <c r="M37" s="53" t="str">
        <f t="array" ref="M37">_xlfn.XLOOKUP(B37,'Up Stats'!A:A,'Up Stats'!D:D,)</f>
        <v/>
      </c>
      <c r="N37" s="54" t="str">
        <f>IFERROR(__xludf.DUMMYFUNCTION("if(AND(O37=FALSE,P37=FALSE),,if(O37=P37,JOIN("""",""Static: "",O37),JOIN("""",""Min:  "",O37, CHAR(10),""Max: "",P37)))"),"")</f>
        <v/>
      </c>
      <c r="O37" s="55" t="str">
        <f t="array" ref="O37">_xlfn.XLOOKUP(B37,'Up Min'!A:A,'Up Min'!D:D,)</f>
        <v/>
      </c>
      <c r="P37" s="55" t="str">
        <f t="array" ref="P37">_xlfn.XLOOKUP(B37,'Up Max'!A:A,'Up Max'!D:D,)</f>
        <v/>
      </c>
      <c r="Q37" s="57" t="str">
        <f t="array" ref="Q37">_xlfn.XLOOKUP(B37,'Up Stats'!A:A,'Up Stats'!E:E,)</f>
        <v/>
      </c>
      <c r="R37" s="54" t="str">
        <f>IFERROR(__xludf.DUMMYFUNCTION("if(AND(S37=FALSE,T37=FALSE),,if(S37=T37,JOIN("""",""Static: "",S37),JOIN("""",""Min:  "",S37, CHAR(10),""Max: "",T37)))"),"")</f>
        <v/>
      </c>
      <c r="S37" s="55" t="str">
        <f t="array" ref="S37">_xlfn.XLOOKUP(B37,'Up Min'!A:A,'Up Min'!E:E,)</f>
        <v/>
      </c>
      <c r="T37" s="55" t="str">
        <f t="array" ref="T37">_xlfn.XLOOKUP(B37,'Up Max'!A:A,'Up Max'!E:E,)</f>
        <v/>
      </c>
      <c r="U37" s="57" t="str">
        <f t="array" ref="U37">_xlfn.XLOOKUP(B37,'Up Stats'!A:A,'Up Stats'!F:F,)</f>
        <v/>
      </c>
      <c r="V37" s="54" t="str">
        <f>IFERROR(__xludf.DUMMYFUNCTION("if(AND(W37=FALSE,X37=FALSE),,if(W37=X37,JOIN("""",""Static: "",W37),JOIN("""",""Min:  "",W37, CHAR(10),""Max: "",X37)))"),"")</f>
        <v/>
      </c>
      <c r="W37" s="55" t="str">
        <f t="array" ref="W37">_xlfn.XLOOKUP(B37,'Up Min'!A:A,'Up Min'!F:F,)</f>
        <v/>
      </c>
      <c r="X37" s="55" t="str">
        <f t="array" ref="X37">_xlfn.XLOOKUP(B37,'Up Max'!A:A,'Up Max'!F:F,)</f>
        <v/>
      </c>
      <c r="Y37" s="57" t="str">
        <f t="array" ref="Y37">_xlfn.XLOOKUP(B37,'Up Stats'!A:A,'Up Stats'!G:G,)</f>
        <v/>
      </c>
      <c r="Z37" s="54" t="str">
        <f>IFERROR(__xludf.DUMMYFUNCTION("if(AND(AA37=FALSE,AB37=FALSE),,if(AA37=AB37,JOIN("""",""Static: "",AA37),JOIN("""",""Min:  "",AA37, CHAR(10),""Max: "",AB37)))"),"")</f>
        <v/>
      </c>
      <c r="AA37" s="55" t="str">
        <f t="array" ref="AA37">_xlfn.XLOOKUP(B37,'Up Min'!A:A,'Up Min'!G:G,)</f>
        <v/>
      </c>
      <c r="AB37" s="55" t="str">
        <f t="array" ref="AB37">_xlfn.XLOOKUP(B37,'Up Max'!A:A,'Up Max'!G:G,)</f>
        <v/>
      </c>
      <c r="AC37" s="57" t="str">
        <f t="array" ref="AC37">_xlfn.XLOOKUP(B37,'Up Stats'!A:A,'Up Stats'!H:H,)</f>
        <v/>
      </c>
      <c r="AD37" s="54" t="str">
        <f>IFERROR(__xludf.DUMMYFUNCTION("if(AND(AE37=FALSE,AF37=FALSE),,if(AE37=AF37,JOIN("""",""Static: "",AE37),JOIN("""",""Min:  "",AE37, CHAR(10),""Max: "",AF37)))"),"")</f>
        <v/>
      </c>
      <c r="AE37" s="55" t="str">
        <f t="array" ref="AE37">_xlfn.XLOOKUP(B37,'Up Min'!A:A,'Up Min'!H:H,)</f>
        <v/>
      </c>
      <c r="AF37" s="55" t="str">
        <f t="array" ref="AF37">_xlfn.XLOOKUP(B37,'Up Max'!A:A,'Up Max'!H:H,)</f>
        <v/>
      </c>
      <c r="AG37" s="57" t="str">
        <f t="array" ref="AG37">_xlfn.XLOOKUP(B37,'Up Stats'!A:A,'Up Stats'!I:I,)</f>
        <v/>
      </c>
      <c r="AH37" s="54" t="str">
        <f>IFERROR(__xludf.DUMMYFUNCTION("if(AND(AI37=FALSE,AJ37=FALSE),,if(AI37=AJ37,JOIN("""",""Static: "",AI37),JOIN("""",""Min:  "",AI37, CHAR(10),""Max: "",AJ37)))"),"")</f>
        <v/>
      </c>
      <c r="AI37" s="55" t="str">
        <f t="array" ref="AI37">_xlfn.XLOOKUP(B37,'Up Min'!A:A,'Up Min'!I:I,)</f>
        <v/>
      </c>
      <c r="AJ37" s="55" t="str">
        <f t="array" ref="AJ37">_xlfn.XLOOKUP(B37,'Up Max'!A:A,'Up Max'!I:I,)</f>
        <v/>
      </c>
      <c r="AK37" s="57" t="str">
        <f t="array" ref="AK37">_xlfn.XLOOKUP(B37,'Up Stats'!A:A,'Up Stats'!J:J,)</f>
        <v/>
      </c>
      <c r="AL37" s="54" t="str">
        <f>IFERROR(__xludf.DUMMYFUNCTION("if(AND(AM37=FALSE,AN37=FALSE),,if(AM37=AN37,JOIN("""",""Static: "",AM37),JOIN("""",""Min:  "",AM37, CHAR(10),""Max: "",AN37)))"),"")</f>
        <v/>
      </c>
      <c r="AM37" s="55" t="str">
        <f t="array" ref="AM37">_xlfn.XLOOKUP(B37,'Up Min'!A:A,'Up Min'!J:J,)</f>
        <v/>
      </c>
      <c r="AN37" s="55" t="str">
        <f t="array" ref="AN37">_xlfn.XLOOKUP(B37,'Up Max'!A:A,'Up Max'!J:J,)</f>
        <v/>
      </c>
      <c r="AO37" s="51" t="str">
        <f t="array" ref="AO37">CONCATENATE(_xlfn.XLOOKUP(B37,'Up Cells'!A:A,'Up Cells'!B:B,))</f>
        <v/>
      </c>
      <c r="AP37" s="51" t="str">
        <f t="array" ref="AP37">CONCATENATE(_xlfn.XLOOKUP(B37,'Up Rarity'!A:A,'Up Rarity'!B:B,),CHAR(10),"-")</f>
        <v>
-</v>
      </c>
    </row>
    <row r="38">
      <c r="A38" s="87" t="str">
        <f t="array" ref="A38">_xlfn.XLOOKUP(B38,'Up Icon'!A:A,'Up Icon'!B:B,)</f>
        <v/>
      </c>
      <c r="B38" s="34" t="str">
        <f t="array" ref="B38">HYPERLINK(_xlfn.XLOOKUP('Up Names'!O38,'Up Wiki'!A:A,'Up Wiki'!B:B,),'Up Names'!O38)</f>
        <v/>
      </c>
      <c r="C38" s="37" t="str">
        <f t="array" ref="C38">_xlfn.XLOOKUP(B38,'Up Desc'!A:A,'Up Desc'!B:B,)</f>
        <v/>
      </c>
      <c r="D38" s="37" t="str">
        <f t="array" ref="D38">_xlfn.XLOOKUP(B38,'Up Turbo'!A:A,'Up Turbo'!B:B,)</f>
        <v/>
      </c>
      <c r="E38" s="39" t="str">
        <f t="array" ref="E38">_xlfn.XLOOKUP(B38,'Up Stats'!A:A,'Up Stats'!B:B,)</f>
        <v/>
      </c>
      <c r="F38" s="40" t="str">
        <f>IFERROR(__xludf.DUMMYFUNCTION("if(AND(G38=FALSE,H38=FALSE),,if(G38=H38,JOIN("""",""Static: "",G38),JOIN("""",""Min:  "",G38, CHAR(10),""Max: "",H38)))"),"")</f>
        <v/>
      </c>
      <c r="G38" s="42" t="str">
        <f t="array" ref="G38">_xlfn.XLOOKUP(B38,'Up Min'!A:A,'Up Min'!B:B,)</f>
        <v/>
      </c>
      <c r="H38" s="45" t="str">
        <f t="array" ref="H38">_xlfn.XLOOKUP(B38,'Up Max'!A:A,'Up Max'!B:B,)</f>
        <v/>
      </c>
      <c r="I38" s="39" t="str">
        <f t="array" ref="I38">_xlfn.XLOOKUP(B38,'Up Stats'!A:A,'Up Stats'!C:C,)</f>
        <v/>
      </c>
      <c r="J38" s="40" t="str">
        <f>IFERROR(__xludf.DUMMYFUNCTION("if(AND(K38=FALSE,L38=FALSE),,if(K38=L38,JOIN("""",""Static: "",K38),JOIN("""",""Min:  "",K38, CHAR(10),""Max: "",L38)))"),"")</f>
        <v/>
      </c>
      <c r="K38" s="42" t="str">
        <f t="array" ref="K38">_xlfn.XLOOKUP(B38,'Up Min'!A:A,'Up Min'!C:C,)</f>
        <v/>
      </c>
      <c r="L38" s="42" t="str">
        <f t="array" ref="L38">_xlfn.XLOOKUP(B38,'Up Max'!A:A,'Up Max'!C:C,)</f>
        <v/>
      </c>
      <c r="M38" s="39" t="str">
        <f t="array" ref="M38">_xlfn.XLOOKUP(B38,'Up Stats'!A:A,'Up Stats'!D:D,)</f>
        <v/>
      </c>
      <c r="N38" s="40" t="str">
        <f>IFERROR(__xludf.DUMMYFUNCTION("if(AND(O38=FALSE,P38=FALSE),,if(O38=P38,JOIN("""",""Static: "",O38),JOIN("""",""Min:  "",O38, CHAR(10),""Max: "",P38)))"),"")</f>
        <v/>
      </c>
      <c r="O38" s="42" t="str">
        <f t="array" ref="O38">_xlfn.XLOOKUP(B38,'Up Min'!A:A,'Up Min'!D:D,)</f>
        <v/>
      </c>
      <c r="P38" s="42" t="str">
        <f t="array" ref="P38">_xlfn.XLOOKUP(B38,'Up Max'!A:A,'Up Max'!D:D,)</f>
        <v/>
      </c>
      <c r="Q38" s="48" t="str">
        <f t="array" ref="Q38">_xlfn.XLOOKUP(B38,'Up Stats'!A:A,'Up Stats'!E:E,)</f>
        <v/>
      </c>
      <c r="R38" s="40" t="str">
        <f>IFERROR(__xludf.DUMMYFUNCTION("if(AND(S38=FALSE,T38=FALSE),,if(S38=T38,JOIN("""",""Static: "",S38),JOIN("""",""Min:  "",S38, CHAR(10),""Max: "",T38)))"),"")</f>
        <v/>
      </c>
      <c r="S38" s="42" t="str">
        <f t="array" ref="S38">_xlfn.XLOOKUP(B38,'Up Min'!A:A,'Up Min'!E:E,)</f>
        <v/>
      </c>
      <c r="T38" s="42" t="str">
        <f t="array" ref="T38">_xlfn.XLOOKUP(B38,'Up Max'!A:A,'Up Max'!E:E,)</f>
        <v/>
      </c>
      <c r="U38" s="48" t="str">
        <f t="array" ref="U38">_xlfn.XLOOKUP(B38,'Up Stats'!A:A,'Up Stats'!F:F,)</f>
        <v/>
      </c>
      <c r="V38" s="40" t="str">
        <f>IFERROR(__xludf.DUMMYFUNCTION("if(AND(W38=FALSE,X38=FALSE),,if(W38=X38,JOIN("""",""Static: "",W38),JOIN("""",""Min:  "",W38, CHAR(10),""Max: "",X38)))"),"")</f>
        <v/>
      </c>
      <c r="W38" s="42" t="str">
        <f t="array" ref="W38">_xlfn.XLOOKUP(B38,'Up Min'!A:A,'Up Min'!F:F,)</f>
        <v/>
      </c>
      <c r="X38" s="42" t="str">
        <f t="array" ref="X38">_xlfn.XLOOKUP(B38,'Up Max'!A:A,'Up Max'!F:F,)</f>
        <v/>
      </c>
      <c r="Y38" s="48" t="str">
        <f t="array" ref="Y38">_xlfn.XLOOKUP(B38,'Up Stats'!A:A,'Up Stats'!G:G,)</f>
        <v/>
      </c>
      <c r="Z38" s="40" t="str">
        <f>IFERROR(__xludf.DUMMYFUNCTION("if(AND(AA38=FALSE,AB38=FALSE),,if(AA38=AB38,JOIN("""",""Static: "",AA38),JOIN("""",""Min:  "",AA38, CHAR(10),""Max: "",AB38)))"),"")</f>
        <v/>
      </c>
      <c r="AA38" s="42" t="str">
        <f t="array" ref="AA38">_xlfn.XLOOKUP(B38,'Up Min'!A:A,'Up Min'!G:G,)</f>
        <v/>
      </c>
      <c r="AB38" s="42" t="str">
        <f t="array" ref="AB38">_xlfn.XLOOKUP(B38,'Up Max'!A:A,'Up Max'!G:G,)</f>
        <v/>
      </c>
      <c r="AC38" s="48" t="str">
        <f t="array" ref="AC38">_xlfn.XLOOKUP(B38,'Up Stats'!A:A,'Up Stats'!H:H,)</f>
        <v/>
      </c>
      <c r="AD38" s="40" t="str">
        <f>IFERROR(__xludf.DUMMYFUNCTION("if(AND(AE38=FALSE,AF38=FALSE),,if(AE38=AF38,JOIN("""",""Static: "",AE38),JOIN("""",""Min:  "",AE38, CHAR(10),""Max: "",AF38)))"),"")</f>
        <v/>
      </c>
      <c r="AE38" s="42" t="str">
        <f t="array" ref="AE38">_xlfn.XLOOKUP(B38,'Up Min'!A:A,'Up Min'!H:H,)</f>
        <v/>
      </c>
      <c r="AF38" s="42" t="str">
        <f t="array" ref="AF38">_xlfn.XLOOKUP(B38,'Up Max'!A:A,'Up Max'!H:H,)</f>
        <v/>
      </c>
      <c r="AG38" s="48" t="str">
        <f t="array" ref="AG38">_xlfn.XLOOKUP(B38,'Up Stats'!A:A,'Up Stats'!I:I,)</f>
        <v/>
      </c>
      <c r="AH38" s="40" t="str">
        <f>IFERROR(__xludf.DUMMYFUNCTION("if(AND(AI38=FALSE,AJ38=FALSE),,if(AI38=AJ38,JOIN("""",""Static: "",AI38),JOIN("""",""Min:  "",AI38, CHAR(10),""Max: "",AJ38)))"),"")</f>
        <v/>
      </c>
      <c r="AI38" s="42" t="str">
        <f t="array" ref="AI38">_xlfn.XLOOKUP(B38,'Up Min'!A:A,'Up Min'!I:I,)</f>
        <v/>
      </c>
      <c r="AJ38" s="42" t="str">
        <f t="array" ref="AJ38">_xlfn.XLOOKUP(B38,'Up Max'!A:A,'Up Max'!I:I,)</f>
        <v/>
      </c>
      <c r="AK38" s="48" t="str">
        <f t="array" ref="AK38">_xlfn.XLOOKUP(B38,'Up Stats'!A:A,'Up Stats'!J:J,)</f>
        <v/>
      </c>
      <c r="AL38" s="40" t="str">
        <f>IFERROR(__xludf.DUMMYFUNCTION("if(AND(AM38=FALSE,AN38=FALSE),,if(AM38=AN38,JOIN("""",""Static: "",AM38),JOIN("""",""Min:  "",AM38, CHAR(10),""Max: "",AN38)))"),"")</f>
        <v/>
      </c>
      <c r="AM38" s="42" t="str">
        <f t="array" ref="AM38">_xlfn.XLOOKUP(B38,'Up Min'!A:A,'Up Min'!J:J,)</f>
        <v/>
      </c>
      <c r="AN38" s="42" t="str">
        <f t="array" ref="AN38">_xlfn.XLOOKUP(B38,'Up Max'!A:A,'Up Max'!J:J,)</f>
        <v/>
      </c>
      <c r="AO38" s="34" t="str">
        <f t="array" ref="AO38">CONCATENATE(_xlfn.XLOOKUP(B38,'Up Cells'!A:A,'Up Cells'!B:B,))</f>
        <v/>
      </c>
      <c r="AP38" s="34" t="str">
        <f t="array" ref="AP38">CONCATENATE(_xlfn.XLOOKUP(B38,'Up Rarity'!A:A,'Up Rarity'!B:B,),CHAR(10),"-")</f>
        <v>
-</v>
      </c>
    </row>
    <row r="39">
      <c r="A39" s="86" t="str">
        <f t="array" ref="A39">_xlfn.XLOOKUP(B39,'Up Icon'!A:A,'Up Icon'!B:B,)</f>
        <v/>
      </c>
      <c r="B39" s="51" t="str">
        <f t="array" ref="B39">HYPERLINK(_xlfn.XLOOKUP('Up Names'!O39,'Up Wiki'!A:A,'Up Wiki'!B:B,),'Up Names'!O39)</f>
        <v/>
      </c>
      <c r="C39" s="52" t="str">
        <f t="array" ref="C39">_xlfn.XLOOKUP(B39,'Up Desc'!A:A,'Up Desc'!B:B,)</f>
        <v/>
      </c>
      <c r="D39" s="52" t="str">
        <f t="array" ref="D39">_xlfn.XLOOKUP(B39,'Up Turbo'!A:A,'Up Turbo'!B:B,)</f>
        <v/>
      </c>
      <c r="E39" s="53" t="str">
        <f t="array" ref="E39">_xlfn.XLOOKUP(B39,'Up Stats'!A:A,'Up Stats'!B:B,)</f>
        <v/>
      </c>
      <c r="F39" s="54" t="str">
        <f>IFERROR(__xludf.DUMMYFUNCTION("if(AND(G39=FALSE,H39=FALSE),,if(G39=H39,JOIN("""",""Static: "",G39),JOIN("""",""Min:  "",G39, CHAR(10),""Max: "",H39)))"),"")</f>
        <v/>
      </c>
      <c r="G39" s="55" t="str">
        <f t="array" ref="G39">_xlfn.XLOOKUP(B39,'Up Min'!A:A,'Up Min'!B:B,)</f>
        <v/>
      </c>
      <c r="H39" s="56" t="str">
        <f t="array" ref="H39">_xlfn.XLOOKUP(B39,'Up Max'!A:A,'Up Max'!B:B,)</f>
        <v/>
      </c>
      <c r="I39" s="53" t="str">
        <f t="array" ref="I39">_xlfn.XLOOKUP(B39,'Up Stats'!A:A,'Up Stats'!C:C,)</f>
        <v/>
      </c>
      <c r="J39" s="54" t="str">
        <f>IFERROR(__xludf.DUMMYFUNCTION("if(AND(K39=FALSE,L39=FALSE),,if(K39=L39,JOIN("""",""Static: "",K39),JOIN("""",""Min:  "",K39, CHAR(10),""Max: "",L39)))"),"")</f>
        <v/>
      </c>
      <c r="K39" s="55" t="str">
        <f t="array" ref="K39">_xlfn.XLOOKUP(B39,'Up Min'!A:A,'Up Min'!C:C,)</f>
        <v/>
      </c>
      <c r="L39" s="55" t="str">
        <f t="array" ref="L39">_xlfn.XLOOKUP(B39,'Up Max'!A:A,'Up Max'!C:C,)</f>
        <v/>
      </c>
      <c r="M39" s="53" t="str">
        <f t="array" ref="M39">_xlfn.XLOOKUP(B39,'Up Stats'!A:A,'Up Stats'!D:D,)</f>
        <v/>
      </c>
      <c r="N39" s="54" t="str">
        <f>IFERROR(__xludf.DUMMYFUNCTION("if(AND(O39=FALSE,P39=FALSE),,if(O39=P39,JOIN("""",""Static: "",O39),JOIN("""",""Min:  "",O39, CHAR(10),""Max: "",P39)))"),"")</f>
        <v/>
      </c>
      <c r="O39" s="55" t="str">
        <f t="array" ref="O39">_xlfn.XLOOKUP(B39,'Up Min'!A:A,'Up Min'!D:D,)</f>
        <v/>
      </c>
      <c r="P39" s="55" t="str">
        <f t="array" ref="P39">_xlfn.XLOOKUP(B39,'Up Max'!A:A,'Up Max'!D:D,)</f>
        <v/>
      </c>
      <c r="Q39" s="57" t="str">
        <f t="array" ref="Q39">_xlfn.XLOOKUP(B39,'Up Stats'!A:A,'Up Stats'!E:E,)</f>
        <v/>
      </c>
      <c r="R39" s="54" t="str">
        <f>IFERROR(__xludf.DUMMYFUNCTION("if(AND(S39=FALSE,T39=FALSE),,if(S39=T39,JOIN("""",""Static: "",S39),JOIN("""",""Min:  "",S39, CHAR(10),""Max: "",T39)))"),"")</f>
        <v/>
      </c>
      <c r="S39" s="55" t="str">
        <f t="array" ref="S39">_xlfn.XLOOKUP(B39,'Up Min'!A:A,'Up Min'!E:E,)</f>
        <v/>
      </c>
      <c r="T39" s="55" t="str">
        <f t="array" ref="T39">_xlfn.XLOOKUP(B39,'Up Max'!A:A,'Up Max'!E:E,)</f>
        <v/>
      </c>
      <c r="U39" s="57" t="str">
        <f t="array" ref="U39">_xlfn.XLOOKUP(B39,'Up Stats'!A:A,'Up Stats'!F:F,)</f>
        <v/>
      </c>
      <c r="V39" s="54" t="str">
        <f>IFERROR(__xludf.DUMMYFUNCTION("if(AND(W39=FALSE,X39=FALSE),,if(W39=X39,JOIN("""",""Static: "",W39),JOIN("""",""Min:  "",W39, CHAR(10),""Max: "",X39)))"),"")</f>
        <v/>
      </c>
      <c r="W39" s="55" t="str">
        <f t="array" ref="W39">_xlfn.XLOOKUP(B39,'Up Min'!A:A,'Up Min'!F:F,)</f>
        <v/>
      </c>
      <c r="X39" s="55" t="str">
        <f t="array" ref="X39">_xlfn.XLOOKUP(B39,'Up Max'!A:A,'Up Max'!F:F,)</f>
        <v/>
      </c>
      <c r="Y39" s="57" t="str">
        <f t="array" ref="Y39">_xlfn.XLOOKUP(B39,'Up Stats'!A:A,'Up Stats'!G:G,)</f>
        <v/>
      </c>
      <c r="Z39" s="54" t="str">
        <f>IFERROR(__xludf.DUMMYFUNCTION("if(AND(AA39=FALSE,AB39=FALSE),,if(AA39=AB39,JOIN("""",""Static: "",AA39),JOIN("""",""Min:  "",AA39, CHAR(10),""Max: "",AB39)))"),"")</f>
        <v/>
      </c>
      <c r="AA39" s="55" t="str">
        <f t="array" ref="AA39">_xlfn.XLOOKUP(B39,'Up Min'!A:A,'Up Min'!G:G,)</f>
        <v/>
      </c>
      <c r="AB39" s="55" t="str">
        <f t="array" ref="AB39">_xlfn.XLOOKUP(B39,'Up Max'!A:A,'Up Max'!G:G,)</f>
        <v/>
      </c>
      <c r="AC39" s="57" t="str">
        <f t="array" ref="AC39">_xlfn.XLOOKUP(B39,'Up Stats'!A:A,'Up Stats'!H:H,)</f>
        <v/>
      </c>
      <c r="AD39" s="54" t="str">
        <f>IFERROR(__xludf.DUMMYFUNCTION("if(AND(AE39=FALSE,AF39=FALSE),,if(AE39=AF39,JOIN("""",""Static: "",AE39),JOIN("""",""Min:  "",AE39, CHAR(10),""Max: "",AF39)))"),"")</f>
        <v/>
      </c>
      <c r="AE39" s="55" t="str">
        <f t="array" ref="AE39">_xlfn.XLOOKUP(B39,'Up Min'!A:A,'Up Min'!H:H,)</f>
        <v/>
      </c>
      <c r="AF39" s="55" t="str">
        <f t="array" ref="AF39">_xlfn.XLOOKUP(B39,'Up Max'!A:A,'Up Max'!H:H,)</f>
        <v/>
      </c>
      <c r="AG39" s="57" t="str">
        <f t="array" ref="AG39">_xlfn.XLOOKUP(B39,'Up Stats'!A:A,'Up Stats'!I:I,)</f>
        <v/>
      </c>
      <c r="AH39" s="54" t="str">
        <f>IFERROR(__xludf.DUMMYFUNCTION("if(AND(AI39=FALSE,AJ39=FALSE),,if(AI39=AJ39,JOIN("""",""Static: "",AI39),JOIN("""",""Min:  "",AI39, CHAR(10),""Max: "",AJ39)))"),"")</f>
        <v/>
      </c>
      <c r="AI39" s="55" t="str">
        <f t="array" ref="AI39">_xlfn.XLOOKUP(B39,'Up Min'!A:A,'Up Min'!I:I,)</f>
        <v/>
      </c>
      <c r="AJ39" s="55" t="str">
        <f t="array" ref="AJ39">_xlfn.XLOOKUP(B39,'Up Max'!A:A,'Up Max'!I:I,)</f>
        <v/>
      </c>
      <c r="AK39" s="57" t="str">
        <f t="array" ref="AK39">_xlfn.XLOOKUP(B39,'Up Stats'!A:A,'Up Stats'!J:J,)</f>
        <v/>
      </c>
      <c r="AL39" s="54" t="str">
        <f>IFERROR(__xludf.DUMMYFUNCTION("if(AND(AM39=FALSE,AN39=FALSE),,if(AM39=AN39,JOIN("""",""Static: "",AM39),JOIN("""",""Min:  "",AM39, CHAR(10),""Max: "",AN39)))"),"")</f>
        <v/>
      </c>
      <c r="AM39" s="55" t="str">
        <f t="array" ref="AM39">_xlfn.XLOOKUP(B39,'Up Min'!A:A,'Up Min'!J:J,)</f>
        <v/>
      </c>
      <c r="AN39" s="55" t="str">
        <f t="array" ref="AN39">_xlfn.XLOOKUP(B39,'Up Max'!A:A,'Up Max'!J:J,)</f>
        <v/>
      </c>
      <c r="AO39" s="51" t="str">
        <f t="array" ref="AO39">CONCATENATE(_xlfn.XLOOKUP(B39,'Up Cells'!A:A,'Up Cells'!B:B,))</f>
        <v/>
      </c>
      <c r="AP39" s="51" t="str">
        <f t="array" ref="AP39">CONCATENATE(_xlfn.XLOOKUP(B39,'Up Rarity'!A:A,'Up Rarity'!B:B,),CHAR(10),"-")</f>
        <v>
-</v>
      </c>
    </row>
    <row r="40">
      <c r="A40" s="87" t="str">
        <f t="array" ref="A40">_xlfn.XLOOKUP(B40,'Up Icon'!A:A,'Up Icon'!B:B,)</f>
        <v/>
      </c>
      <c r="B40" s="34" t="str">
        <f t="array" ref="B40">HYPERLINK(_xlfn.XLOOKUP('Up Names'!O40,'Up Wiki'!A:A,'Up Wiki'!B:B,),'Up Names'!O40)</f>
        <v/>
      </c>
      <c r="C40" s="37" t="str">
        <f t="array" ref="C40">_xlfn.XLOOKUP(B40,'Up Desc'!A:A,'Up Desc'!B:B,)</f>
        <v/>
      </c>
      <c r="D40" s="37" t="str">
        <f t="array" ref="D40">_xlfn.XLOOKUP(B40,'Up Turbo'!A:A,'Up Turbo'!B:B,)</f>
        <v/>
      </c>
      <c r="E40" s="39" t="str">
        <f t="array" ref="E40">_xlfn.XLOOKUP(B40,'Up Stats'!A:A,'Up Stats'!B:B,)</f>
        <v/>
      </c>
      <c r="F40" s="40" t="str">
        <f>IFERROR(__xludf.DUMMYFUNCTION("if(AND(G40=FALSE,H40=FALSE),,if(G40=H40,JOIN("""",""Static: "",G40),JOIN("""",""Min:  "",G40, CHAR(10),""Max: "",H40)))"),"")</f>
        <v/>
      </c>
      <c r="G40" s="42" t="str">
        <f t="array" ref="G40">_xlfn.XLOOKUP(B40,'Up Min'!A:A,'Up Min'!B:B,)</f>
        <v/>
      </c>
      <c r="H40" s="45" t="str">
        <f t="array" ref="H40">_xlfn.XLOOKUP(B40,'Up Max'!A:A,'Up Max'!B:B,)</f>
        <v/>
      </c>
      <c r="I40" s="39" t="str">
        <f t="array" ref="I40">_xlfn.XLOOKUP(B40,'Up Stats'!A:A,'Up Stats'!C:C,)</f>
        <v/>
      </c>
      <c r="J40" s="40" t="str">
        <f>IFERROR(__xludf.DUMMYFUNCTION("if(AND(K40=FALSE,L40=FALSE),,if(K40=L40,JOIN("""",""Static: "",K40),JOIN("""",""Min:  "",K40, CHAR(10),""Max: "",L40)))"),"")</f>
        <v/>
      </c>
      <c r="K40" s="42" t="str">
        <f t="array" ref="K40">_xlfn.XLOOKUP(B40,'Up Min'!A:A,'Up Min'!C:C,)</f>
        <v/>
      </c>
      <c r="L40" s="42" t="str">
        <f t="array" ref="L40">_xlfn.XLOOKUP(B40,'Up Max'!A:A,'Up Max'!C:C,)</f>
        <v/>
      </c>
      <c r="M40" s="39" t="str">
        <f t="array" ref="M40">_xlfn.XLOOKUP(B40,'Up Stats'!A:A,'Up Stats'!D:D,)</f>
        <v/>
      </c>
      <c r="N40" s="40" t="str">
        <f>IFERROR(__xludf.DUMMYFUNCTION("if(AND(O40=FALSE,P40=FALSE),,if(O40=P40,JOIN("""",""Static: "",O40),JOIN("""",""Min:  "",O40, CHAR(10),""Max: "",P40)))"),"")</f>
        <v/>
      </c>
      <c r="O40" s="42" t="str">
        <f t="array" ref="O40">_xlfn.XLOOKUP(B40,'Up Min'!A:A,'Up Min'!D:D,)</f>
        <v/>
      </c>
      <c r="P40" s="42" t="str">
        <f t="array" ref="P40">_xlfn.XLOOKUP(B40,'Up Max'!A:A,'Up Max'!D:D,)</f>
        <v/>
      </c>
      <c r="Q40" s="48" t="str">
        <f t="array" ref="Q40">_xlfn.XLOOKUP(B40,'Up Stats'!A:A,'Up Stats'!E:E,)</f>
        <v/>
      </c>
      <c r="R40" s="40" t="str">
        <f>IFERROR(__xludf.DUMMYFUNCTION("if(AND(S40=FALSE,T40=FALSE),,if(S40=T40,JOIN("""",""Static: "",S40),JOIN("""",""Min:  "",S40, CHAR(10),""Max: "",T40)))"),"")</f>
        <v/>
      </c>
      <c r="S40" s="42" t="str">
        <f t="array" ref="S40">_xlfn.XLOOKUP(B40,'Up Min'!A:A,'Up Min'!E:E,)</f>
        <v/>
      </c>
      <c r="T40" s="42" t="str">
        <f t="array" ref="T40">_xlfn.XLOOKUP(B40,'Up Max'!A:A,'Up Max'!E:E,)</f>
        <v/>
      </c>
      <c r="U40" s="48" t="str">
        <f t="array" ref="U40">_xlfn.XLOOKUP(B40,'Up Stats'!A:A,'Up Stats'!F:F,)</f>
        <v/>
      </c>
      <c r="V40" s="40" t="str">
        <f>IFERROR(__xludf.DUMMYFUNCTION("if(AND(W40=FALSE,X40=FALSE),,if(W40=X40,JOIN("""",""Static: "",W40),JOIN("""",""Min:  "",W40, CHAR(10),""Max: "",X40)))"),"")</f>
        <v/>
      </c>
      <c r="W40" s="42" t="str">
        <f t="array" ref="W40">_xlfn.XLOOKUP(B40,'Up Min'!A:A,'Up Min'!F:F,)</f>
        <v/>
      </c>
      <c r="X40" s="42" t="str">
        <f t="array" ref="X40">_xlfn.XLOOKUP(B40,'Up Max'!A:A,'Up Max'!F:F,)</f>
        <v/>
      </c>
      <c r="Y40" s="48" t="str">
        <f t="array" ref="Y40">_xlfn.XLOOKUP(B40,'Up Stats'!A:A,'Up Stats'!G:G,)</f>
        <v/>
      </c>
      <c r="Z40" s="40" t="str">
        <f>IFERROR(__xludf.DUMMYFUNCTION("if(AND(AA40=FALSE,AB40=FALSE),,if(AA40=AB40,JOIN("""",""Static: "",AA40),JOIN("""",""Min:  "",AA40, CHAR(10),""Max: "",AB40)))"),"")</f>
        <v/>
      </c>
      <c r="AA40" s="42" t="str">
        <f t="array" ref="AA40">_xlfn.XLOOKUP(B40,'Up Min'!A:A,'Up Min'!G:G,)</f>
        <v/>
      </c>
      <c r="AB40" s="42" t="str">
        <f t="array" ref="AB40">_xlfn.XLOOKUP(B40,'Up Max'!A:A,'Up Max'!G:G,)</f>
        <v/>
      </c>
      <c r="AC40" s="48" t="str">
        <f t="array" ref="AC40">_xlfn.XLOOKUP(B40,'Up Stats'!A:A,'Up Stats'!H:H,)</f>
        <v/>
      </c>
      <c r="AD40" s="40" t="str">
        <f>IFERROR(__xludf.DUMMYFUNCTION("if(AND(AE40=FALSE,AF40=FALSE),,if(AE40=AF40,JOIN("""",""Static: "",AE40),JOIN("""",""Min:  "",AE40, CHAR(10),""Max: "",AF40)))"),"")</f>
        <v/>
      </c>
      <c r="AE40" s="42" t="str">
        <f t="array" ref="AE40">_xlfn.XLOOKUP(B40,'Up Min'!A:A,'Up Min'!H:H,)</f>
        <v/>
      </c>
      <c r="AF40" s="42" t="str">
        <f t="array" ref="AF40">_xlfn.XLOOKUP(B40,'Up Max'!A:A,'Up Max'!H:H,)</f>
        <v/>
      </c>
      <c r="AG40" s="48" t="str">
        <f t="array" ref="AG40">_xlfn.XLOOKUP(B40,'Up Stats'!A:A,'Up Stats'!I:I,)</f>
        <v/>
      </c>
      <c r="AH40" s="40" t="str">
        <f>IFERROR(__xludf.DUMMYFUNCTION("if(AND(AI40=FALSE,AJ40=FALSE),,if(AI40=AJ40,JOIN("""",""Static: "",AI40),JOIN("""",""Min:  "",AI40, CHAR(10),""Max: "",AJ40)))"),"")</f>
        <v/>
      </c>
      <c r="AI40" s="42" t="str">
        <f t="array" ref="AI40">_xlfn.XLOOKUP(B40,'Up Min'!A:A,'Up Min'!I:I,)</f>
        <v/>
      </c>
      <c r="AJ40" s="42" t="str">
        <f t="array" ref="AJ40">_xlfn.XLOOKUP(B40,'Up Max'!A:A,'Up Max'!I:I,)</f>
        <v/>
      </c>
      <c r="AK40" s="48" t="str">
        <f t="array" ref="AK40">_xlfn.XLOOKUP(B40,'Up Stats'!A:A,'Up Stats'!J:J,)</f>
        <v/>
      </c>
      <c r="AL40" s="40" t="str">
        <f>IFERROR(__xludf.DUMMYFUNCTION("if(AND(AM40=FALSE,AN40=FALSE),,if(AM40=AN40,JOIN("""",""Static: "",AM40),JOIN("""",""Min:  "",AM40, CHAR(10),""Max: "",AN40)))"),"")</f>
        <v/>
      </c>
      <c r="AM40" s="42" t="str">
        <f t="array" ref="AM40">_xlfn.XLOOKUP(B40,'Up Min'!A:A,'Up Min'!J:J,)</f>
        <v/>
      </c>
      <c r="AN40" s="42" t="str">
        <f t="array" ref="AN40">_xlfn.XLOOKUP(B40,'Up Max'!A:A,'Up Max'!J:J,)</f>
        <v/>
      </c>
      <c r="AO40" s="34" t="str">
        <f t="array" ref="AO40">CONCATENATE(_xlfn.XLOOKUP(B40,'Up Cells'!A:A,'Up Cells'!B:B,))</f>
        <v/>
      </c>
      <c r="AP40" s="34" t="str">
        <f t="array" ref="AP40">CONCATENATE(_xlfn.XLOOKUP(B40,'Up Rarity'!A:A,'Up Rarity'!B:B,),CHAR(10),"-")</f>
        <v>
-</v>
      </c>
    </row>
    <row r="41">
      <c r="A41" s="86" t="str">
        <f t="array" ref="A41">_xlfn.XLOOKUP(B41,'Up Icon'!A:A,'Up Icon'!B:B,)</f>
        <v/>
      </c>
      <c r="B41" s="51" t="str">
        <f t="array" ref="B41">HYPERLINK(_xlfn.XLOOKUP('Up Names'!O41,'Up Wiki'!A:A,'Up Wiki'!B:B,),'Up Names'!O41)</f>
        <v/>
      </c>
      <c r="C41" s="52" t="str">
        <f t="array" ref="C41">_xlfn.XLOOKUP(B41,'Up Desc'!A:A,'Up Desc'!B:B,)</f>
        <v/>
      </c>
      <c r="D41" s="52" t="str">
        <f t="array" ref="D41">_xlfn.XLOOKUP(B41,'Up Turbo'!A:A,'Up Turbo'!B:B,)</f>
        <v/>
      </c>
      <c r="E41" s="53" t="str">
        <f t="array" ref="E41">_xlfn.XLOOKUP(B41,'Up Stats'!A:A,'Up Stats'!B:B,)</f>
        <v/>
      </c>
      <c r="F41" s="54" t="str">
        <f>IFERROR(__xludf.DUMMYFUNCTION("if(AND(G41=FALSE,H41=FALSE),,if(G41=H41,JOIN("""",""Static: "",G41),JOIN("""",""Min:  "",G41, CHAR(10),""Max: "",H41)))"),"")</f>
        <v/>
      </c>
      <c r="G41" s="55" t="str">
        <f t="array" ref="G41">_xlfn.XLOOKUP(B41,'Up Min'!A:A,'Up Min'!B:B,)</f>
        <v/>
      </c>
      <c r="H41" s="56" t="str">
        <f t="array" ref="H41">_xlfn.XLOOKUP(B41,'Up Max'!A:A,'Up Max'!B:B,)</f>
        <v/>
      </c>
      <c r="I41" s="53" t="str">
        <f t="array" ref="I41">_xlfn.XLOOKUP(B41,'Up Stats'!A:A,'Up Stats'!C:C,)</f>
        <v/>
      </c>
      <c r="J41" s="54" t="str">
        <f>IFERROR(__xludf.DUMMYFUNCTION("if(AND(K41=FALSE,L41=FALSE),,if(K41=L41,JOIN("""",""Static: "",K41),JOIN("""",""Min:  "",K41, CHAR(10),""Max: "",L41)))"),"")</f>
        <v/>
      </c>
      <c r="K41" s="55" t="str">
        <f t="array" ref="K41">_xlfn.XLOOKUP(B41,'Up Min'!A:A,'Up Min'!C:C,)</f>
        <v/>
      </c>
      <c r="L41" s="55" t="str">
        <f t="array" ref="L41">_xlfn.XLOOKUP(B41,'Up Max'!A:A,'Up Max'!C:C,)</f>
        <v/>
      </c>
      <c r="M41" s="53" t="str">
        <f t="array" ref="M41">_xlfn.XLOOKUP(B41,'Up Stats'!A:A,'Up Stats'!D:D,)</f>
        <v/>
      </c>
      <c r="N41" s="54" t="str">
        <f>IFERROR(__xludf.DUMMYFUNCTION("if(AND(O41=FALSE,P41=FALSE),,if(O41=P41,JOIN("""",""Static: "",O41),JOIN("""",""Min:  "",O41, CHAR(10),""Max: "",P41)))"),"")</f>
        <v/>
      </c>
      <c r="O41" s="55" t="str">
        <f t="array" ref="O41">_xlfn.XLOOKUP(B41,'Up Min'!A:A,'Up Min'!D:D,)</f>
        <v/>
      </c>
      <c r="P41" s="55" t="str">
        <f t="array" ref="P41">_xlfn.XLOOKUP(B41,'Up Max'!A:A,'Up Max'!D:D,)</f>
        <v/>
      </c>
      <c r="Q41" s="57" t="str">
        <f t="array" ref="Q41">_xlfn.XLOOKUP(B41,'Up Stats'!A:A,'Up Stats'!E:E,)</f>
        <v/>
      </c>
      <c r="R41" s="54" t="str">
        <f>IFERROR(__xludf.DUMMYFUNCTION("if(AND(S41=FALSE,T41=FALSE),,if(S41=T41,JOIN("""",""Static: "",S41),JOIN("""",""Min:  "",S41, CHAR(10),""Max: "",T41)))"),"")</f>
        <v/>
      </c>
      <c r="S41" s="55" t="str">
        <f t="array" ref="S41">_xlfn.XLOOKUP(B41,'Up Min'!A:A,'Up Min'!E:E,)</f>
        <v/>
      </c>
      <c r="T41" s="55" t="str">
        <f t="array" ref="T41">_xlfn.XLOOKUP(B41,'Up Max'!A:A,'Up Max'!E:E,)</f>
        <v/>
      </c>
      <c r="U41" s="57" t="str">
        <f t="array" ref="U41">_xlfn.XLOOKUP(B41,'Up Stats'!A:A,'Up Stats'!F:F,)</f>
        <v/>
      </c>
      <c r="V41" s="54" t="str">
        <f>IFERROR(__xludf.DUMMYFUNCTION("if(AND(W41=FALSE,X41=FALSE),,if(W41=X41,JOIN("""",""Static: "",W41),JOIN("""",""Min:  "",W41, CHAR(10),""Max: "",X41)))"),"")</f>
        <v/>
      </c>
      <c r="W41" s="55" t="str">
        <f t="array" ref="W41">_xlfn.XLOOKUP(B41,'Up Min'!A:A,'Up Min'!F:F,)</f>
        <v/>
      </c>
      <c r="X41" s="55" t="str">
        <f t="array" ref="X41">_xlfn.XLOOKUP(B41,'Up Max'!A:A,'Up Max'!F:F,)</f>
        <v/>
      </c>
      <c r="Y41" s="57" t="str">
        <f t="array" ref="Y41">_xlfn.XLOOKUP(B41,'Up Stats'!A:A,'Up Stats'!G:G,)</f>
        <v/>
      </c>
      <c r="Z41" s="54" t="str">
        <f>IFERROR(__xludf.DUMMYFUNCTION("if(AND(AA41=FALSE,AB41=FALSE),,if(AA41=AB41,JOIN("""",""Static: "",AA41),JOIN("""",""Min:  "",AA41, CHAR(10),""Max: "",AB41)))"),"")</f>
        <v/>
      </c>
      <c r="AA41" s="55" t="str">
        <f t="array" ref="AA41">_xlfn.XLOOKUP(B41,'Up Min'!A:A,'Up Min'!G:G,)</f>
        <v/>
      </c>
      <c r="AB41" s="55" t="str">
        <f t="array" ref="AB41">_xlfn.XLOOKUP(B41,'Up Max'!A:A,'Up Max'!G:G,)</f>
        <v/>
      </c>
      <c r="AC41" s="57" t="str">
        <f t="array" ref="AC41">_xlfn.XLOOKUP(B41,'Up Stats'!A:A,'Up Stats'!H:H,)</f>
        <v/>
      </c>
      <c r="AD41" s="54" t="str">
        <f>IFERROR(__xludf.DUMMYFUNCTION("if(AND(AE41=FALSE,AF41=FALSE),,if(AE41=AF41,JOIN("""",""Static: "",AE41),JOIN("""",""Min:  "",AE41, CHAR(10),""Max: "",AF41)))"),"")</f>
        <v/>
      </c>
      <c r="AE41" s="55" t="str">
        <f t="array" ref="AE41">_xlfn.XLOOKUP(B41,'Up Min'!A:A,'Up Min'!H:H,)</f>
        <v/>
      </c>
      <c r="AF41" s="55" t="str">
        <f t="array" ref="AF41">_xlfn.XLOOKUP(B41,'Up Max'!A:A,'Up Max'!H:H,)</f>
        <v/>
      </c>
      <c r="AG41" s="57" t="str">
        <f t="array" ref="AG41">_xlfn.XLOOKUP(B41,'Up Stats'!A:A,'Up Stats'!I:I,)</f>
        <v/>
      </c>
      <c r="AH41" s="54" t="str">
        <f>IFERROR(__xludf.DUMMYFUNCTION("if(AND(AI41=FALSE,AJ41=FALSE),,if(AI41=AJ41,JOIN("""",""Static: "",AI41),JOIN("""",""Min:  "",AI41, CHAR(10),""Max: "",AJ41)))"),"")</f>
        <v/>
      </c>
      <c r="AI41" s="55" t="str">
        <f t="array" ref="AI41">_xlfn.XLOOKUP(B41,'Up Min'!A:A,'Up Min'!I:I,)</f>
        <v/>
      </c>
      <c r="AJ41" s="55" t="str">
        <f t="array" ref="AJ41">_xlfn.XLOOKUP(B41,'Up Max'!A:A,'Up Max'!I:I,)</f>
        <v/>
      </c>
      <c r="AK41" s="57" t="str">
        <f t="array" ref="AK41">_xlfn.XLOOKUP(B41,'Up Stats'!A:A,'Up Stats'!J:J,)</f>
        <v/>
      </c>
      <c r="AL41" s="54" t="str">
        <f>IFERROR(__xludf.DUMMYFUNCTION("if(AND(AM41=FALSE,AN41=FALSE),,if(AM41=AN41,JOIN("""",""Static: "",AM41),JOIN("""",""Min:  "",AM41, CHAR(10),""Max: "",AN41)))"),"")</f>
        <v/>
      </c>
      <c r="AM41" s="55" t="str">
        <f t="array" ref="AM41">_xlfn.XLOOKUP(B41,'Up Min'!A:A,'Up Min'!J:J,)</f>
        <v/>
      </c>
      <c r="AN41" s="55" t="str">
        <f t="array" ref="AN41">_xlfn.XLOOKUP(B41,'Up Max'!A:A,'Up Max'!J:J,)</f>
        <v/>
      </c>
      <c r="AO41" s="51" t="str">
        <f t="array" ref="AO41">CONCATENATE(_xlfn.XLOOKUP(B41,'Up Cells'!A:A,'Up Cells'!B:B,))</f>
        <v/>
      </c>
      <c r="AP41" s="51" t="str">
        <f t="array" ref="AP41">CONCATENATE(_xlfn.XLOOKUP(B41,'Up Rarity'!A:A,'Up Rarity'!B:B,),CHAR(10),"-")</f>
        <v>
-</v>
      </c>
    </row>
    <row r="42">
      <c r="A42" s="87" t="str">
        <f t="array" ref="A42">_xlfn.XLOOKUP(B42,'Up Icon'!A:A,'Up Icon'!B:B,)</f>
        <v/>
      </c>
      <c r="B42" s="34" t="str">
        <f t="array" ref="B42">HYPERLINK(_xlfn.XLOOKUP('Up Names'!O42,'Up Wiki'!A:A,'Up Wiki'!B:B,),'Up Names'!O42)</f>
        <v/>
      </c>
      <c r="C42" s="37" t="str">
        <f t="array" ref="C42">_xlfn.XLOOKUP(B42,'Up Desc'!A:A,'Up Desc'!B:B,)</f>
        <v/>
      </c>
      <c r="D42" s="37" t="str">
        <f t="array" ref="D42">_xlfn.XLOOKUP(B42,'Up Turbo'!A:A,'Up Turbo'!B:B,)</f>
        <v/>
      </c>
      <c r="E42" s="39" t="str">
        <f t="array" ref="E42">_xlfn.XLOOKUP(B42,'Up Stats'!A:A,'Up Stats'!B:B,)</f>
        <v/>
      </c>
      <c r="F42" s="40" t="str">
        <f>IFERROR(__xludf.DUMMYFUNCTION("if(AND(G42=FALSE,H42=FALSE),,if(G42=H42,JOIN("""",""Static: "",G42),JOIN("""",""Min:  "",G42, CHAR(10),""Max: "",H42)))"),"")</f>
        <v/>
      </c>
      <c r="G42" s="42" t="str">
        <f t="array" ref="G42">_xlfn.XLOOKUP(B42,'Up Min'!A:A,'Up Min'!B:B,)</f>
        <v/>
      </c>
      <c r="H42" s="45" t="str">
        <f t="array" ref="H42">_xlfn.XLOOKUP(B42,'Up Max'!A:A,'Up Max'!B:B,)</f>
        <v/>
      </c>
      <c r="I42" s="39" t="str">
        <f t="array" ref="I42">_xlfn.XLOOKUP(B42,'Up Stats'!A:A,'Up Stats'!C:C,)</f>
        <v/>
      </c>
      <c r="J42" s="40" t="str">
        <f>IFERROR(__xludf.DUMMYFUNCTION("if(AND(K42=FALSE,L42=FALSE),,if(K42=L42,JOIN("""",""Static: "",K42),JOIN("""",""Min:  "",K42, CHAR(10),""Max: "",L42)))"),"")</f>
        <v/>
      </c>
      <c r="K42" s="42" t="str">
        <f t="array" ref="K42">_xlfn.XLOOKUP(B42,'Up Min'!A:A,'Up Min'!C:C,)</f>
        <v/>
      </c>
      <c r="L42" s="42" t="str">
        <f t="array" ref="L42">_xlfn.XLOOKUP(B42,'Up Max'!A:A,'Up Max'!C:C,)</f>
        <v/>
      </c>
      <c r="M42" s="39" t="str">
        <f t="array" ref="M42">_xlfn.XLOOKUP(B42,'Up Stats'!A:A,'Up Stats'!D:D,)</f>
        <v/>
      </c>
      <c r="N42" s="40" t="str">
        <f>IFERROR(__xludf.DUMMYFUNCTION("if(AND(O42=FALSE,P42=FALSE),,if(O42=P42,JOIN("""",""Static: "",O42),JOIN("""",""Min:  "",O42, CHAR(10),""Max: "",P42)))"),"")</f>
        <v/>
      </c>
      <c r="O42" s="42" t="str">
        <f t="array" ref="O42">_xlfn.XLOOKUP(B42,'Up Min'!A:A,'Up Min'!D:D,)</f>
        <v/>
      </c>
      <c r="P42" s="42" t="str">
        <f t="array" ref="P42">_xlfn.XLOOKUP(B42,'Up Max'!A:A,'Up Max'!D:D,)</f>
        <v/>
      </c>
      <c r="Q42" s="48" t="str">
        <f t="array" ref="Q42">_xlfn.XLOOKUP(B42,'Up Stats'!A:A,'Up Stats'!E:E,)</f>
        <v/>
      </c>
      <c r="R42" s="40" t="str">
        <f>IFERROR(__xludf.DUMMYFUNCTION("if(AND(S42=FALSE,T42=FALSE),,if(S42=T42,JOIN("""",""Static: "",S42),JOIN("""",""Min:  "",S42, CHAR(10),""Max: "",T42)))"),"")</f>
        <v/>
      </c>
      <c r="S42" s="42" t="str">
        <f t="array" ref="S42">_xlfn.XLOOKUP(B42,'Up Min'!A:A,'Up Min'!E:E,)</f>
        <v/>
      </c>
      <c r="T42" s="42" t="str">
        <f t="array" ref="T42">_xlfn.XLOOKUP(B42,'Up Max'!A:A,'Up Max'!E:E,)</f>
        <v/>
      </c>
      <c r="U42" s="48" t="str">
        <f t="array" ref="U42">_xlfn.XLOOKUP(B42,'Up Stats'!A:A,'Up Stats'!F:F,)</f>
        <v/>
      </c>
      <c r="V42" s="40" t="str">
        <f>IFERROR(__xludf.DUMMYFUNCTION("if(AND(W42=FALSE,X42=FALSE),,if(W42=X42,JOIN("""",""Static: "",W42),JOIN("""",""Min:  "",W42, CHAR(10),""Max: "",X42)))"),"")</f>
        <v/>
      </c>
      <c r="W42" s="42" t="str">
        <f t="array" ref="W42">_xlfn.XLOOKUP(B42,'Up Min'!A:A,'Up Min'!F:F,)</f>
        <v/>
      </c>
      <c r="X42" s="42" t="str">
        <f t="array" ref="X42">_xlfn.XLOOKUP(B42,'Up Max'!A:A,'Up Max'!F:F,)</f>
        <v/>
      </c>
      <c r="Y42" s="48" t="str">
        <f t="array" ref="Y42">_xlfn.XLOOKUP(B42,'Up Stats'!A:A,'Up Stats'!G:G,)</f>
        <v/>
      </c>
      <c r="Z42" s="40" t="str">
        <f>IFERROR(__xludf.DUMMYFUNCTION("if(AND(AA42=FALSE,AB42=FALSE),,if(AA42=AB42,JOIN("""",""Static: "",AA42),JOIN("""",""Min:  "",AA42, CHAR(10),""Max: "",AB42)))"),"")</f>
        <v/>
      </c>
      <c r="AA42" s="42" t="str">
        <f t="array" ref="AA42">_xlfn.XLOOKUP(B42,'Up Min'!A:A,'Up Min'!G:G,)</f>
        <v/>
      </c>
      <c r="AB42" s="42" t="str">
        <f t="array" ref="AB42">_xlfn.XLOOKUP(B42,'Up Max'!A:A,'Up Max'!G:G,)</f>
        <v/>
      </c>
      <c r="AC42" s="48" t="str">
        <f t="array" ref="AC42">_xlfn.XLOOKUP(B42,'Up Stats'!A:A,'Up Stats'!H:H,)</f>
        <v/>
      </c>
      <c r="AD42" s="40" t="str">
        <f>IFERROR(__xludf.DUMMYFUNCTION("if(AND(AE42=FALSE,AF42=FALSE),,if(AE42=AF42,JOIN("""",""Static: "",AE42),JOIN("""",""Min:  "",AE42, CHAR(10),""Max: "",AF42)))"),"")</f>
        <v/>
      </c>
      <c r="AE42" s="42" t="str">
        <f t="array" ref="AE42">_xlfn.XLOOKUP(B42,'Up Min'!A:A,'Up Min'!H:H,)</f>
        <v/>
      </c>
      <c r="AF42" s="42" t="str">
        <f t="array" ref="AF42">_xlfn.XLOOKUP(B42,'Up Max'!A:A,'Up Max'!H:H,)</f>
        <v/>
      </c>
      <c r="AG42" s="48" t="str">
        <f t="array" ref="AG42">_xlfn.XLOOKUP(B42,'Up Stats'!A:A,'Up Stats'!I:I,)</f>
        <v/>
      </c>
      <c r="AH42" s="40" t="str">
        <f>IFERROR(__xludf.DUMMYFUNCTION("if(AND(AI42=FALSE,AJ42=FALSE),,if(AI42=AJ42,JOIN("""",""Static: "",AI42),JOIN("""",""Min:  "",AI42, CHAR(10),""Max: "",AJ42)))"),"")</f>
        <v/>
      </c>
      <c r="AI42" s="42" t="str">
        <f t="array" ref="AI42">_xlfn.XLOOKUP(B42,'Up Min'!A:A,'Up Min'!I:I,)</f>
        <v/>
      </c>
      <c r="AJ42" s="42" t="str">
        <f t="array" ref="AJ42">_xlfn.XLOOKUP(B42,'Up Max'!A:A,'Up Max'!I:I,)</f>
        <v/>
      </c>
      <c r="AK42" s="48" t="str">
        <f t="array" ref="AK42">_xlfn.XLOOKUP(B42,'Up Stats'!A:A,'Up Stats'!J:J,)</f>
        <v/>
      </c>
      <c r="AL42" s="40" t="str">
        <f>IFERROR(__xludf.DUMMYFUNCTION("if(AND(AM42=FALSE,AN42=FALSE),,if(AM42=AN42,JOIN("""",""Static: "",AM42),JOIN("""",""Min:  "",AM42, CHAR(10),""Max: "",AN42)))"),"")</f>
        <v/>
      </c>
      <c r="AM42" s="42" t="str">
        <f t="array" ref="AM42">_xlfn.XLOOKUP(B42,'Up Min'!A:A,'Up Min'!J:J,)</f>
        <v/>
      </c>
      <c r="AN42" s="42" t="str">
        <f t="array" ref="AN42">_xlfn.XLOOKUP(B42,'Up Max'!A:A,'Up Max'!J:J,)</f>
        <v/>
      </c>
      <c r="AO42" s="34" t="str">
        <f t="array" ref="AO42">CONCATENATE(_xlfn.XLOOKUP(B42,'Up Cells'!A:A,'Up Cells'!B:B,))</f>
        <v/>
      </c>
      <c r="AP42" s="34" t="str">
        <f t="array" ref="AP42">CONCATENATE(_xlfn.XLOOKUP(B42,'Up Rarity'!A:A,'Up Rarity'!B:B,),CHAR(10),"-")</f>
        <v>
-</v>
      </c>
    </row>
    <row r="43">
      <c r="A43" s="86" t="str">
        <f t="array" ref="A43">_xlfn.XLOOKUP(B43,'Up Icon'!A:A,'Up Icon'!B:B,)</f>
        <v/>
      </c>
      <c r="B43" s="51" t="str">
        <f t="array" ref="B43">HYPERLINK(_xlfn.XLOOKUP('Up Names'!O43,'Up Wiki'!A:A,'Up Wiki'!B:B,),'Up Names'!O43)</f>
        <v/>
      </c>
      <c r="C43" s="52" t="str">
        <f t="array" ref="C43">_xlfn.XLOOKUP(B43,'Up Desc'!A:A,'Up Desc'!B:B,)</f>
        <v/>
      </c>
      <c r="D43" s="52" t="str">
        <f t="array" ref="D43">_xlfn.XLOOKUP(B43,'Up Turbo'!A:A,'Up Turbo'!B:B,)</f>
        <v/>
      </c>
      <c r="E43" s="53" t="str">
        <f t="array" ref="E43">_xlfn.XLOOKUP(B43,'Up Stats'!A:A,'Up Stats'!B:B,)</f>
        <v/>
      </c>
      <c r="F43" s="54" t="str">
        <f>IFERROR(__xludf.DUMMYFUNCTION("if(AND(G43=FALSE,H43=FALSE),,if(G43=H43,JOIN("""",""Static: "",G43),JOIN("""",""Min:  "",G43, CHAR(10),""Max: "",H43)))"),"")</f>
        <v/>
      </c>
      <c r="G43" s="55" t="str">
        <f t="array" ref="G43">_xlfn.XLOOKUP(B43,'Up Min'!A:A,'Up Min'!B:B,)</f>
        <v/>
      </c>
      <c r="H43" s="56" t="str">
        <f t="array" ref="H43">_xlfn.XLOOKUP(B43,'Up Max'!A:A,'Up Max'!B:B,)</f>
        <v/>
      </c>
      <c r="I43" s="53" t="str">
        <f t="array" ref="I43">_xlfn.XLOOKUP(B43,'Up Stats'!A:A,'Up Stats'!C:C,)</f>
        <v/>
      </c>
      <c r="J43" s="54" t="str">
        <f>IFERROR(__xludf.DUMMYFUNCTION("if(AND(K43=FALSE,L43=FALSE),,if(K43=L43,JOIN("""",""Static: "",K43),JOIN("""",""Min:  "",K43, CHAR(10),""Max: "",L43)))"),"")</f>
        <v/>
      </c>
      <c r="K43" s="55" t="str">
        <f t="array" ref="K43">_xlfn.XLOOKUP(B43,'Up Min'!A:A,'Up Min'!C:C,)</f>
        <v/>
      </c>
      <c r="L43" s="55" t="str">
        <f t="array" ref="L43">_xlfn.XLOOKUP(B43,'Up Max'!A:A,'Up Max'!C:C,)</f>
        <v/>
      </c>
      <c r="M43" s="53" t="str">
        <f t="array" ref="M43">_xlfn.XLOOKUP(B43,'Up Stats'!A:A,'Up Stats'!D:D,)</f>
        <v/>
      </c>
      <c r="N43" s="54" t="str">
        <f>IFERROR(__xludf.DUMMYFUNCTION("if(AND(O43=FALSE,P43=FALSE),,if(O43=P43,JOIN("""",""Static: "",O43),JOIN("""",""Min:  "",O43, CHAR(10),""Max: "",P43)))"),"")</f>
        <v/>
      </c>
      <c r="O43" s="55" t="str">
        <f t="array" ref="O43">_xlfn.XLOOKUP(B43,'Up Min'!A:A,'Up Min'!D:D,)</f>
        <v/>
      </c>
      <c r="P43" s="55" t="str">
        <f t="array" ref="P43">_xlfn.XLOOKUP(B43,'Up Max'!A:A,'Up Max'!D:D,)</f>
        <v/>
      </c>
      <c r="Q43" s="57" t="str">
        <f t="array" ref="Q43">_xlfn.XLOOKUP(B43,'Up Stats'!A:A,'Up Stats'!E:E,)</f>
        <v/>
      </c>
      <c r="R43" s="54" t="str">
        <f>IFERROR(__xludf.DUMMYFUNCTION("if(AND(S43=FALSE,T43=FALSE),,if(S43=T43,JOIN("""",""Static: "",S43),JOIN("""",""Min:  "",S43, CHAR(10),""Max: "",T43)))"),"")</f>
        <v/>
      </c>
      <c r="S43" s="55" t="str">
        <f t="array" ref="S43">_xlfn.XLOOKUP(B43,'Up Min'!A:A,'Up Min'!E:E,)</f>
        <v/>
      </c>
      <c r="T43" s="55" t="str">
        <f t="array" ref="T43">_xlfn.XLOOKUP(B43,'Up Max'!A:A,'Up Max'!E:E,)</f>
        <v/>
      </c>
      <c r="U43" s="57" t="str">
        <f t="array" ref="U43">_xlfn.XLOOKUP(B43,'Up Stats'!A:A,'Up Stats'!F:F,)</f>
        <v/>
      </c>
      <c r="V43" s="54" t="str">
        <f>IFERROR(__xludf.DUMMYFUNCTION("if(AND(W43=FALSE,X43=FALSE),,if(W43=X43,JOIN("""",""Static: "",W43),JOIN("""",""Min:  "",W43, CHAR(10),""Max: "",X43)))"),"")</f>
        <v/>
      </c>
      <c r="W43" s="55" t="str">
        <f t="array" ref="W43">_xlfn.XLOOKUP(B43,'Up Min'!A:A,'Up Min'!F:F,)</f>
        <v/>
      </c>
      <c r="X43" s="55" t="str">
        <f t="array" ref="X43">_xlfn.XLOOKUP(B43,'Up Max'!A:A,'Up Max'!F:F,)</f>
        <v/>
      </c>
      <c r="Y43" s="57" t="str">
        <f t="array" ref="Y43">_xlfn.XLOOKUP(B43,'Up Stats'!A:A,'Up Stats'!G:G,)</f>
        <v/>
      </c>
      <c r="Z43" s="54" t="str">
        <f>IFERROR(__xludf.DUMMYFUNCTION("if(AND(AA43=FALSE,AB43=FALSE),,if(AA43=AB43,JOIN("""",""Static: "",AA43),JOIN("""",""Min:  "",AA43, CHAR(10),""Max: "",AB43)))"),"")</f>
        <v/>
      </c>
      <c r="AA43" s="55" t="str">
        <f t="array" ref="AA43">_xlfn.XLOOKUP(B43,'Up Min'!A:A,'Up Min'!G:G,)</f>
        <v/>
      </c>
      <c r="AB43" s="55" t="str">
        <f t="array" ref="AB43">_xlfn.XLOOKUP(B43,'Up Max'!A:A,'Up Max'!G:G,)</f>
        <v/>
      </c>
      <c r="AC43" s="57" t="str">
        <f t="array" ref="AC43">_xlfn.XLOOKUP(B43,'Up Stats'!A:A,'Up Stats'!H:H,)</f>
        <v/>
      </c>
      <c r="AD43" s="54" t="str">
        <f>IFERROR(__xludf.DUMMYFUNCTION("if(AND(AE43=FALSE,AF43=FALSE),,if(AE43=AF43,JOIN("""",""Static: "",AE43),JOIN("""",""Min:  "",AE43, CHAR(10),""Max: "",AF43)))"),"")</f>
        <v/>
      </c>
      <c r="AE43" s="55" t="str">
        <f t="array" ref="AE43">_xlfn.XLOOKUP(B43,'Up Min'!A:A,'Up Min'!H:H,)</f>
        <v/>
      </c>
      <c r="AF43" s="55" t="str">
        <f t="array" ref="AF43">_xlfn.XLOOKUP(B43,'Up Max'!A:A,'Up Max'!H:H,)</f>
        <v/>
      </c>
      <c r="AG43" s="57" t="str">
        <f t="array" ref="AG43">_xlfn.XLOOKUP(B43,'Up Stats'!A:A,'Up Stats'!I:I,)</f>
        <v/>
      </c>
      <c r="AH43" s="54" t="str">
        <f>IFERROR(__xludf.DUMMYFUNCTION("if(AND(AI43=FALSE,AJ43=FALSE),,if(AI43=AJ43,JOIN("""",""Static: "",AI43),JOIN("""",""Min:  "",AI43, CHAR(10),""Max: "",AJ43)))"),"")</f>
        <v/>
      </c>
      <c r="AI43" s="55" t="str">
        <f t="array" ref="AI43">_xlfn.XLOOKUP(B43,'Up Min'!A:A,'Up Min'!I:I,)</f>
        <v/>
      </c>
      <c r="AJ43" s="55" t="str">
        <f t="array" ref="AJ43">_xlfn.XLOOKUP(B43,'Up Max'!A:A,'Up Max'!I:I,)</f>
        <v/>
      </c>
      <c r="AK43" s="57" t="str">
        <f t="array" ref="AK43">_xlfn.XLOOKUP(B43,'Up Stats'!A:A,'Up Stats'!J:J,)</f>
        <v/>
      </c>
      <c r="AL43" s="54" t="str">
        <f>IFERROR(__xludf.DUMMYFUNCTION("if(AND(AM43=FALSE,AN43=FALSE),,if(AM43=AN43,JOIN("""",""Static: "",AM43),JOIN("""",""Min:  "",AM43, CHAR(10),""Max: "",AN43)))"),"")</f>
        <v/>
      </c>
      <c r="AM43" s="55" t="str">
        <f t="array" ref="AM43">_xlfn.XLOOKUP(B43,'Up Min'!A:A,'Up Min'!J:J,)</f>
        <v/>
      </c>
      <c r="AN43" s="55" t="str">
        <f t="array" ref="AN43">_xlfn.XLOOKUP(B43,'Up Max'!A:A,'Up Max'!J:J,)</f>
        <v/>
      </c>
      <c r="AO43" s="51" t="str">
        <f t="array" ref="AO43">CONCATENATE(_xlfn.XLOOKUP(B43,'Up Cells'!A:A,'Up Cells'!B:B,))</f>
        <v/>
      </c>
      <c r="AP43" s="51" t="str">
        <f t="array" ref="AP43">CONCATENATE(_xlfn.XLOOKUP(B43,'Up Rarity'!A:A,'Up Rarity'!B:B,),CHAR(10),"-")</f>
        <v>
-</v>
      </c>
    </row>
    <row r="44">
      <c r="A44" s="87" t="str">
        <f t="array" ref="A44">_xlfn.XLOOKUP(B44,'Up Icon'!A:A,'Up Icon'!B:B,)</f>
        <v/>
      </c>
      <c r="B44" s="34" t="str">
        <f t="array" ref="B44">HYPERLINK(_xlfn.XLOOKUP('Up Names'!O44,'Up Wiki'!A:A,'Up Wiki'!B:B,),'Up Names'!O44)</f>
        <v/>
      </c>
      <c r="C44" s="37" t="str">
        <f t="array" ref="C44">_xlfn.XLOOKUP(B44,'Up Desc'!A:A,'Up Desc'!B:B,)</f>
        <v/>
      </c>
      <c r="D44" s="37" t="str">
        <f t="array" ref="D44">_xlfn.XLOOKUP(B44,'Up Turbo'!A:A,'Up Turbo'!B:B,)</f>
        <v/>
      </c>
      <c r="E44" s="39" t="str">
        <f t="array" ref="E44">_xlfn.XLOOKUP(B44,'Up Stats'!A:A,'Up Stats'!B:B,)</f>
        <v/>
      </c>
      <c r="F44" s="40" t="str">
        <f>IFERROR(__xludf.DUMMYFUNCTION("if(AND(G44=FALSE,H44=FALSE),,if(G44=H44,JOIN("""",""Static: "",G44),JOIN("""",""Min:  "",G44, CHAR(10),""Max: "",H44)))"),"")</f>
        <v/>
      </c>
      <c r="G44" s="42" t="str">
        <f t="array" ref="G44">_xlfn.XLOOKUP(B44,'Up Min'!A:A,'Up Min'!B:B,)</f>
        <v/>
      </c>
      <c r="H44" s="45" t="str">
        <f t="array" ref="H44">_xlfn.XLOOKUP(B44,'Up Max'!A:A,'Up Max'!B:B,)</f>
        <v/>
      </c>
      <c r="I44" s="39" t="str">
        <f t="array" ref="I44">_xlfn.XLOOKUP(B44,'Up Stats'!A:A,'Up Stats'!C:C,)</f>
        <v/>
      </c>
      <c r="J44" s="40" t="str">
        <f>IFERROR(__xludf.DUMMYFUNCTION("if(AND(K44=FALSE,L44=FALSE),,if(K44=L44,JOIN("""",""Static: "",K44),JOIN("""",""Min:  "",K44, CHAR(10),""Max: "",L44)))"),"")</f>
        <v/>
      </c>
      <c r="K44" s="42" t="str">
        <f t="array" ref="K44">_xlfn.XLOOKUP(B44,'Up Min'!A:A,'Up Min'!C:C,)</f>
        <v/>
      </c>
      <c r="L44" s="42" t="str">
        <f t="array" ref="L44">_xlfn.XLOOKUP(B44,'Up Max'!A:A,'Up Max'!C:C,)</f>
        <v/>
      </c>
      <c r="M44" s="39" t="str">
        <f t="array" ref="M44">_xlfn.XLOOKUP(B44,'Up Stats'!A:A,'Up Stats'!D:D,)</f>
        <v/>
      </c>
      <c r="N44" s="40" t="str">
        <f>IFERROR(__xludf.DUMMYFUNCTION("if(AND(O44=FALSE,P44=FALSE),,if(O44=P44,JOIN("""",""Static: "",O44),JOIN("""",""Min:  "",O44, CHAR(10),""Max: "",P44)))"),"")</f>
        <v/>
      </c>
      <c r="O44" s="42" t="str">
        <f t="array" ref="O44">_xlfn.XLOOKUP(B44,'Up Min'!A:A,'Up Min'!D:D,)</f>
        <v/>
      </c>
      <c r="P44" s="42" t="str">
        <f t="array" ref="P44">_xlfn.XLOOKUP(B44,'Up Max'!A:A,'Up Max'!D:D,)</f>
        <v/>
      </c>
      <c r="Q44" s="48" t="str">
        <f t="array" ref="Q44">_xlfn.XLOOKUP(B44,'Up Stats'!A:A,'Up Stats'!E:E,)</f>
        <v/>
      </c>
      <c r="R44" s="40" t="str">
        <f>IFERROR(__xludf.DUMMYFUNCTION("if(AND(S44=FALSE,T44=FALSE),,if(S44=T44,JOIN("""",""Static: "",S44),JOIN("""",""Min:  "",S44, CHAR(10),""Max: "",T44)))"),"")</f>
        <v/>
      </c>
      <c r="S44" s="42" t="str">
        <f t="array" ref="S44">_xlfn.XLOOKUP(B44,'Up Min'!A:A,'Up Min'!E:E,)</f>
        <v/>
      </c>
      <c r="T44" s="42" t="str">
        <f t="array" ref="T44">_xlfn.XLOOKUP(B44,'Up Max'!A:A,'Up Max'!E:E,)</f>
        <v/>
      </c>
      <c r="U44" s="48" t="str">
        <f t="array" ref="U44">_xlfn.XLOOKUP(B44,'Up Stats'!A:A,'Up Stats'!F:F,)</f>
        <v/>
      </c>
      <c r="V44" s="40" t="str">
        <f>IFERROR(__xludf.DUMMYFUNCTION("if(AND(W44=FALSE,X44=FALSE),,if(W44=X44,JOIN("""",""Static: "",W44),JOIN("""",""Min:  "",W44, CHAR(10),""Max: "",X44)))"),"")</f>
        <v/>
      </c>
      <c r="W44" s="42" t="str">
        <f t="array" ref="W44">_xlfn.XLOOKUP(B44,'Up Min'!A:A,'Up Min'!F:F,)</f>
        <v/>
      </c>
      <c r="X44" s="42" t="str">
        <f t="array" ref="X44">_xlfn.XLOOKUP(B44,'Up Max'!A:A,'Up Max'!F:F,)</f>
        <v/>
      </c>
      <c r="Y44" s="48" t="str">
        <f t="array" ref="Y44">_xlfn.XLOOKUP(B44,'Up Stats'!A:A,'Up Stats'!G:G,)</f>
        <v/>
      </c>
      <c r="Z44" s="40" t="str">
        <f>IFERROR(__xludf.DUMMYFUNCTION("if(AND(AA44=FALSE,AB44=FALSE),,if(AA44=AB44,JOIN("""",""Static: "",AA44),JOIN("""",""Min:  "",AA44, CHAR(10),""Max: "",AB44)))"),"")</f>
        <v/>
      </c>
      <c r="AA44" s="42" t="str">
        <f t="array" ref="AA44">_xlfn.XLOOKUP(B44,'Up Min'!A:A,'Up Min'!G:G,)</f>
        <v/>
      </c>
      <c r="AB44" s="42" t="str">
        <f t="array" ref="AB44">_xlfn.XLOOKUP(B44,'Up Max'!A:A,'Up Max'!G:G,)</f>
        <v/>
      </c>
      <c r="AC44" s="48" t="str">
        <f t="array" ref="AC44">_xlfn.XLOOKUP(B44,'Up Stats'!A:A,'Up Stats'!H:H,)</f>
        <v/>
      </c>
      <c r="AD44" s="40" t="str">
        <f>IFERROR(__xludf.DUMMYFUNCTION("if(AND(AE44=FALSE,AF44=FALSE),,if(AE44=AF44,JOIN("""",""Static: "",AE44),JOIN("""",""Min:  "",AE44, CHAR(10),""Max: "",AF44)))"),"")</f>
        <v/>
      </c>
      <c r="AE44" s="42" t="str">
        <f t="array" ref="AE44">_xlfn.XLOOKUP(B44,'Up Min'!A:A,'Up Min'!H:H,)</f>
        <v/>
      </c>
      <c r="AF44" s="42" t="str">
        <f t="array" ref="AF44">_xlfn.XLOOKUP(B44,'Up Max'!A:A,'Up Max'!H:H,)</f>
        <v/>
      </c>
      <c r="AG44" s="48" t="str">
        <f t="array" ref="AG44">_xlfn.XLOOKUP(B44,'Up Stats'!A:A,'Up Stats'!I:I,)</f>
        <v/>
      </c>
      <c r="AH44" s="40" t="str">
        <f>IFERROR(__xludf.DUMMYFUNCTION("if(AND(AI44=FALSE,AJ44=FALSE),,if(AI44=AJ44,JOIN("""",""Static: "",AI44),JOIN("""",""Min:  "",AI44, CHAR(10),""Max: "",AJ44)))"),"")</f>
        <v/>
      </c>
      <c r="AI44" s="42" t="str">
        <f t="array" ref="AI44">_xlfn.XLOOKUP(B44,'Up Min'!A:A,'Up Min'!I:I,)</f>
        <v/>
      </c>
      <c r="AJ44" s="42" t="str">
        <f t="array" ref="AJ44">_xlfn.XLOOKUP(B44,'Up Max'!A:A,'Up Max'!I:I,)</f>
        <v/>
      </c>
      <c r="AK44" s="48" t="str">
        <f t="array" ref="AK44">_xlfn.XLOOKUP(B44,'Up Stats'!A:A,'Up Stats'!J:J,)</f>
        <v/>
      </c>
      <c r="AL44" s="40" t="str">
        <f>IFERROR(__xludf.DUMMYFUNCTION("if(AND(AM44=FALSE,AN44=FALSE),,if(AM44=AN44,JOIN("""",""Static: "",AM44),JOIN("""",""Min:  "",AM44, CHAR(10),""Max: "",AN44)))"),"")</f>
        <v/>
      </c>
      <c r="AM44" s="42" t="str">
        <f t="array" ref="AM44">_xlfn.XLOOKUP(B44,'Up Min'!A:A,'Up Min'!J:J,)</f>
        <v/>
      </c>
      <c r="AN44" s="42" t="str">
        <f t="array" ref="AN44">_xlfn.XLOOKUP(B44,'Up Max'!A:A,'Up Max'!J:J,)</f>
        <v/>
      </c>
      <c r="AO44" s="34" t="str">
        <f t="array" ref="AO44">CONCATENATE(_xlfn.XLOOKUP(B44,'Up Cells'!A:A,'Up Cells'!B:B,))</f>
        <v/>
      </c>
      <c r="AP44" s="34" t="str">
        <f t="array" ref="AP44">CONCATENATE(_xlfn.XLOOKUP(B44,'Up Rarity'!A:A,'Up Rarity'!B:B,),CHAR(10),"-")</f>
        <v>
-</v>
      </c>
    </row>
    <row r="45">
      <c r="A45" s="86" t="str">
        <f t="array" ref="A45">_xlfn.XLOOKUP(B45,'Up Icon'!A:A,'Up Icon'!B:B,)</f>
        <v/>
      </c>
      <c r="B45" s="51" t="str">
        <f t="array" ref="B45">HYPERLINK(_xlfn.XLOOKUP('Up Names'!O45,'Up Wiki'!A:A,'Up Wiki'!B:B,),'Up Names'!O45)</f>
        <v/>
      </c>
      <c r="C45" s="52" t="str">
        <f t="array" ref="C45">_xlfn.XLOOKUP(B45,'Up Desc'!A:A,'Up Desc'!B:B,)</f>
        <v/>
      </c>
      <c r="D45" s="52" t="str">
        <f t="array" ref="D45">_xlfn.XLOOKUP(B45,'Up Turbo'!A:A,'Up Turbo'!B:B,)</f>
        <v/>
      </c>
      <c r="E45" s="53" t="str">
        <f t="array" ref="E45">_xlfn.XLOOKUP(B45,'Up Stats'!A:A,'Up Stats'!B:B,)</f>
        <v/>
      </c>
      <c r="F45" s="54" t="str">
        <f>IFERROR(__xludf.DUMMYFUNCTION("if(AND(G45=FALSE,H45=FALSE),,if(G45=H45,JOIN("""",""Static: "",G45),JOIN("""",""Min:  "",G45, CHAR(10),""Max: "",H45)))"),"")</f>
        <v/>
      </c>
      <c r="G45" s="55" t="str">
        <f t="array" ref="G45">_xlfn.XLOOKUP(B45,'Up Min'!A:A,'Up Min'!B:B,)</f>
        <v/>
      </c>
      <c r="H45" s="56" t="str">
        <f t="array" ref="H45">_xlfn.XLOOKUP(B45,'Up Max'!A:A,'Up Max'!B:B,)</f>
        <v/>
      </c>
      <c r="I45" s="53" t="str">
        <f t="array" ref="I45">_xlfn.XLOOKUP(B45,'Up Stats'!A:A,'Up Stats'!C:C,)</f>
        <v/>
      </c>
      <c r="J45" s="54" t="str">
        <f>IFERROR(__xludf.DUMMYFUNCTION("if(AND(K45=FALSE,L45=FALSE),,if(K45=L45,JOIN("""",""Static: "",K45),JOIN("""",""Min:  "",K45, CHAR(10),""Max: "",L45)))"),"")</f>
        <v/>
      </c>
      <c r="K45" s="55" t="str">
        <f t="array" ref="K45">_xlfn.XLOOKUP(B45,'Up Min'!A:A,'Up Min'!C:C,)</f>
        <v/>
      </c>
      <c r="L45" s="55" t="str">
        <f t="array" ref="L45">_xlfn.XLOOKUP(B45,'Up Max'!A:A,'Up Max'!C:C,)</f>
        <v/>
      </c>
      <c r="M45" s="53" t="str">
        <f t="array" ref="M45">_xlfn.XLOOKUP(B45,'Up Stats'!A:A,'Up Stats'!D:D,)</f>
        <v/>
      </c>
      <c r="N45" s="54" t="str">
        <f>IFERROR(__xludf.DUMMYFUNCTION("if(AND(O45=FALSE,P45=FALSE),,if(O45=P45,JOIN("""",""Static: "",O45),JOIN("""",""Min:  "",O45, CHAR(10),""Max: "",P45)))"),"")</f>
        <v/>
      </c>
      <c r="O45" s="55" t="str">
        <f t="array" ref="O45">_xlfn.XLOOKUP(B45,'Up Min'!A:A,'Up Min'!D:D,)</f>
        <v/>
      </c>
      <c r="P45" s="55" t="str">
        <f t="array" ref="P45">_xlfn.XLOOKUP(B45,'Up Max'!A:A,'Up Max'!D:D,)</f>
        <v/>
      </c>
      <c r="Q45" s="57" t="str">
        <f t="array" ref="Q45">_xlfn.XLOOKUP(B45,'Up Stats'!A:A,'Up Stats'!E:E,)</f>
        <v/>
      </c>
      <c r="R45" s="54" t="str">
        <f>IFERROR(__xludf.DUMMYFUNCTION("if(AND(S45=FALSE,T45=FALSE),,if(S45=T45,JOIN("""",""Static: "",S45),JOIN("""",""Min:  "",S45, CHAR(10),""Max: "",T45)))"),"")</f>
        <v/>
      </c>
      <c r="S45" s="55" t="str">
        <f t="array" ref="S45">_xlfn.XLOOKUP(B45,'Up Min'!A:A,'Up Min'!E:E,)</f>
        <v/>
      </c>
      <c r="T45" s="55" t="str">
        <f t="array" ref="T45">_xlfn.XLOOKUP(B45,'Up Max'!A:A,'Up Max'!E:E,)</f>
        <v/>
      </c>
      <c r="U45" s="57" t="str">
        <f t="array" ref="U45">_xlfn.XLOOKUP(B45,'Up Stats'!A:A,'Up Stats'!F:F,)</f>
        <v/>
      </c>
      <c r="V45" s="54" t="str">
        <f>IFERROR(__xludf.DUMMYFUNCTION("if(AND(W45=FALSE,X45=FALSE),,if(W45=X45,JOIN("""",""Static: "",W45),JOIN("""",""Min:  "",W45, CHAR(10),""Max: "",X45)))"),"")</f>
        <v/>
      </c>
      <c r="W45" s="55" t="str">
        <f t="array" ref="W45">_xlfn.XLOOKUP(B45,'Up Min'!A:A,'Up Min'!F:F,)</f>
        <v/>
      </c>
      <c r="X45" s="55" t="str">
        <f t="array" ref="X45">_xlfn.XLOOKUP(B45,'Up Max'!A:A,'Up Max'!F:F,)</f>
        <v/>
      </c>
      <c r="Y45" s="57" t="str">
        <f t="array" ref="Y45">_xlfn.XLOOKUP(B45,'Up Stats'!A:A,'Up Stats'!G:G,)</f>
        <v/>
      </c>
      <c r="Z45" s="54" t="str">
        <f>IFERROR(__xludf.DUMMYFUNCTION("if(AND(AA45=FALSE,AB45=FALSE),,if(AA45=AB45,JOIN("""",""Static: "",AA45),JOIN("""",""Min:  "",AA45, CHAR(10),""Max: "",AB45)))"),"")</f>
        <v/>
      </c>
      <c r="AA45" s="55" t="str">
        <f t="array" ref="AA45">_xlfn.XLOOKUP(B45,'Up Min'!A:A,'Up Min'!G:G,)</f>
        <v/>
      </c>
      <c r="AB45" s="55" t="str">
        <f t="array" ref="AB45">_xlfn.XLOOKUP(B45,'Up Max'!A:A,'Up Max'!G:G,)</f>
        <v/>
      </c>
      <c r="AC45" s="57" t="str">
        <f t="array" ref="AC45">_xlfn.XLOOKUP(B45,'Up Stats'!A:A,'Up Stats'!H:H,)</f>
        <v/>
      </c>
      <c r="AD45" s="54" t="str">
        <f>IFERROR(__xludf.DUMMYFUNCTION("if(AND(AE45=FALSE,AF45=FALSE),,if(AE45=AF45,JOIN("""",""Static: "",AE45),JOIN("""",""Min:  "",AE45, CHAR(10),""Max: "",AF45)))"),"")</f>
        <v/>
      </c>
      <c r="AE45" s="55" t="str">
        <f t="array" ref="AE45">_xlfn.XLOOKUP(B45,'Up Min'!A:A,'Up Min'!H:H,)</f>
        <v/>
      </c>
      <c r="AF45" s="55" t="str">
        <f t="array" ref="AF45">_xlfn.XLOOKUP(B45,'Up Max'!A:A,'Up Max'!H:H,)</f>
        <v/>
      </c>
      <c r="AG45" s="57" t="str">
        <f t="array" ref="AG45">_xlfn.XLOOKUP(B45,'Up Stats'!A:A,'Up Stats'!I:I,)</f>
        <v/>
      </c>
      <c r="AH45" s="54" t="str">
        <f>IFERROR(__xludf.DUMMYFUNCTION("if(AND(AI45=FALSE,AJ45=FALSE),,if(AI45=AJ45,JOIN("""",""Static: "",AI45),JOIN("""",""Min:  "",AI45, CHAR(10),""Max: "",AJ45)))"),"")</f>
        <v/>
      </c>
      <c r="AI45" s="55" t="str">
        <f t="array" ref="AI45">_xlfn.XLOOKUP(B45,'Up Min'!A:A,'Up Min'!I:I,)</f>
        <v/>
      </c>
      <c r="AJ45" s="55" t="str">
        <f t="array" ref="AJ45">_xlfn.XLOOKUP(B45,'Up Max'!A:A,'Up Max'!I:I,)</f>
        <v/>
      </c>
      <c r="AK45" s="57" t="str">
        <f t="array" ref="AK45">_xlfn.XLOOKUP(B45,'Up Stats'!A:A,'Up Stats'!J:J,)</f>
        <v/>
      </c>
      <c r="AL45" s="54" t="str">
        <f>IFERROR(__xludf.DUMMYFUNCTION("if(AND(AM45=FALSE,AN45=FALSE),,if(AM45=AN45,JOIN("""",""Static: "",AM45),JOIN("""",""Min:  "",AM45, CHAR(10),""Max: "",AN45)))"),"")</f>
        <v/>
      </c>
      <c r="AM45" s="55" t="str">
        <f t="array" ref="AM45">_xlfn.XLOOKUP(B45,'Up Min'!A:A,'Up Min'!J:J,)</f>
        <v/>
      </c>
      <c r="AN45" s="55" t="str">
        <f t="array" ref="AN45">_xlfn.XLOOKUP(B45,'Up Max'!A:A,'Up Max'!J:J,)</f>
        <v/>
      </c>
      <c r="AO45" s="51" t="str">
        <f t="array" ref="AO45">CONCATENATE(_xlfn.XLOOKUP(B45,'Up Cells'!A:A,'Up Cells'!B:B,))</f>
        <v/>
      </c>
      <c r="AP45" s="51" t="str">
        <f t="array" ref="AP45">CONCATENATE(_xlfn.XLOOKUP(B45,'Up Rarity'!A:A,'Up Rarity'!B:B,),CHAR(10),"-")</f>
        <v>
-</v>
      </c>
    </row>
    <row r="46">
      <c r="A46" s="87" t="str">
        <f t="array" ref="A46">_xlfn.XLOOKUP(B46,'Up Icon'!A:A,'Up Icon'!B:B,)</f>
        <v/>
      </c>
      <c r="B46" s="34" t="str">
        <f t="array" ref="B46">HYPERLINK(_xlfn.XLOOKUP('Up Names'!O46,'Up Wiki'!A:A,'Up Wiki'!B:B,),'Up Names'!O46)</f>
        <v/>
      </c>
      <c r="C46" s="37" t="str">
        <f t="array" ref="C46">_xlfn.XLOOKUP(B46,'Up Desc'!A:A,'Up Desc'!B:B,)</f>
        <v/>
      </c>
      <c r="D46" s="37" t="str">
        <f t="array" ref="D46">_xlfn.XLOOKUP(B46,'Up Turbo'!A:A,'Up Turbo'!B:B,)</f>
        <v/>
      </c>
      <c r="E46" s="39" t="str">
        <f t="array" ref="E46">_xlfn.XLOOKUP(B46,'Up Stats'!A:A,'Up Stats'!B:B,)</f>
        <v/>
      </c>
      <c r="F46" s="40" t="str">
        <f>IFERROR(__xludf.DUMMYFUNCTION("if(AND(G46=FALSE,H46=FALSE),,if(G46=H46,JOIN("""",""Static: "",G46),JOIN("""",""Min:  "",G46, CHAR(10),""Max: "",H46)))"),"")</f>
        <v/>
      </c>
      <c r="G46" s="42" t="str">
        <f t="array" ref="G46">_xlfn.XLOOKUP(B46,'Up Min'!A:A,'Up Min'!B:B,)</f>
        <v/>
      </c>
      <c r="H46" s="45" t="str">
        <f t="array" ref="H46">_xlfn.XLOOKUP(B46,'Up Max'!A:A,'Up Max'!B:B,)</f>
        <v/>
      </c>
      <c r="I46" s="39" t="str">
        <f t="array" ref="I46">_xlfn.XLOOKUP(B46,'Up Stats'!A:A,'Up Stats'!C:C,)</f>
        <v/>
      </c>
      <c r="J46" s="40" t="str">
        <f>IFERROR(__xludf.DUMMYFUNCTION("if(AND(K46=FALSE,L46=FALSE),,if(K46=L46,JOIN("""",""Static: "",K46),JOIN("""",""Min:  "",K46, CHAR(10),""Max: "",L46)))"),"")</f>
        <v/>
      </c>
      <c r="K46" s="42" t="str">
        <f t="array" ref="K46">_xlfn.XLOOKUP(B46,'Up Min'!A:A,'Up Min'!C:C,)</f>
        <v/>
      </c>
      <c r="L46" s="42" t="str">
        <f t="array" ref="L46">_xlfn.XLOOKUP(B46,'Up Max'!A:A,'Up Max'!C:C,)</f>
        <v/>
      </c>
      <c r="M46" s="39" t="str">
        <f t="array" ref="M46">_xlfn.XLOOKUP(B46,'Up Stats'!A:A,'Up Stats'!D:D,)</f>
        <v/>
      </c>
      <c r="N46" s="40" t="str">
        <f>IFERROR(__xludf.DUMMYFUNCTION("if(AND(O46=FALSE,P46=FALSE),,if(O46=P46,JOIN("""",""Static: "",O46),JOIN("""",""Min:  "",O46, CHAR(10),""Max: "",P46)))"),"")</f>
        <v/>
      </c>
      <c r="O46" s="42" t="str">
        <f t="array" ref="O46">_xlfn.XLOOKUP(B46,'Up Min'!A:A,'Up Min'!D:D,)</f>
        <v/>
      </c>
      <c r="P46" s="42" t="str">
        <f t="array" ref="P46">_xlfn.XLOOKUP(B46,'Up Max'!A:A,'Up Max'!D:D,)</f>
        <v/>
      </c>
      <c r="Q46" s="48" t="str">
        <f t="array" ref="Q46">_xlfn.XLOOKUP(B46,'Up Stats'!A:A,'Up Stats'!E:E,)</f>
        <v/>
      </c>
      <c r="R46" s="40" t="str">
        <f>IFERROR(__xludf.DUMMYFUNCTION("if(AND(S46=FALSE,T46=FALSE),,if(S46=T46,JOIN("""",""Static: "",S46),JOIN("""",""Min:  "",S46, CHAR(10),""Max: "",T46)))"),"")</f>
        <v/>
      </c>
      <c r="S46" s="42" t="str">
        <f t="array" ref="S46">_xlfn.XLOOKUP(B46,'Up Min'!A:A,'Up Min'!E:E,)</f>
        <v/>
      </c>
      <c r="T46" s="42" t="str">
        <f t="array" ref="T46">_xlfn.XLOOKUP(B46,'Up Max'!A:A,'Up Max'!E:E,)</f>
        <v/>
      </c>
      <c r="U46" s="48" t="str">
        <f t="array" ref="U46">_xlfn.XLOOKUP(B46,'Up Stats'!A:A,'Up Stats'!F:F,)</f>
        <v/>
      </c>
      <c r="V46" s="40" t="str">
        <f>IFERROR(__xludf.DUMMYFUNCTION("if(AND(W46=FALSE,X46=FALSE),,if(W46=X46,JOIN("""",""Static: "",W46),JOIN("""",""Min:  "",W46, CHAR(10),""Max: "",X46)))"),"")</f>
        <v/>
      </c>
      <c r="W46" s="42" t="str">
        <f t="array" ref="W46">_xlfn.XLOOKUP(B46,'Up Min'!A:A,'Up Min'!F:F,)</f>
        <v/>
      </c>
      <c r="X46" s="42" t="str">
        <f t="array" ref="X46">_xlfn.XLOOKUP(B46,'Up Max'!A:A,'Up Max'!F:F,)</f>
        <v/>
      </c>
      <c r="Y46" s="48" t="str">
        <f t="array" ref="Y46">_xlfn.XLOOKUP(B46,'Up Stats'!A:A,'Up Stats'!G:G,)</f>
        <v/>
      </c>
      <c r="Z46" s="40" t="str">
        <f>IFERROR(__xludf.DUMMYFUNCTION("if(AND(AA46=FALSE,AB46=FALSE),,if(AA46=AB46,JOIN("""",""Static: "",AA46),JOIN("""",""Min:  "",AA46, CHAR(10),""Max: "",AB46)))"),"")</f>
        <v/>
      </c>
      <c r="AA46" s="42" t="str">
        <f t="array" ref="AA46">_xlfn.XLOOKUP(B46,'Up Min'!A:A,'Up Min'!G:G,)</f>
        <v/>
      </c>
      <c r="AB46" s="42" t="str">
        <f t="array" ref="AB46">_xlfn.XLOOKUP(B46,'Up Max'!A:A,'Up Max'!G:G,)</f>
        <v/>
      </c>
      <c r="AC46" s="48" t="str">
        <f t="array" ref="AC46">_xlfn.XLOOKUP(B46,'Up Stats'!A:A,'Up Stats'!H:H,)</f>
        <v/>
      </c>
      <c r="AD46" s="40" t="str">
        <f>IFERROR(__xludf.DUMMYFUNCTION("if(AND(AE46=FALSE,AF46=FALSE),,if(AE46=AF46,JOIN("""",""Static: "",AE46),JOIN("""",""Min:  "",AE46, CHAR(10),""Max: "",AF46)))"),"")</f>
        <v/>
      </c>
      <c r="AE46" s="42" t="str">
        <f t="array" ref="AE46">_xlfn.XLOOKUP(B46,'Up Min'!A:A,'Up Min'!H:H,)</f>
        <v/>
      </c>
      <c r="AF46" s="42" t="str">
        <f t="array" ref="AF46">_xlfn.XLOOKUP(B46,'Up Max'!A:A,'Up Max'!H:H,)</f>
        <v/>
      </c>
      <c r="AG46" s="48" t="str">
        <f t="array" ref="AG46">_xlfn.XLOOKUP(B46,'Up Stats'!A:A,'Up Stats'!I:I,)</f>
        <v/>
      </c>
      <c r="AH46" s="40" t="str">
        <f>IFERROR(__xludf.DUMMYFUNCTION("if(AND(AI46=FALSE,AJ46=FALSE),,if(AI46=AJ46,JOIN("""",""Static: "",AI46),JOIN("""",""Min:  "",AI46, CHAR(10),""Max: "",AJ46)))"),"")</f>
        <v/>
      </c>
      <c r="AI46" s="42" t="str">
        <f t="array" ref="AI46">_xlfn.XLOOKUP(B46,'Up Min'!A:A,'Up Min'!I:I,)</f>
        <v/>
      </c>
      <c r="AJ46" s="42" t="str">
        <f t="array" ref="AJ46">_xlfn.XLOOKUP(B46,'Up Max'!A:A,'Up Max'!I:I,)</f>
        <v/>
      </c>
      <c r="AK46" s="48" t="str">
        <f t="array" ref="AK46">_xlfn.XLOOKUP(B46,'Up Stats'!A:A,'Up Stats'!J:J,)</f>
        <v/>
      </c>
      <c r="AL46" s="40" t="str">
        <f>IFERROR(__xludf.DUMMYFUNCTION("if(AND(AM46=FALSE,AN46=FALSE),,if(AM46=AN46,JOIN("""",""Static: "",AM46),JOIN("""",""Min:  "",AM46, CHAR(10),""Max: "",AN46)))"),"")</f>
        <v/>
      </c>
      <c r="AM46" s="42" t="str">
        <f t="array" ref="AM46">_xlfn.XLOOKUP(B46,'Up Min'!A:A,'Up Min'!J:J,)</f>
        <v/>
      </c>
      <c r="AN46" s="42" t="str">
        <f t="array" ref="AN46">_xlfn.XLOOKUP(B46,'Up Max'!A:A,'Up Max'!J:J,)</f>
        <v/>
      </c>
      <c r="AO46" s="34" t="str">
        <f t="array" ref="AO46">CONCATENATE(_xlfn.XLOOKUP(B46,'Up Cells'!A:A,'Up Cells'!B:B,))</f>
        <v/>
      </c>
      <c r="AP46" s="34" t="str">
        <f t="array" ref="AP46">CONCATENATE(_xlfn.XLOOKUP(B46,'Up Rarity'!A:A,'Up Rarity'!B:B,),CHAR(10),"-")</f>
        <v>
-</v>
      </c>
    </row>
    <row r="47">
      <c r="A47" s="86" t="str">
        <f t="array" ref="A47">_xlfn.XLOOKUP(B47,'Up Icon'!A:A,'Up Icon'!B:B,)</f>
        <v/>
      </c>
      <c r="B47" s="51" t="str">
        <f t="array" ref="B47">HYPERLINK(_xlfn.XLOOKUP('Up Names'!O47,'Up Wiki'!A:A,'Up Wiki'!B:B,),'Up Names'!O47)</f>
        <v/>
      </c>
      <c r="C47" s="52" t="str">
        <f t="array" ref="C47">_xlfn.XLOOKUP(B47,'Up Desc'!A:A,'Up Desc'!B:B,)</f>
        <v/>
      </c>
      <c r="D47" s="52" t="str">
        <f t="array" ref="D47">_xlfn.XLOOKUP(B47,'Up Turbo'!A:A,'Up Turbo'!B:B,)</f>
        <v/>
      </c>
      <c r="E47" s="53" t="str">
        <f t="array" ref="E47">_xlfn.XLOOKUP(B47,'Up Stats'!A:A,'Up Stats'!B:B,)</f>
        <v/>
      </c>
      <c r="F47" s="54" t="str">
        <f>IFERROR(__xludf.DUMMYFUNCTION("if(AND(G47=FALSE,H47=FALSE),,if(G47=H47,JOIN("""",""Static: "",G47),JOIN("""",""Min:  "",G47, CHAR(10),""Max: "",H47)))"),"")</f>
        <v/>
      </c>
      <c r="G47" s="55" t="str">
        <f t="array" ref="G47">_xlfn.XLOOKUP(B47,'Up Min'!A:A,'Up Min'!B:B,)</f>
        <v/>
      </c>
      <c r="H47" s="56" t="str">
        <f t="array" ref="H47">_xlfn.XLOOKUP(B47,'Up Max'!A:A,'Up Max'!B:B,)</f>
        <v/>
      </c>
      <c r="I47" s="53" t="str">
        <f t="array" ref="I47">_xlfn.XLOOKUP(B47,'Up Stats'!A:A,'Up Stats'!C:C,)</f>
        <v/>
      </c>
      <c r="J47" s="54" t="str">
        <f>IFERROR(__xludf.DUMMYFUNCTION("if(AND(K47=FALSE,L47=FALSE),,if(K47=L47,JOIN("""",""Static: "",K47),JOIN("""",""Min:  "",K47, CHAR(10),""Max: "",L47)))"),"")</f>
        <v/>
      </c>
      <c r="K47" s="55" t="str">
        <f t="array" ref="K47">_xlfn.XLOOKUP(B47,'Up Min'!A:A,'Up Min'!C:C,)</f>
        <v/>
      </c>
      <c r="L47" s="55" t="str">
        <f t="array" ref="L47">_xlfn.XLOOKUP(B47,'Up Max'!A:A,'Up Max'!C:C,)</f>
        <v/>
      </c>
      <c r="M47" s="53" t="str">
        <f t="array" ref="M47">_xlfn.XLOOKUP(B47,'Up Stats'!A:A,'Up Stats'!D:D,)</f>
        <v/>
      </c>
      <c r="N47" s="54" t="str">
        <f>IFERROR(__xludf.DUMMYFUNCTION("if(AND(O47=FALSE,P47=FALSE),,if(O47=P47,JOIN("""",""Static: "",O47),JOIN("""",""Min:  "",O47, CHAR(10),""Max: "",P47)))"),"")</f>
        <v/>
      </c>
      <c r="O47" s="55" t="str">
        <f t="array" ref="O47">_xlfn.XLOOKUP(B47,'Up Min'!A:A,'Up Min'!D:D,)</f>
        <v/>
      </c>
      <c r="P47" s="55" t="str">
        <f t="array" ref="P47">_xlfn.XLOOKUP(B47,'Up Max'!A:A,'Up Max'!D:D,)</f>
        <v/>
      </c>
      <c r="Q47" s="57" t="str">
        <f t="array" ref="Q47">_xlfn.XLOOKUP(B47,'Up Stats'!A:A,'Up Stats'!E:E,)</f>
        <v/>
      </c>
      <c r="R47" s="54" t="str">
        <f>IFERROR(__xludf.DUMMYFUNCTION("if(AND(S47=FALSE,T47=FALSE),,if(S47=T47,JOIN("""",""Static: "",S47),JOIN("""",""Min:  "",S47, CHAR(10),""Max: "",T47)))"),"")</f>
        <v/>
      </c>
      <c r="S47" s="55" t="str">
        <f t="array" ref="S47">_xlfn.XLOOKUP(B47,'Up Min'!A:A,'Up Min'!E:E,)</f>
        <v/>
      </c>
      <c r="T47" s="55" t="str">
        <f t="array" ref="T47">_xlfn.XLOOKUP(B47,'Up Max'!A:A,'Up Max'!E:E,)</f>
        <v/>
      </c>
      <c r="U47" s="57" t="str">
        <f t="array" ref="U47">_xlfn.XLOOKUP(B47,'Up Stats'!A:A,'Up Stats'!F:F,)</f>
        <v/>
      </c>
      <c r="V47" s="54" t="str">
        <f>IFERROR(__xludf.DUMMYFUNCTION("if(AND(W47=FALSE,X47=FALSE),,if(W47=X47,JOIN("""",""Static: "",W47),JOIN("""",""Min:  "",W47, CHAR(10),""Max: "",X47)))"),"")</f>
        <v/>
      </c>
      <c r="W47" s="55" t="str">
        <f t="array" ref="W47">_xlfn.XLOOKUP(B47,'Up Min'!A:A,'Up Min'!F:F,)</f>
        <v/>
      </c>
      <c r="X47" s="55" t="str">
        <f t="array" ref="X47">_xlfn.XLOOKUP(B47,'Up Max'!A:A,'Up Max'!F:F,)</f>
        <v/>
      </c>
      <c r="Y47" s="57" t="str">
        <f t="array" ref="Y47">_xlfn.XLOOKUP(B47,'Up Stats'!A:A,'Up Stats'!G:G,)</f>
        <v/>
      </c>
      <c r="Z47" s="54" t="str">
        <f>IFERROR(__xludf.DUMMYFUNCTION("if(AND(AA47=FALSE,AB47=FALSE),,if(AA47=AB47,JOIN("""",""Static: "",AA47),JOIN("""",""Min:  "",AA47, CHAR(10),""Max: "",AB47)))"),"")</f>
        <v/>
      </c>
      <c r="AA47" s="55" t="str">
        <f t="array" ref="AA47">_xlfn.XLOOKUP(B47,'Up Min'!A:A,'Up Min'!G:G,)</f>
        <v/>
      </c>
      <c r="AB47" s="55" t="str">
        <f t="array" ref="AB47">_xlfn.XLOOKUP(B47,'Up Max'!A:A,'Up Max'!G:G,)</f>
        <v/>
      </c>
      <c r="AC47" s="57" t="str">
        <f t="array" ref="AC47">_xlfn.XLOOKUP(B47,'Up Stats'!A:A,'Up Stats'!H:H,)</f>
        <v/>
      </c>
      <c r="AD47" s="54" t="str">
        <f>IFERROR(__xludf.DUMMYFUNCTION("if(AND(AE47=FALSE,AF47=FALSE),,if(AE47=AF47,JOIN("""",""Static: "",AE47),JOIN("""",""Min:  "",AE47, CHAR(10),""Max: "",AF47)))"),"")</f>
        <v/>
      </c>
      <c r="AE47" s="55" t="str">
        <f t="array" ref="AE47">_xlfn.XLOOKUP(B47,'Up Min'!A:A,'Up Min'!H:H,)</f>
        <v/>
      </c>
      <c r="AF47" s="55" t="str">
        <f t="array" ref="AF47">_xlfn.XLOOKUP(B47,'Up Max'!A:A,'Up Max'!H:H,)</f>
        <v/>
      </c>
      <c r="AG47" s="57" t="str">
        <f t="array" ref="AG47">_xlfn.XLOOKUP(B47,'Up Stats'!A:A,'Up Stats'!I:I,)</f>
        <v/>
      </c>
      <c r="AH47" s="54" t="str">
        <f>IFERROR(__xludf.DUMMYFUNCTION("if(AND(AI47=FALSE,AJ47=FALSE),,if(AI47=AJ47,JOIN("""",""Static: "",AI47),JOIN("""",""Min:  "",AI47, CHAR(10),""Max: "",AJ47)))"),"")</f>
        <v/>
      </c>
      <c r="AI47" s="55" t="str">
        <f t="array" ref="AI47">_xlfn.XLOOKUP(B47,'Up Min'!A:A,'Up Min'!I:I,)</f>
        <v/>
      </c>
      <c r="AJ47" s="55" t="str">
        <f t="array" ref="AJ47">_xlfn.XLOOKUP(B47,'Up Max'!A:A,'Up Max'!I:I,)</f>
        <v/>
      </c>
      <c r="AK47" s="57" t="str">
        <f t="array" ref="AK47">_xlfn.XLOOKUP(B47,'Up Stats'!A:A,'Up Stats'!J:J,)</f>
        <v/>
      </c>
      <c r="AL47" s="54" t="str">
        <f>IFERROR(__xludf.DUMMYFUNCTION("if(AND(AM47=FALSE,AN47=FALSE),,if(AM47=AN47,JOIN("""",""Static: "",AM47),JOIN("""",""Min:  "",AM47, CHAR(10),""Max: "",AN47)))"),"")</f>
        <v/>
      </c>
      <c r="AM47" s="55" t="str">
        <f t="array" ref="AM47">_xlfn.XLOOKUP(B47,'Up Min'!A:A,'Up Min'!J:J,)</f>
        <v/>
      </c>
      <c r="AN47" s="55" t="str">
        <f t="array" ref="AN47">_xlfn.XLOOKUP(B47,'Up Max'!A:A,'Up Max'!J:J,)</f>
        <v/>
      </c>
      <c r="AO47" s="51" t="str">
        <f t="array" ref="AO47">CONCATENATE(_xlfn.XLOOKUP(B47,'Up Cells'!A:A,'Up Cells'!B:B,))</f>
        <v/>
      </c>
      <c r="AP47" s="51" t="str">
        <f t="array" ref="AP47">CONCATENATE(_xlfn.XLOOKUP(B47,'Up Rarity'!A:A,'Up Rarity'!B:B,),CHAR(10),"-")</f>
        <v>
-</v>
      </c>
    </row>
  </sheetData>
  <autoFilter ref="$A$1:$AP$47">
    <sortState ref="A1:AP47">
      <sortCondition descending="1" sortBy="cellColor" ref="AP1:AP47" dxfId="2"/>
      <sortCondition ref="B1:B47"/>
    </sortState>
  </autoFilter>
  <conditionalFormatting sqref="AO1:AP47">
    <cfRule type="containsText" dxfId="3" priority="1" operator="containsText" text="Oddity">
      <formula>NOT(ISERROR(SEARCH(("Oddity"),(AO1))))</formula>
    </cfRule>
  </conditionalFormatting>
  <conditionalFormatting sqref="AO1:AP47">
    <cfRule type="containsText" dxfId="4" priority="2" operator="containsText" text="Exotic">
      <formula>NOT(ISERROR(SEARCH(("Exotic"),(AO1))))</formula>
    </cfRule>
  </conditionalFormatting>
  <conditionalFormatting sqref="AO1:AP47">
    <cfRule type="containsText" dxfId="5" priority="3" operator="containsText" text="Epic">
      <formula>NOT(ISERROR(SEARCH(("Epic"),(AO1))))</formula>
    </cfRule>
  </conditionalFormatting>
  <conditionalFormatting sqref="AO1:AP47">
    <cfRule type="containsText" dxfId="6" priority="4" operator="containsText" text="Rare">
      <formula>NOT(ISERROR(SEARCH(("Rare"),(AO1))))</formula>
    </cfRule>
  </conditionalFormatting>
  <conditionalFormatting sqref="AO1:AP47">
    <cfRule type="containsText" dxfId="7" priority="5" operator="containsText" text="Standard">
      <formula>NOT(ISERROR(SEARCH(("Standard"),(AO1))))</formula>
    </cfRule>
  </conditionalFormatting>
  <conditionalFormatting sqref="AO1:AP47">
    <cfRule type="containsText" dxfId="8" priority="6" operator="containsText" text="Contraband">
      <formula>NOT(ISERROR(SEARCH(("Contraband"),(AO1))))</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12.63"/>
    <col customWidth="1" min="3" max="4" width="31.38"/>
    <col customWidth="1" min="5" max="6" width="12.63"/>
    <col customWidth="1" hidden="1" min="7" max="8" width="12.63"/>
    <col customWidth="1" min="9" max="10" width="12.63"/>
    <col customWidth="1" hidden="1" min="11" max="12" width="12.63"/>
    <col customWidth="1" min="13" max="14" width="12.63"/>
    <col customWidth="1" hidden="1" min="15" max="16" width="12.63"/>
    <col customWidth="1" min="17" max="18" width="12.63"/>
    <col customWidth="1" hidden="1" min="19" max="20" width="12.63"/>
    <col customWidth="1" min="21" max="22" width="12.63"/>
    <col customWidth="1" hidden="1" min="23" max="24" width="12.63"/>
    <col customWidth="1" min="25" max="26" width="12.63"/>
    <col customWidth="1" hidden="1" min="27" max="28" width="12.63"/>
    <col customWidth="1" min="29" max="30" width="12.63"/>
    <col customWidth="1" hidden="1" min="31" max="32" width="12.63"/>
    <col customWidth="1" min="33" max="34" width="12.63"/>
    <col customWidth="1" hidden="1" min="35" max="36" width="12.63"/>
    <col customWidth="1" min="37" max="38" width="12.63"/>
    <col customWidth="1" hidden="1" min="39" max="40" width="12.63"/>
    <col customWidth="1" min="41" max="42" width="8.25"/>
  </cols>
  <sheetData>
    <row r="1">
      <c r="A1" s="28" t="s">
        <v>1</v>
      </c>
      <c r="B1" s="9" t="s">
        <v>2</v>
      </c>
      <c r="C1" s="9" t="s">
        <v>3</v>
      </c>
      <c r="D1" s="11" t="s">
        <v>4</v>
      </c>
      <c r="E1" s="16" t="s">
        <v>6</v>
      </c>
      <c r="F1" s="19" t="s">
        <v>7</v>
      </c>
      <c r="G1" s="21" t="s">
        <v>8</v>
      </c>
      <c r="H1" s="25" t="s">
        <v>9</v>
      </c>
      <c r="I1" s="29" t="s">
        <v>6</v>
      </c>
      <c r="J1" s="19" t="s">
        <v>7</v>
      </c>
      <c r="K1" s="21" t="s">
        <v>8</v>
      </c>
      <c r="L1" s="21" t="s">
        <v>9</v>
      </c>
      <c r="M1" s="29" t="s">
        <v>6</v>
      </c>
      <c r="N1" s="19" t="s">
        <v>7</v>
      </c>
      <c r="O1" s="21" t="s">
        <v>8</v>
      </c>
      <c r="P1" s="21" t="s">
        <v>9</v>
      </c>
      <c r="Q1" s="16" t="s">
        <v>6</v>
      </c>
      <c r="R1" s="19" t="s">
        <v>7</v>
      </c>
      <c r="S1" s="21" t="s">
        <v>8</v>
      </c>
      <c r="T1" s="21" t="s">
        <v>9</v>
      </c>
      <c r="U1" s="16" t="s">
        <v>6</v>
      </c>
      <c r="V1" s="19" t="s">
        <v>7</v>
      </c>
      <c r="W1" s="21" t="s">
        <v>8</v>
      </c>
      <c r="X1" s="21" t="s">
        <v>9</v>
      </c>
      <c r="Y1" s="16" t="s">
        <v>6</v>
      </c>
      <c r="Z1" s="19" t="s">
        <v>7</v>
      </c>
      <c r="AA1" s="21" t="s">
        <v>8</v>
      </c>
      <c r="AB1" s="21" t="s">
        <v>9</v>
      </c>
      <c r="AC1" s="16" t="s">
        <v>6</v>
      </c>
      <c r="AD1" s="19" t="s">
        <v>7</v>
      </c>
      <c r="AE1" s="21" t="s">
        <v>8</v>
      </c>
      <c r="AF1" s="21" t="s">
        <v>9</v>
      </c>
      <c r="AG1" s="16" t="s">
        <v>6</v>
      </c>
      <c r="AH1" s="19" t="s">
        <v>7</v>
      </c>
      <c r="AI1" s="21" t="s">
        <v>8</v>
      </c>
      <c r="AJ1" s="21" t="s">
        <v>9</v>
      </c>
      <c r="AK1" s="16" t="s">
        <v>6</v>
      </c>
      <c r="AL1" s="19" t="s">
        <v>7</v>
      </c>
      <c r="AM1" s="21" t="s">
        <v>8</v>
      </c>
      <c r="AN1" s="21" t="s">
        <v>9</v>
      </c>
      <c r="AO1" s="11" t="s">
        <v>12</v>
      </c>
      <c r="AP1" s="22" t="s">
        <v>13</v>
      </c>
    </row>
    <row r="2">
      <c r="A2" s="31" t="str">
        <f t="array" ref="A2">_xlfn.XLOOKUP(B2,'Up Icon'!A:A,'Up Icon'!B:B,)</f>
        <v/>
      </c>
      <c r="B2" s="58" t="str">
        <f t="array" ref="B2">HYPERLINK(_xlfn.XLOOKUP('Up Names'!P33,'Up Wiki'!A:A,'Up Wiki'!B:B,),'Up Names'!P33)</f>
        <v>Cosmic Microwave</v>
      </c>
      <c r="C2" s="37" t="str">
        <f t="array" ref="C2">_xlfn.XLOOKUP(B2,'Up Desc'!A:A,'Up Desc'!B:B,)</f>
        <v>Converts all outgoing damage to the given element.</v>
      </c>
      <c r="D2" s="37" t="str">
        <f t="array" ref="D2">_xlfn.XLOOKUP(B2,'Up Turbo'!A:A,'Up Turbo'!B:B,)</f>
        <v>n/a</v>
      </c>
      <c r="E2" s="39" t="str">
        <f t="array" ref="E2">_xlfn.XLOOKUP(B2,'Up Stats'!A:A,'Up Stats'!B:B,)</f>
        <v/>
      </c>
      <c r="F2" s="40" t="str">
        <f>IFERROR(__xludf.DUMMYFUNCTION("if(AND(G2=FALSE,H2=FALSE),,if(G2=H2,JOIN("""",""Static: "",G2),JOIN("""",""Min:  "",G2, CHAR(10),""Max: "",H2)))"),"")</f>
        <v/>
      </c>
      <c r="G2" s="42" t="str">
        <f t="array" ref="G2">_xlfn.XLOOKUP(B2,'Up Min'!A:A,'Up Min'!B:B,)</f>
        <v/>
      </c>
      <c r="H2" s="45" t="str">
        <f t="array" ref="H2">_xlfn.XLOOKUP(B2,'Up Max'!A:A,'Up Max'!B:B,)</f>
        <v/>
      </c>
      <c r="I2" s="39" t="str">
        <f t="array" ref="I2">_xlfn.XLOOKUP(B2,'Up Stats'!A:A,'Up Stats'!C:C,)</f>
        <v/>
      </c>
      <c r="J2" s="40" t="str">
        <f>IFERROR(__xludf.DUMMYFUNCTION("if(AND(K2=FALSE,L2=FALSE),,if(K2=L2,JOIN("""",""Static: "",K2),JOIN("""",""Min:  "",K2, CHAR(10),""Max: "",L2)))"),"")</f>
        <v/>
      </c>
      <c r="K2" s="74" t="str">
        <f t="array" ref="K2">_xlfn.XLOOKUP(B2,'Up Min'!A:A,'Up Min'!C:C,)</f>
        <v/>
      </c>
      <c r="L2" s="74" t="str">
        <f t="array" ref="L2">_xlfn.XLOOKUP(B2,'Up Max'!A:A,'Up Max'!C:C,)</f>
        <v/>
      </c>
      <c r="M2" s="48" t="str">
        <f t="array" ref="M2">_xlfn.XLOOKUP(B2,'Up Stats'!A:A,'Up Stats'!D:D,)</f>
        <v/>
      </c>
      <c r="N2" s="40" t="str">
        <f>IFERROR(__xludf.DUMMYFUNCTION("if(AND(O2=FALSE,P2=FALSE),,if(O2=P2,JOIN("""",""Static: "",O2),JOIN("""",""Min:  "",O2, CHAR(10),""Max: "",P2)))"),"")</f>
        <v/>
      </c>
      <c r="O2" s="42" t="str">
        <f t="array" ref="O2">_xlfn.XLOOKUP(B2,'Up Min'!A:A,'Up Min'!D:D,)</f>
        <v/>
      </c>
      <c r="P2" s="42" t="str">
        <f t="array" ref="P2">_xlfn.XLOOKUP(B2,'Up Max'!A:A,'Up Max'!D:D,)</f>
        <v/>
      </c>
      <c r="Q2" s="48" t="str">
        <f t="array" ref="Q2">_xlfn.XLOOKUP(B2,'Up Stats'!A:A,'Up Stats'!E:E,)</f>
        <v/>
      </c>
      <c r="R2" s="40" t="str">
        <f>IFERROR(__xludf.DUMMYFUNCTION("if(AND(S2=FALSE,T2=FALSE),,if(S2=T2,JOIN("""",""Static: "",S2),JOIN("""",""Min:  "",S2, CHAR(10),""Max: "",T2)))"),"")</f>
        <v/>
      </c>
      <c r="S2" s="42" t="str">
        <f t="array" ref="S2">_xlfn.XLOOKUP(B2,'Up Min'!A:A,'Up Min'!E:E,)</f>
        <v/>
      </c>
      <c r="T2" s="42" t="str">
        <f t="array" ref="T2">_xlfn.XLOOKUP(B2,'Up Max'!A:A,'Up Max'!E:E,)</f>
        <v/>
      </c>
      <c r="U2" s="48" t="str">
        <f t="array" ref="U2">_xlfn.XLOOKUP(B2,'Up Stats'!A:A,'Up Stats'!F:F,)</f>
        <v/>
      </c>
      <c r="V2" s="40" t="str">
        <f>IFERROR(__xludf.DUMMYFUNCTION("if(AND(W2=FALSE,X2=FALSE),,if(W2=X2,JOIN("""",""Static: "",W2),JOIN("""",""Min:  "",W2, CHAR(10),""Max: "",X2)))"),"")</f>
        <v/>
      </c>
      <c r="W2" s="42" t="str">
        <f t="array" ref="W2">_xlfn.XLOOKUP(B2,'Up Min'!A:A,'Up Min'!F:F,)</f>
        <v/>
      </c>
      <c r="X2" s="42" t="str">
        <f t="array" ref="X2">_xlfn.XLOOKUP(B2,'Up Max'!A:A,'Up Max'!F:F,)</f>
        <v/>
      </c>
      <c r="Y2" s="48" t="str">
        <f t="array" ref="Y2">_xlfn.XLOOKUP(B2,'Up Stats'!A:A,'Up Stats'!G:G,)</f>
        <v/>
      </c>
      <c r="Z2" s="40" t="str">
        <f>IFERROR(__xludf.DUMMYFUNCTION("if(AND(AA2=FALSE,AB2=FALSE),,if(AA2=AB2,JOIN("""",""Static: "",AA2),JOIN("""",""Min:  "",AA2, CHAR(10),""Max: "",AB2)))"),"")</f>
        <v/>
      </c>
      <c r="AA2" s="42" t="str">
        <f t="array" ref="AA2">_xlfn.XLOOKUP(B2,'Up Min'!A:A,'Up Min'!G:G,)</f>
        <v/>
      </c>
      <c r="AB2" s="42" t="str">
        <f t="array" ref="AB2">_xlfn.XLOOKUP(B2,'Up Max'!A:A,'Up Max'!G:G,)</f>
        <v/>
      </c>
      <c r="AC2" s="48" t="str">
        <f t="array" ref="AC2">_xlfn.XLOOKUP(B2,'Up Stats'!A:A,'Up Stats'!H:H,)</f>
        <v/>
      </c>
      <c r="AD2" s="40" t="str">
        <f>IFERROR(__xludf.DUMMYFUNCTION("if(AND(AE2=FALSE,AF2=FALSE),,if(AE2=AF2,JOIN("""",""Static: "",AE2),JOIN("""",""Min:  "",AE2, CHAR(10),""Max: "",AF2)))"),"")</f>
        <v/>
      </c>
      <c r="AE2" s="42" t="str">
        <f t="array" ref="AE2">_xlfn.XLOOKUP(B2,'Up Min'!A:A,'Up Min'!H:H,)</f>
        <v/>
      </c>
      <c r="AF2" s="42" t="str">
        <f t="array" ref="AF2">_xlfn.XLOOKUP(B2,'Up Max'!A:A,'Up Max'!H:H,)</f>
        <v/>
      </c>
      <c r="AG2" s="48" t="str">
        <f t="array" ref="AG2">_xlfn.XLOOKUP(B2,'Up Stats'!A:A,'Up Stats'!I:I,)</f>
        <v/>
      </c>
      <c r="AH2" s="40" t="str">
        <f>IFERROR(__xludf.DUMMYFUNCTION("if(AND(AI2=FALSE,AJ2=FALSE),,if(AI2=AJ2,JOIN("""",""Static: "",AI2),JOIN("""",""Min:  "",AI2, CHAR(10),""Max: "",AJ2)))"),"")</f>
        <v/>
      </c>
      <c r="AI2" s="42" t="str">
        <f t="array" ref="AI2">_xlfn.XLOOKUP(B2,'Up Min'!A:A,'Up Min'!I:I,)</f>
        <v/>
      </c>
      <c r="AJ2" s="42" t="str">
        <f t="array" ref="AJ2">_xlfn.XLOOKUP(B2,'Up Max'!A:A,'Up Max'!I:I,)</f>
        <v/>
      </c>
      <c r="AK2" s="48" t="str">
        <f t="array" ref="AK2">_xlfn.XLOOKUP(B2,'Up Stats'!A:A,'Up Stats'!J:J,)</f>
        <v/>
      </c>
      <c r="AL2" s="40" t="str">
        <f>IFERROR(__xludf.DUMMYFUNCTION("if(AND(AM2=FALSE,AN2=FALSE),,if(AM2=AN2,JOIN("""",""Static: "",AM2),JOIN("""",""Min:  "",AM2, CHAR(10),""Max: "",AN2)))"),"")</f>
        <v/>
      </c>
      <c r="AM2" s="42" t="str">
        <f t="array" ref="AM2">_xlfn.XLOOKUP(B2,'Up Min'!A:A,'Up Min'!J:J,)</f>
        <v/>
      </c>
      <c r="AN2" s="42" t="str">
        <f t="array" ref="AN2">_xlfn.XLOOKUP(B2,'Up Max'!A:A,'Up Max'!J:J,)</f>
        <v/>
      </c>
      <c r="AO2" s="34" t="str">
        <f t="array" ref="AO2">CONCATENATE(_xlfn.XLOOKUP(B2,'Up Cells'!A:A,'Up Cells'!B:B,))</f>
        <v>6</v>
      </c>
      <c r="AP2" s="34" t="str">
        <f t="array" ref="AP2">CONCATENATE(_xlfn.XLOOKUP(B2,'Up Rarity'!A:A,'Up Rarity'!B:B,),CHAR(10),"-")</f>
        <v>Contraband
-</v>
      </c>
    </row>
    <row r="3">
      <c r="A3" s="31" t="str">
        <f t="array" ref="A3">_xlfn.XLOOKUP(B3,'Up Icon'!A:A,'Up Icon'!B:B,)</f>
        <v/>
      </c>
      <c r="B3" s="61" t="str">
        <f t="array" ref="B3">HYPERLINK(_xlfn.XLOOKUP('Up Names'!P37,'Up Wiki'!A:A,'Up Wiki'!B:B,),'Up Names'!P37)</f>
        <v>Edge Fault</v>
      </c>
      <c r="C3" s="52" t="str">
        <f t="array" ref="C3">_xlfn.XLOOKUP(B3,'Up Desc'!A:A,'Up Desc'!B:B,)</f>
        <v>Increases the size of your upgrade grid.</v>
      </c>
      <c r="D3" s="52" t="str">
        <f t="array" ref="D3">_xlfn.XLOOKUP(B3,'Up Turbo'!A:A,'Up Turbo'!B:B,)</f>
        <v>n/a</v>
      </c>
      <c r="E3" s="53" t="str">
        <f t="array" ref="E3">_xlfn.XLOOKUP(B3,'Up Stats'!A:A,'Up Stats'!B:B,)</f>
        <v/>
      </c>
      <c r="F3" s="54" t="str">
        <f>IFERROR(__xludf.DUMMYFUNCTION("if(AND(G3=FALSE,H3=FALSE),,if(G3=H3,JOIN("""",""Static: "",G3),JOIN("""",""Min:  "",G3, CHAR(10),""Max: "",H3)))"),"")</f>
        <v/>
      </c>
      <c r="G3" s="55" t="str">
        <f t="array" ref="G3">_xlfn.XLOOKUP(B3,'Up Min'!A:A,'Up Min'!B:B,)</f>
        <v/>
      </c>
      <c r="H3" s="56" t="str">
        <f t="array" ref="H3">_xlfn.XLOOKUP(B3,'Up Max'!A:A,'Up Max'!B:B,)</f>
        <v/>
      </c>
      <c r="I3" s="53" t="str">
        <f t="array" ref="I3">_xlfn.XLOOKUP(B3,'Up Stats'!A:A,'Up Stats'!C:C,)</f>
        <v/>
      </c>
      <c r="J3" s="54" t="str">
        <f>IFERROR(__xludf.DUMMYFUNCTION("if(AND(K3=FALSE,L3=FALSE),,if(K3=L3,JOIN("""",""Static: "",K3),JOIN("""",""Min:  "",K3, CHAR(10),""Max: "",L3)))"),"")</f>
        <v/>
      </c>
      <c r="K3" s="55" t="str">
        <f t="array" ref="K3">_xlfn.XLOOKUP(B3,'Up Min'!A:A,'Up Min'!C:C,)</f>
        <v/>
      </c>
      <c r="L3" s="55" t="str">
        <f t="array" ref="L3">_xlfn.XLOOKUP(B3,'Up Max'!A:A,'Up Max'!C:C,)</f>
        <v/>
      </c>
      <c r="M3" s="57" t="str">
        <f t="array" ref="M3">_xlfn.XLOOKUP(B3,'Up Stats'!A:A,'Up Stats'!D:D,)</f>
        <v/>
      </c>
      <c r="N3" s="54" t="str">
        <f>IFERROR(__xludf.DUMMYFUNCTION("if(AND(O3=FALSE,P3=FALSE),,if(O3=P3,JOIN("""",""Static: "",O3),JOIN("""",""Min:  "",O3, CHAR(10),""Max: "",P3)))"),"")</f>
        <v/>
      </c>
      <c r="O3" s="55" t="str">
        <f t="array" ref="O3">_xlfn.XLOOKUP(B3,'Up Min'!A:A,'Up Min'!D:D,)</f>
        <v/>
      </c>
      <c r="P3" s="55" t="str">
        <f t="array" ref="P3">_xlfn.XLOOKUP(B3,'Up Max'!A:A,'Up Max'!D:D,)</f>
        <v/>
      </c>
      <c r="Q3" s="57" t="str">
        <f t="array" ref="Q3">_xlfn.XLOOKUP(B3,'Up Stats'!A:A,'Up Stats'!E:E,)</f>
        <v/>
      </c>
      <c r="R3" s="54" t="str">
        <f>IFERROR(__xludf.DUMMYFUNCTION("if(AND(S3=FALSE,T3=FALSE),,if(S3=T3,JOIN("""",""Static: "",S3),JOIN("""",""Min:  "",S3, CHAR(10),""Max: "",T3)))"),"")</f>
        <v/>
      </c>
      <c r="S3" s="55" t="str">
        <f t="array" ref="S3">_xlfn.XLOOKUP(B3,'Up Min'!A:A,'Up Min'!E:E,)</f>
        <v/>
      </c>
      <c r="T3" s="55" t="str">
        <f t="array" ref="T3">_xlfn.XLOOKUP(B3,'Up Max'!A:A,'Up Max'!E:E,)</f>
        <v/>
      </c>
      <c r="U3" s="57" t="str">
        <f t="array" ref="U3">_xlfn.XLOOKUP(B3,'Up Stats'!A:A,'Up Stats'!F:F,)</f>
        <v/>
      </c>
      <c r="V3" s="54" t="str">
        <f>IFERROR(__xludf.DUMMYFUNCTION("if(AND(W3=FALSE,X3=FALSE),,if(W3=X3,JOIN("""",""Static: "",W3),JOIN("""",""Min:  "",W3, CHAR(10),""Max: "",X3)))"),"")</f>
        <v/>
      </c>
      <c r="W3" s="55" t="str">
        <f t="array" ref="W3">_xlfn.XLOOKUP(B3,'Up Min'!A:A,'Up Min'!F:F,)</f>
        <v/>
      </c>
      <c r="X3" s="55" t="str">
        <f t="array" ref="X3">_xlfn.XLOOKUP(B3,'Up Max'!A:A,'Up Max'!F:F,)</f>
        <v/>
      </c>
      <c r="Y3" s="57" t="str">
        <f t="array" ref="Y3">_xlfn.XLOOKUP(B3,'Up Stats'!A:A,'Up Stats'!G:G,)</f>
        <v/>
      </c>
      <c r="Z3" s="54" t="str">
        <f>IFERROR(__xludf.DUMMYFUNCTION("if(AND(AA3=FALSE,AB3=FALSE),,if(AA3=AB3,JOIN("""",""Static: "",AA3),JOIN("""",""Min:  "",AA3, CHAR(10),""Max: "",AB3)))"),"")</f>
        <v/>
      </c>
      <c r="AA3" s="55" t="str">
        <f t="array" ref="AA3">_xlfn.XLOOKUP(B3,'Up Min'!A:A,'Up Min'!G:G,)</f>
        <v/>
      </c>
      <c r="AB3" s="55" t="str">
        <f t="array" ref="AB3">_xlfn.XLOOKUP(B3,'Up Max'!A:A,'Up Max'!G:G,)</f>
        <v/>
      </c>
      <c r="AC3" s="57" t="str">
        <f t="array" ref="AC3">_xlfn.XLOOKUP(B3,'Up Stats'!A:A,'Up Stats'!H:H,)</f>
        <v/>
      </c>
      <c r="AD3" s="54" t="str">
        <f>IFERROR(__xludf.DUMMYFUNCTION("if(AND(AE3=FALSE,AF3=FALSE),,if(AE3=AF3,JOIN("""",""Static: "",AE3),JOIN("""",""Min:  "",AE3, CHAR(10),""Max: "",AF3)))"),"")</f>
        <v/>
      </c>
      <c r="AE3" s="55" t="str">
        <f t="array" ref="AE3">_xlfn.XLOOKUP(B3,'Up Min'!A:A,'Up Min'!H:H,)</f>
        <v/>
      </c>
      <c r="AF3" s="55" t="str">
        <f t="array" ref="AF3">_xlfn.XLOOKUP(B3,'Up Max'!A:A,'Up Max'!H:H,)</f>
        <v/>
      </c>
      <c r="AG3" s="57" t="str">
        <f t="array" ref="AG3">_xlfn.XLOOKUP(B3,'Up Stats'!A:A,'Up Stats'!I:I,)</f>
        <v/>
      </c>
      <c r="AH3" s="54" t="str">
        <f>IFERROR(__xludf.DUMMYFUNCTION("if(AND(AI3=FALSE,AJ3=FALSE),,if(AI3=AJ3,JOIN("""",""Static: "",AI3),JOIN("""",""Min:  "",AI3, CHAR(10),""Max: "",AJ3)))"),"")</f>
        <v/>
      </c>
      <c r="AI3" s="55" t="str">
        <f t="array" ref="AI3">_xlfn.XLOOKUP(B3,'Up Min'!A:A,'Up Min'!I:I,)</f>
        <v/>
      </c>
      <c r="AJ3" s="55" t="str">
        <f t="array" ref="AJ3">_xlfn.XLOOKUP(B3,'Up Max'!A:A,'Up Max'!I:I,)</f>
        <v/>
      </c>
      <c r="AK3" s="57" t="str">
        <f t="array" ref="AK3">_xlfn.XLOOKUP(B3,'Up Stats'!A:A,'Up Stats'!J:J,)</f>
        <v/>
      </c>
      <c r="AL3" s="54" t="str">
        <f>IFERROR(__xludf.DUMMYFUNCTION("if(AND(AM3=FALSE,AN3=FALSE),,if(AM3=AN3,JOIN("""",""Static: "",AM3),JOIN("""",""Min:  "",AM3, CHAR(10),""Max: "",AN3)))"),"")</f>
        <v/>
      </c>
      <c r="AM3" s="55" t="str">
        <f t="array" ref="AM3">_xlfn.XLOOKUP(B3,'Up Min'!A:A,'Up Min'!J:J,)</f>
        <v/>
      </c>
      <c r="AN3" s="55" t="str">
        <f t="array" ref="AN3">_xlfn.XLOOKUP(B3,'Up Max'!A:A,'Up Max'!J:J,)</f>
        <v/>
      </c>
      <c r="AO3" s="51" t="str">
        <f t="array" ref="AO3">CONCATENATE(_xlfn.XLOOKUP(B3,'Up Cells'!A:A,'Up Cells'!B:B,))</f>
        <v>1</v>
      </c>
      <c r="AP3" s="51" t="str">
        <f t="array" ref="AP3">CONCATENATE(_xlfn.XLOOKUP(B3,'Up Rarity'!A:A,'Up Rarity'!B:B,),CHAR(10),"-")</f>
        <v>Contraband
-</v>
      </c>
    </row>
    <row r="4">
      <c r="A4" s="31" t="str">
        <f t="array" ref="A4">_xlfn.XLOOKUP(B4,'Up Icon'!A:A,'Up Icon'!B:B,)</f>
        <v/>
      </c>
      <c r="B4" s="58" t="str">
        <f t="array" ref="B4">HYPERLINK(_xlfn.XLOOKUP('Up Names'!P34,'Up Wiki'!A:A,'Up Wiki'!B:B,),'Up Names'!P34)</f>
        <v>Fake ID (Biologicals Only)</v>
      </c>
      <c r="C4" s="37" t="str">
        <f t="array" ref="C4">_xlfn.XLOOKUP(B4,'Up Desc'!A:A,'Up Desc'!B:B,)</f>
        <v>Gain 50% extra max health. Collecting this upgrade rerolls all existing upgrades but doesn't change their patterns.</v>
      </c>
      <c r="D4" s="37" t="str">
        <f t="array" ref="D4">_xlfn.XLOOKUP(B4,'Up Turbo'!A:A,'Up Turbo'!B:B,)</f>
        <v>n/a</v>
      </c>
      <c r="E4" s="39" t="str">
        <f t="array" ref="E4">_xlfn.XLOOKUP(B4,'Up Stats'!A:A,'Up Stats'!B:B,)</f>
        <v/>
      </c>
      <c r="F4" s="40" t="str">
        <f>IFERROR(__xludf.DUMMYFUNCTION("if(AND(G4=FALSE,H4=FALSE),,if(G4=H4,JOIN("""",""Static: "",G4),JOIN("""",""Min:  "",G4, CHAR(10),""Max: "",H4)))"),"")</f>
        <v/>
      </c>
      <c r="G4" s="42" t="str">
        <f t="array" ref="G4">_xlfn.XLOOKUP(B4,'Up Min'!A:A,'Up Min'!B:B,)</f>
        <v/>
      </c>
      <c r="H4" s="45" t="str">
        <f t="array" ref="H4">_xlfn.XLOOKUP(B4,'Up Max'!A:A,'Up Max'!B:B,)</f>
        <v/>
      </c>
      <c r="I4" s="39" t="str">
        <f t="array" ref="I4">_xlfn.XLOOKUP(B4,'Up Stats'!A:A,'Up Stats'!C:C,)</f>
        <v/>
      </c>
      <c r="J4" s="40" t="str">
        <f>IFERROR(__xludf.DUMMYFUNCTION("if(AND(K4=FALSE,L4=FALSE),,if(K4=L4,JOIN("""",""Static: "",K4),JOIN("""",""Min:  "",K4, CHAR(10),""Max: "",L4)))"),"")</f>
        <v/>
      </c>
      <c r="K4" s="74" t="str">
        <f t="array" ref="K4">_xlfn.XLOOKUP(B4,'Up Min'!A:A,'Up Min'!C:C,)</f>
        <v/>
      </c>
      <c r="L4" s="74" t="str">
        <f t="array" ref="L4">_xlfn.XLOOKUP(B4,'Up Max'!A:A,'Up Max'!C:C,)</f>
        <v/>
      </c>
      <c r="M4" s="48" t="str">
        <f t="array" ref="M4">_xlfn.XLOOKUP(B4,'Up Stats'!A:A,'Up Stats'!D:D,)</f>
        <v/>
      </c>
      <c r="N4" s="40" t="str">
        <f>IFERROR(__xludf.DUMMYFUNCTION("if(AND(O4=FALSE,P4=FALSE),,if(O4=P4,JOIN("""",""Static: "",O4),JOIN("""",""Min:  "",O4, CHAR(10),""Max: "",P4)))"),"")</f>
        <v/>
      </c>
      <c r="O4" s="42" t="str">
        <f t="array" ref="O4">_xlfn.XLOOKUP(B4,'Up Min'!A:A,'Up Min'!D:D,)</f>
        <v/>
      </c>
      <c r="P4" s="42" t="str">
        <f t="array" ref="P4">_xlfn.XLOOKUP(B4,'Up Max'!A:A,'Up Max'!D:D,)</f>
        <v/>
      </c>
      <c r="Q4" s="48" t="str">
        <f t="array" ref="Q4">_xlfn.XLOOKUP(B4,'Up Stats'!A:A,'Up Stats'!E:E,)</f>
        <v/>
      </c>
      <c r="R4" s="40" t="str">
        <f>IFERROR(__xludf.DUMMYFUNCTION("if(AND(S4=FALSE,T4=FALSE),,if(S4=T4,JOIN("""",""Static: "",S4),JOIN("""",""Min:  "",S4, CHAR(10),""Max: "",T4)))"),"")</f>
        <v/>
      </c>
      <c r="S4" s="42" t="str">
        <f t="array" ref="S4">_xlfn.XLOOKUP(B4,'Up Min'!A:A,'Up Min'!E:E,)</f>
        <v/>
      </c>
      <c r="T4" s="42" t="str">
        <f t="array" ref="T4">_xlfn.XLOOKUP(B4,'Up Max'!A:A,'Up Max'!E:E,)</f>
        <v/>
      </c>
      <c r="U4" s="48" t="str">
        <f t="array" ref="U4">_xlfn.XLOOKUP(B4,'Up Stats'!A:A,'Up Stats'!F:F,)</f>
        <v/>
      </c>
      <c r="V4" s="40" t="str">
        <f>IFERROR(__xludf.DUMMYFUNCTION("if(AND(W4=FALSE,X4=FALSE),,if(W4=X4,JOIN("""",""Static: "",W4),JOIN("""",""Min:  "",W4, CHAR(10),""Max: "",X4)))"),"")</f>
        <v/>
      </c>
      <c r="W4" s="42" t="str">
        <f t="array" ref="W4">_xlfn.XLOOKUP(B4,'Up Min'!A:A,'Up Min'!F:F,)</f>
        <v/>
      </c>
      <c r="X4" s="42" t="str">
        <f t="array" ref="X4">_xlfn.XLOOKUP(B4,'Up Max'!A:A,'Up Max'!F:F,)</f>
        <v/>
      </c>
      <c r="Y4" s="48" t="str">
        <f t="array" ref="Y4">_xlfn.XLOOKUP(B4,'Up Stats'!A:A,'Up Stats'!G:G,)</f>
        <v/>
      </c>
      <c r="Z4" s="40" t="str">
        <f>IFERROR(__xludf.DUMMYFUNCTION("if(AND(AA4=FALSE,AB4=FALSE),,if(AA4=AB4,JOIN("""",""Static: "",AA4),JOIN("""",""Min:  "",AA4, CHAR(10),""Max: "",AB4)))"),"")</f>
        <v/>
      </c>
      <c r="AA4" s="42" t="str">
        <f t="array" ref="AA4">_xlfn.XLOOKUP(B4,'Up Min'!A:A,'Up Min'!G:G,)</f>
        <v/>
      </c>
      <c r="AB4" s="42" t="str">
        <f t="array" ref="AB4">_xlfn.XLOOKUP(B4,'Up Max'!A:A,'Up Max'!G:G,)</f>
        <v/>
      </c>
      <c r="AC4" s="48" t="str">
        <f t="array" ref="AC4">_xlfn.XLOOKUP(B4,'Up Stats'!A:A,'Up Stats'!H:H,)</f>
        <v/>
      </c>
      <c r="AD4" s="40" t="str">
        <f>IFERROR(__xludf.DUMMYFUNCTION("if(AND(AE4=FALSE,AF4=FALSE),,if(AE4=AF4,JOIN("""",""Static: "",AE4),JOIN("""",""Min:  "",AE4, CHAR(10),""Max: "",AF4)))"),"")</f>
        <v/>
      </c>
      <c r="AE4" s="42" t="str">
        <f t="array" ref="AE4">_xlfn.XLOOKUP(B4,'Up Min'!A:A,'Up Min'!H:H,)</f>
        <v/>
      </c>
      <c r="AF4" s="42" t="str">
        <f t="array" ref="AF4">_xlfn.XLOOKUP(B4,'Up Max'!A:A,'Up Max'!H:H,)</f>
        <v/>
      </c>
      <c r="AG4" s="48" t="str">
        <f t="array" ref="AG4">_xlfn.XLOOKUP(B4,'Up Stats'!A:A,'Up Stats'!I:I,)</f>
        <v/>
      </c>
      <c r="AH4" s="40" t="str">
        <f>IFERROR(__xludf.DUMMYFUNCTION("if(AND(AI4=FALSE,AJ4=FALSE),,if(AI4=AJ4,JOIN("""",""Static: "",AI4),JOIN("""",""Min:  "",AI4, CHAR(10),""Max: "",AJ4)))"),"")</f>
        <v/>
      </c>
      <c r="AI4" s="42" t="str">
        <f t="array" ref="AI4">_xlfn.XLOOKUP(B4,'Up Min'!A:A,'Up Min'!I:I,)</f>
        <v/>
      </c>
      <c r="AJ4" s="42" t="str">
        <f t="array" ref="AJ4">_xlfn.XLOOKUP(B4,'Up Max'!A:A,'Up Max'!I:I,)</f>
        <v/>
      </c>
      <c r="AK4" s="48" t="str">
        <f t="array" ref="AK4">_xlfn.XLOOKUP(B4,'Up Stats'!A:A,'Up Stats'!J:J,)</f>
        <v/>
      </c>
      <c r="AL4" s="40" t="str">
        <f>IFERROR(__xludf.DUMMYFUNCTION("if(AND(AM4=FALSE,AN4=FALSE),,if(AM4=AN4,JOIN("""",""Static: "",AM4),JOIN("""",""Min:  "",AM4, CHAR(10),""Max: "",AN4)))"),"")</f>
        <v/>
      </c>
      <c r="AM4" s="42" t="str">
        <f t="array" ref="AM4">_xlfn.XLOOKUP(B4,'Up Min'!A:A,'Up Min'!J:J,)</f>
        <v/>
      </c>
      <c r="AN4" s="42" t="str">
        <f t="array" ref="AN4">_xlfn.XLOOKUP(B4,'Up Max'!A:A,'Up Max'!J:J,)</f>
        <v/>
      </c>
      <c r="AO4" s="34" t="str">
        <f t="array" ref="AO4">CONCATENATE(_xlfn.XLOOKUP(B4,'Up Cells'!A:A,'Up Cells'!B:B,))</f>
        <v>4</v>
      </c>
      <c r="AP4" s="34" t="str">
        <f t="array" ref="AP4">CONCATENATE(_xlfn.XLOOKUP(B4,'Up Rarity'!A:A,'Up Rarity'!B:B,),CHAR(10),"-")</f>
        <v>Contraband
-</v>
      </c>
    </row>
    <row r="5">
      <c r="A5" s="31" t="str">
        <f t="array" ref="A5">_xlfn.XLOOKUP(B5,'Up Icon'!A:A,'Up Icon'!B:B,)</f>
        <v/>
      </c>
      <c r="B5" s="61" t="str">
        <f t="array" ref="B5">HYPERLINK(_xlfn.XLOOKUP('Up Names'!P35,'Up Wiki'!A:A,'Up Wiki'!B:B,),'Up Names'!P35)</f>
        <v>Handheld Pocket Universe</v>
      </c>
      <c r="C5" s="52" t="str">
        <f t="array" ref="C5">_xlfn.XLOOKUP(B5,'Up Desc'!A:A,'Up Desc'!B:B,)</f>
        <v>Standard upgrades are 1 cell.
Rare upgrades are 2 cells.
Epic upgrades are 3 cells.
Exotic upgrades are 4 cells.</v>
      </c>
      <c r="D5" s="52" t="str">
        <f t="array" ref="D5">_xlfn.XLOOKUP(B5,'Up Turbo'!A:A,'Up Turbo'!B:B,)</f>
        <v>n/a</v>
      </c>
      <c r="E5" s="53" t="str">
        <f t="array" ref="E5">_xlfn.XLOOKUP(B5,'Up Stats'!A:A,'Up Stats'!B:B,)</f>
        <v/>
      </c>
      <c r="F5" s="54" t="str">
        <f>IFERROR(__xludf.DUMMYFUNCTION("if(AND(G5=FALSE,H5=FALSE),,if(G5=H5,JOIN("""",""Static: "",G5),JOIN("""",""Min:  "",G5, CHAR(10),""Max: "",H5)))"),"")</f>
        <v/>
      </c>
      <c r="G5" s="55" t="str">
        <f t="array" ref="G5">_xlfn.XLOOKUP(B5,'Up Min'!A:A,'Up Min'!B:B,)</f>
        <v/>
      </c>
      <c r="H5" s="56" t="str">
        <f t="array" ref="H5">_xlfn.XLOOKUP(B5,'Up Max'!A:A,'Up Max'!B:B,)</f>
        <v/>
      </c>
      <c r="I5" s="53" t="str">
        <f t="array" ref="I5">_xlfn.XLOOKUP(B5,'Up Stats'!A:A,'Up Stats'!C:C,)</f>
        <v/>
      </c>
      <c r="J5" s="54" t="str">
        <f>IFERROR(__xludf.DUMMYFUNCTION("if(AND(K5=FALSE,L5=FALSE),,if(K5=L5,JOIN("""",""Static: "",K5),JOIN("""",""Min:  "",K5, CHAR(10),""Max: "",L5)))"),"")</f>
        <v/>
      </c>
      <c r="K5" s="72" t="str">
        <f t="array" ref="K5">_xlfn.XLOOKUP(B5,'Up Min'!A:A,'Up Min'!C:C,)</f>
        <v/>
      </c>
      <c r="L5" s="72" t="str">
        <f t="array" ref="L5">_xlfn.XLOOKUP(B5,'Up Max'!A:A,'Up Max'!C:C,)</f>
        <v/>
      </c>
      <c r="M5" s="57" t="str">
        <f t="array" ref="M5">_xlfn.XLOOKUP(B5,'Up Stats'!A:A,'Up Stats'!D:D,)</f>
        <v/>
      </c>
      <c r="N5" s="54" t="str">
        <f>IFERROR(__xludf.DUMMYFUNCTION("if(AND(O5=FALSE,P5=FALSE),,if(O5=P5,JOIN("""",""Static: "",O5),JOIN("""",""Min:  "",O5, CHAR(10),""Max: "",P5)))"),"")</f>
        <v/>
      </c>
      <c r="O5" s="55" t="str">
        <f t="array" ref="O5">_xlfn.XLOOKUP(B5,'Up Min'!A:A,'Up Min'!D:D,)</f>
        <v/>
      </c>
      <c r="P5" s="55" t="str">
        <f t="array" ref="P5">_xlfn.XLOOKUP(B5,'Up Max'!A:A,'Up Max'!D:D,)</f>
        <v/>
      </c>
      <c r="Q5" s="57" t="str">
        <f t="array" ref="Q5">_xlfn.XLOOKUP(B5,'Up Stats'!A:A,'Up Stats'!E:E,)</f>
        <v/>
      </c>
      <c r="R5" s="54" t="str">
        <f>IFERROR(__xludf.DUMMYFUNCTION("if(AND(S5=FALSE,T5=FALSE),,if(S5=T5,JOIN("""",""Static: "",S5),JOIN("""",""Min:  "",S5, CHAR(10),""Max: "",T5)))"),"")</f>
        <v/>
      </c>
      <c r="S5" s="55" t="str">
        <f t="array" ref="S5">_xlfn.XLOOKUP(B5,'Up Min'!A:A,'Up Min'!E:E,)</f>
        <v/>
      </c>
      <c r="T5" s="55" t="str">
        <f t="array" ref="T5">_xlfn.XLOOKUP(B5,'Up Max'!A:A,'Up Max'!E:E,)</f>
        <v/>
      </c>
      <c r="U5" s="57" t="str">
        <f t="array" ref="U5">_xlfn.XLOOKUP(B5,'Up Stats'!A:A,'Up Stats'!F:F,)</f>
        <v/>
      </c>
      <c r="V5" s="54" t="str">
        <f>IFERROR(__xludf.DUMMYFUNCTION("if(AND(W5=FALSE,X5=FALSE),,if(W5=X5,JOIN("""",""Static: "",W5),JOIN("""",""Min:  "",W5, CHAR(10),""Max: "",X5)))"),"")</f>
        <v/>
      </c>
      <c r="W5" s="55" t="str">
        <f t="array" ref="W5">_xlfn.XLOOKUP(B5,'Up Min'!A:A,'Up Min'!F:F,)</f>
        <v/>
      </c>
      <c r="X5" s="55" t="str">
        <f t="array" ref="X5">_xlfn.XLOOKUP(B5,'Up Max'!A:A,'Up Max'!F:F,)</f>
        <v/>
      </c>
      <c r="Y5" s="57" t="str">
        <f t="array" ref="Y5">_xlfn.XLOOKUP(B5,'Up Stats'!A:A,'Up Stats'!G:G,)</f>
        <v/>
      </c>
      <c r="Z5" s="54" t="str">
        <f>IFERROR(__xludf.DUMMYFUNCTION("if(AND(AA5=FALSE,AB5=FALSE),,if(AA5=AB5,JOIN("""",""Static: "",AA5),JOIN("""",""Min:  "",AA5, CHAR(10),""Max: "",AB5)))"),"")</f>
        <v/>
      </c>
      <c r="AA5" s="55" t="str">
        <f t="array" ref="AA5">_xlfn.XLOOKUP(B5,'Up Min'!A:A,'Up Min'!G:G,)</f>
        <v/>
      </c>
      <c r="AB5" s="55" t="str">
        <f t="array" ref="AB5">_xlfn.XLOOKUP(B5,'Up Max'!A:A,'Up Max'!G:G,)</f>
        <v/>
      </c>
      <c r="AC5" s="57" t="str">
        <f t="array" ref="AC5">_xlfn.XLOOKUP(B5,'Up Stats'!A:A,'Up Stats'!H:H,)</f>
        <v/>
      </c>
      <c r="AD5" s="54" t="str">
        <f>IFERROR(__xludf.DUMMYFUNCTION("if(AND(AE5=FALSE,AF5=FALSE),,if(AE5=AF5,JOIN("""",""Static: "",AE5),JOIN("""",""Min:  "",AE5, CHAR(10),""Max: "",AF5)))"),"")</f>
        <v/>
      </c>
      <c r="AE5" s="55" t="str">
        <f t="array" ref="AE5">_xlfn.XLOOKUP(B5,'Up Min'!A:A,'Up Min'!H:H,)</f>
        <v/>
      </c>
      <c r="AF5" s="55" t="str">
        <f t="array" ref="AF5">_xlfn.XLOOKUP(B5,'Up Max'!A:A,'Up Max'!H:H,)</f>
        <v/>
      </c>
      <c r="AG5" s="57" t="str">
        <f t="array" ref="AG5">_xlfn.XLOOKUP(B5,'Up Stats'!A:A,'Up Stats'!I:I,)</f>
        <v/>
      </c>
      <c r="AH5" s="54" t="str">
        <f>IFERROR(__xludf.DUMMYFUNCTION("if(AND(AI5=FALSE,AJ5=FALSE),,if(AI5=AJ5,JOIN("""",""Static: "",AI5),JOIN("""",""Min:  "",AI5, CHAR(10),""Max: "",AJ5)))"),"")</f>
        <v/>
      </c>
      <c r="AI5" s="55" t="str">
        <f t="array" ref="AI5">_xlfn.XLOOKUP(B5,'Up Min'!A:A,'Up Min'!I:I,)</f>
        <v/>
      </c>
      <c r="AJ5" s="55" t="str">
        <f t="array" ref="AJ5">_xlfn.XLOOKUP(B5,'Up Max'!A:A,'Up Max'!I:I,)</f>
        <v/>
      </c>
      <c r="AK5" s="57" t="str">
        <f t="array" ref="AK5">_xlfn.XLOOKUP(B5,'Up Stats'!A:A,'Up Stats'!J:J,)</f>
        <v/>
      </c>
      <c r="AL5" s="54" t="str">
        <f>IFERROR(__xludf.DUMMYFUNCTION("if(AND(AM5=FALSE,AN5=FALSE),,if(AM5=AN5,JOIN("""",""Static: "",AM5),JOIN("""",""Min:  "",AM5, CHAR(10),""Max: "",AN5)))"),"")</f>
        <v/>
      </c>
      <c r="AM5" s="55" t="str">
        <f t="array" ref="AM5">_xlfn.XLOOKUP(B5,'Up Min'!A:A,'Up Min'!J:J,)</f>
        <v/>
      </c>
      <c r="AN5" s="55" t="str">
        <f t="array" ref="AN5">_xlfn.XLOOKUP(B5,'Up Max'!A:A,'Up Max'!J:J,)</f>
        <v/>
      </c>
      <c r="AO5" s="51" t="str">
        <f t="array" ref="AO5">CONCATENATE(_xlfn.XLOOKUP(B5,'Up Cells'!A:A,'Up Cells'!B:B,))</f>
        <v>5</v>
      </c>
      <c r="AP5" s="51" t="str">
        <f t="array" ref="AP5">CONCATENATE(_xlfn.XLOOKUP(B5,'Up Rarity'!A:A,'Up Rarity'!B:B,),CHAR(10),"-")</f>
        <v>Contraband
-</v>
      </c>
    </row>
    <row r="6">
      <c r="A6" s="31" t="str">
        <f t="array" ref="A6">_xlfn.XLOOKUP(B6,'Up Icon'!A:A,'Up Icon'!B:B,)</f>
        <v/>
      </c>
      <c r="B6" s="58" t="str">
        <f t="array" ref="B6">HYPERLINK(_xlfn.XLOOKUP('Up Names'!P36,'Up Wiki'!A:A,'Up Wiki'!B:B,),'Up Names'!P36)</f>
        <v>Interim Manager</v>
      </c>
      <c r="C6" s="37" t="str">
        <f t="array" ref="C6">_xlfn.XLOOKUP(B6,'Up Desc'!A:A,'Up Desc'!B:B,)</f>
        <v>Collecting this upgrade randomizes your employee rerolls all existing employee upgrades but doesn't change their patterns.</v>
      </c>
      <c r="D6" s="37" t="str">
        <f t="array" ref="D6">_xlfn.XLOOKUP(B6,'Up Turbo'!A:A,'Up Turbo'!B:B,)</f>
        <v>n/a</v>
      </c>
      <c r="E6" s="39" t="str">
        <f t="array" ref="E6">_xlfn.XLOOKUP(B6,'Up Stats'!A:A,'Up Stats'!B:B,)</f>
        <v/>
      </c>
      <c r="F6" s="40" t="str">
        <f>IFERROR(__xludf.DUMMYFUNCTION("if(AND(G6=FALSE,H6=FALSE),,if(G6=H6,JOIN("""",""Static: "",G6),JOIN("""",""Min:  "",G6, CHAR(10),""Max: "",H6)))"),"")</f>
        <v/>
      </c>
      <c r="G6" s="42" t="str">
        <f t="array" ref="G6">_xlfn.XLOOKUP(B6,'Up Min'!A:A,'Up Min'!B:B,)</f>
        <v/>
      </c>
      <c r="H6" s="45" t="str">
        <f t="array" ref="H6">_xlfn.XLOOKUP(B6,'Up Max'!A:A,'Up Max'!B:B,)</f>
        <v/>
      </c>
      <c r="I6" s="39" t="str">
        <f t="array" ref="I6">_xlfn.XLOOKUP(B6,'Up Stats'!A:A,'Up Stats'!C:C,)</f>
        <v/>
      </c>
      <c r="J6" s="40" t="str">
        <f>IFERROR(__xludf.DUMMYFUNCTION("if(AND(K6=FALSE,L6=FALSE),,if(K6=L6,JOIN("""",""Static: "",K6),JOIN("""",""Min:  "",K6, CHAR(10),""Max: "",L6)))"),"")</f>
        <v/>
      </c>
      <c r="K6" s="74" t="str">
        <f t="array" ref="K6">_xlfn.XLOOKUP(B6,'Up Min'!A:A,'Up Min'!C:C,)</f>
        <v/>
      </c>
      <c r="L6" s="74" t="str">
        <f t="array" ref="L6">_xlfn.XLOOKUP(B6,'Up Max'!A:A,'Up Max'!C:C,)</f>
        <v/>
      </c>
      <c r="M6" s="48" t="str">
        <f t="array" ref="M6">_xlfn.XLOOKUP(B6,'Up Stats'!A:A,'Up Stats'!D:D,)</f>
        <v/>
      </c>
      <c r="N6" s="40" t="str">
        <f>IFERROR(__xludf.DUMMYFUNCTION("if(AND(O6=FALSE,P6=FALSE),,if(O6=P6,JOIN("""",""Static: "",O6),JOIN("""",""Min:  "",O6, CHAR(10),""Max: "",P6)))"),"")</f>
        <v/>
      </c>
      <c r="O6" s="42" t="str">
        <f t="array" ref="O6">_xlfn.XLOOKUP(B6,'Up Min'!A:A,'Up Min'!D:D,)</f>
        <v/>
      </c>
      <c r="P6" s="42" t="str">
        <f t="array" ref="P6">_xlfn.XLOOKUP(B6,'Up Max'!A:A,'Up Max'!D:D,)</f>
        <v/>
      </c>
      <c r="Q6" s="48" t="str">
        <f t="array" ref="Q6">_xlfn.XLOOKUP(B6,'Up Stats'!A:A,'Up Stats'!E:E,)</f>
        <v/>
      </c>
      <c r="R6" s="40" t="str">
        <f>IFERROR(__xludf.DUMMYFUNCTION("if(AND(S6=FALSE,T6=FALSE),,if(S6=T6,JOIN("""",""Static: "",S6),JOIN("""",""Min:  "",S6, CHAR(10),""Max: "",T6)))"),"")</f>
        <v/>
      </c>
      <c r="S6" s="42" t="str">
        <f t="array" ref="S6">_xlfn.XLOOKUP(B6,'Up Min'!A:A,'Up Min'!E:E,)</f>
        <v/>
      </c>
      <c r="T6" s="42" t="str">
        <f t="array" ref="T6">_xlfn.XLOOKUP(B6,'Up Max'!A:A,'Up Max'!E:E,)</f>
        <v/>
      </c>
      <c r="U6" s="48" t="str">
        <f t="array" ref="U6">_xlfn.XLOOKUP(B6,'Up Stats'!A:A,'Up Stats'!F:F,)</f>
        <v/>
      </c>
      <c r="V6" s="40" t="str">
        <f>IFERROR(__xludf.DUMMYFUNCTION("if(AND(W6=FALSE,X6=FALSE),,if(W6=X6,JOIN("""",""Static: "",W6),JOIN("""",""Min:  "",W6, CHAR(10),""Max: "",X6)))"),"")</f>
        <v/>
      </c>
      <c r="W6" s="42" t="str">
        <f t="array" ref="W6">_xlfn.XLOOKUP(B6,'Up Min'!A:A,'Up Min'!F:F,)</f>
        <v/>
      </c>
      <c r="X6" s="42" t="str">
        <f t="array" ref="X6">_xlfn.XLOOKUP(B6,'Up Max'!A:A,'Up Max'!F:F,)</f>
        <v/>
      </c>
      <c r="Y6" s="48" t="str">
        <f t="array" ref="Y6">_xlfn.XLOOKUP(B6,'Up Stats'!A:A,'Up Stats'!G:G,)</f>
        <v/>
      </c>
      <c r="Z6" s="40" t="str">
        <f>IFERROR(__xludf.DUMMYFUNCTION("if(AND(AA6=FALSE,AB6=FALSE),,if(AA6=AB6,JOIN("""",""Static: "",AA6),JOIN("""",""Min:  "",AA6, CHAR(10),""Max: "",AB6)))"),"")</f>
        <v/>
      </c>
      <c r="AA6" s="42" t="str">
        <f t="array" ref="AA6">_xlfn.XLOOKUP(B6,'Up Min'!A:A,'Up Min'!G:G,)</f>
        <v/>
      </c>
      <c r="AB6" s="42" t="str">
        <f t="array" ref="AB6">_xlfn.XLOOKUP(B6,'Up Max'!A:A,'Up Max'!G:G,)</f>
        <v/>
      </c>
      <c r="AC6" s="48" t="str">
        <f t="array" ref="AC6">_xlfn.XLOOKUP(B6,'Up Stats'!A:A,'Up Stats'!H:H,)</f>
        <v/>
      </c>
      <c r="AD6" s="40" t="str">
        <f>IFERROR(__xludf.DUMMYFUNCTION("if(AND(AE6=FALSE,AF6=FALSE),,if(AE6=AF6,JOIN("""",""Static: "",AE6),JOIN("""",""Min:  "",AE6, CHAR(10),""Max: "",AF6)))"),"")</f>
        <v/>
      </c>
      <c r="AE6" s="42" t="str">
        <f t="array" ref="AE6">_xlfn.XLOOKUP(B6,'Up Min'!A:A,'Up Min'!H:H,)</f>
        <v/>
      </c>
      <c r="AF6" s="42" t="str">
        <f t="array" ref="AF6">_xlfn.XLOOKUP(B6,'Up Max'!A:A,'Up Max'!H:H,)</f>
        <v/>
      </c>
      <c r="AG6" s="48" t="str">
        <f t="array" ref="AG6">_xlfn.XLOOKUP(B6,'Up Stats'!A:A,'Up Stats'!I:I,)</f>
        <v/>
      </c>
      <c r="AH6" s="40" t="str">
        <f>IFERROR(__xludf.DUMMYFUNCTION("if(AND(AI6=FALSE,AJ6=FALSE),,if(AI6=AJ6,JOIN("""",""Static: "",AI6),JOIN("""",""Min:  "",AI6, CHAR(10),""Max: "",AJ6)))"),"")</f>
        <v/>
      </c>
      <c r="AI6" s="42" t="str">
        <f t="array" ref="AI6">_xlfn.XLOOKUP(B6,'Up Min'!A:A,'Up Min'!I:I,)</f>
        <v/>
      </c>
      <c r="AJ6" s="42" t="str">
        <f t="array" ref="AJ6">_xlfn.XLOOKUP(B6,'Up Max'!A:A,'Up Max'!I:I,)</f>
        <v/>
      </c>
      <c r="AK6" s="48" t="str">
        <f t="array" ref="AK6">_xlfn.XLOOKUP(B6,'Up Stats'!A:A,'Up Stats'!J:J,)</f>
        <v/>
      </c>
      <c r="AL6" s="40" t="str">
        <f>IFERROR(__xludf.DUMMYFUNCTION("if(AND(AM6=FALSE,AN6=FALSE),,if(AM6=AN6,JOIN("""",""Static: "",AM6),JOIN("""",""Min:  "",AM6, CHAR(10),""Max: "",AN6)))"),"")</f>
        <v/>
      </c>
      <c r="AM6" s="42" t="str">
        <f t="array" ref="AM6">_xlfn.XLOOKUP(B6,'Up Min'!A:A,'Up Min'!J:J,)</f>
        <v/>
      </c>
      <c r="AN6" s="42" t="str">
        <f t="array" ref="AN6">_xlfn.XLOOKUP(B6,'Up Max'!A:A,'Up Max'!J:J,)</f>
        <v/>
      </c>
      <c r="AO6" s="34" t="str">
        <f t="array" ref="AO6">CONCATENATE(_xlfn.XLOOKUP(B6,'Up Cells'!A:A,'Up Cells'!B:B,))</f>
        <v>1</v>
      </c>
      <c r="AP6" s="34" t="str">
        <f t="array" ref="AP6">CONCATENATE(_xlfn.XLOOKUP(B6,'Up Rarity'!A:A,'Up Rarity'!B:B,),CHAR(10),"-")</f>
        <v>Contraband
-</v>
      </c>
    </row>
    <row r="7">
      <c r="A7" s="31" t="str">
        <f t="array" ref="A7">_xlfn.XLOOKUP(B7,'Up Icon'!A:A,'Up Icon'!B:B,)</f>
        <v/>
      </c>
      <c r="B7" s="61" t="str">
        <f t="array" ref="B7">HYPERLINK(_xlfn.XLOOKUP('Up Names'!P38,'Up Wiki'!A:A,'Up Wiki'!B:B,),'Up Names'!P38)</f>
        <v>Multiversal Thievery</v>
      </c>
      <c r="C7" s="52" t="str">
        <f t="array" ref="C7">_xlfn.XLOOKUP(B7,'Up Desc'!A:A,'Up Desc'!B:B,)</f>
        <v>Commandeers 1 column from each of your other upgrade grids.</v>
      </c>
      <c r="D7" s="52" t="str">
        <f t="array" ref="D7">_xlfn.XLOOKUP(B7,'Up Turbo'!A:A,'Up Turbo'!B:B,)</f>
        <v>n/a</v>
      </c>
      <c r="E7" s="53" t="str">
        <f t="array" ref="E7">_xlfn.XLOOKUP(B7,'Up Stats'!A:A,'Up Stats'!B:B,)</f>
        <v/>
      </c>
      <c r="F7" s="54" t="str">
        <f>IFERROR(__xludf.DUMMYFUNCTION("if(AND(G7=FALSE,H7=FALSE),,if(G7=H7,JOIN("""",""Static: "",G7),JOIN("""",""Min:  "",G7, CHAR(10),""Max: "",H7)))"),"")</f>
        <v/>
      </c>
      <c r="G7" s="55" t="str">
        <f t="array" ref="G7">_xlfn.XLOOKUP(B7,'Up Min'!A:A,'Up Min'!B:B,)</f>
        <v/>
      </c>
      <c r="H7" s="56" t="str">
        <f t="array" ref="H7">_xlfn.XLOOKUP(B7,'Up Max'!A:A,'Up Max'!B:B,)</f>
        <v/>
      </c>
      <c r="I7" s="53" t="str">
        <f t="array" ref="I7">_xlfn.XLOOKUP(B7,'Up Stats'!A:A,'Up Stats'!C:C,)</f>
        <v/>
      </c>
      <c r="J7" s="54" t="str">
        <f>IFERROR(__xludf.DUMMYFUNCTION("if(AND(K7=FALSE,L7=FALSE),,if(K7=L7,JOIN("""",""Static: "",K7),JOIN("""",""Min:  "",K7, CHAR(10),""Max: "",L7)))"),"")</f>
        <v/>
      </c>
      <c r="K7" s="55" t="str">
        <f t="array" ref="K7">_xlfn.XLOOKUP(B7,'Up Min'!A:A,'Up Min'!C:C,)</f>
        <v/>
      </c>
      <c r="L7" s="55" t="str">
        <f t="array" ref="L7">_xlfn.XLOOKUP(B7,'Up Max'!A:A,'Up Max'!C:C,)</f>
        <v/>
      </c>
      <c r="M7" s="57" t="str">
        <f t="array" ref="M7">_xlfn.XLOOKUP(B7,'Up Stats'!A:A,'Up Stats'!D:D,)</f>
        <v/>
      </c>
      <c r="N7" s="54" t="str">
        <f>IFERROR(__xludf.DUMMYFUNCTION("if(AND(O7=FALSE,P7=FALSE),,if(O7=P7,JOIN("""",""Static: "",O7),JOIN("""",""Min:  "",O7, CHAR(10),""Max: "",P7)))"),"")</f>
        <v/>
      </c>
      <c r="O7" s="55" t="str">
        <f t="array" ref="O7">_xlfn.XLOOKUP(B7,'Up Min'!A:A,'Up Min'!D:D,)</f>
        <v/>
      </c>
      <c r="P7" s="55" t="str">
        <f t="array" ref="P7">_xlfn.XLOOKUP(B7,'Up Max'!A:A,'Up Max'!D:D,)</f>
        <v/>
      </c>
      <c r="Q7" s="57" t="str">
        <f t="array" ref="Q7">_xlfn.XLOOKUP(B7,'Up Stats'!A:A,'Up Stats'!E:E,)</f>
        <v/>
      </c>
      <c r="R7" s="54" t="str">
        <f>IFERROR(__xludf.DUMMYFUNCTION("if(AND(S7=FALSE,T7=FALSE),,if(S7=T7,JOIN("""",""Static: "",S7),JOIN("""",""Min:  "",S7, CHAR(10),""Max: "",T7)))"),"")</f>
        <v/>
      </c>
      <c r="S7" s="55" t="str">
        <f t="array" ref="S7">_xlfn.XLOOKUP(B7,'Up Min'!A:A,'Up Min'!E:E,)</f>
        <v/>
      </c>
      <c r="T7" s="55" t="str">
        <f t="array" ref="T7">_xlfn.XLOOKUP(B7,'Up Max'!A:A,'Up Max'!E:E,)</f>
        <v/>
      </c>
      <c r="U7" s="57" t="str">
        <f t="array" ref="U7">_xlfn.XLOOKUP(B7,'Up Stats'!A:A,'Up Stats'!F:F,)</f>
        <v/>
      </c>
      <c r="V7" s="54" t="str">
        <f>IFERROR(__xludf.DUMMYFUNCTION("if(AND(W7=FALSE,X7=FALSE),,if(W7=X7,JOIN("""",""Static: "",W7),JOIN("""",""Min:  "",W7, CHAR(10),""Max: "",X7)))"),"")</f>
        <v/>
      </c>
      <c r="W7" s="55" t="str">
        <f t="array" ref="W7">_xlfn.XLOOKUP(B7,'Up Min'!A:A,'Up Min'!F:F,)</f>
        <v/>
      </c>
      <c r="X7" s="55" t="str">
        <f t="array" ref="X7">_xlfn.XLOOKUP(B7,'Up Max'!A:A,'Up Max'!F:F,)</f>
        <v/>
      </c>
      <c r="Y7" s="57" t="str">
        <f t="array" ref="Y7">_xlfn.XLOOKUP(B7,'Up Stats'!A:A,'Up Stats'!G:G,)</f>
        <v/>
      </c>
      <c r="Z7" s="54" t="str">
        <f>IFERROR(__xludf.DUMMYFUNCTION("if(AND(AA7=FALSE,AB7=FALSE),,if(AA7=AB7,JOIN("""",""Static: "",AA7),JOIN("""",""Min:  "",AA7, CHAR(10),""Max: "",AB7)))"),"")</f>
        <v/>
      </c>
      <c r="AA7" s="55" t="str">
        <f t="array" ref="AA7">_xlfn.XLOOKUP(B7,'Up Min'!A:A,'Up Min'!G:G,)</f>
        <v/>
      </c>
      <c r="AB7" s="55" t="str">
        <f t="array" ref="AB7">_xlfn.XLOOKUP(B7,'Up Max'!A:A,'Up Max'!G:G,)</f>
        <v/>
      </c>
      <c r="AC7" s="57" t="str">
        <f t="array" ref="AC7">_xlfn.XLOOKUP(B7,'Up Stats'!A:A,'Up Stats'!H:H,)</f>
        <v/>
      </c>
      <c r="AD7" s="54" t="str">
        <f>IFERROR(__xludf.DUMMYFUNCTION("if(AND(AE7=FALSE,AF7=FALSE),,if(AE7=AF7,JOIN("""",""Static: "",AE7),JOIN("""",""Min:  "",AE7, CHAR(10),""Max: "",AF7)))"),"")</f>
        <v/>
      </c>
      <c r="AE7" s="55" t="str">
        <f t="array" ref="AE7">_xlfn.XLOOKUP(B7,'Up Min'!A:A,'Up Min'!H:H,)</f>
        <v/>
      </c>
      <c r="AF7" s="55" t="str">
        <f t="array" ref="AF7">_xlfn.XLOOKUP(B7,'Up Max'!A:A,'Up Max'!H:H,)</f>
        <v/>
      </c>
      <c r="AG7" s="57" t="str">
        <f t="array" ref="AG7">_xlfn.XLOOKUP(B7,'Up Stats'!A:A,'Up Stats'!I:I,)</f>
        <v/>
      </c>
      <c r="AH7" s="54" t="str">
        <f>IFERROR(__xludf.DUMMYFUNCTION("if(AND(AI7=FALSE,AJ7=FALSE),,if(AI7=AJ7,JOIN("""",""Static: "",AI7),JOIN("""",""Min:  "",AI7, CHAR(10),""Max: "",AJ7)))"),"")</f>
        <v/>
      </c>
      <c r="AI7" s="55" t="str">
        <f t="array" ref="AI7">_xlfn.XLOOKUP(B7,'Up Min'!A:A,'Up Min'!I:I,)</f>
        <v/>
      </c>
      <c r="AJ7" s="55" t="str">
        <f t="array" ref="AJ7">_xlfn.XLOOKUP(B7,'Up Max'!A:A,'Up Max'!I:I,)</f>
        <v/>
      </c>
      <c r="AK7" s="57" t="str">
        <f t="array" ref="AK7">_xlfn.XLOOKUP(B7,'Up Stats'!A:A,'Up Stats'!J:J,)</f>
        <v/>
      </c>
      <c r="AL7" s="54" t="str">
        <f>IFERROR(__xludf.DUMMYFUNCTION("if(AND(AM7=FALSE,AN7=FALSE),,if(AM7=AN7,JOIN("""",""Static: "",AM7),JOIN("""",""Min:  "",AM7, CHAR(10),""Max: "",AN7)))"),"")</f>
        <v/>
      </c>
      <c r="AM7" s="55" t="str">
        <f t="array" ref="AM7">_xlfn.XLOOKUP(B7,'Up Min'!A:A,'Up Min'!J:J,)</f>
        <v/>
      </c>
      <c r="AN7" s="55" t="str">
        <f t="array" ref="AN7">_xlfn.XLOOKUP(B7,'Up Max'!A:A,'Up Max'!J:J,)</f>
        <v/>
      </c>
      <c r="AO7" s="51" t="str">
        <f t="array" ref="AO7">CONCATENATE(_xlfn.XLOOKUP(B7,'Up Cells'!A:A,'Up Cells'!B:B,))</f>
        <v>1</v>
      </c>
      <c r="AP7" s="51" t="str">
        <f t="array" ref="AP7">CONCATENATE(_xlfn.XLOOKUP(B7,'Up Rarity'!A:A,'Up Rarity'!B:B,),CHAR(10),"-")</f>
        <v>Contraband
-</v>
      </c>
    </row>
    <row r="8">
      <c r="A8" s="60" t="str">
        <f t="array" ref="A8">_xlfn.XLOOKUP(B8,'Up Icon'!A:A,'Up Icon'!B:B,)</f>
        <v/>
      </c>
      <c r="B8" s="58" t="str">
        <f t="array" ref="B8">HYPERLINK(_xlfn.XLOOKUP('Up Names'!P39,'Up Wiki'!A:A,'Up Wiki'!B:B,),'Up Names'!P39)</f>
        <v>Boundary Incursion</v>
      </c>
      <c r="C8" s="37" t="str">
        <f t="array" ref="C8">_xlfn.XLOOKUP(B8,'Up Desc'!A:A,'Up Desc'!B:B,)</f>
        <v>Increases the size of your upgrade grid.</v>
      </c>
      <c r="D8" s="37" t="str">
        <f t="array" ref="D8">_xlfn.XLOOKUP(B8,'Up Turbo'!A:A,'Up Turbo'!B:B,)</f>
        <v>n/a</v>
      </c>
      <c r="E8" s="39" t="str">
        <f t="array" ref="E8">_xlfn.XLOOKUP(B8,'Up Stats'!A:A,'Up Stats'!B:B,)</f>
        <v/>
      </c>
      <c r="F8" s="40" t="str">
        <f>IFERROR(__xludf.DUMMYFUNCTION("if(AND(G8=FALSE,H8=FALSE),,if(G8=H8,JOIN("""",""Static: "",G8),JOIN("""",""Min:  "",G8, CHAR(10),""Max: "",H8)))"),"")</f>
        <v/>
      </c>
      <c r="G8" s="42" t="str">
        <f t="array" ref="G8">_xlfn.XLOOKUP(B8,'Up Min'!A:A,'Up Min'!B:B,)</f>
        <v/>
      </c>
      <c r="H8" s="45" t="str">
        <f t="array" ref="H8">_xlfn.XLOOKUP(B8,'Up Max'!A:A,'Up Max'!B:B,)</f>
        <v/>
      </c>
      <c r="I8" s="39" t="str">
        <f t="array" ref="I8">_xlfn.XLOOKUP(B8,'Up Stats'!A:A,'Up Stats'!C:C,)</f>
        <v/>
      </c>
      <c r="J8" s="40" t="str">
        <f>IFERROR(__xludf.DUMMYFUNCTION("if(AND(K8=FALSE,L8=FALSE),,if(K8=L8,JOIN("""",""Static: "",K8),JOIN("""",""Min:  "",K8, CHAR(10),""Max: "",L8)))"),"")</f>
        <v/>
      </c>
      <c r="K8" s="42" t="str">
        <f t="array" ref="K8">_xlfn.XLOOKUP(B8,'Up Min'!A:A,'Up Min'!C:C,)</f>
        <v/>
      </c>
      <c r="L8" s="42" t="str">
        <f t="array" ref="L8">_xlfn.XLOOKUP(B8,'Up Max'!A:A,'Up Max'!C:C,)</f>
        <v/>
      </c>
      <c r="M8" s="48" t="str">
        <f t="array" ref="M8">_xlfn.XLOOKUP(B8,'Up Stats'!A:A,'Up Stats'!D:D,)</f>
        <v/>
      </c>
      <c r="N8" s="40" t="str">
        <f>IFERROR(__xludf.DUMMYFUNCTION("if(AND(O8=FALSE,P8=FALSE),,if(O8=P8,JOIN("""",""Static: "",O8),JOIN("""",""Min:  "",O8, CHAR(10),""Max: "",P8)))"),"")</f>
        <v/>
      </c>
      <c r="O8" s="42" t="str">
        <f t="array" ref="O8">_xlfn.XLOOKUP(B8,'Up Min'!A:A,'Up Min'!D:D,)</f>
        <v/>
      </c>
      <c r="P8" s="42" t="str">
        <f t="array" ref="P8">_xlfn.XLOOKUP(B8,'Up Max'!A:A,'Up Max'!D:D,)</f>
        <v/>
      </c>
      <c r="Q8" s="48" t="str">
        <f t="array" ref="Q8">_xlfn.XLOOKUP(B8,'Up Stats'!A:A,'Up Stats'!E:E,)</f>
        <v/>
      </c>
      <c r="R8" s="40" t="str">
        <f>IFERROR(__xludf.DUMMYFUNCTION("if(AND(S8=FALSE,T8=FALSE),,if(S8=T8,JOIN("""",""Static: "",S8),JOIN("""",""Min:  "",S8, CHAR(10),""Max: "",T8)))"),"")</f>
        <v/>
      </c>
      <c r="S8" s="42" t="str">
        <f t="array" ref="S8">_xlfn.XLOOKUP(B8,'Up Min'!A:A,'Up Min'!E:E,)</f>
        <v/>
      </c>
      <c r="T8" s="42" t="str">
        <f t="array" ref="T8">_xlfn.XLOOKUP(B8,'Up Max'!A:A,'Up Max'!E:E,)</f>
        <v/>
      </c>
      <c r="U8" s="48" t="str">
        <f t="array" ref="U8">_xlfn.XLOOKUP(B8,'Up Stats'!A:A,'Up Stats'!F:F,)</f>
        <v/>
      </c>
      <c r="V8" s="40" t="str">
        <f>IFERROR(__xludf.DUMMYFUNCTION("if(AND(W8=FALSE,X8=FALSE),,if(W8=X8,JOIN("""",""Static: "",W8),JOIN("""",""Min:  "",W8, CHAR(10),""Max: "",X8)))"),"")</f>
        <v/>
      </c>
      <c r="W8" s="42" t="str">
        <f t="array" ref="W8">_xlfn.XLOOKUP(B8,'Up Min'!A:A,'Up Min'!F:F,)</f>
        <v/>
      </c>
      <c r="X8" s="42" t="str">
        <f t="array" ref="X8">_xlfn.XLOOKUP(B8,'Up Max'!A:A,'Up Max'!F:F,)</f>
        <v/>
      </c>
      <c r="Y8" s="48" t="str">
        <f t="array" ref="Y8">_xlfn.XLOOKUP(B8,'Up Stats'!A:A,'Up Stats'!G:G,)</f>
        <v/>
      </c>
      <c r="Z8" s="40" t="str">
        <f>IFERROR(__xludf.DUMMYFUNCTION("if(AND(AA8=FALSE,AB8=FALSE),,if(AA8=AB8,JOIN("""",""Static: "",AA8),JOIN("""",""Min:  "",AA8, CHAR(10),""Max: "",AB8)))"),"")</f>
        <v/>
      </c>
      <c r="AA8" s="42" t="str">
        <f t="array" ref="AA8">_xlfn.XLOOKUP(B8,'Up Min'!A:A,'Up Min'!G:G,)</f>
        <v/>
      </c>
      <c r="AB8" s="42" t="str">
        <f t="array" ref="AB8">_xlfn.XLOOKUP(B8,'Up Max'!A:A,'Up Max'!G:G,)</f>
        <v/>
      </c>
      <c r="AC8" s="48" t="str">
        <f t="array" ref="AC8">_xlfn.XLOOKUP(B8,'Up Stats'!A:A,'Up Stats'!H:H,)</f>
        <v/>
      </c>
      <c r="AD8" s="40" t="str">
        <f>IFERROR(__xludf.DUMMYFUNCTION("if(AND(AE8=FALSE,AF8=FALSE),,if(AE8=AF8,JOIN("""",""Static: "",AE8),JOIN("""",""Min:  "",AE8, CHAR(10),""Max: "",AF8)))"),"")</f>
        <v/>
      </c>
      <c r="AE8" s="42" t="str">
        <f t="array" ref="AE8">_xlfn.XLOOKUP(B8,'Up Min'!A:A,'Up Min'!H:H,)</f>
        <v/>
      </c>
      <c r="AF8" s="42" t="str">
        <f t="array" ref="AF8">_xlfn.XLOOKUP(B8,'Up Max'!A:A,'Up Max'!H:H,)</f>
        <v/>
      </c>
      <c r="AG8" s="48" t="str">
        <f t="array" ref="AG8">_xlfn.XLOOKUP(B8,'Up Stats'!A:A,'Up Stats'!I:I,)</f>
        <v/>
      </c>
      <c r="AH8" s="40" t="str">
        <f>IFERROR(__xludf.DUMMYFUNCTION("if(AND(AI8=FALSE,AJ8=FALSE),,if(AI8=AJ8,JOIN("""",""Static: "",AI8),JOIN("""",""Min:  "",AI8, CHAR(10),""Max: "",AJ8)))"),"")</f>
        <v/>
      </c>
      <c r="AI8" s="42" t="str">
        <f t="array" ref="AI8">_xlfn.XLOOKUP(B8,'Up Min'!A:A,'Up Min'!I:I,)</f>
        <v/>
      </c>
      <c r="AJ8" s="42" t="str">
        <f t="array" ref="AJ8">_xlfn.XLOOKUP(B8,'Up Max'!A:A,'Up Max'!I:I,)</f>
        <v/>
      </c>
      <c r="AK8" s="48" t="str">
        <f t="array" ref="AK8">_xlfn.XLOOKUP(B8,'Up Stats'!A:A,'Up Stats'!J:J,)</f>
        <v/>
      </c>
      <c r="AL8" s="40" t="str">
        <f>IFERROR(__xludf.DUMMYFUNCTION("if(AND(AM8=FALSE,AN8=FALSE),,if(AM8=AN8,JOIN("""",""Static: "",AM8),JOIN("""",""Min:  "",AM8, CHAR(10),""Max: "",AN8)))"),"")</f>
        <v/>
      </c>
      <c r="AM8" s="42" t="str">
        <f t="array" ref="AM8">_xlfn.XLOOKUP(B8,'Up Min'!A:A,'Up Min'!J:J,)</f>
        <v/>
      </c>
      <c r="AN8" s="42" t="str">
        <f t="array" ref="AN8">_xlfn.XLOOKUP(B8,'Up Max'!A:A,'Up Max'!J:J,)</f>
        <v/>
      </c>
      <c r="AO8" s="34" t="str">
        <f t="array" ref="AO8">CONCATENATE(_xlfn.XLOOKUP(B8,'Up Cells'!A:A,'Up Cells'!B:B,))</f>
        <v>1</v>
      </c>
      <c r="AP8" s="34" t="str">
        <f t="array" ref="AP8">CONCATENATE(_xlfn.XLOOKUP(B8,'Up Rarity'!A:A,'Up Rarity'!B:B,),CHAR(10),"-")</f>
        <v>Oddity
-</v>
      </c>
    </row>
    <row r="9">
      <c r="A9" s="62" t="str">
        <f t="array" ref="A9">_xlfn.XLOOKUP(B9,'Up Icon'!A:A,'Up Icon'!B:B,)</f>
        <v/>
      </c>
      <c r="B9" s="88" t="str">
        <f t="array" ref="B9">HYPERLINK(_xlfn.XLOOKUP('Up Names'!P2,'Up Wiki'!A:A,'Up Wiki'!B:B,),'Up Names'!P2)</f>
        <v>Magboots</v>
      </c>
      <c r="C9" s="70" t="str">
        <f t="array" ref="C9">_xlfn.XLOOKUP(B9,'Up Desc'!A:A,'Up Desc'!B:B,)</f>
        <v>Enables wallrun.</v>
      </c>
      <c r="D9" s="52" t="str">
        <f t="array" ref="D9">_xlfn.XLOOKUP(B9,'Up Turbo'!A:A,'Up Turbo'!B:B,)</f>
        <v>Speed: [+3.4 - +4.14]</v>
      </c>
      <c r="E9" s="57" t="str">
        <f t="array" ref="E9">_xlfn.XLOOKUP(B9,'Up Stats'!A:A,'Up Stats'!B:B,)</f>
        <v/>
      </c>
      <c r="F9" s="54" t="str">
        <f>IFERROR(__xludf.DUMMYFUNCTION("if(AND(G9=FALSE,H9=FALSE),,if(G9=H9,JOIN("""",""Static: "",G9),JOIN("""",""Min:  "",G9, CHAR(10),""Max: "",H9)))"),"")</f>
        <v/>
      </c>
      <c r="G9" s="55" t="str">
        <f t="array" ref="G9">_xlfn.XLOOKUP(B9,'Up Min'!A:A,'Up Min'!B:B,)</f>
        <v/>
      </c>
      <c r="H9" s="55" t="str">
        <f t="array" ref="H9">_xlfn.XLOOKUP(B9,'Up Max'!A:A,'Up Max'!B:B,)</f>
        <v/>
      </c>
      <c r="I9" s="57" t="str">
        <f t="array" ref="I9">_xlfn.XLOOKUP(B9,'Up Stats'!A:A,'Up Stats'!C:C,)</f>
        <v/>
      </c>
      <c r="J9" s="54" t="str">
        <f>IFERROR(__xludf.DUMMYFUNCTION("if(AND(K9=FALSE,L9=FALSE),,if(K9=L9,JOIN("""",""Static: "",K9),JOIN("""",""Min:  "",K9, CHAR(10),""Max: "",L9)))"),"")</f>
        <v/>
      </c>
      <c r="K9" s="72" t="str">
        <f t="array" ref="K9">_xlfn.XLOOKUP(B9,'Up Min'!A:A,'Up Min'!C:C,)</f>
        <v/>
      </c>
      <c r="L9" s="72" t="str">
        <f t="array" ref="L9">_xlfn.XLOOKUP(B9,'Up Max'!A:A,'Up Max'!C:C,)</f>
        <v/>
      </c>
      <c r="M9" s="80" t="str">
        <f t="array" ref="M9">_xlfn.XLOOKUP(B9,'Up Stats'!A:A,'Up Stats'!D:D,)</f>
        <v/>
      </c>
      <c r="N9" s="54" t="str">
        <f>IFERROR(__xludf.DUMMYFUNCTION("if(AND(O9=FALSE,P9=FALSE),,if(O9=P9,JOIN("""",""Static: "",O9),JOIN("""",""Min:  "",O9, CHAR(10),""Max: "",P9)))"),"")</f>
        <v/>
      </c>
      <c r="O9" s="55" t="str">
        <f t="array" ref="O9">_xlfn.XLOOKUP(B9,'Up Min'!A:A,'Up Min'!D:D,)</f>
        <v/>
      </c>
      <c r="P9" s="55" t="str">
        <f t="array" ref="P9">_xlfn.XLOOKUP(B9,'Up Max'!A:A,'Up Max'!D:D,)</f>
        <v/>
      </c>
      <c r="Q9" s="57" t="str">
        <f t="array" ref="Q9">_xlfn.XLOOKUP(B9,'Up Stats'!A:A,'Up Stats'!E:E,)</f>
        <v/>
      </c>
      <c r="R9" s="54" t="str">
        <f>IFERROR(__xludf.DUMMYFUNCTION("if(AND(S9=FALSE,T9=FALSE),,if(S9=T9,JOIN("""",""Static: "",S9),JOIN("""",""Min:  "",S9, CHAR(10),""Max: "",T9)))"),"")</f>
        <v/>
      </c>
      <c r="S9" s="55" t="str">
        <f t="array" ref="S9">_xlfn.XLOOKUP(B9,'Up Min'!A:A,'Up Min'!E:E,)</f>
        <v/>
      </c>
      <c r="T9" s="55" t="str">
        <f t="array" ref="T9">_xlfn.XLOOKUP(B9,'Up Max'!A:A,'Up Max'!E:E,)</f>
        <v/>
      </c>
      <c r="U9" s="57" t="str">
        <f t="array" ref="U9">_xlfn.XLOOKUP(B9,'Up Stats'!A:A,'Up Stats'!F:F,)</f>
        <v/>
      </c>
      <c r="V9" s="54" t="str">
        <f>IFERROR(__xludf.DUMMYFUNCTION("if(AND(W9=FALSE,X9=FALSE),,if(W9=X9,JOIN("""",""Static: "",W9),JOIN("""",""Min:  "",W9, CHAR(10),""Max: "",X9)))"),"")</f>
        <v/>
      </c>
      <c r="W9" s="55" t="str">
        <f t="array" ref="W9">_xlfn.XLOOKUP(B9,'Up Min'!A:A,'Up Min'!F:F,)</f>
        <v/>
      </c>
      <c r="X9" s="55" t="str">
        <f t="array" ref="X9">_xlfn.XLOOKUP(B9,'Up Max'!A:A,'Up Max'!F:F,)</f>
        <v/>
      </c>
      <c r="Y9" s="57" t="str">
        <f t="array" ref="Y9">_xlfn.XLOOKUP(B9,'Up Stats'!A:A,'Up Stats'!G:G,)</f>
        <v/>
      </c>
      <c r="Z9" s="54" t="str">
        <f>IFERROR(__xludf.DUMMYFUNCTION("if(AND(AA9=FALSE,AB9=FALSE),,if(AA9=AB9,JOIN("""",""Static: "",AA9),JOIN("""",""Min:  "",AA9, CHAR(10),""Max: "",AB9)))"),"")</f>
        <v/>
      </c>
      <c r="AA9" s="55" t="str">
        <f t="array" ref="AA9">_xlfn.XLOOKUP(B9,'Up Min'!A:A,'Up Min'!G:G,)</f>
        <v/>
      </c>
      <c r="AB9" s="55" t="str">
        <f t="array" ref="AB9">_xlfn.XLOOKUP(B9,'Up Max'!A:A,'Up Max'!G:G,)</f>
        <v/>
      </c>
      <c r="AC9" s="57" t="str">
        <f t="array" ref="AC9">_xlfn.XLOOKUP(B9,'Up Stats'!A:A,'Up Stats'!H:H,)</f>
        <v/>
      </c>
      <c r="AD9" s="54" t="str">
        <f>IFERROR(__xludf.DUMMYFUNCTION("if(AND(AE9=FALSE,AF9=FALSE),,if(AE9=AF9,JOIN("""",""Static: "",AE9),JOIN("""",""Min:  "",AE9, CHAR(10),""Max: "",AF9)))"),"")</f>
        <v/>
      </c>
      <c r="AE9" s="55" t="str">
        <f t="array" ref="AE9">_xlfn.XLOOKUP(B9,'Up Min'!A:A,'Up Min'!H:H,)</f>
        <v/>
      </c>
      <c r="AF9" s="55" t="str">
        <f t="array" ref="AF9">_xlfn.XLOOKUP(B9,'Up Max'!A:A,'Up Max'!H:H,)</f>
        <v/>
      </c>
      <c r="AG9" s="57" t="str">
        <f t="array" ref="AG9">_xlfn.XLOOKUP(B9,'Up Stats'!A:A,'Up Stats'!I:I,)</f>
        <v/>
      </c>
      <c r="AH9" s="54" t="str">
        <f>IFERROR(__xludf.DUMMYFUNCTION("if(AND(AI9=FALSE,AJ9=FALSE),,if(AI9=AJ9,JOIN("""",""Static: "",AI9),JOIN("""",""Min:  "",AI9, CHAR(10),""Max: "",AJ9)))"),"")</f>
        <v/>
      </c>
      <c r="AI9" s="55" t="str">
        <f t="array" ref="AI9">_xlfn.XLOOKUP(B9,'Up Min'!A:A,'Up Min'!I:I,)</f>
        <v/>
      </c>
      <c r="AJ9" s="55" t="str">
        <f t="array" ref="AJ9">_xlfn.XLOOKUP(B9,'Up Max'!A:A,'Up Max'!I:I,)</f>
        <v/>
      </c>
      <c r="AK9" s="57" t="str">
        <f t="array" ref="AK9">_xlfn.XLOOKUP(B9,'Up Stats'!A:A,'Up Stats'!J:J,)</f>
        <v/>
      </c>
      <c r="AL9" s="54" t="str">
        <f>IFERROR(__xludf.DUMMYFUNCTION("if(AND(AM9=FALSE,AN9=FALSE),,if(AM9=AN9,JOIN("""",""Static: "",AM9),JOIN("""",""Min:  "",AM9, CHAR(10),""Max: "",AN9)))"),"")</f>
        <v/>
      </c>
      <c r="AM9" s="55" t="str">
        <f t="array" ref="AM9">_xlfn.XLOOKUP(B9,'Up Min'!A:A,'Up Min'!J:J,)</f>
        <v/>
      </c>
      <c r="AN9" s="55" t="str">
        <f t="array" ref="AN9">_xlfn.XLOOKUP(B9,'Up Max'!A:A,'Up Max'!J:J,)</f>
        <v/>
      </c>
      <c r="AO9" s="51" t="str">
        <f t="array" ref="AO9">CONCATENATE(_xlfn.XLOOKUP(B9,'Up Cells'!A:A,'Up Cells'!B:B,))</f>
        <v>4</v>
      </c>
      <c r="AP9" s="51" t="str">
        <f t="array" ref="AP9">CONCATENATE(_xlfn.XLOOKUP(B9,'Up Rarity'!A:A,'Up Rarity'!B:B,),CHAR(10),"-")</f>
        <v>Exotic
-</v>
      </c>
    </row>
    <row r="10">
      <c r="A10" s="75" t="str">
        <f t="array" ref="A10">_xlfn.XLOOKUP(B10,'Up Icon'!A:A,'Up Icon'!B:B,)</f>
        <v/>
      </c>
      <c r="B10" s="89" t="str">
        <f t="array" ref="B10">HYPERLINK(_xlfn.XLOOKUP('Up Names'!P3,'Up Wiki'!A:A,'Up Wiki'!B:B,),'Up Names'!P3)</f>
        <v>Ammo Processor</v>
      </c>
      <c r="C10" s="37" t="str">
        <f t="array" ref="C10">_xlfn.XLOOKUP(B10,'Up Desc'!A:A,'Up Desc'!B:B,)</f>
        <v>Health chunks provide less healing, but refund ammo to your equipped weapon.</v>
      </c>
      <c r="D10" s="37" t="str">
        <f t="array" ref="D10">_xlfn.XLOOKUP(B10,'Up Turbo'!A:A,'Up Turbo'!B:B,)</f>
        <v>n/a</v>
      </c>
      <c r="E10" s="39" t="str">
        <f t="array" ref="E10">_xlfn.XLOOKUP(B10,'Up Stats'!A:A,'Up Stats'!B:B,)</f>
        <v>Ammo Efficiency</v>
      </c>
      <c r="F10" s="40" t="str">
        <f>IFERROR(__xludf.DUMMYFUNCTION("if(AND(G10=FALSE,H10=FALSE),,if(G10=H10,JOIN("""",""Static: "",G10),JOIN("""",""Min:  "",G10, CHAR(10),""Max: "",H10)))"),"Static: 6")</f>
        <v>Static: 6</v>
      </c>
      <c r="G10" s="69">
        <f t="array" ref="G10">_xlfn.XLOOKUP(B10,'Up Min'!A:A,'Up Min'!B:B,)</f>
        <v>6</v>
      </c>
      <c r="H10" s="68">
        <f t="array" ref="H10">_xlfn.XLOOKUP(B10,'Up Max'!A:A,'Up Max'!B:B,)</f>
        <v>6</v>
      </c>
      <c r="I10" s="39" t="str">
        <f t="array" ref="I10">_xlfn.XLOOKUP(B10,'Up Stats'!A:A,'Up Stats'!C:C,)</f>
        <v>Healing</v>
      </c>
      <c r="J10" s="40" t="str">
        <f>IFERROR(__xludf.DUMMYFUNCTION("if(AND(K10=FALSE,L10=FALSE),,if(K10=L10,JOIN("""",""Static: "",K10),JOIN("""",""Min:  "",K10, CHAR(10),""Max: "",L10)))"),"Static: -40%")</f>
        <v>Static: -40%</v>
      </c>
      <c r="K10" s="41">
        <f t="array" ref="K10">_xlfn.XLOOKUP(B10,'Up Min'!A:A,'Up Min'!C:C,)</f>
        <v>-0.4</v>
      </c>
      <c r="L10" s="41">
        <f t="array" ref="L10">_xlfn.XLOOKUP(B10,'Up Max'!A:A,'Up Max'!C:C,)</f>
        <v>-0.4</v>
      </c>
      <c r="M10" s="39" t="str">
        <f t="array" ref="M10">_xlfn.XLOOKUP(B10,'Up Stats'!A:A,'Up Stats'!D:D,)</f>
        <v/>
      </c>
      <c r="N10" s="40" t="str">
        <f>IFERROR(__xludf.DUMMYFUNCTION("if(AND(O10=FALSE,P10=FALSE),,if(O10=P10,JOIN("""",""Static: "",O10),JOIN("""",""Min:  "",O10, CHAR(10),""Max: "",P10)))"),"")</f>
        <v/>
      </c>
      <c r="O10" s="42" t="str">
        <f t="array" ref="O10">_xlfn.XLOOKUP(B10,'Up Min'!A:A,'Up Min'!D:D,)</f>
        <v/>
      </c>
      <c r="P10" s="42" t="str">
        <f t="array" ref="P10">_xlfn.XLOOKUP(B10,'Up Max'!A:A,'Up Max'!D:D,)</f>
        <v/>
      </c>
      <c r="Q10" s="48" t="str">
        <f t="array" ref="Q10">_xlfn.XLOOKUP(B10,'Up Stats'!A:A,'Up Stats'!E:E,)</f>
        <v/>
      </c>
      <c r="R10" s="40" t="str">
        <f>IFERROR(__xludf.DUMMYFUNCTION("if(AND(S10=FALSE,T10=FALSE),,if(S10=T10,JOIN("""",""Static: "",S10),JOIN("""",""Min:  "",S10, CHAR(10),""Max: "",T10)))"),"")</f>
        <v/>
      </c>
      <c r="S10" s="42" t="str">
        <f t="array" ref="S10">_xlfn.XLOOKUP(B10,'Up Min'!A:A,'Up Min'!E:E,)</f>
        <v/>
      </c>
      <c r="T10" s="42" t="str">
        <f t="array" ref="T10">_xlfn.XLOOKUP(B10,'Up Max'!A:A,'Up Max'!E:E,)</f>
        <v/>
      </c>
      <c r="U10" s="48" t="str">
        <f t="array" ref="U10">_xlfn.XLOOKUP(B10,'Up Stats'!A:A,'Up Stats'!F:F,)</f>
        <v/>
      </c>
      <c r="V10" s="40" t="str">
        <f>IFERROR(__xludf.DUMMYFUNCTION("if(AND(W10=FALSE,X10=FALSE),,if(W10=X10,JOIN("""",""Static: "",W10),JOIN("""",""Min:  "",W10, CHAR(10),""Max: "",X10)))"),"")</f>
        <v/>
      </c>
      <c r="W10" s="42" t="str">
        <f t="array" ref="W10">_xlfn.XLOOKUP(B10,'Up Min'!A:A,'Up Min'!F:F,)</f>
        <v/>
      </c>
      <c r="X10" s="42" t="str">
        <f t="array" ref="X10">_xlfn.XLOOKUP(B10,'Up Max'!A:A,'Up Max'!F:F,)</f>
        <v/>
      </c>
      <c r="Y10" s="48" t="str">
        <f t="array" ref="Y10">_xlfn.XLOOKUP(B10,'Up Stats'!A:A,'Up Stats'!G:G,)</f>
        <v/>
      </c>
      <c r="Z10" s="40" t="str">
        <f>IFERROR(__xludf.DUMMYFUNCTION("if(AND(AA10=FALSE,AB10=FALSE),,if(AA10=AB10,JOIN("""",""Static: "",AA10),JOIN("""",""Min:  "",AA10, CHAR(10),""Max: "",AB10)))"),"")</f>
        <v/>
      </c>
      <c r="AA10" s="42" t="str">
        <f t="array" ref="AA10">_xlfn.XLOOKUP(B10,'Up Min'!A:A,'Up Min'!G:G,)</f>
        <v/>
      </c>
      <c r="AB10" s="42" t="str">
        <f t="array" ref="AB10">_xlfn.XLOOKUP(B10,'Up Max'!A:A,'Up Max'!G:G,)</f>
        <v/>
      </c>
      <c r="AC10" s="48" t="str">
        <f t="array" ref="AC10">_xlfn.XLOOKUP(B10,'Up Stats'!A:A,'Up Stats'!H:H,)</f>
        <v/>
      </c>
      <c r="AD10" s="40" t="str">
        <f>IFERROR(__xludf.DUMMYFUNCTION("if(AND(AE10=FALSE,AF10=FALSE),,if(AE10=AF10,JOIN("""",""Static: "",AE10),JOIN("""",""Min:  "",AE10, CHAR(10),""Max: "",AF10)))"),"")</f>
        <v/>
      </c>
      <c r="AE10" s="42" t="str">
        <f t="array" ref="AE10">_xlfn.XLOOKUP(B10,'Up Min'!A:A,'Up Min'!H:H,)</f>
        <v/>
      </c>
      <c r="AF10" s="42" t="str">
        <f t="array" ref="AF10">_xlfn.XLOOKUP(B10,'Up Max'!A:A,'Up Max'!H:H,)</f>
        <v/>
      </c>
      <c r="AG10" s="48" t="str">
        <f t="array" ref="AG10">_xlfn.XLOOKUP(B10,'Up Stats'!A:A,'Up Stats'!I:I,)</f>
        <v/>
      </c>
      <c r="AH10" s="40" t="str">
        <f>IFERROR(__xludf.DUMMYFUNCTION("if(AND(AI10=FALSE,AJ10=FALSE),,if(AI10=AJ10,JOIN("""",""Static: "",AI10),JOIN("""",""Min:  "",AI10, CHAR(10),""Max: "",AJ10)))"),"")</f>
        <v/>
      </c>
      <c r="AI10" s="42" t="str">
        <f t="array" ref="AI10">_xlfn.XLOOKUP(B10,'Up Min'!A:A,'Up Min'!I:I,)</f>
        <v/>
      </c>
      <c r="AJ10" s="42" t="str">
        <f t="array" ref="AJ10">_xlfn.XLOOKUP(B10,'Up Max'!A:A,'Up Max'!I:I,)</f>
        <v/>
      </c>
      <c r="AK10" s="48" t="str">
        <f t="array" ref="AK10">_xlfn.XLOOKUP(B10,'Up Stats'!A:A,'Up Stats'!J:J,)</f>
        <v/>
      </c>
      <c r="AL10" s="40" t="str">
        <f>IFERROR(__xludf.DUMMYFUNCTION("if(AND(AM10=FALSE,AN10=FALSE),,if(AM10=AN10,JOIN("""",""Static: "",AM10),JOIN("""",""Min:  "",AM10, CHAR(10),""Max: "",AN10)))"),"")</f>
        <v/>
      </c>
      <c r="AM10" s="42" t="str">
        <f t="array" ref="AM10">_xlfn.XLOOKUP(B10,'Up Min'!A:A,'Up Min'!J:J,)</f>
        <v/>
      </c>
      <c r="AN10" s="42" t="str">
        <f t="array" ref="AN10">_xlfn.XLOOKUP(B10,'Up Max'!A:A,'Up Max'!J:J,)</f>
        <v/>
      </c>
      <c r="AO10" s="34" t="str">
        <f t="array" ref="AO10">CONCATENATE(_xlfn.XLOOKUP(B10,'Up Cells'!A:A,'Up Cells'!B:B,))</f>
        <v>6</v>
      </c>
      <c r="AP10" s="34" t="str">
        <f t="array" ref="AP10">CONCATENATE(_xlfn.XLOOKUP(B10,'Up Rarity'!A:A,'Up Rarity'!B:B,),CHAR(10),"-")</f>
        <v>Epic
-</v>
      </c>
    </row>
    <row r="11">
      <c r="A11" s="75" t="str">
        <f t="array" ref="A11">_xlfn.XLOOKUP(B11,'Up Icon'!A:A,'Up Icon'!B:B,)</f>
        <v/>
      </c>
      <c r="B11" s="88" t="str">
        <f t="array" ref="B11">HYPERLINK(_xlfn.XLOOKUP('Up Names'!P4,'Up Wiki'!A:A,'Up Wiki'!B:B,),'Up Names'!P4)</f>
        <v>Blink</v>
      </c>
      <c r="C11" s="70" t="str">
        <f t="array" ref="C11">_xlfn.XLOOKUP(B11,'Up Desc'!A:A,'Up Desc'!B:B,)</f>
        <v>Blink forward when you slide.</v>
      </c>
      <c r="D11" s="52" t="str">
        <f t="array" ref="D11">_xlfn.XLOOKUP(B11,'Up Turbo'!A:A,'Up Turbo'!B:B,)</f>
        <v>n/a</v>
      </c>
      <c r="E11" s="57" t="str">
        <f t="array" ref="E11">_xlfn.XLOOKUP(B11,'Up Stats'!A:A,'Up Stats'!B:B,)</f>
        <v/>
      </c>
      <c r="F11" s="54" t="str">
        <f>IFERROR(__xludf.DUMMYFUNCTION("if(AND(G11=FALSE,H11=FALSE),,if(G11=H11,JOIN("""",""Static: "",G11),JOIN("""",""Min:  "",G11, CHAR(10),""Max: "",H11)))"),"")</f>
        <v/>
      </c>
      <c r="G11" s="55" t="str">
        <f t="array" ref="G11">_xlfn.XLOOKUP(B11,'Up Min'!A:A,'Up Min'!B:B,)</f>
        <v/>
      </c>
      <c r="H11" s="72" t="str">
        <f t="array" ref="H11">_xlfn.XLOOKUP(B11,'Up Max'!A:A,'Up Max'!B:B,)</f>
        <v/>
      </c>
      <c r="I11" s="80" t="str">
        <f t="array" ref="I11">_xlfn.XLOOKUP(B11,'Up Stats'!A:A,'Up Stats'!C:C,)</f>
        <v/>
      </c>
      <c r="J11" s="54" t="str">
        <f>IFERROR(__xludf.DUMMYFUNCTION("if(AND(K11=FALSE,L11=FALSE),,if(K11=L11,JOIN("""",""Static: "",K11),JOIN("""",""Min:  "",K11, CHAR(10),""Max: "",L11)))"),"")</f>
        <v/>
      </c>
      <c r="K11" s="72" t="str">
        <f t="array" ref="K11">_xlfn.XLOOKUP(B11,'Up Min'!A:A,'Up Min'!C:C,)</f>
        <v/>
      </c>
      <c r="L11" s="72" t="str">
        <f t="array" ref="L11">_xlfn.XLOOKUP(B11,'Up Max'!A:A,'Up Max'!C:C,)</f>
        <v/>
      </c>
      <c r="M11" s="57" t="str">
        <f t="array" ref="M11">_xlfn.XLOOKUP(B11,'Up Stats'!A:A,'Up Stats'!D:D,)</f>
        <v/>
      </c>
      <c r="N11" s="54" t="str">
        <f>IFERROR(__xludf.DUMMYFUNCTION("if(AND(O11=FALSE,P11=FALSE),,if(O11=P11,JOIN("""",""Static: "",O11),JOIN("""",""Min:  "",O11, CHAR(10),""Max: "",P11)))"),"")</f>
        <v/>
      </c>
      <c r="O11" s="55" t="str">
        <f t="array" ref="O11">_xlfn.XLOOKUP(B11,'Up Min'!A:A,'Up Min'!D:D,)</f>
        <v/>
      </c>
      <c r="P11" s="55" t="str">
        <f t="array" ref="P11">_xlfn.XLOOKUP(B11,'Up Max'!A:A,'Up Max'!D:D,)</f>
        <v/>
      </c>
      <c r="Q11" s="57" t="str">
        <f t="array" ref="Q11">_xlfn.XLOOKUP(B11,'Up Stats'!A:A,'Up Stats'!E:E,)</f>
        <v/>
      </c>
      <c r="R11" s="54" t="str">
        <f>IFERROR(__xludf.DUMMYFUNCTION("if(AND(S11=FALSE,T11=FALSE),,if(S11=T11,JOIN("""",""Static: "",S11),JOIN("""",""Min:  "",S11, CHAR(10),""Max: "",T11)))"),"")</f>
        <v/>
      </c>
      <c r="S11" s="55" t="str">
        <f t="array" ref="S11">_xlfn.XLOOKUP(B11,'Up Min'!A:A,'Up Min'!E:E,)</f>
        <v/>
      </c>
      <c r="T11" s="55" t="str">
        <f t="array" ref="T11">_xlfn.XLOOKUP(B11,'Up Max'!A:A,'Up Max'!E:E,)</f>
        <v/>
      </c>
      <c r="U11" s="57" t="str">
        <f t="array" ref="U11">_xlfn.XLOOKUP(B11,'Up Stats'!A:A,'Up Stats'!F:F,)</f>
        <v/>
      </c>
      <c r="V11" s="54" t="str">
        <f>IFERROR(__xludf.DUMMYFUNCTION("if(AND(W11=FALSE,X11=FALSE),,if(W11=X11,JOIN("""",""Static: "",W11),JOIN("""",""Min:  "",W11, CHAR(10),""Max: "",X11)))"),"")</f>
        <v/>
      </c>
      <c r="W11" s="55" t="str">
        <f t="array" ref="W11">_xlfn.XLOOKUP(B11,'Up Min'!A:A,'Up Min'!F:F,)</f>
        <v/>
      </c>
      <c r="X11" s="55" t="str">
        <f t="array" ref="X11">_xlfn.XLOOKUP(B11,'Up Max'!A:A,'Up Max'!F:F,)</f>
        <v/>
      </c>
      <c r="Y11" s="57" t="str">
        <f t="array" ref="Y11">_xlfn.XLOOKUP(B11,'Up Stats'!A:A,'Up Stats'!G:G,)</f>
        <v/>
      </c>
      <c r="Z11" s="54" t="str">
        <f>IFERROR(__xludf.DUMMYFUNCTION("if(AND(AA11=FALSE,AB11=FALSE),,if(AA11=AB11,JOIN("""",""Static: "",AA11),JOIN("""",""Min:  "",AA11, CHAR(10),""Max: "",AB11)))"),"")</f>
        <v/>
      </c>
      <c r="AA11" s="55" t="str">
        <f t="array" ref="AA11">_xlfn.XLOOKUP(B11,'Up Min'!A:A,'Up Min'!G:G,)</f>
        <v/>
      </c>
      <c r="AB11" s="55" t="str">
        <f t="array" ref="AB11">_xlfn.XLOOKUP(B11,'Up Max'!A:A,'Up Max'!G:G,)</f>
        <v/>
      </c>
      <c r="AC11" s="57" t="str">
        <f t="array" ref="AC11">_xlfn.XLOOKUP(B11,'Up Stats'!A:A,'Up Stats'!H:H,)</f>
        <v/>
      </c>
      <c r="AD11" s="54" t="str">
        <f>IFERROR(__xludf.DUMMYFUNCTION("if(AND(AE11=FALSE,AF11=FALSE),,if(AE11=AF11,JOIN("""",""Static: "",AE11),JOIN("""",""Min:  "",AE11, CHAR(10),""Max: "",AF11)))"),"")</f>
        <v/>
      </c>
      <c r="AE11" s="55" t="str">
        <f t="array" ref="AE11">_xlfn.XLOOKUP(B11,'Up Min'!A:A,'Up Min'!H:H,)</f>
        <v/>
      </c>
      <c r="AF11" s="55" t="str">
        <f t="array" ref="AF11">_xlfn.XLOOKUP(B11,'Up Max'!A:A,'Up Max'!H:H,)</f>
        <v/>
      </c>
      <c r="AG11" s="57" t="str">
        <f t="array" ref="AG11">_xlfn.XLOOKUP(B11,'Up Stats'!A:A,'Up Stats'!I:I,)</f>
        <v/>
      </c>
      <c r="AH11" s="54" t="str">
        <f>IFERROR(__xludf.DUMMYFUNCTION("if(AND(AI11=FALSE,AJ11=FALSE),,if(AI11=AJ11,JOIN("""",""Static: "",AI11),JOIN("""",""Min:  "",AI11, CHAR(10),""Max: "",AJ11)))"),"")</f>
        <v/>
      </c>
      <c r="AI11" s="55" t="str">
        <f t="array" ref="AI11">_xlfn.XLOOKUP(B11,'Up Min'!A:A,'Up Min'!I:I,)</f>
        <v/>
      </c>
      <c r="AJ11" s="55" t="str">
        <f t="array" ref="AJ11">_xlfn.XLOOKUP(B11,'Up Max'!A:A,'Up Max'!I:I,)</f>
        <v/>
      </c>
      <c r="AK11" s="57" t="str">
        <f t="array" ref="AK11">_xlfn.XLOOKUP(B11,'Up Stats'!A:A,'Up Stats'!J:J,)</f>
        <v/>
      </c>
      <c r="AL11" s="54" t="str">
        <f>IFERROR(__xludf.DUMMYFUNCTION("if(AND(AM11=FALSE,AN11=FALSE),,if(AM11=AN11,JOIN("""",""Static: "",AM11),JOIN("""",""Min:  "",AM11, CHAR(10),""Max: "",AN11)))"),"")</f>
        <v/>
      </c>
      <c r="AM11" s="55" t="str">
        <f t="array" ref="AM11">_xlfn.XLOOKUP(B11,'Up Min'!A:A,'Up Min'!J:J,)</f>
        <v/>
      </c>
      <c r="AN11" s="55" t="str">
        <f t="array" ref="AN11">_xlfn.XLOOKUP(B11,'Up Max'!A:A,'Up Max'!J:J,)</f>
        <v/>
      </c>
      <c r="AO11" s="51" t="str">
        <f t="array" ref="AO11">CONCATENATE(_xlfn.XLOOKUP(B11,'Up Cells'!A:A,'Up Cells'!B:B,))</f>
        <v>5</v>
      </c>
      <c r="AP11" s="51" t="str">
        <f t="array" ref="AP11">CONCATENATE(_xlfn.XLOOKUP(B11,'Up Rarity'!A:A,'Up Rarity'!B:B,),CHAR(10),"-")</f>
        <v>Epic
-</v>
      </c>
    </row>
    <row r="12">
      <c r="A12" s="75" t="str">
        <f t="array" ref="A12">_xlfn.XLOOKUP(B12,'Up Icon'!A:A,'Up Icon'!B:B,)</f>
        <v/>
      </c>
      <c r="B12" s="89" t="str">
        <f t="array" ref="B12">HYPERLINK(_xlfn.XLOOKUP('Up Names'!P5,'Up Wiki'!A:A,'Up Wiki'!B:B,),'Up Names'!P5)</f>
        <v>Core Repurposing</v>
      </c>
      <c r="C12" s="67" t="str">
        <f t="array" ref="C12">_xlfn.XLOOKUP(B12,'Up Desc'!A:A,'Up Desc'!B:B,)</f>
        <v>Killing an enemy with a melee attack partially reloads your equipped weapon.</v>
      </c>
      <c r="D12" s="37" t="str">
        <f t="array" ref="D12">_xlfn.XLOOKUP(B12,'Up Turbo'!A:A,'Up Turbo'!B:B,)</f>
        <v>n/a</v>
      </c>
      <c r="E12" s="39" t="str">
        <f t="array" ref="E12">_xlfn.XLOOKUP(B12,'Up Stats'!A:A,'Up Stats'!B:B,)</f>
        <v>Ammo Efficiency</v>
      </c>
      <c r="F12" s="40" t="str">
        <f>IFERROR(__xludf.DUMMYFUNCTION("if(AND(G12=FALSE,H12=FALSE),,if(G12=H12,JOIN("""",""Static: "",G12),JOIN("""",""Min:  "",G12, CHAR(10),""Max: "",H12)))"),"Static: 5")</f>
        <v>Static: 5</v>
      </c>
      <c r="G12" s="69">
        <f t="array" ref="G12">_xlfn.XLOOKUP(B12,'Up Min'!A:A,'Up Min'!B:B,)</f>
        <v>5</v>
      </c>
      <c r="H12" s="68">
        <f t="array" ref="H12">_xlfn.XLOOKUP(B12,'Up Max'!A:A,'Up Max'!B:B,)</f>
        <v>5</v>
      </c>
      <c r="I12" s="39" t="str">
        <f t="array" ref="I12">_xlfn.XLOOKUP(B12,'Up Stats'!A:A,'Up Stats'!C:C,)</f>
        <v/>
      </c>
      <c r="J12" s="40" t="str">
        <f>IFERROR(__xludf.DUMMYFUNCTION("if(AND(K12=FALSE,L12=FALSE),,if(K12=L12,JOIN("""",""Static: "",K12),JOIN("""",""Min:  "",K12, CHAR(10),""Max: "",L12)))"),"")</f>
        <v/>
      </c>
      <c r="K12" s="74" t="str">
        <f t="array" ref="K12">_xlfn.XLOOKUP(B12,'Up Min'!A:A,'Up Min'!C:C,)</f>
        <v/>
      </c>
      <c r="L12" s="74" t="str">
        <f t="array" ref="L12">_xlfn.XLOOKUP(B12,'Up Max'!A:A,'Up Max'!C:C,)</f>
        <v/>
      </c>
      <c r="M12" s="48" t="str">
        <f t="array" ref="M12">_xlfn.XLOOKUP(B12,'Up Stats'!A:A,'Up Stats'!D:D,)</f>
        <v/>
      </c>
      <c r="N12" s="40" t="str">
        <f>IFERROR(__xludf.DUMMYFUNCTION("if(AND(O12=FALSE,P12=FALSE),,if(O12=P12,JOIN("""",""Static: "",O12),JOIN("""",""Min:  "",O12, CHAR(10),""Max: "",P12)))"),"")</f>
        <v/>
      </c>
      <c r="O12" s="42" t="str">
        <f t="array" ref="O12">_xlfn.XLOOKUP(B12,'Up Min'!A:A,'Up Min'!D:D,)</f>
        <v/>
      </c>
      <c r="P12" s="42" t="str">
        <f t="array" ref="P12">_xlfn.XLOOKUP(B12,'Up Max'!A:A,'Up Max'!D:D,)</f>
        <v/>
      </c>
      <c r="Q12" s="48" t="str">
        <f t="array" ref="Q12">_xlfn.XLOOKUP(B12,'Up Stats'!A:A,'Up Stats'!E:E,)</f>
        <v/>
      </c>
      <c r="R12" s="40" t="str">
        <f>IFERROR(__xludf.DUMMYFUNCTION("if(AND(S12=FALSE,T12=FALSE),,if(S12=T12,JOIN("""",""Static: "",S12),JOIN("""",""Min:  "",S12, CHAR(10),""Max: "",T12)))"),"")</f>
        <v/>
      </c>
      <c r="S12" s="42" t="str">
        <f t="array" ref="S12">_xlfn.XLOOKUP(B12,'Up Min'!A:A,'Up Min'!E:E,)</f>
        <v/>
      </c>
      <c r="T12" s="42" t="str">
        <f t="array" ref="T12">_xlfn.XLOOKUP(B12,'Up Max'!A:A,'Up Max'!E:E,)</f>
        <v/>
      </c>
      <c r="U12" s="48" t="str">
        <f t="array" ref="U12">_xlfn.XLOOKUP(B12,'Up Stats'!A:A,'Up Stats'!F:F,)</f>
        <v/>
      </c>
      <c r="V12" s="40" t="str">
        <f>IFERROR(__xludf.DUMMYFUNCTION("if(AND(W12=FALSE,X12=FALSE),,if(W12=X12,JOIN("""",""Static: "",W12),JOIN("""",""Min:  "",W12, CHAR(10),""Max: "",X12)))"),"")</f>
        <v/>
      </c>
      <c r="W12" s="42" t="str">
        <f t="array" ref="W12">_xlfn.XLOOKUP(B12,'Up Min'!A:A,'Up Min'!F:F,)</f>
        <v/>
      </c>
      <c r="X12" s="42" t="str">
        <f t="array" ref="X12">_xlfn.XLOOKUP(B12,'Up Max'!A:A,'Up Max'!F:F,)</f>
        <v/>
      </c>
      <c r="Y12" s="48" t="str">
        <f t="array" ref="Y12">_xlfn.XLOOKUP(B12,'Up Stats'!A:A,'Up Stats'!G:G,)</f>
        <v/>
      </c>
      <c r="Z12" s="40" t="str">
        <f>IFERROR(__xludf.DUMMYFUNCTION("if(AND(AA12=FALSE,AB12=FALSE),,if(AA12=AB12,JOIN("""",""Static: "",AA12),JOIN("""",""Min:  "",AA12, CHAR(10),""Max: "",AB12)))"),"")</f>
        <v/>
      </c>
      <c r="AA12" s="42" t="str">
        <f t="array" ref="AA12">_xlfn.XLOOKUP(B12,'Up Min'!A:A,'Up Min'!G:G,)</f>
        <v/>
      </c>
      <c r="AB12" s="42" t="str">
        <f t="array" ref="AB12">_xlfn.XLOOKUP(B12,'Up Max'!A:A,'Up Max'!G:G,)</f>
        <v/>
      </c>
      <c r="AC12" s="48" t="str">
        <f t="array" ref="AC12">_xlfn.XLOOKUP(B12,'Up Stats'!A:A,'Up Stats'!H:H,)</f>
        <v/>
      </c>
      <c r="AD12" s="40" t="str">
        <f>IFERROR(__xludf.DUMMYFUNCTION("if(AND(AE12=FALSE,AF12=FALSE),,if(AE12=AF12,JOIN("""",""Static: "",AE12),JOIN("""",""Min:  "",AE12, CHAR(10),""Max: "",AF12)))"),"")</f>
        <v/>
      </c>
      <c r="AE12" s="42" t="str">
        <f t="array" ref="AE12">_xlfn.XLOOKUP(B12,'Up Min'!A:A,'Up Min'!H:H,)</f>
        <v/>
      </c>
      <c r="AF12" s="42" t="str">
        <f t="array" ref="AF12">_xlfn.XLOOKUP(B12,'Up Max'!A:A,'Up Max'!H:H,)</f>
        <v/>
      </c>
      <c r="AG12" s="48" t="str">
        <f t="array" ref="AG12">_xlfn.XLOOKUP(B12,'Up Stats'!A:A,'Up Stats'!I:I,)</f>
        <v/>
      </c>
      <c r="AH12" s="40" t="str">
        <f>IFERROR(__xludf.DUMMYFUNCTION("if(AND(AI12=FALSE,AJ12=FALSE),,if(AI12=AJ12,JOIN("""",""Static: "",AI12),JOIN("""",""Min:  "",AI12, CHAR(10),""Max: "",AJ12)))"),"")</f>
        <v/>
      </c>
      <c r="AI12" s="42" t="str">
        <f t="array" ref="AI12">_xlfn.XLOOKUP(B12,'Up Min'!A:A,'Up Min'!I:I,)</f>
        <v/>
      </c>
      <c r="AJ12" s="42" t="str">
        <f t="array" ref="AJ12">_xlfn.XLOOKUP(B12,'Up Max'!A:A,'Up Max'!I:I,)</f>
        <v/>
      </c>
      <c r="AK12" s="48" t="str">
        <f t="array" ref="AK12">_xlfn.XLOOKUP(B12,'Up Stats'!A:A,'Up Stats'!J:J,)</f>
        <v/>
      </c>
      <c r="AL12" s="40" t="str">
        <f>IFERROR(__xludf.DUMMYFUNCTION("if(AND(AM12=FALSE,AN12=FALSE),,if(AM12=AN12,JOIN("""",""Static: "",AM12),JOIN("""",""Min:  "",AM12, CHAR(10),""Max: "",AN12)))"),"")</f>
        <v/>
      </c>
      <c r="AM12" s="42" t="str">
        <f t="array" ref="AM12">_xlfn.XLOOKUP(B12,'Up Min'!A:A,'Up Min'!J:J,)</f>
        <v/>
      </c>
      <c r="AN12" s="42" t="str">
        <f t="array" ref="AN12">_xlfn.XLOOKUP(B12,'Up Max'!A:A,'Up Max'!J:J,)</f>
        <v/>
      </c>
      <c r="AO12" s="34" t="str">
        <f t="array" ref="AO12">CONCATENATE(_xlfn.XLOOKUP(B12,'Up Cells'!A:A,'Up Cells'!B:B,))</f>
        <v>6</v>
      </c>
      <c r="AP12" s="34" t="str">
        <f t="array" ref="AP12">CONCATENATE(_xlfn.XLOOKUP(B12,'Up Rarity'!A:A,'Up Rarity'!B:B,),CHAR(10),"-")</f>
        <v>Epic
-</v>
      </c>
    </row>
    <row r="13">
      <c r="A13" s="75" t="str">
        <f t="array" ref="A13">_xlfn.XLOOKUP(B13,'Up Icon'!A:A,'Up Icon'!B:B,)</f>
        <v/>
      </c>
      <c r="B13" s="88" t="str">
        <f t="array" ref="B13">HYPERLINK(_xlfn.XLOOKUP('Up Names'!P6,'Up Wiki'!A:A,'Up Wiki'!B:B,),'Up Names'!P6)</f>
        <v>Elemental Cocktail</v>
      </c>
      <c r="C13" s="70" t="str">
        <f t="array" ref="C13">_xlfn.XLOOKUP(B13,'Up Desc'!A:A,'Up Desc'!B:B,)</f>
        <v>Fully applying the primary element to a target has a chance to apply 10 stacks of the secondary element.</v>
      </c>
      <c r="D13" s="52" t="str">
        <f t="array" ref="D13">_xlfn.XLOOKUP(B13,'Up Turbo'!A:A,'Up Turbo'!B:B,)</f>
        <v>n/a</v>
      </c>
      <c r="E13" s="53" t="str">
        <f t="array" ref="E13">_xlfn.XLOOKUP(B13,'Up Stats'!A:A,'Up Stats'!B:B,)</f>
        <v>Primary Element</v>
      </c>
      <c r="F13" s="54" t="str">
        <f>IFERROR(__xludf.DUMMYFUNCTION("if(AND(G13=FALSE,H13=FALSE),,if(G13=H13,JOIN("""",""Static: "",G13),JOIN("""",""Min:  "",G13, CHAR(10),""Max: "",H13)))"),"Static: element")</f>
        <v>Static: element</v>
      </c>
      <c r="G13" s="64" t="str">
        <f t="array" ref="G13">_xlfn.XLOOKUP(B13,'Up Min'!A:A,'Up Min'!B:B,)</f>
        <v>element</v>
      </c>
      <c r="H13" s="65" t="str">
        <f t="array" ref="H13">_xlfn.XLOOKUP(B13,'Up Max'!A:A,'Up Max'!B:B,)</f>
        <v>element</v>
      </c>
      <c r="I13" s="53" t="str">
        <f t="array" ref="I13">_xlfn.XLOOKUP(B13,'Up Stats'!A:A,'Up Stats'!C:C,)</f>
        <v>Secondary Element</v>
      </c>
      <c r="J13" s="54" t="str">
        <f>IFERROR(__xludf.DUMMYFUNCTION("if(AND(K13=FALSE,L13=FALSE),,if(K13=L13,JOIN("""",""Static: "",K13),JOIN("""",""Min:  "",K13, CHAR(10),""Max: "",L13)))"),"Static: element")</f>
        <v>Static: element</v>
      </c>
      <c r="K13" s="59" t="str">
        <f t="array" ref="K13">_xlfn.XLOOKUP(B13,'Up Min'!A:A,'Up Min'!C:C,)</f>
        <v>element</v>
      </c>
      <c r="L13" s="59" t="str">
        <f t="array" ref="L13">_xlfn.XLOOKUP(B13,'Up Max'!A:A,'Up Max'!C:C,)</f>
        <v>element</v>
      </c>
      <c r="M13" s="57" t="str">
        <f t="array" ref="M13">_xlfn.XLOOKUP(B13,'Up Stats'!A:A,'Up Stats'!D:D,)</f>
        <v>Chance</v>
      </c>
      <c r="N13" s="54" t="str">
        <f>IFERROR(__xludf.DUMMYFUNCTION("if(AND(O13=FALSE,P13=FALSE),,if(O13=P13,JOIN("""",""Static: "",O13),JOIN("""",""Min:  "",O13, CHAR(10),""Max: "",P13)))"),"Min:  29%
Max: 48%")</f>
        <v>Min:  29%
Max: 48%</v>
      </c>
      <c r="O13" s="59">
        <f t="array" ref="O13">_xlfn.XLOOKUP(B13,'Up Min'!A:A,'Up Min'!D:D,)</f>
        <v>0.29</v>
      </c>
      <c r="P13" s="59">
        <f t="array" ref="P13">_xlfn.XLOOKUP(B13,'Up Max'!A:A,'Up Max'!D:D,)</f>
        <v>0.48</v>
      </c>
      <c r="Q13" s="57" t="str">
        <f t="array" ref="Q13">_xlfn.XLOOKUP(B13,'Up Stats'!A:A,'Up Stats'!E:E,)</f>
        <v/>
      </c>
      <c r="R13" s="54" t="str">
        <f>IFERROR(__xludf.DUMMYFUNCTION("if(AND(S13=FALSE,T13=FALSE),,if(S13=T13,JOIN("""",""Static: "",S13),JOIN("""",""Min:  "",S13, CHAR(10),""Max: "",T13)))"),"")</f>
        <v/>
      </c>
      <c r="S13" s="55" t="str">
        <f t="array" ref="S13">_xlfn.XLOOKUP(B13,'Up Min'!A:A,'Up Min'!E:E,)</f>
        <v/>
      </c>
      <c r="T13" s="55" t="str">
        <f t="array" ref="T13">_xlfn.XLOOKUP(B13,'Up Max'!A:A,'Up Max'!E:E,)</f>
        <v/>
      </c>
      <c r="U13" s="57" t="str">
        <f t="array" ref="U13">_xlfn.XLOOKUP(B13,'Up Stats'!A:A,'Up Stats'!F:F,)</f>
        <v/>
      </c>
      <c r="V13" s="54" t="str">
        <f>IFERROR(__xludf.DUMMYFUNCTION("if(AND(W13=FALSE,X13=FALSE),,if(W13=X13,JOIN("""",""Static: "",W13),JOIN("""",""Min:  "",W13, CHAR(10),""Max: "",X13)))"),"")</f>
        <v/>
      </c>
      <c r="W13" s="55" t="str">
        <f t="array" ref="W13">_xlfn.XLOOKUP(B13,'Up Min'!A:A,'Up Min'!F:F,)</f>
        <v/>
      </c>
      <c r="X13" s="55" t="str">
        <f t="array" ref="X13">_xlfn.XLOOKUP(B13,'Up Max'!A:A,'Up Max'!F:F,)</f>
        <v/>
      </c>
      <c r="Y13" s="57" t="str">
        <f t="array" ref="Y13">_xlfn.XLOOKUP(B13,'Up Stats'!A:A,'Up Stats'!G:G,)</f>
        <v/>
      </c>
      <c r="Z13" s="54" t="str">
        <f>IFERROR(__xludf.DUMMYFUNCTION("if(AND(AA13=FALSE,AB13=FALSE),,if(AA13=AB13,JOIN("""",""Static: "",AA13),JOIN("""",""Min:  "",AA13, CHAR(10),""Max: "",AB13)))"),"")</f>
        <v/>
      </c>
      <c r="AA13" s="55" t="str">
        <f t="array" ref="AA13">_xlfn.XLOOKUP(B13,'Up Min'!A:A,'Up Min'!G:G,)</f>
        <v/>
      </c>
      <c r="AB13" s="55" t="str">
        <f t="array" ref="AB13">_xlfn.XLOOKUP(B13,'Up Max'!A:A,'Up Max'!G:G,)</f>
        <v/>
      </c>
      <c r="AC13" s="57" t="str">
        <f t="array" ref="AC13">_xlfn.XLOOKUP(B13,'Up Stats'!A:A,'Up Stats'!H:H,)</f>
        <v/>
      </c>
      <c r="AD13" s="54" t="str">
        <f>IFERROR(__xludf.DUMMYFUNCTION("if(AND(AE13=FALSE,AF13=FALSE),,if(AE13=AF13,JOIN("""",""Static: "",AE13),JOIN("""",""Min:  "",AE13, CHAR(10),""Max: "",AF13)))"),"")</f>
        <v/>
      </c>
      <c r="AE13" s="55" t="str">
        <f t="array" ref="AE13">_xlfn.XLOOKUP(B13,'Up Min'!A:A,'Up Min'!H:H,)</f>
        <v/>
      </c>
      <c r="AF13" s="55" t="str">
        <f t="array" ref="AF13">_xlfn.XLOOKUP(B13,'Up Max'!A:A,'Up Max'!H:H,)</f>
        <v/>
      </c>
      <c r="AG13" s="57" t="str">
        <f t="array" ref="AG13">_xlfn.XLOOKUP(B13,'Up Stats'!A:A,'Up Stats'!I:I,)</f>
        <v/>
      </c>
      <c r="AH13" s="54" t="str">
        <f>IFERROR(__xludf.DUMMYFUNCTION("if(AND(AI13=FALSE,AJ13=FALSE),,if(AI13=AJ13,JOIN("""",""Static: "",AI13),JOIN("""",""Min:  "",AI13, CHAR(10),""Max: "",AJ13)))"),"")</f>
        <v/>
      </c>
      <c r="AI13" s="55" t="str">
        <f t="array" ref="AI13">_xlfn.XLOOKUP(B13,'Up Min'!A:A,'Up Min'!I:I,)</f>
        <v/>
      </c>
      <c r="AJ13" s="55" t="str">
        <f t="array" ref="AJ13">_xlfn.XLOOKUP(B13,'Up Max'!A:A,'Up Max'!I:I,)</f>
        <v/>
      </c>
      <c r="AK13" s="57" t="str">
        <f t="array" ref="AK13">_xlfn.XLOOKUP(B13,'Up Stats'!A:A,'Up Stats'!J:J,)</f>
        <v/>
      </c>
      <c r="AL13" s="54" t="str">
        <f>IFERROR(__xludf.DUMMYFUNCTION("if(AND(AM13=FALSE,AN13=FALSE),,if(AM13=AN13,JOIN("""",""Static: "",AM13),JOIN("""",""Min:  "",AM13, CHAR(10),""Max: "",AN13)))"),"")</f>
        <v/>
      </c>
      <c r="AM13" s="55" t="str">
        <f t="array" ref="AM13">_xlfn.XLOOKUP(B13,'Up Min'!A:A,'Up Min'!J:J,)</f>
        <v/>
      </c>
      <c r="AN13" s="55" t="str">
        <f t="array" ref="AN13">_xlfn.XLOOKUP(B13,'Up Max'!A:A,'Up Max'!J:J,)</f>
        <v/>
      </c>
      <c r="AO13" s="51" t="str">
        <f t="array" ref="AO13">CONCATENATE(_xlfn.XLOOKUP(B13,'Up Cells'!A:A,'Up Cells'!B:B,))</f>
        <v>6</v>
      </c>
      <c r="AP13" s="51" t="str">
        <f t="array" ref="AP13">CONCATENATE(_xlfn.XLOOKUP(B13,'Up Rarity'!A:A,'Up Rarity'!B:B,),CHAR(10),"-")</f>
        <v>Epic
-</v>
      </c>
    </row>
    <row r="14">
      <c r="A14" s="75" t="str">
        <f t="array" ref="A14">_xlfn.XLOOKUP(B14,'Up Icon'!A:A,'Up Icon'!B:B,)</f>
        <v/>
      </c>
      <c r="B14" s="89" t="str">
        <f t="array" ref="B14">HYPERLINK(_xlfn.XLOOKUP('Up Names'!P7,'Up Wiki'!A:A,'Up Wiki'!B:B,),'Up Names'!P7)</f>
        <v>Elemental Regeneration</v>
      </c>
      <c r="C14" s="67" t="str">
        <f t="array" ref="C14">_xlfn.XLOOKUP(B14,'Up Desc'!A:A,'Up Desc'!B:B,)</f>
        <v>Health regeneration starts immediately when the given elemental effect wares off.</v>
      </c>
      <c r="D14" s="37" t="str">
        <f t="array" ref="D14">_xlfn.XLOOKUP(B14,'Up Turbo'!A:A,'Up Turbo'!B:B,)</f>
        <v>n/a</v>
      </c>
      <c r="E14" s="39" t="str">
        <f t="array" ref="E14">_xlfn.XLOOKUP(B14,'Up Stats'!A:A,'Up Stats'!B:B,)</f>
        <v>Element</v>
      </c>
      <c r="F14" s="40" t="str">
        <f>IFERROR(__xludf.DUMMYFUNCTION("if(AND(G14=FALSE,H14=FALSE),,if(G14=H14,JOIN("""",""Static: "",G14),JOIN("""",""Min:  "",G14, CHAR(10),""Max: "",H14)))"),"Static: element")</f>
        <v>Static: element</v>
      </c>
      <c r="G14" s="69" t="str">
        <f t="array" ref="G14">_xlfn.XLOOKUP(B14,'Up Min'!A:A,'Up Min'!B:B,)</f>
        <v>element</v>
      </c>
      <c r="H14" s="68" t="str">
        <f t="array" ref="H14">_xlfn.XLOOKUP(B14,'Up Max'!A:A,'Up Max'!B:B,)</f>
        <v>element</v>
      </c>
      <c r="I14" s="39" t="str">
        <f t="array" ref="I14">_xlfn.XLOOKUP(B14,'Up Stats'!A:A,'Up Stats'!C:C,)</f>
        <v/>
      </c>
      <c r="J14" s="40" t="str">
        <f>IFERROR(__xludf.DUMMYFUNCTION("if(AND(K14=FALSE,L14=FALSE),,if(K14=L14,JOIN("""",""Static: "",K14),JOIN("""",""Min:  "",K14, CHAR(10),""Max: "",L14)))"),"")</f>
        <v/>
      </c>
      <c r="K14" s="74" t="str">
        <f t="array" ref="K14">_xlfn.XLOOKUP(B14,'Up Min'!A:A,'Up Min'!C:C,)</f>
        <v/>
      </c>
      <c r="L14" s="74" t="str">
        <f t="array" ref="L14">_xlfn.XLOOKUP(B14,'Up Max'!A:A,'Up Max'!C:C,)</f>
        <v/>
      </c>
      <c r="M14" s="48" t="str">
        <f t="array" ref="M14">_xlfn.XLOOKUP(B14,'Up Stats'!A:A,'Up Stats'!D:D,)</f>
        <v/>
      </c>
      <c r="N14" s="40" t="str">
        <f>IFERROR(__xludf.DUMMYFUNCTION("if(AND(O14=FALSE,P14=FALSE),,if(O14=P14,JOIN("""",""Static: "",O14),JOIN("""",""Min:  "",O14, CHAR(10),""Max: "",P14)))"),"")</f>
        <v/>
      </c>
      <c r="O14" s="42" t="str">
        <f t="array" ref="O14">_xlfn.XLOOKUP(B14,'Up Min'!A:A,'Up Min'!D:D,)</f>
        <v/>
      </c>
      <c r="P14" s="42" t="str">
        <f t="array" ref="P14">_xlfn.XLOOKUP(B14,'Up Max'!A:A,'Up Max'!D:D,)</f>
        <v/>
      </c>
      <c r="Q14" s="48" t="str">
        <f t="array" ref="Q14">_xlfn.XLOOKUP(B14,'Up Stats'!A:A,'Up Stats'!E:E,)</f>
        <v/>
      </c>
      <c r="R14" s="40" t="str">
        <f>IFERROR(__xludf.DUMMYFUNCTION("if(AND(S14=FALSE,T14=FALSE),,if(S14=T14,JOIN("""",""Static: "",S14),JOIN("""",""Min:  "",S14, CHAR(10),""Max: "",T14)))"),"")</f>
        <v/>
      </c>
      <c r="S14" s="42" t="str">
        <f t="array" ref="S14">_xlfn.XLOOKUP(B14,'Up Min'!A:A,'Up Min'!E:E,)</f>
        <v/>
      </c>
      <c r="T14" s="42" t="str">
        <f t="array" ref="T14">_xlfn.XLOOKUP(B14,'Up Max'!A:A,'Up Max'!E:E,)</f>
        <v/>
      </c>
      <c r="U14" s="48" t="str">
        <f t="array" ref="U14">_xlfn.XLOOKUP(B14,'Up Stats'!A:A,'Up Stats'!F:F,)</f>
        <v/>
      </c>
      <c r="V14" s="40" t="str">
        <f>IFERROR(__xludf.DUMMYFUNCTION("if(AND(W14=FALSE,X14=FALSE),,if(W14=X14,JOIN("""",""Static: "",W14),JOIN("""",""Min:  "",W14, CHAR(10),""Max: "",X14)))"),"")</f>
        <v/>
      </c>
      <c r="W14" s="42" t="str">
        <f t="array" ref="W14">_xlfn.XLOOKUP(B14,'Up Min'!A:A,'Up Min'!F:F,)</f>
        <v/>
      </c>
      <c r="X14" s="42" t="str">
        <f t="array" ref="X14">_xlfn.XLOOKUP(B14,'Up Max'!A:A,'Up Max'!F:F,)</f>
        <v/>
      </c>
      <c r="Y14" s="48" t="str">
        <f t="array" ref="Y14">_xlfn.XLOOKUP(B14,'Up Stats'!A:A,'Up Stats'!G:G,)</f>
        <v/>
      </c>
      <c r="Z14" s="40" t="str">
        <f>IFERROR(__xludf.DUMMYFUNCTION("if(AND(AA14=FALSE,AB14=FALSE),,if(AA14=AB14,JOIN("""",""Static: "",AA14),JOIN("""",""Min:  "",AA14, CHAR(10),""Max: "",AB14)))"),"")</f>
        <v/>
      </c>
      <c r="AA14" s="42" t="str">
        <f t="array" ref="AA14">_xlfn.XLOOKUP(B14,'Up Min'!A:A,'Up Min'!G:G,)</f>
        <v/>
      </c>
      <c r="AB14" s="42" t="str">
        <f t="array" ref="AB14">_xlfn.XLOOKUP(B14,'Up Max'!A:A,'Up Max'!G:G,)</f>
        <v/>
      </c>
      <c r="AC14" s="48" t="str">
        <f t="array" ref="AC14">_xlfn.XLOOKUP(B14,'Up Stats'!A:A,'Up Stats'!H:H,)</f>
        <v/>
      </c>
      <c r="AD14" s="40" t="str">
        <f>IFERROR(__xludf.DUMMYFUNCTION("if(AND(AE14=FALSE,AF14=FALSE),,if(AE14=AF14,JOIN("""",""Static: "",AE14),JOIN("""",""Min:  "",AE14, CHAR(10),""Max: "",AF14)))"),"")</f>
        <v/>
      </c>
      <c r="AE14" s="42" t="str">
        <f t="array" ref="AE14">_xlfn.XLOOKUP(B14,'Up Min'!A:A,'Up Min'!H:H,)</f>
        <v/>
      </c>
      <c r="AF14" s="42" t="str">
        <f t="array" ref="AF14">_xlfn.XLOOKUP(B14,'Up Max'!A:A,'Up Max'!H:H,)</f>
        <v/>
      </c>
      <c r="AG14" s="48" t="str">
        <f t="array" ref="AG14">_xlfn.XLOOKUP(B14,'Up Stats'!A:A,'Up Stats'!I:I,)</f>
        <v/>
      </c>
      <c r="AH14" s="40" t="str">
        <f>IFERROR(__xludf.DUMMYFUNCTION("if(AND(AI14=FALSE,AJ14=FALSE),,if(AI14=AJ14,JOIN("""",""Static: "",AI14),JOIN("""",""Min:  "",AI14, CHAR(10),""Max: "",AJ14)))"),"")</f>
        <v/>
      </c>
      <c r="AI14" s="42" t="str">
        <f t="array" ref="AI14">_xlfn.XLOOKUP(B14,'Up Min'!A:A,'Up Min'!I:I,)</f>
        <v/>
      </c>
      <c r="AJ14" s="42" t="str">
        <f t="array" ref="AJ14">_xlfn.XLOOKUP(B14,'Up Max'!A:A,'Up Max'!I:I,)</f>
        <v/>
      </c>
      <c r="AK14" s="48" t="str">
        <f t="array" ref="AK14">_xlfn.XLOOKUP(B14,'Up Stats'!A:A,'Up Stats'!J:J,)</f>
        <v/>
      </c>
      <c r="AL14" s="40" t="str">
        <f>IFERROR(__xludf.DUMMYFUNCTION("if(AND(AM14=FALSE,AN14=FALSE),,if(AM14=AN14,JOIN("""",""Static: "",AM14),JOIN("""",""Min:  "",AM14, CHAR(10),""Max: "",AN14)))"),"")</f>
        <v/>
      </c>
      <c r="AM14" s="42" t="str">
        <f t="array" ref="AM14">_xlfn.XLOOKUP(B14,'Up Min'!A:A,'Up Min'!J:J,)</f>
        <v/>
      </c>
      <c r="AN14" s="42" t="str">
        <f t="array" ref="AN14">_xlfn.XLOOKUP(B14,'Up Max'!A:A,'Up Max'!J:J,)</f>
        <v/>
      </c>
      <c r="AO14" s="34" t="str">
        <f t="array" ref="AO14">CONCATENATE(_xlfn.XLOOKUP(B14,'Up Cells'!A:A,'Up Cells'!B:B,))</f>
        <v>6</v>
      </c>
      <c r="AP14" s="34" t="str">
        <f t="array" ref="AP14">CONCATENATE(_xlfn.XLOOKUP(B14,'Up Rarity'!A:A,'Up Rarity'!B:B,),CHAR(10),"-")</f>
        <v>Epic
-</v>
      </c>
    </row>
    <row r="15">
      <c r="A15" s="75" t="str">
        <f t="array" ref="A15">_xlfn.XLOOKUP(B15,'Up Icon'!A:A,'Up Icon'!B:B,)</f>
        <v/>
      </c>
      <c r="B15" s="88" t="str">
        <f t="array" ref="B15">HYPERLINK(_xlfn.XLOOKUP('Up Names'!P8,'Up Wiki'!A:A,'Up Wiki'!B:B,),'Up Names'!P8)</f>
        <v>Focus Prism</v>
      </c>
      <c r="C15" s="52" t="str">
        <f t="array" ref="C15">_xlfn.XLOOKUP(B15,'Up Desc'!A:A,'Up Desc'!B:B,)</f>
        <v>When affected by an element, any outgoing damage matching that effect is increased.</v>
      </c>
      <c r="D15" s="52" t="str">
        <f t="array" ref="D15">_xlfn.XLOOKUP(B15,'Up Turbo'!A:A,'Up Turbo'!B:B,)</f>
        <v>n/a</v>
      </c>
      <c r="E15" s="53" t="str">
        <f t="array" ref="E15">_xlfn.XLOOKUP(B15,'Up Stats'!A:A,'Up Stats'!B:B,)</f>
        <v>Bonus Damage</v>
      </c>
      <c r="F15" s="54" t="str">
        <f>IFERROR(__xludf.DUMMYFUNCTION("if(AND(G15=FALSE,H15=FALSE),,if(G15=H15,JOIN("""",""Static: "",G15),JOIN("""",""Min:  "",G15, CHAR(10),""Max: "",H15)))"),"Static: 20%")</f>
        <v>Static: 20%</v>
      </c>
      <c r="G15" s="59">
        <f t="array" ref="G15">_xlfn.XLOOKUP(B15,'Up Min'!A:A,'Up Min'!B:B,)</f>
        <v>0.2</v>
      </c>
      <c r="H15" s="59">
        <f t="array" ref="H15">_xlfn.XLOOKUP(B15,'Up Max'!A:A,'Up Max'!B:B,)</f>
        <v>0.2</v>
      </c>
      <c r="I15" s="53" t="str">
        <f t="array" ref="I15">_xlfn.XLOOKUP(B15,'Up Stats'!A:A,'Up Stats'!C:C,)</f>
        <v/>
      </c>
      <c r="J15" s="54" t="str">
        <f>IFERROR(__xludf.DUMMYFUNCTION("if(AND(K15=FALSE,L15=FALSE),,if(K15=L15,JOIN("""",""Static: "",K15),JOIN("""",""Min:  "",K15, CHAR(10),""Max: "",L15)))"),"")</f>
        <v/>
      </c>
      <c r="K15" s="72" t="str">
        <f t="array" ref="K15">_xlfn.XLOOKUP(B15,'Up Min'!A:A,'Up Min'!C:C,)</f>
        <v/>
      </c>
      <c r="L15" s="72" t="str">
        <f t="array" ref="L15">_xlfn.XLOOKUP(B15,'Up Max'!A:A,'Up Max'!C:C,)</f>
        <v/>
      </c>
      <c r="M15" s="57" t="str">
        <f t="array" ref="M15">_xlfn.XLOOKUP(B15,'Up Stats'!A:A,'Up Stats'!D:D,)</f>
        <v/>
      </c>
      <c r="N15" s="54" t="str">
        <f>IFERROR(__xludf.DUMMYFUNCTION("if(AND(O15=FALSE,P15=FALSE),,if(O15=P15,JOIN("""",""Static: "",O15),JOIN("""",""Min:  "",O15, CHAR(10),""Max: "",P15)))"),"")</f>
        <v/>
      </c>
      <c r="O15" s="55" t="str">
        <f t="array" ref="O15">_xlfn.XLOOKUP(B15,'Up Min'!A:A,'Up Min'!D:D,)</f>
        <v/>
      </c>
      <c r="P15" s="55" t="str">
        <f t="array" ref="P15">_xlfn.XLOOKUP(B15,'Up Max'!A:A,'Up Max'!D:D,)</f>
        <v/>
      </c>
      <c r="Q15" s="57" t="str">
        <f t="array" ref="Q15">_xlfn.XLOOKUP(B15,'Up Stats'!A:A,'Up Stats'!E:E,)</f>
        <v/>
      </c>
      <c r="R15" s="54" t="str">
        <f>IFERROR(__xludf.DUMMYFUNCTION("if(AND(S15=FALSE,T15=FALSE),,if(S15=T15,JOIN("""",""Static: "",S15),JOIN("""",""Min:  "",S15, CHAR(10),""Max: "",T15)))"),"")</f>
        <v/>
      </c>
      <c r="S15" s="55" t="str">
        <f t="array" ref="S15">_xlfn.XLOOKUP(B15,'Up Min'!A:A,'Up Min'!E:E,)</f>
        <v/>
      </c>
      <c r="T15" s="55" t="str">
        <f t="array" ref="T15">_xlfn.XLOOKUP(B15,'Up Max'!A:A,'Up Max'!E:E,)</f>
        <v/>
      </c>
      <c r="U15" s="57" t="str">
        <f t="array" ref="U15">_xlfn.XLOOKUP(B15,'Up Stats'!A:A,'Up Stats'!F:F,)</f>
        <v/>
      </c>
      <c r="V15" s="54" t="str">
        <f>IFERROR(__xludf.DUMMYFUNCTION("if(AND(W15=FALSE,X15=FALSE),,if(W15=X15,JOIN("""",""Static: "",W15),JOIN("""",""Min:  "",W15, CHAR(10),""Max: "",X15)))"),"")</f>
        <v/>
      </c>
      <c r="W15" s="55" t="str">
        <f t="array" ref="W15">_xlfn.XLOOKUP(B15,'Up Min'!A:A,'Up Min'!F:F,)</f>
        <v/>
      </c>
      <c r="X15" s="55" t="str">
        <f t="array" ref="X15">_xlfn.XLOOKUP(B15,'Up Max'!A:A,'Up Max'!F:F,)</f>
        <v/>
      </c>
      <c r="Y15" s="57" t="str">
        <f t="array" ref="Y15">_xlfn.XLOOKUP(B15,'Up Stats'!A:A,'Up Stats'!G:G,)</f>
        <v/>
      </c>
      <c r="Z15" s="54" t="str">
        <f>IFERROR(__xludf.DUMMYFUNCTION("if(AND(AA15=FALSE,AB15=FALSE),,if(AA15=AB15,JOIN("""",""Static: "",AA15),JOIN("""",""Min:  "",AA15, CHAR(10),""Max: "",AB15)))"),"")</f>
        <v/>
      </c>
      <c r="AA15" s="55" t="str">
        <f t="array" ref="AA15">_xlfn.XLOOKUP(B15,'Up Min'!A:A,'Up Min'!G:G,)</f>
        <v/>
      </c>
      <c r="AB15" s="55" t="str">
        <f t="array" ref="AB15">_xlfn.XLOOKUP(B15,'Up Max'!A:A,'Up Max'!G:G,)</f>
        <v/>
      </c>
      <c r="AC15" s="57" t="str">
        <f t="array" ref="AC15">_xlfn.XLOOKUP(B15,'Up Stats'!A:A,'Up Stats'!H:H,)</f>
        <v/>
      </c>
      <c r="AD15" s="54" t="str">
        <f>IFERROR(__xludf.DUMMYFUNCTION("if(AND(AE15=FALSE,AF15=FALSE),,if(AE15=AF15,JOIN("""",""Static: "",AE15),JOIN("""",""Min:  "",AE15, CHAR(10),""Max: "",AF15)))"),"")</f>
        <v/>
      </c>
      <c r="AE15" s="55" t="str">
        <f t="array" ref="AE15">_xlfn.XLOOKUP(B15,'Up Min'!A:A,'Up Min'!H:H,)</f>
        <v/>
      </c>
      <c r="AF15" s="55" t="str">
        <f t="array" ref="AF15">_xlfn.XLOOKUP(B15,'Up Max'!A:A,'Up Max'!H:H,)</f>
        <v/>
      </c>
      <c r="AG15" s="57" t="str">
        <f t="array" ref="AG15">_xlfn.XLOOKUP(B15,'Up Stats'!A:A,'Up Stats'!I:I,)</f>
        <v/>
      </c>
      <c r="AH15" s="54" t="str">
        <f>IFERROR(__xludf.DUMMYFUNCTION("if(AND(AI15=FALSE,AJ15=FALSE),,if(AI15=AJ15,JOIN("""",""Static: "",AI15),JOIN("""",""Min:  "",AI15, CHAR(10),""Max: "",AJ15)))"),"")</f>
        <v/>
      </c>
      <c r="AI15" s="55" t="str">
        <f t="array" ref="AI15">_xlfn.XLOOKUP(B15,'Up Min'!A:A,'Up Min'!I:I,)</f>
        <v/>
      </c>
      <c r="AJ15" s="55" t="str">
        <f t="array" ref="AJ15">_xlfn.XLOOKUP(B15,'Up Max'!A:A,'Up Max'!I:I,)</f>
        <v/>
      </c>
      <c r="AK15" s="57" t="str">
        <f t="array" ref="AK15">_xlfn.XLOOKUP(B15,'Up Stats'!A:A,'Up Stats'!J:J,)</f>
        <v/>
      </c>
      <c r="AL15" s="54" t="str">
        <f>IFERROR(__xludf.DUMMYFUNCTION("if(AND(AM15=FALSE,AN15=FALSE),,if(AM15=AN15,JOIN("""",""Static: "",AM15),JOIN("""",""Min:  "",AM15, CHAR(10),""Max: "",AN15)))"),"")</f>
        <v/>
      </c>
      <c r="AM15" s="55" t="str">
        <f t="array" ref="AM15">_xlfn.XLOOKUP(B15,'Up Min'!A:A,'Up Min'!J:J,)</f>
        <v/>
      </c>
      <c r="AN15" s="55" t="str">
        <f t="array" ref="AN15">_xlfn.XLOOKUP(B15,'Up Max'!A:A,'Up Max'!J:J,)</f>
        <v/>
      </c>
      <c r="AO15" s="51" t="str">
        <f t="array" ref="AO15">CONCATENATE(_xlfn.XLOOKUP(B15,'Up Cells'!A:A,'Up Cells'!B:B,))</f>
        <v>6</v>
      </c>
      <c r="AP15" s="51" t="str">
        <f t="array" ref="AP15">CONCATENATE(_xlfn.XLOOKUP(B15,'Up Rarity'!A:A,'Up Rarity'!B:B,),CHAR(10),"-")</f>
        <v>Epic
-</v>
      </c>
    </row>
    <row r="16">
      <c r="A16" s="75" t="str">
        <f t="array" ref="A16">_xlfn.XLOOKUP(B16,'Up Icon'!A:A,'Up Icon'!B:B,)</f>
        <v/>
      </c>
      <c r="B16" s="89" t="str">
        <f t="array" ref="B16">HYPERLINK(_xlfn.XLOOKUP('Up Names'!P9,'Up Wiki'!A:A,'Up Wiki'!B:B,),'Up Names'!P9)</f>
        <v>Frantic Greed</v>
      </c>
      <c r="C16" s="67" t="str">
        <f t="array" ref="C16">_xlfn.XLOOKUP(B16,'Up Desc'!A:A,'Up Desc'!B:B,)</f>
        <v>Instantly consume health chunks you shoot off of enemies. Chunks consumed this way provide less healing.</v>
      </c>
      <c r="D16" s="37" t="str">
        <f t="array" ref="D16">_xlfn.XLOOKUP(B16,'Up Turbo'!A:A,'Up Turbo'!B:B,)</f>
        <v>n/a</v>
      </c>
      <c r="E16" s="39" t="str">
        <f t="array" ref="E16">_xlfn.XLOOKUP(B16,'Up Stats'!A:A,'Up Stats'!B:B,)</f>
        <v>Healing Efficiency</v>
      </c>
      <c r="F16" s="40" t="str">
        <f>IFERROR(__xludf.DUMMYFUNCTION("if(AND(G16=FALSE,H16=FALSE),,if(G16=H16,JOIN("""",""Static: "",G16),JOIN("""",""Min:  "",G16, CHAR(10),""Max: "",H16)))"),"Min:  80%
Max: 100%")</f>
        <v>Min:  80%
Max: 100%</v>
      </c>
      <c r="G16" s="41">
        <f t="array" ref="G16">_xlfn.XLOOKUP(B16,'Up Min'!A:A,'Up Min'!B:B,)</f>
        <v>0.8</v>
      </c>
      <c r="H16" s="41">
        <f t="array" ref="H16">_xlfn.XLOOKUP(B16,'Up Max'!A:A,'Up Max'!B:B,)</f>
        <v>1</v>
      </c>
      <c r="I16" s="39" t="str">
        <f t="array" ref="I16">_xlfn.XLOOKUP(B16,'Up Stats'!A:A,'Up Stats'!C:C,)</f>
        <v/>
      </c>
      <c r="J16" s="40" t="str">
        <f>IFERROR(__xludf.DUMMYFUNCTION("if(AND(K16=FALSE,L16=FALSE),,if(K16=L16,JOIN("""",""Static: "",K16),JOIN("""",""Min:  "",K16, CHAR(10),""Max: "",L16)))"),"")</f>
        <v/>
      </c>
      <c r="K16" s="74" t="str">
        <f t="array" ref="K16">_xlfn.XLOOKUP(B16,'Up Min'!A:A,'Up Min'!C:C,)</f>
        <v/>
      </c>
      <c r="L16" s="74" t="str">
        <f t="array" ref="L16">_xlfn.XLOOKUP(B16,'Up Max'!A:A,'Up Max'!C:C,)</f>
        <v/>
      </c>
      <c r="M16" s="48" t="str">
        <f t="array" ref="M16">_xlfn.XLOOKUP(B16,'Up Stats'!A:A,'Up Stats'!D:D,)</f>
        <v/>
      </c>
      <c r="N16" s="40" t="str">
        <f>IFERROR(__xludf.DUMMYFUNCTION("if(AND(O16=FALSE,P16=FALSE),,if(O16=P16,JOIN("""",""Static: "",O16),JOIN("""",""Min:  "",O16, CHAR(10),""Max: "",P16)))"),"")</f>
        <v/>
      </c>
      <c r="O16" s="42" t="str">
        <f t="array" ref="O16">_xlfn.XLOOKUP(B16,'Up Min'!A:A,'Up Min'!D:D,)</f>
        <v/>
      </c>
      <c r="P16" s="42" t="str">
        <f t="array" ref="P16">_xlfn.XLOOKUP(B16,'Up Max'!A:A,'Up Max'!D:D,)</f>
        <v/>
      </c>
      <c r="Q16" s="48" t="str">
        <f t="array" ref="Q16">_xlfn.XLOOKUP(B16,'Up Stats'!A:A,'Up Stats'!E:E,)</f>
        <v/>
      </c>
      <c r="R16" s="40" t="str">
        <f>IFERROR(__xludf.DUMMYFUNCTION("if(AND(S16=FALSE,T16=FALSE),,if(S16=T16,JOIN("""",""Static: "",S16),JOIN("""",""Min:  "",S16, CHAR(10),""Max: "",T16)))"),"")</f>
        <v/>
      </c>
      <c r="S16" s="42" t="str">
        <f t="array" ref="S16">_xlfn.XLOOKUP(B16,'Up Min'!A:A,'Up Min'!E:E,)</f>
        <v/>
      </c>
      <c r="T16" s="42" t="str">
        <f t="array" ref="T16">_xlfn.XLOOKUP(B16,'Up Max'!A:A,'Up Max'!E:E,)</f>
        <v/>
      </c>
      <c r="U16" s="48" t="str">
        <f t="array" ref="U16">_xlfn.XLOOKUP(B16,'Up Stats'!A:A,'Up Stats'!F:F,)</f>
        <v/>
      </c>
      <c r="V16" s="40" t="str">
        <f>IFERROR(__xludf.DUMMYFUNCTION("if(AND(W16=FALSE,X16=FALSE),,if(W16=X16,JOIN("""",""Static: "",W16),JOIN("""",""Min:  "",W16, CHAR(10),""Max: "",X16)))"),"")</f>
        <v/>
      </c>
      <c r="W16" s="42" t="str">
        <f t="array" ref="W16">_xlfn.XLOOKUP(B16,'Up Min'!A:A,'Up Min'!F:F,)</f>
        <v/>
      </c>
      <c r="X16" s="42" t="str">
        <f t="array" ref="X16">_xlfn.XLOOKUP(B16,'Up Max'!A:A,'Up Max'!F:F,)</f>
        <v/>
      </c>
      <c r="Y16" s="48" t="str">
        <f t="array" ref="Y16">_xlfn.XLOOKUP(B16,'Up Stats'!A:A,'Up Stats'!G:G,)</f>
        <v/>
      </c>
      <c r="Z16" s="40" t="str">
        <f>IFERROR(__xludf.DUMMYFUNCTION("if(AND(AA16=FALSE,AB16=FALSE),,if(AA16=AB16,JOIN("""",""Static: "",AA16),JOIN("""",""Min:  "",AA16, CHAR(10),""Max: "",AB16)))"),"")</f>
        <v/>
      </c>
      <c r="AA16" s="42" t="str">
        <f t="array" ref="AA16">_xlfn.XLOOKUP(B16,'Up Min'!A:A,'Up Min'!G:G,)</f>
        <v/>
      </c>
      <c r="AB16" s="42" t="str">
        <f t="array" ref="AB16">_xlfn.XLOOKUP(B16,'Up Max'!A:A,'Up Max'!G:G,)</f>
        <v/>
      </c>
      <c r="AC16" s="48" t="str">
        <f t="array" ref="AC16">_xlfn.XLOOKUP(B16,'Up Stats'!A:A,'Up Stats'!H:H,)</f>
        <v/>
      </c>
      <c r="AD16" s="40" t="str">
        <f>IFERROR(__xludf.DUMMYFUNCTION("if(AND(AE16=FALSE,AF16=FALSE),,if(AE16=AF16,JOIN("""",""Static: "",AE16),JOIN("""",""Min:  "",AE16, CHAR(10),""Max: "",AF16)))"),"")</f>
        <v/>
      </c>
      <c r="AE16" s="42" t="str">
        <f t="array" ref="AE16">_xlfn.XLOOKUP(B16,'Up Min'!A:A,'Up Min'!H:H,)</f>
        <v/>
      </c>
      <c r="AF16" s="42" t="str">
        <f t="array" ref="AF16">_xlfn.XLOOKUP(B16,'Up Max'!A:A,'Up Max'!H:H,)</f>
        <v/>
      </c>
      <c r="AG16" s="48" t="str">
        <f t="array" ref="AG16">_xlfn.XLOOKUP(B16,'Up Stats'!A:A,'Up Stats'!I:I,)</f>
        <v/>
      </c>
      <c r="AH16" s="40" t="str">
        <f>IFERROR(__xludf.DUMMYFUNCTION("if(AND(AI16=FALSE,AJ16=FALSE),,if(AI16=AJ16,JOIN("""",""Static: "",AI16),JOIN("""",""Min:  "",AI16, CHAR(10),""Max: "",AJ16)))"),"")</f>
        <v/>
      </c>
      <c r="AI16" s="42" t="str">
        <f t="array" ref="AI16">_xlfn.XLOOKUP(B16,'Up Min'!A:A,'Up Min'!I:I,)</f>
        <v/>
      </c>
      <c r="AJ16" s="42" t="str">
        <f t="array" ref="AJ16">_xlfn.XLOOKUP(B16,'Up Max'!A:A,'Up Max'!I:I,)</f>
        <v/>
      </c>
      <c r="AK16" s="48" t="str">
        <f t="array" ref="AK16">_xlfn.XLOOKUP(B16,'Up Stats'!A:A,'Up Stats'!J:J,)</f>
        <v/>
      </c>
      <c r="AL16" s="40" t="str">
        <f>IFERROR(__xludf.DUMMYFUNCTION("if(AND(AM16=FALSE,AN16=FALSE),,if(AM16=AN16,JOIN("""",""Static: "",AM16),JOIN("""",""Min:  "",AM16, CHAR(10),""Max: "",AN16)))"),"")</f>
        <v/>
      </c>
      <c r="AM16" s="42" t="str">
        <f t="array" ref="AM16">_xlfn.XLOOKUP(B16,'Up Min'!A:A,'Up Min'!J:J,)</f>
        <v/>
      </c>
      <c r="AN16" s="42" t="str">
        <f t="array" ref="AN16">_xlfn.XLOOKUP(B16,'Up Max'!A:A,'Up Max'!J:J,)</f>
        <v/>
      </c>
      <c r="AO16" s="34" t="str">
        <f t="array" ref="AO16">CONCATENATE(_xlfn.XLOOKUP(B16,'Up Cells'!A:A,'Up Cells'!B:B,))</f>
        <v>5</v>
      </c>
      <c r="AP16" s="34" t="str">
        <f t="array" ref="AP16">CONCATENATE(_xlfn.XLOOKUP(B16,'Up Rarity'!A:A,'Up Rarity'!B:B,),CHAR(10),"-")</f>
        <v>Epic
-</v>
      </c>
    </row>
    <row r="17">
      <c r="A17" s="75" t="str">
        <f t="array" ref="A17">_xlfn.XLOOKUP(B17,'Up Icon'!A:A,'Up Icon'!B:B,)</f>
        <v/>
      </c>
      <c r="B17" s="88" t="str">
        <f t="array" ref="B17">HYPERLINK(_xlfn.XLOOKUP('Up Names'!P10,'Up Wiki'!A:A,'Up Wiki'!B:B,),'Up Names'!P10)</f>
        <v>Grenade Recycling</v>
      </c>
      <c r="C17" s="52" t="str">
        <f t="array" ref="C17">_xlfn.XLOOKUP(B17,'Up Desc'!A:A,'Up Desc'!B:B,)</f>
        <v>Small health chunks recharge your grenade, but no longer heal.</v>
      </c>
      <c r="D17" s="52" t="str">
        <f t="array" ref="D17">_xlfn.XLOOKUP(B17,'Up Turbo'!A:A,'Up Turbo'!B:B,)</f>
        <v>n/a</v>
      </c>
      <c r="E17" s="53" t="str">
        <f t="array" ref="E17">_xlfn.XLOOKUP(B17,'Up Stats'!A:A,'Up Stats'!B:B,)</f>
        <v>Charge</v>
      </c>
      <c r="F17" s="54" t="str">
        <f>IFERROR(__xludf.DUMMYFUNCTION("if(AND(G17=FALSE,H17=FALSE),,if(G17=H17,JOIN("""",""Static: "",G17),JOIN("""",""Min:  "",G17, CHAR(10),""Max: "",H17)))"),"Min:  2.1
Max: 3.8")</f>
        <v>Min:  2.1
Max: 3.8</v>
      </c>
      <c r="G17" s="64">
        <f t="array" ref="G17">_xlfn.XLOOKUP(B17,'Up Min'!A:A,'Up Min'!B:B,)</f>
        <v>2.1</v>
      </c>
      <c r="H17" s="65">
        <f t="array" ref="H17">_xlfn.XLOOKUP(B17,'Up Max'!A:A,'Up Max'!B:B,)</f>
        <v>3.8</v>
      </c>
      <c r="I17" s="53" t="str">
        <f t="array" ref="I17">_xlfn.XLOOKUP(B17,'Up Stats'!A:A,'Up Stats'!C:C,)</f>
        <v/>
      </c>
      <c r="J17" s="54" t="str">
        <f>IFERROR(__xludf.DUMMYFUNCTION("if(AND(K17=FALSE,L17=FALSE),,if(K17=L17,JOIN("""",""Static: "",K17),JOIN("""",""Min:  "",K17, CHAR(10),""Max: "",L17)))"),"")</f>
        <v/>
      </c>
      <c r="K17" s="72" t="str">
        <f t="array" ref="K17">_xlfn.XLOOKUP(B17,'Up Min'!A:A,'Up Min'!C:C,)</f>
        <v/>
      </c>
      <c r="L17" s="72" t="str">
        <f t="array" ref="L17">_xlfn.XLOOKUP(B17,'Up Max'!A:A,'Up Max'!C:C,)</f>
        <v/>
      </c>
      <c r="M17" s="57" t="str">
        <f t="array" ref="M17">_xlfn.XLOOKUP(B17,'Up Stats'!A:A,'Up Stats'!D:D,)</f>
        <v/>
      </c>
      <c r="N17" s="54" t="str">
        <f>IFERROR(__xludf.DUMMYFUNCTION("if(AND(O17=FALSE,P17=FALSE),,if(O17=P17,JOIN("""",""Static: "",O17),JOIN("""",""Min:  "",O17, CHAR(10),""Max: "",P17)))"),"")</f>
        <v/>
      </c>
      <c r="O17" s="55" t="str">
        <f t="array" ref="O17">_xlfn.XLOOKUP(B17,'Up Min'!A:A,'Up Min'!D:D,)</f>
        <v/>
      </c>
      <c r="P17" s="55" t="str">
        <f t="array" ref="P17">_xlfn.XLOOKUP(B17,'Up Max'!A:A,'Up Max'!D:D,)</f>
        <v/>
      </c>
      <c r="Q17" s="57" t="str">
        <f t="array" ref="Q17">_xlfn.XLOOKUP(B17,'Up Stats'!A:A,'Up Stats'!E:E,)</f>
        <v/>
      </c>
      <c r="R17" s="54" t="str">
        <f>IFERROR(__xludf.DUMMYFUNCTION("if(AND(S17=FALSE,T17=FALSE),,if(S17=T17,JOIN("""",""Static: "",S17),JOIN("""",""Min:  "",S17, CHAR(10),""Max: "",T17)))"),"")</f>
        <v/>
      </c>
      <c r="S17" s="55" t="str">
        <f t="array" ref="S17">_xlfn.XLOOKUP(B17,'Up Min'!A:A,'Up Min'!E:E,)</f>
        <v/>
      </c>
      <c r="T17" s="55" t="str">
        <f t="array" ref="T17">_xlfn.XLOOKUP(B17,'Up Max'!A:A,'Up Max'!E:E,)</f>
        <v/>
      </c>
      <c r="U17" s="57" t="str">
        <f t="array" ref="U17">_xlfn.XLOOKUP(B17,'Up Stats'!A:A,'Up Stats'!F:F,)</f>
        <v/>
      </c>
      <c r="V17" s="54" t="str">
        <f>IFERROR(__xludf.DUMMYFUNCTION("if(AND(W17=FALSE,X17=FALSE),,if(W17=X17,JOIN("""",""Static: "",W17),JOIN("""",""Min:  "",W17, CHAR(10),""Max: "",X17)))"),"")</f>
        <v/>
      </c>
      <c r="W17" s="55" t="str">
        <f t="array" ref="W17">_xlfn.XLOOKUP(B17,'Up Min'!A:A,'Up Min'!F:F,)</f>
        <v/>
      </c>
      <c r="X17" s="55" t="str">
        <f t="array" ref="X17">_xlfn.XLOOKUP(B17,'Up Max'!A:A,'Up Max'!F:F,)</f>
        <v/>
      </c>
      <c r="Y17" s="57" t="str">
        <f t="array" ref="Y17">_xlfn.XLOOKUP(B17,'Up Stats'!A:A,'Up Stats'!G:G,)</f>
        <v/>
      </c>
      <c r="Z17" s="54" t="str">
        <f>IFERROR(__xludf.DUMMYFUNCTION("if(AND(AA17=FALSE,AB17=FALSE),,if(AA17=AB17,JOIN("""",""Static: "",AA17),JOIN("""",""Min:  "",AA17, CHAR(10),""Max: "",AB17)))"),"")</f>
        <v/>
      </c>
      <c r="AA17" s="55" t="str">
        <f t="array" ref="AA17">_xlfn.XLOOKUP(B17,'Up Min'!A:A,'Up Min'!G:G,)</f>
        <v/>
      </c>
      <c r="AB17" s="55" t="str">
        <f t="array" ref="AB17">_xlfn.XLOOKUP(B17,'Up Max'!A:A,'Up Max'!G:G,)</f>
        <v/>
      </c>
      <c r="AC17" s="57" t="str">
        <f t="array" ref="AC17">_xlfn.XLOOKUP(B17,'Up Stats'!A:A,'Up Stats'!H:H,)</f>
        <v/>
      </c>
      <c r="AD17" s="54" t="str">
        <f>IFERROR(__xludf.DUMMYFUNCTION("if(AND(AE17=FALSE,AF17=FALSE),,if(AE17=AF17,JOIN("""",""Static: "",AE17),JOIN("""",""Min:  "",AE17, CHAR(10),""Max: "",AF17)))"),"")</f>
        <v/>
      </c>
      <c r="AE17" s="55" t="str">
        <f t="array" ref="AE17">_xlfn.XLOOKUP(B17,'Up Min'!A:A,'Up Min'!H:H,)</f>
        <v/>
      </c>
      <c r="AF17" s="55" t="str">
        <f t="array" ref="AF17">_xlfn.XLOOKUP(B17,'Up Max'!A:A,'Up Max'!H:H,)</f>
        <v/>
      </c>
      <c r="AG17" s="57" t="str">
        <f t="array" ref="AG17">_xlfn.XLOOKUP(B17,'Up Stats'!A:A,'Up Stats'!I:I,)</f>
        <v/>
      </c>
      <c r="AH17" s="54" t="str">
        <f>IFERROR(__xludf.DUMMYFUNCTION("if(AND(AI17=FALSE,AJ17=FALSE),,if(AI17=AJ17,JOIN("""",""Static: "",AI17),JOIN("""",""Min:  "",AI17, CHAR(10),""Max: "",AJ17)))"),"")</f>
        <v/>
      </c>
      <c r="AI17" s="55" t="str">
        <f t="array" ref="AI17">_xlfn.XLOOKUP(B17,'Up Min'!A:A,'Up Min'!I:I,)</f>
        <v/>
      </c>
      <c r="AJ17" s="55" t="str">
        <f t="array" ref="AJ17">_xlfn.XLOOKUP(B17,'Up Max'!A:A,'Up Max'!I:I,)</f>
        <v/>
      </c>
      <c r="AK17" s="57" t="str">
        <f t="array" ref="AK17">_xlfn.XLOOKUP(B17,'Up Stats'!A:A,'Up Stats'!J:J,)</f>
        <v/>
      </c>
      <c r="AL17" s="54" t="str">
        <f>IFERROR(__xludf.DUMMYFUNCTION("if(AND(AM17=FALSE,AN17=FALSE),,if(AM17=AN17,JOIN("""",""Static: "",AM17),JOIN("""",""Min:  "",AM17, CHAR(10),""Max: "",AN17)))"),"")</f>
        <v/>
      </c>
      <c r="AM17" s="55" t="str">
        <f t="array" ref="AM17">_xlfn.XLOOKUP(B17,'Up Min'!A:A,'Up Min'!J:J,)</f>
        <v/>
      </c>
      <c r="AN17" s="55" t="str">
        <f t="array" ref="AN17">_xlfn.XLOOKUP(B17,'Up Max'!A:A,'Up Max'!J:J,)</f>
        <v/>
      </c>
      <c r="AO17" s="51" t="str">
        <f t="array" ref="AO17">CONCATENATE(_xlfn.XLOOKUP(B17,'Up Cells'!A:A,'Up Cells'!B:B,))</f>
        <v>4</v>
      </c>
      <c r="AP17" s="51" t="str">
        <f t="array" ref="AP17">CONCATENATE(_xlfn.XLOOKUP(B17,'Up Rarity'!A:A,'Up Rarity'!B:B,),CHAR(10),"-")</f>
        <v>Epic
-</v>
      </c>
    </row>
    <row r="18">
      <c r="A18" s="75" t="str">
        <f t="array" ref="A18">_xlfn.XLOOKUP(B18,'Up Icon'!A:A,'Up Icon'!B:B,)</f>
        <v/>
      </c>
      <c r="B18" s="89" t="str">
        <f t="array" ref="B18">HYPERLINK(_xlfn.XLOOKUP('Up Names'!P11,'Up Wiki'!A:A,'Up Wiki'!B:B,),'Up Names'!P11)</f>
        <v>Inertial Conductors</v>
      </c>
      <c r="C18" s="37" t="str">
        <f t="array" ref="C18">_xlfn.XLOOKUP(B18,'Up Desc'!A:A,'Up Desc'!B:B,)</f>
        <v>Your health regenerates faster while sprinting.</v>
      </c>
      <c r="D18" s="37" t="str">
        <f t="array" ref="D18">_xlfn.XLOOKUP(B18,'Up Turbo'!A:A,'Up Turbo'!B:B,)</f>
        <v>n/a</v>
      </c>
      <c r="E18" s="39" t="str">
        <f t="array" ref="E18">_xlfn.XLOOKUP(B18,'Up Stats'!A:A,'Up Stats'!B:B,)</f>
        <v>Health Regeneration</v>
      </c>
      <c r="F18" s="40" t="str">
        <f>IFERROR(__xludf.DUMMYFUNCTION("if(AND(G18=FALSE,H18=FALSE),,if(G18=H18,JOIN("""",""Static: "",G18),JOIN("""",""Min:  "",G18, CHAR(10),""Max: "",H18)))"),"Min:  30%
Max: 60%")</f>
        <v>Min:  30%
Max: 60%</v>
      </c>
      <c r="G18" s="41">
        <f t="array" ref="G18">_xlfn.XLOOKUP(B18,'Up Min'!A:A,'Up Min'!B:B,)</f>
        <v>0.3</v>
      </c>
      <c r="H18" s="41">
        <f t="array" ref="H18">_xlfn.XLOOKUP(B18,'Up Max'!A:A,'Up Max'!B:B,)</f>
        <v>0.6</v>
      </c>
      <c r="I18" s="39" t="str">
        <f t="array" ref="I18">_xlfn.XLOOKUP(B18,'Up Stats'!A:A,'Up Stats'!C:C,)</f>
        <v/>
      </c>
      <c r="J18" s="40" t="str">
        <f>IFERROR(__xludf.DUMMYFUNCTION("if(AND(K18=FALSE,L18=FALSE),,if(K18=L18,JOIN("""",""Static: "",K18),JOIN("""",""Min:  "",K18, CHAR(10),""Max: "",L18)))"),"")</f>
        <v/>
      </c>
      <c r="K18" s="74" t="str">
        <f t="array" ref="K18">_xlfn.XLOOKUP(B18,'Up Min'!A:A,'Up Min'!C:C,)</f>
        <v/>
      </c>
      <c r="L18" s="74" t="str">
        <f t="array" ref="L18">_xlfn.XLOOKUP(B18,'Up Max'!A:A,'Up Max'!C:C,)</f>
        <v/>
      </c>
      <c r="M18" s="48" t="str">
        <f t="array" ref="M18">_xlfn.XLOOKUP(B18,'Up Stats'!A:A,'Up Stats'!D:D,)</f>
        <v/>
      </c>
      <c r="N18" s="40" t="str">
        <f>IFERROR(__xludf.DUMMYFUNCTION("if(AND(O18=FALSE,P18=FALSE),,if(O18=P18,JOIN("""",""Static: "",O18),JOIN("""",""Min:  "",O18, CHAR(10),""Max: "",P18)))"),"")</f>
        <v/>
      </c>
      <c r="O18" s="42" t="str">
        <f t="array" ref="O18">_xlfn.XLOOKUP(B18,'Up Min'!A:A,'Up Min'!D:D,)</f>
        <v/>
      </c>
      <c r="P18" s="42" t="str">
        <f t="array" ref="P18">_xlfn.XLOOKUP(B18,'Up Max'!A:A,'Up Max'!D:D,)</f>
        <v/>
      </c>
      <c r="Q18" s="48" t="str">
        <f t="array" ref="Q18">_xlfn.XLOOKUP(B18,'Up Stats'!A:A,'Up Stats'!E:E,)</f>
        <v/>
      </c>
      <c r="R18" s="40" t="str">
        <f>IFERROR(__xludf.DUMMYFUNCTION("if(AND(S18=FALSE,T18=FALSE),,if(S18=T18,JOIN("""",""Static: "",S18),JOIN("""",""Min:  "",S18, CHAR(10),""Max: "",T18)))"),"")</f>
        <v/>
      </c>
      <c r="S18" s="42" t="str">
        <f t="array" ref="S18">_xlfn.XLOOKUP(B18,'Up Min'!A:A,'Up Min'!E:E,)</f>
        <v/>
      </c>
      <c r="T18" s="42" t="str">
        <f t="array" ref="T18">_xlfn.XLOOKUP(B18,'Up Max'!A:A,'Up Max'!E:E,)</f>
        <v/>
      </c>
      <c r="U18" s="48" t="str">
        <f t="array" ref="U18">_xlfn.XLOOKUP(B18,'Up Stats'!A:A,'Up Stats'!F:F,)</f>
        <v/>
      </c>
      <c r="V18" s="40" t="str">
        <f>IFERROR(__xludf.DUMMYFUNCTION("if(AND(W18=FALSE,X18=FALSE),,if(W18=X18,JOIN("""",""Static: "",W18),JOIN("""",""Min:  "",W18, CHAR(10),""Max: "",X18)))"),"")</f>
        <v/>
      </c>
      <c r="W18" s="42" t="str">
        <f t="array" ref="W18">_xlfn.XLOOKUP(B18,'Up Min'!A:A,'Up Min'!F:F,)</f>
        <v/>
      </c>
      <c r="X18" s="42" t="str">
        <f t="array" ref="X18">_xlfn.XLOOKUP(B18,'Up Max'!A:A,'Up Max'!F:F,)</f>
        <v/>
      </c>
      <c r="Y18" s="48" t="str">
        <f t="array" ref="Y18">_xlfn.XLOOKUP(B18,'Up Stats'!A:A,'Up Stats'!G:G,)</f>
        <v/>
      </c>
      <c r="Z18" s="40" t="str">
        <f>IFERROR(__xludf.DUMMYFUNCTION("if(AND(AA18=FALSE,AB18=FALSE),,if(AA18=AB18,JOIN("""",""Static: "",AA18),JOIN("""",""Min:  "",AA18, CHAR(10),""Max: "",AB18)))"),"")</f>
        <v/>
      </c>
      <c r="AA18" s="42" t="str">
        <f t="array" ref="AA18">_xlfn.XLOOKUP(B18,'Up Min'!A:A,'Up Min'!G:G,)</f>
        <v/>
      </c>
      <c r="AB18" s="42" t="str">
        <f t="array" ref="AB18">_xlfn.XLOOKUP(B18,'Up Max'!A:A,'Up Max'!G:G,)</f>
        <v/>
      </c>
      <c r="AC18" s="48" t="str">
        <f t="array" ref="AC18">_xlfn.XLOOKUP(B18,'Up Stats'!A:A,'Up Stats'!H:H,)</f>
        <v/>
      </c>
      <c r="AD18" s="40" t="str">
        <f>IFERROR(__xludf.DUMMYFUNCTION("if(AND(AE18=FALSE,AF18=FALSE),,if(AE18=AF18,JOIN("""",""Static: "",AE18),JOIN("""",""Min:  "",AE18, CHAR(10),""Max: "",AF18)))"),"")</f>
        <v/>
      </c>
      <c r="AE18" s="42" t="str">
        <f t="array" ref="AE18">_xlfn.XLOOKUP(B18,'Up Min'!A:A,'Up Min'!H:H,)</f>
        <v/>
      </c>
      <c r="AF18" s="42" t="str">
        <f t="array" ref="AF18">_xlfn.XLOOKUP(B18,'Up Max'!A:A,'Up Max'!H:H,)</f>
        <v/>
      </c>
      <c r="AG18" s="48" t="str">
        <f t="array" ref="AG18">_xlfn.XLOOKUP(B18,'Up Stats'!A:A,'Up Stats'!I:I,)</f>
        <v/>
      </c>
      <c r="AH18" s="40" t="str">
        <f>IFERROR(__xludf.DUMMYFUNCTION("if(AND(AI18=FALSE,AJ18=FALSE),,if(AI18=AJ18,JOIN("""",""Static: "",AI18),JOIN("""",""Min:  "",AI18, CHAR(10),""Max: "",AJ18)))"),"")</f>
        <v/>
      </c>
      <c r="AI18" s="42" t="str">
        <f t="array" ref="AI18">_xlfn.XLOOKUP(B18,'Up Min'!A:A,'Up Min'!I:I,)</f>
        <v/>
      </c>
      <c r="AJ18" s="42" t="str">
        <f t="array" ref="AJ18">_xlfn.XLOOKUP(B18,'Up Max'!A:A,'Up Max'!I:I,)</f>
        <v/>
      </c>
      <c r="AK18" s="48" t="str">
        <f t="array" ref="AK18">_xlfn.XLOOKUP(B18,'Up Stats'!A:A,'Up Stats'!J:J,)</f>
        <v/>
      </c>
      <c r="AL18" s="40" t="str">
        <f>IFERROR(__xludf.DUMMYFUNCTION("if(AND(AM18=FALSE,AN18=FALSE),,if(AM18=AN18,JOIN("""",""Static: "",AM18),JOIN("""",""Min:  "",AM18, CHAR(10),""Max: "",AN18)))"),"")</f>
        <v/>
      </c>
      <c r="AM18" s="42" t="str">
        <f t="array" ref="AM18">_xlfn.XLOOKUP(B18,'Up Min'!A:A,'Up Min'!J:J,)</f>
        <v/>
      </c>
      <c r="AN18" s="42" t="str">
        <f t="array" ref="AN18">_xlfn.XLOOKUP(B18,'Up Max'!A:A,'Up Max'!J:J,)</f>
        <v/>
      </c>
      <c r="AO18" s="34" t="str">
        <f t="array" ref="AO18">CONCATENATE(_xlfn.XLOOKUP(B18,'Up Cells'!A:A,'Up Cells'!B:B,))</f>
        <v>5</v>
      </c>
      <c r="AP18" s="34" t="str">
        <f t="array" ref="AP18">CONCATENATE(_xlfn.XLOOKUP(B18,'Up Rarity'!A:A,'Up Rarity'!B:B,),CHAR(10),"-")</f>
        <v>Epic
-</v>
      </c>
    </row>
    <row r="19">
      <c r="A19" s="75" t="str">
        <f t="array" ref="A19">_xlfn.XLOOKUP(B19,'Up Icon'!A:A,'Up Icon'!B:B,)</f>
        <v/>
      </c>
      <c r="B19" s="88" t="str">
        <f t="array" ref="B19">HYPERLINK(_xlfn.XLOOKUP('Up Names'!P12,'Up Wiki'!A:A,'Up Wiki'!B:B,),'Up Names'!P12)</f>
        <v>Kinetic Effect</v>
      </c>
      <c r="C19" s="52" t="str">
        <f t="array" ref="C19">_xlfn.XLOOKUP(B19,'Up Desc'!A:A,'Up Desc'!B:B,)</f>
        <v>Move faster after the given element is fully applied to you.</v>
      </c>
      <c r="D19" s="52" t="str">
        <f t="array" ref="D19">_xlfn.XLOOKUP(B19,'Up Turbo'!A:A,'Up Turbo'!B:B,)</f>
        <v>n/a</v>
      </c>
      <c r="E19" s="57" t="str">
        <f t="array" ref="E19">_xlfn.XLOOKUP(B19,'Up Stats'!A:A,'Up Stats'!B:B,)</f>
        <v>Element</v>
      </c>
      <c r="F19" s="54" t="str">
        <f>IFERROR(__xludf.DUMMYFUNCTION("if(AND(G19=FALSE,H19=FALSE),,if(G19=H19,JOIN("""",""Static: "",G19),JOIN("""",""Min:  "",G19, CHAR(10),""Max: "",H19)))"),"Static: element")</f>
        <v>Static: element</v>
      </c>
      <c r="G19" s="64" t="str">
        <f t="array" ref="G19">_xlfn.XLOOKUP(B19,'Up Min'!A:A,'Up Min'!B:B,)</f>
        <v>element</v>
      </c>
      <c r="H19" s="65" t="str">
        <f t="array" ref="H19">_xlfn.XLOOKUP(B19,'Up Max'!A:A,'Up Max'!B:B,)</f>
        <v>element</v>
      </c>
      <c r="I19" s="53" t="str">
        <f t="array" ref="I19">_xlfn.XLOOKUP(B19,'Up Stats'!A:A,'Up Stats'!C:C,)</f>
        <v>Speed</v>
      </c>
      <c r="J19" s="54" t="str">
        <f>IFERROR(__xludf.DUMMYFUNCTION("if(AND(K19=FALSE,L19=FALSE),,if(K19=L19,JOIN("""",""Static: "",K19),JOIN("""",""Min:  "",K19, CHAR(10),""Max: "",L19)))"),"Min:  2.2
Max: 3.75")</f>
        <v>Min:  2.2
Max: 3.75</v>
      </c>
      <c r="K19" s="64">
        <f t="array" ref="K19">_xlfn.XLOOKUP(B19,'Up Min'!A:A,'Up Min'!C:C,)</f>
        <v>2.2</v>
      </c>
      <c r="L19" s="64">
        <f t="array" ref="L19">_xlfn.XLOOKUP(B19,'Up Max'!A:A,'Up Max'!C:C,)</f>
        <v>3.75</v>
      </c>
      <c r="M19" s="53" t="str">
        <f t="array" ref="M19">_xlfn.XLOOKUP(B19,'Up Stats'!A:A,'Up Stats'!D:D,)</f>
        <v>Duration</v>
      </c>
      <c r="N19" s="54" t="str">
        <f>IFERROR(__xludf.DUMMYFUNCTION("if(AND(O19=FALSE,P19=FALSE),,if(O19=P19,JOIN("""",""Static: "",O19),JOIN("""",""Min:  "",O19, CHAR(10),""Max: "",P19)))"),"Min:  2.2
Max: 3.75")</f>
        <v>Min:  2.2
Max: 3.75</v>
      </c>
      <c r="O19" s="65">
        <f t="array" ref="O19">_xlfn.XLOOKUP(B19,'Up Min'!A:A,'Up Min'!D:D,)</f>
        <v>2.2</v>
      </c>
      <c r="P19" s="64">
        <f t="array" ref="P19">_xlfn.XLOOKUP(B19,'Up Max'!A:A,'Up Max'!D:D,)</f>
        <v>3.75</v>
      </c>
      <c r="Q19" s="57" t="str">
        <f t="array" ref="Q19">_xlfn.XLOOKUP(B19,'Up Stats'!A:A,'Up Stats'!E:E,)</f>
        <v/>
      </c>
      <c r="R19" s="54" t="str">
        <f>IFERROR(__xludf.DUMMYFUNCTION("if(AND(S19=FALSE,T19=FALSE),,if(S19=T19,JOIN("""",""Static: "",S19),JOIN("""",""Min:  "",S19, CHAR(10),""Max: "",T19)))"),"")</f>
        <v/>
      </c>
      <c r="S19" s="55" t="str">
        <f t="array" ref="S19">_xlfn.XLOOKUP(B19,'Up Min'!A:A,'Up Min'!E:E,)</f>
        <v/>
      </c>
      <c r="T19" s="55" t="str">
        <f t="array" ref="T19">_xlfn.XLOOKUP(B19,'Up Max'!A:A,'Up Max'!E:E,)</f>
        <v/>
      </c>
      <c r="U19" s="57" t="str">
        <f t="array" ref="U19">_xlfn.XLOOKUP(B19,'Up Stats'!A:A,'Up Stats'!F:F,)</f>
        <v/>
      </c>
      <c r="V19" s="54" t="str">
        <f>IFERROR(__xludf.DUMMYFUNCTION("if(AND(W19=FALSE,X19=FALSE),,if(W19=X19,JOIN("""",""Static: "",W19),JOIN("""",""Min:  "",W19, CHAR(10),""Max: "",X19)))"),"")</f>
        <v/>
      </c>
      <c r="W19" s="55" t="str">
        <f t="array" ref="W19">_xlfn.XLOOKUP(B19,'Up Min'!A:A,'Up Min'!F:F,)</f>
        <v/>
      </c>
      <c r="X19" s="55" t="str">
        <f t="array" ref="X19">_xlfn.XLOOKUP(B19,'Up Max'!A:A,'Up Max'!F:F,)</f>
        <v/>
      </c>
      <c r="Y19" s="57" t="str">
        <f t="array" ref="Y19">_xlfn.XLOOKUP(B19,'Up Stats'!A:A,'Up Stats'!G:G,)</f>
        <v/>
      </c>
      <c r="Z19" s="54" t="str">
        <f>IFERROR(__xludf.DUMMYFUNCTION("if(AND(AA19=FALSE,AB19=FALSE),,if(AA19=AB19,JOIN("""",""Static: "",AA19),JOIN("""",""Min:  "",AA19, CHAR(10),""Max: "",AB19)))"),"")</f>
        <v/>
      </c>
      <c r="AA19" s="55" t="str">
        <f t="array" ref="AA19">_xlfn.XLOOKUP(B19,'Up Min'!A:A,'Up Min'!G:G,)</f>
        <v/>
      </c>
      <c r="AB19" s="55" t="str">
        <f t="array" ref="AB19">_xlfn.XLOOKUP(B19,'Up Max'!A:A,'Up Max'!G:G,)</f>
        <v/>
      </c>
      <c r="AC19" s="57" t="str">
        <f t="array" ref="AC19">_xlfn.XLOOKUP(B19,'Up Stats'!A:A,'Up Stats'!H:H,)</f>
        <v/>
      </c>
      <c r="AD19" s="54" t="str">
        <f>IFERROR(__xludf.DUMMYFUNCTION("if(AND(AE19=FALSE,AF19=FALSE),,if(AE19=AF19,JOIN("""",""Static: "",AE19),JOIN("""",""Min:  "",AE19, CHAR(10),""Max: "",AF19)))"),"")</f>
        <v/>
      </c>
      <c r="AE19" s="55" t="str">
        <f t="array" ref="AE19">_xlfn.XLOOKUP(B19,'Up Min'!A:A,'Up Min'!H:H,)</f>
        <v/>
      </c>
      <c r="AF19" s="55" t="str">
        <f t="array" ref="AF19">_xlfn.XLOOKUP(B19,'Up Max'!A:A,'Up Max'!H:H,)</f>
        <v/>
      </c>
      <c r="AG19" s="57" t="str">
        <f t="array" ref="AG19">_xlfn.XLOOKUP(B19,'Up Stats'!A:A,'Up Stats'!I:I,)</f>
        <v/>
      </c>
      <c r="AH19" s="54" t="str">
        <f>IFERROR(__xludf.DUMMYFUNCTION("if(AND(AI19=FALSE,AJ19=FALSE),,if(AI19=AJ19,JOIN("""",""Static: "",AI19),JOIN("""",""Min:  "",AI19, CHAR(10),""Max: "",AJ19)))"),"")</f>
        <v/>
      </c>
      <c r="AI19" s="55" t="str">
        <f t="array" ref="AI19">_xlfn.XLOOKUP(B19,'Up Min'!A:A,'Up Min'!I:I,)</f>
        <v/>
      </c>
      <c r="AJ19" s="55" t="str">
        <f t="array" ref="AJ19">_xlfn.XLOOKUP(B19,'Up Max'!A:A,'Up Max'!I:I,)</f>
        <v/>
      </c>
      <c r="AK19" s="57" t="str">
        <f t="array" ref="AK19">_xlfn.XLOOKUP(B19,'Up Stats'!A:A,'Up Stats'!J:J,)</f>
        <v/>
      </c>
      <c r="AL19" s="54" t="str">
        <f>IFERROR(__xludf.DUMMYFUNCTION("if(AND(AM19=FALSE,AN19=FALSE),,if(AM19=AN19,JOIN("""",""Static: "",AM19),JOIN("""",""Min:  "",AM19, CHAR(10),""Max: "",AN19)))"),"")</f>
        <v/>
      </c>
      <c r="AM19" s="55" t="str">
        <f t="array" ref="AM19">_xlfn.XLOOKUP(B19,'Up Min'!A:A,'Up Min'!J:J,)</f>
        <v/>
      </c>
      <c r="AN19" s="55" t="str">
        <f t="array" ref="AN19">_xlfn.XLOOKUP(B19,'Up Max'!A:A,'Up Max'!J:J,)</f>
        <v/>
      </c>
      <c r="AO19" s="51" t="str">
        <f t="array" ref="AO19">CONCATENATE(_xlfn.XLOOKUP(B19,'Up Cells'!A:A,'Up Cells'!B:B,))</f>
        <v>4</v>
      </c>
      <c r="AP19" s="51" t="str">
        <f t="array" ref="AP19">CONCATENATE(_xlfn.XLOOKUP(B19,'Up Rarity'!A:A,'Up Rarity'!B:B,),CHAR(10),"-")</f>
        <v>Epic
-</v>
      </c>
    </row>
    <row r="20">
      <c r="A20" s="75" t="str">
        <f t="array" ref="A20">_xlfn.XLOOKUP(B20,'Up Icon'!A:A,'Up Icon'!B:B,)</f>
        <v/>
      </c>
      <c r="B20" s="89" t="str">
        <f t="array" ref="B20">HYPERLINK(_xlfn.XLOOKUP('Up Names'!P13,'Up Wiki'!A:A,'Up Wiki'!B:B,),'Up Names'!P13)</f>
        <v>Scrap Repurposing</v>
      </c>
      <c r="C20" s="37" t="str">
        <f t="array" ref="C20">_xlfn.XLOOKUP(B20,'Up Desc'!A:A,'Up Desc'!B:B,)</f>
        <v>Killing any target with a melee attack partially reloads your equipped weapon.</v>
      </c>
      <c r="D20" s="37" t="str">
        <f t="array" ref="D20">_xlfn.XLOOKUP(B20,'Up Turbo'!A:A,'Up Turbo'!B:B,)</f>
        <v>n/a</v>
      </c>
      <c r="E20" s="39" t="str">
        <f t="array" ref="E20">_xlfn.XLOOKUP(B20,'Up Stats'!A:A,'Up Stats'!B:B,)</f>
        <v>Ammo Efficiency</v>
      </c>
      <c r="F20" s="40" t="str">
        <f>IFERROR(__xludf.DUMMYFUNCTION("if(AND(G20=FALSE,H20=FALSE),,if(G20=H20,JOIN("""",""Static: "",G20),JOIN("""",""Min:  "",G20, CHAR(10),""Max: "",H20)))"),"Min:  1
Max: 1.3")</f>
        <v>Min:  1
Max: 1.3</v>
      </c>
      <c r="G20" s="69">
        <f t="array" ref="G20">_xlfn.XLOOKUP(B20,'Up Min'!A:A,'Up Min'!B:B,)</f>
        <v>1</v>
      </c>
      <c r="H20" s="68">
        <f t="array" ref="H20">_xlfn.XLOOKUP(B20,'Up Max'!A:A,'Up Max'!B:B,)</f>
        <v>1.3</v>
      </c>
      <c r="I20" s="39" t="str">
        <f t="array" ref="I20">_xlfn.XLOOKUP(B20,'Up Stats'!A:A,'Up Stats'!C:C,)</f>
        <v/>
      </c>
      <c r="J20" s="40" t="str">
        <f>IFERROR(__xludf.DUMMYFUNCTION("if(AND(K20=FALSE,L20=FALSE),,if(K20=L20,JOIN("""",""Static: "",K20),JOIN("""",""Min:  "",K20, CHAR(10),""Max: "",L20)))"),"")</f>
        <v/>
      </c>
      <c r="K20" s="74" t="str">
        <f t="array" ref="K20">_xlfn.XLOOKUP(B20,'Up Min'!A:A,'Up Min'!C:C,)</f>
        <v/>
      </c>
      <c r="L20" s="74" t="str">
        <f t="array" ref="L20">_xlfn.XLOOKUP(B20,'Up Max'!A:A,'Up Max'!C:C,)</f>
        <v/>
      </c>
      <c r="M20" s="48" t="str">
        <f t="array" ref="M20">_xlfn.XLOOKUP(B20,'Up Stats'!A:A,'Up Stats'!D:D,)</f>
        <v/>
      </c>
      <c r="N20" s="40" t="str">
        <f>IFERROR(__xludf.DUMMYFUNCTION("if(AND(O20=FALSE,P20=FALSE),,if(O20=P20,JOIN("""",""Static: "",O20),JOIN("""",""Min:  "",O20, CHAR(10),""Max: "",P20)))"),"")</f>
        <v/>
      </c>
      <c r="O20" s="42" t="str">
        <f t="array" ref="O20">_xlfn.XLOOKUP(B20,'Up Min'!A:A,'Up Min'!D:D,)</f>
        <v/>
      </c>
      <c r="P20" s="42" t="str">
        <f t="array" ref="P20">_xlfn.XLOOKUP(B20,'Up Max'!A:A,'Up Max'!D:D,)</f>
        <v/>
      </c>
      <c r="Q20" s="48" t="str">
        <f t="array" ref="Q20">_xlfn.XLOOKUP(B20,'Up Stats'!A:A,'Up Stats'!E:E,)</f>
        <v/>
      </c>
      <c r="R20" s="40" t="str">
        <f>IFERROR(__xludf.DUMMYFUNCTION("if(AND(S20=FALSE,T20=FALSE),,if(S20=T20,JOIN("""",""Static: "",S20),JOIN("""",""Min:  "",S20, CHAR(10),""Max: "",T20)))"),"")</f>
        <v/>
      </c>
      <c r="S20" s="42" t="str">
        <f t="array" ref="S20">_xlfn.XLOOKUP(B20,'Up Min'!A:A,'Up Min'!E:E,)</f>
        <v/>
      </c>
      <c r="T20" s="42" t="str">
        <f t="array" ref="T20">_xlfn.XLOOKUP(B20,'Up Max'!A:A,'Up Max'!E:E,)</f>
        <v/>
      </c>
      <c r="U20" s="48" t="str">
        <f t="array" ref="U20">_xlfn.XLOOKUP(B20,'Up Stats'!A:A,'Up Stats'!F:F,)</f>
        <v/>
      </c>
      <c r="V20" s="40" t="str">
        <f>IFERROR(__xludf.DUMMYFUNCTION("if(AND(W20=FALSE,X20=FALSE),,if(W20=X20,JOIN("""",""Static: "",W20),JOIN("""",""Min:  "",W20, CHAR(10),""Max: "",X20)))"),"")</f>
        <v/>
      </c>
      <c r="W20" s="42" t="str">
        <f t="array" ref="W20">_xlfn.XLOOKUP(B20,'Up Min'!A:A,'Up Min'!F:F,)</f>
        <v/>
      </c>
      <c r="X20" s="42" t="str">
        <f t="array" ref="X20">_xlfn.XLOOKUP(B20,'Up Max'!A:A,'Up Max'!F:F,)</f>
        <v/>
      </c>
      <c r="Y20" s="48" t="str">
        <f t="array" ref="Y20">_xlfn.XLOOKUP(B20,'Up Stats'!A:A,'Up Stats'!G:G,)</f>
        <v/>
      </c>
      <c r="Z20" s="40" t="str">
        <f>IFERROR(__xludf.DUMMYFUNCTION("if(AND(AA20=FALSE,AB20=FALSE),,if(AA20=AB20,JOIN("""",""Static: "",AA20),JOIN("""",""Min:  "",AA20, CHAR(10),""Max: "",AB20)))"),"")</f>
        <v/>
      </c>
      <c r="AA20" s="42" t="str">
        <f t="array" ref="AA20">_xlfn.XLOOKUP(B20,'Up Min'!A:A,'Up Min'!G:G,)</f>
        <v/>
      </c>
      <c r="AB20" s="42" t="str">
        <f t="array" ref="AB20">_xlfn.XLOOKUP(B20,'Up Max'!A:A,'Up Max'!G:G,)</f>
        <v/>
      </c>
      <c r="AC20" s="48" t="str">
        <f t="array" ref="AC20">_xlfn.XLOOKUP(B20,'Up Stats'!A:A,'Up Stats'!H:H,)</f>
        <v/>
      </c>
      <c r="AD20" s="40" t="str">
        <f>IFERROR(__xludf.DUMMYFUNCTION("if(AND(AE20=FALSE,AF20=FALSE),,if(AE20=AF20,JOIN("""",""Static: "",AE20),JOIN("""",""Min:  "",AE20, CHAR(10),""Max: "",AF20)))"),"")</f>
        <v/>
      </c>
      <c r="AE20" s="42" t="str">
        <f t="array" ref="AE20">_xlfn.XLOOKUP(B20,'Up Min'!A:A,'Up Min'!H:H,)</f>
        <v/>
      </c>
      <c r="AF20" s="42" t="str">
        <f t="array" ref="AF20">_xlfn.XLOOKUP(B20,'Up Max'!A:A,'Up Max'!H:H,)</f>
        <v/>
      </c>
      <c r="AG20" s="48" t="str">
        <f t="array" ref="AG20">_xlfn.XLOOKUP(B20,'Up Stats'!A:A,'Up Stats'!I:I,)</f>
        <v/>
      </c>
      <c r="AH20" s="40" t="str">
        <f>IFERROR(__xludf.DUMMYFUNCTION("if(AND(AI20=FALSE,AJ20=FALSE),,if(AI20=AJ20,JOIN("""",""Static: "",AI20),JOIN("""",""Min:  "",AI20, CHAR(10),""Max: "",AJ20)))"),"")</f>
        <v/>
      </c>
      <c r="AI20" s="42" t="str">
        <f t="array" ref="AI20">_xlfn.XLOOKUP(B20,'Up Min'!A:A,'Up Min'!I:I,)</f>
        <v/>
      </c>
      <c r="AJ20" s="42" t="str">
        <f t="array" ref="AJ20">_xlfn.XLOOKUP(B20,'Up Max'!A:A,'Up Max'!I:I,)</f>
        <v/>
      </c>
      <c r="AK20" s="48" t="str">
        <f t="array" ref="AK20">_xlfn.XLOOKUP(B20,'Up Stats'!A:A,'Up Stats'!J:J,)</f>
        <v/>
      </c>
      <c r="AL20" s="40" t="str">
        <f>IFERROR(__xludf.DUMMYFUNCTION("if(AND(AM20=FALSE,AN20=FALSE),,if(AM20=AN20,JOIN("""",""Static: "",AM20),JOIN("""",""Min:  "",AM20, CHAR(10),""Max: "",AN20)))"),"")</f>
        <v/>
      </c>
      <c r="AM20" s="42" t="str">
        <f t="array" ref="AM20">_xlfn.XLOOKUP(B20,'Up Min'!A:A,'Up Min'!J:J,)</f>
        <v/>
      </c>
      <c r="AN20" s="42" t="str">
        <f t="array" ref="AN20">_xlfn.XLOOKUP(B20,'Up Max'!A:A,'Up Max'!J:J,)</f>
        <v/>
      </c>
      <c r="AO20" s="34" t="str">
        <f t="array" ref="AO20">CONCATENATE(_xlfn.XLOOKUP(B20,'Up Cells'!A:A,'Up Cells'!B:B,))</f>
        <v>5</v>
      </c>
      <c r="AP20" s="34" t="str">
        <f t="array" ref="AP20">CONCATENATE(_xlfn.XLOOKUP(B20,'Up Rarity'!A:A,'Up Rarity'!B:B,),CHAR(10),"-")</f>
        <v>Epic
-</v>
      </c>
    </row>
    <row r="21">
      <c r="A21" s="75" t="str">
        <f t="array" ref="A21">_xlfn.XLOOKUP(B21,'Up Icon'!A:A,'Up Icon'!B:B,)</f>
        <v/>
      </c>
      <c r="B21" s="88" t="str">
        <f t="array" ref="B21">HYPERLINK(_xlfn.XLOOKUP('Up Names'!P14,'Up Wiki'!A:A,'Up Wiki'!B:B,),'Up Names'!P14)</f>
        <v>Slide Deflector</v>
      </c>
      <c r="C21" s="52" t="str">
        <f t="array" ref="C21">_xlfn.XLOOKUP(B21,'Up Desc'!A:A,'Up Desc'!B:B,)</f>
        <v>Take less damage while sliding.</v>
      </c>
      <c r="D21" s="52" t="str">
        <f t="array" ref="D21">_xlfn.XLOOKUP(B21,'Up Turbo'!A:A,'Up Turbo'!B:B,)</f>
        <v>n/a</v>
      </c>
      <c r="E21" s="53" t="str">
        <f t="array" ref="E21">_xlfn.XLOOKUP(B21,'Up Stats'!A:A,'Up Stats'!B:B,)</f>
        <v>Damage Taken</v>
      </c>
      <c r="F21" s="54" t="str">
        <f>IFERROR(__xludf.DUMMYFUNCTION("if(AND(G21=FALSE,H21=FALSE),,if(G21=H21,JOIN("""",""Static: "",G21),JOIN("""",""Min:  "",G21, CHAR(10),""Max: "",H21)))"),"Static: -30%")</f>
        <v>Static: -30%</v>
      </c>
      <c r="G21" s="59">
        <f t="array" ref="G21">_xlfn.XLOOKUP(B21,'Up Min'!A:A,'Up Min'!B:B,)</f>
        <v>-0.3</v>
      </c>
      <c r="H21" s="59">
        <f t="array" ref="H21">_xlfn.XLOOKUP(B21,'Up Max'!A:A,'Up Max'!B:B,)</f>
        <v>-0.3</v>
      </c>
      <c r="I21" s="53" t="str">
        <f t="array" ref="I21">_xlfn.XLOOKUP(B21,'Up Stats'!A:A,'Up Stats'!C:C,)</f>
        <v/>
      </c>
      <c r="J21" s="54" t="str">
        <f>IFERROR(__xludf.DUMMYFUNCTION("if(AND(K21=FALSE,L21=FALSE),,if(K21=L21,JOIN("""",""Static: "",K21),JOIN("""",""Min:  "",K21, CHAR(10),""Max: "",L21)))"),"")</f>
        <v/>
      </c>
      <c r="K21" s="72" t="str">
        <f t="array" ref="K21">_xlfn.XLOOKUP(B21,'Up Min'!A:A,'Up Min'!C:C,)</f>
        <v/>
      </c>
      <c r="L21" s="72" t="str">
        <f t="array" ref="L21">_xlfn.XLOOKUP(B21,'Up Max'!A:A,'Up Max'!C:C,)</f>
        <v/>
      </c>
      <c r="M21" s="57" t="str">
        <f t="array" ref="M21">_xlfn.XLOOKUP(B21,'Up Stats'!A:A,'Up Stats'!D:D,)</f>
        <v/>
      </c>
      <c r="N21" s="54" t="str">
        <f>IFERROR(__xludf.DUMMYFUNCTION("if(AND(O21=FALSE,P21=FALSE),,if(O21=P21,JOIN("""",""Static: "",O21),JOIN("""",""Min:  "",O21, CHAR(10),""Max: "",P21)))"),"")</f>
        <v/>
      </c>
      <c r="O21" s="55" t="str">
        <f t="array" ref="O21">_xlfn.XLOOKUP(B21,'Up Min'!A:A,'Up Min'!D:D,)</f>
        <v/>
      </c>
      <c r="P21" s="55" t="str">
        <f t="array" ref="P21">_xlfn.XLOOKUP(B21,'Up Max'!A:A,'Up Max'!D:D,)</f>
        <v/>
      </c>
      <c r="Q21" s="57" t="str">
        <f t="array" ref="Q21">_xlfn.XLOOKUP(B21,'Up Stats'!A:A,'Up Stats'!E:E,)</f>
        <v/>
      </c>
      <c r="R21" s="54" t="str">
        <f>IFERROR(__xludf.DUMMYFUNCTION("if(AND(S21=FALSE,T21=FALSE),,if(S21=T21,JOIN("""",""Static: "",S21),JOIN("""",""Min:  "",S21, CHAR(10),""Max: "",T21)))"),"")</f>
        <v/>
      </c>
      <c r="S21" s="55" t="str">
        <f t="array" ref="S21">_xlfn.XLOOKUP(B21,'Up Min'!A:A,'Up Min'!E:E,)</f>
        <v/>
      </c>
      <c r="T21" s="55" t="str">
        <f t="array" ref="T21">_xlfn.XLOOKUP(B21,'Up Max'!A:A,'Up Max'!E:E,)</f>
        <v/>
      </c>
      <c r="U21" s="57" t="str">
        <f t="array" ref="U21">_xlfn.XLOOKUP(B21,'Up Stats'!A:A,'Up Stats'!F:F,)</f>
        <v/>
      </c>
      <c r="V21" s="54" t="str">
        <f>IFERROR(__xludf.DUMMYFUNCTION("if(AND(W21=FALSE,X21=FALSE),,if(W21=X21,JOIN("""",""Static: "",W21),JOIN("""",""Min:  "",W21, CHAR(10),""Max: "",X21)))"),"")</f>
        <v/>
      </c>
      <c r="W21" s="55" t="str">
        <f t="array" ref="W21">_xlfn.XLOOKUP(B21,'Up Min'!A:A,'Up Min'!F:F,)</f>
        <v/>
      </c>
      <c r="X21" s="55" t="str">
        <f t="array" ref="X21">_xlfn.XLOOKUP(B21,'Up Max'!A:A,'Up Max'!F:F,)</f>
        <v/>
      </c>
      <c r="Y21" s="57" t="str">
        <f t="array" ref="Y21">_xlfn.XLOOKUP(B21,'Up Stats'!A:A,'Up Stats'!G:G,)</f>
        <v/>
      </c>
      <c r="Z21" s="54" t="str">
        <f>IFERROR(__xludf.DUMMYFUNCTION("if(AND(AA21=FALSE,AB21=FALSE),,if(AA21=AB21,JOIN("""",""Static: "",AA21),JOIN("""",""Min:  "",AA21, CHAR(10),""Max: "",AB21)))"),"")</f>
        <v/>
      </c>
      <c r="AA21" s="55" t="str">
        <f t="array" ref="AA21">_xlfn.XLOOKUP(B21,'Up Min'!A:A,'Up Min'!G:G,)</f>
        <v/>
      </c>
      <c r="AB21" s="55" t="str">
        <f t="array" ref="AB21">_xlfn.XLOOKUP(B21,'Up Max'!A:A,'Up Max'!G:G,)</f>
        <v/>
      </c>
      <c r="AC21" s="57" t="str">
        <f t="array" ref="AC21">_xlfn.XLOOKUP(B21,'Up Stats'!A:A,'Up Stats'!H:H,)</f>
        <v/>
      </c>
      <c r="AD21" s="54" t="str">
        <f>IFERROR(__xludf.DUMMYFUNCTION("if(AND(AE21=FALSE,AF21=FALSE),,if(AE21=AF21,JOIN("""",""Static: "",AE21),JOIN("""",""Min:  "",AE21, CHAR(10),""Max: "",AF21)))"),"")</f>
        <v/>
      </c>
      <c r="AE21" s="55" t="str">
        <f t="array" ref="AE21">_xlfn.XLOOKUP(B21,'Up Min'!A:A,'Up Min'!H:H,)</f>
        <v/>
      </c>
      <c r="AF21" s="55" t="str">
        <f t="array" ref="AF21">_xlfn.XLOOKUP(B21,'Up Max'!A:A,'Up Max'!H:H,)</f>
        <v/>
      </c>
      <c r="AG21" s="57" t="str">
        <f t="array" ref="AG21">_xlfn.XLOOKUP(B21,'Up Stats'!A:A,'Up Stats'!I:I,)</f>
        <v/>
      </c>
      <c r="AH21" s="54" t="str">
        <f>IFERROR(__xludf.DUMMYFUNCTION("if(AND(AI21=FALSE,AJ21=FALSE),,if(AI21=AJ21,JOIN("""",""Static: "",AI21),JOIN("""",""Min:  "",AI21, CHAR(10),""Max: "",AJ21)))"),"")</f>
        <v/>
      </c>
      <c r="AI21" s="55" t="str">
        <f t="array" ref="AI21">_xlfn.XLOOKUP(B21,'Up Min'!A:A,'Up Min'!I:I,)</f>
        <v/>
      </c>
      <c r="AJ21" s="55" t="str">
        <f t="array" ref="AJ21">_xlfn.XLOOKUP(B21,'Up Max'!A:A,'Up Max'!I:I,)</f>
        <v/>
      </c>
      <c r="AK21" s="57" t="str">
        <f t="array" ref="AK21">_xlfn.XLOOKUP(B21,'Up Stats'!A:A,'Up Stats'!J:J,)</f>
        <v/>
      </c>
      <c r="AL21" s="54" t="str">
        <f>IFERROR(__xludf.DUMMYFUNCTION("if(AND(AM21=FALSE,AN21=FALSE),,if(AM21=AN21,JOIN("""",""Static: "",AM21),JOIN("""",""Min:  "",AM21, CHAR(10),""Max: "",AN21)))"),"")</f>
        <v/>
      </c>
      <c r="AM21" s="55" t="str">
        <f t="array" ref="AM21">_xlfn.XLOOKUP(B21,'Up Min'!A:A,'Up Min'!J:J,)</f>
        <v/>
      </c>
      <c r="AN21" s="55" t="str">
        <f t="array" ref="AN21">_xlfn.XLOOKUP(B21,'Up Max'!A:A,'Up Max'!J:J,)</f>
        <v/>
      </c>
      <c r="AO21" s="51" t="str">
        <f t="array" ref="AO21">CONCATENATE(_xlfn.XLOOKUP(B21,'Up Cells'!A:A,'Up Cells'!B:B,))</f>
        <v>5</v>
      </c>
      <c r="AP21" s="51" t="str">
        <f t="array" ref="AP21">CONCATENATE(_xlfn.XLOOKUP(B21,'Up Rarity'!A:A,'Up Rarity'!B:B,),CHAR(10),"-")</f>
        <v>Epic
-</v>
      </c>
    </row>
    <row r="22">
      <c r="A22" s="75" t="str">
        <f t="array" ref="A22">_xlfn.XLOOKUP(B22,'Up Icon'!A:A,'Up Icon'!B:B,)</f>
        <v/>
      </c>
      <c r="B22" s="89" t="str">
        <f t="array" ref="B22">HYPERLINK(_xlfn.XLOOKUP('Up Names'!P15,'Up Wiki'!A:A,'Up Wiki'!B:B,),'Up Names'!P15)</f>
        <v>Software Assisted Slide</v>
      </c>
      <c r="C22" s="67" t="str">
        <f t="array" ref="C22">_xlfn.XLOOKUP(B22,'Up Desc'!A:A,'Up Desc'!B:B,)</f>
        <v>Slide duration is increased.</v>
      </c>
      <c r="D22" s="37" t="str">
        <f t="array" ref="D22">_xlfn.XLOOKUP(B22,'Up Turbo'!A:A,'Up Turbo'!B:B,)</f>
        <v>n/a</v>
      </c>
      <c r="E22" s="39" t="str">
        <f t="array" ref="E22">_xlfn.XLOOKUP(B22,'Up Stats'!A:A,'Up Stats'!B:B,)</f>
        <v>Duration</v>
      </c>
      <c r="F22" s="40" t="str">
        <f>IFERROR(__xludf.DUMMYFUNCTION("if(AND(G22=FALSE,H22=FALSE),,if(G22=H22,JOIN("""",""Static: "",G22),JOIN("""",""Min:  "",G22, CHAR(10),""Max: "",H22)))"),"Min:  2.5
Max: 3.5")</f>
        <v>Min:  2.5
Max: 3.5</v>
      </c>
      <c r="G22" s="69">
        <f t="array" ref="G22">_xlfn.XLOOKUP(B22,'Up Min'!A:A,'Up Min'!B:B,)</f>
        <v>2.5</v>
      </c>
      <c r="H22" s="68">
        <f t="array" ref="H22">_xlfn.XLOOKUP(B22,'Up Max'!A:A,'Up Max'!B:B,)</f>
        <v>3.5</v>
      </c>
      <c r="I22" s="39" t="str">
        <f t="array" ref="I22">_xlfn.XLOOKUP(B22,'Up Stats'!A:A,'Up Stats'!C:C,)</f>
        <v/>
      </c>
      <c r="J22" s="40" t="str">
        <f>IFERROR(__xludf.DUMMYFUNCTION("if(AND(K22=FALSE,L22=FALSE),,if(K22=L22,JOIN("""",""Static: "",K22),JOIN("""",""Min:  "",K22, CHAR(10),""Max: "",L22)))"),"")</f>
        <v/>
      </c>
      <c r="K22" s="74" t="str">
        <f t="array" ref="K22">_xlfn.XLOOKUP(B22,'Up Min'!A:A,'Up Min'!C:C,)</f>
        <v/>
      </c>
      <c r="L22" s="74" t="str">
        <f t="array" ref="L22">_xlfn.XLOOKUP(B22,'Up Max'!A:A,'Up Max'!C:C,)</f>
        <v/>
      </c>
      <c r="M22" s="48" t="str">
        <f t="array" ref="M22">_xlfn.XLOOKUP(B22,'Up Stats'!A:A,'Up Stats'!D:D,)</f>
        <v/>
      </c>
      <c r="N22" s="40" t="str">
        <f>IFERROR(__xludf.DUMMYFUNCTION("if(AND(O22=FALSE,P22=FALSE),,if(O22=P22,JOIN("""",""Static: "",O22),JOIN("""",""Min:  "",O22, CHAR(10),""Max: "",P22)))"),"")</f>
        <v/>
      </c>
      <c r="O22" s="42" t="str">
        <f t="array" ref="O22">_xlfn.XLOOKUP(B22,'Up Min'!A:A,'Up Min'!D:D,)</f>
        <v/>
      </c>
      <c r="P22" s="42" t="str">
        <f t="array" ref="P22">_xlfn.XLOOKUP(B22,'Up Max'!A:A,'Up Max'!D:D,)</f>
        <v/>
      </c>
      <c r="Q22" s="48" t="str">
        <f t="array" ref="Q22">_xlfn.XLOOKUP(B22,'Up Stats'!A:A,'Up Stats'!E:E,)</f>
        <v/>
      </c>
      <c r="R22" s="40" t="str">
        <f>IFERROR(__xludf.DUMMYFUNCTION("if(AND(S22=FALSE,T22=FALSE),,if(S22=T22,JOIN("""",""Static: "",S22),JOIN("""",""Min:  "",S22, CHAR(10),""Max: "",T22)))"),"")</f>
        <v/>
      </c>
      <c r="S22" s="42" t="str">
        <f t="array" ref="S22">_xlfn.XLOOKUP(B22,'Up Min'!A:A,'Up Min'!E:E,)</f>
        <v/>
      </c>
      <c r="T22" s="42" t="str">
        <f t="array" ref="T22">_xlfn.XLOOKUP(B22,'Up Max'!A:A,'Up Max'!E:E,)</f>
        <v/>
      </c>
      <c r="U22" s="48" t="str">
        <f t="array" ref="U22">_xlfn.XLOOKUP(B22,'Up Stats'!A:A,'Up Stats'!F:F,)</f>
        <v/>
      </c>
      <c r="V22" s="40" t="str">
        <f>IFERROR(__xludf.DUMMYFUNCTION("if(AND(W22=FALSE,X22=FALSE),,if(W22=X22,JOIN("""",""Static: "",W22),JOIN("""",""Min:  "",W22, CHAR(10),""Max: "",X22)))"),"")</f>
        <v/>
      </c>
      <c r="W22" s="42" t="str">
        <f t="array" ref="W22">_xlfn.XLOOKUP(B22,'Up Min'!A:A,'Up Min'!F:F,)</f>
        <v/>
      </c>
      <c r="X22" s="42" t="str">
        <f t="array" ref="X22">_xlfn.XLOOKUP(B22,'Up Max'!A:A,'Up Max'!F:F,)</f>
        <v/>
      </c>
      <c r="Y22" s="48" t="str">
        <f t="array" ref="Y22">_xlfn.XLOOKUP(B22,'Up Stats'!A:A,'Up Stats'!G:G,)</f>
        <v/>
      </c>
      <c r="Z22" s="40" t="str">
        <f>IFERROR(__xludf.DUMMYFUNCTION("if(AND(AA22=FALSE,AB22=FALSE),,if(AA22=AB22,JOIN("""",""Static: "",AA22),JOIN("""",""Min:  "",AA22, CHAR(10),""Max: "",AB22)))"),"")</f>
        <v/>
      </c>
      <c r="AA22" s="42" t="str">
        <f t="array" ref="AA22">_xlfn.XLOOKUP(B22,'Up Min'!A:A,'Up Min'!G:G,)</f>
        <v/>
      </c>
      <c r="AB22" s="42" t="str">
        <f t="array" ref="AB22">_xlfn.XLOOKUP(B22,'Up Max'!A:A,'Up Max'!G:G,)</f>
        <v/>
      </c>
      <c r="AC22" s="48" t="str">
        <f t="array" ref="AC22">_xlfn.XLOOKUP(B22,'Up Stats'!A:A,'Up Stats'!H:H,)</f>
        <v/>
      </c>
      <c r="AD22" s="40" t="str">
        <f>IFERROR(__xludf.DUMMYFUNCTION("if(AND(AE22=FALSE,AF22=FALSE),,if(AE22=AF22,JOIN("""",""Static: "",AE22),JOIN("""",""Min:  "",AE22, CHAR(10),""Max: "",AF22)))"),"")</f>
        <v/>
      </c>
      <c r="AE22" s="42" t="str">
        <f t="array" ref="AE22">_xlfn.XLOOKUP(B22,'Up Min'!A:A,'Up Min'!H:H,)</f>
        <v/>
      </c>
      <c r="AF22" s="42" t="str">
        <f t="array" ref="AF22">_xlfn.XLOOKUP(B22,'Up Max'!A:A,'Up Max'!H:H,)</f>
        <v/>
      </c>
      <c r="AG22" s="48" t="str">
        <f t="array" ref="AG22">_xlfn.XLOOKUP(B22,'Up Stats'!A:A,'Up Stats'!I:I,)</f>
        <v/>
      </c>
      <c r="AH22" s="40" t="str">
        <f>IFERROR(__xludf.DUMMYFUNCTION("if(AND(AI22=FALSE,AJ22=FALSE),,if(AI22=AJ22,JOIN("""",""Static: "",AI22),JOIN("""",""Min:  "",AI22, CHAR(10),""Max: "",AJ22)))"),"")</f>
        <v/>
      </c>
      <c r="AI22" s="42" t="str">
        <f t="array" ref="AI22">_xlfn.XLOOKUP(B22,'Up Min'!A:A,'Up Min'!I:I,)</f>
        <v/>
      </c>
      <c r="AJ22" s="42" t="str">
        <f t="array" ref="AJ22">_xlfn.XLOOKUP(B22,'Up Max'!A:A,'Up Max'!I:I,)</f>
        <v/>
      </c>
      <c r="AK22" s="48" t="str">
        <f t="array" ref="AK22">_xlfn.XLOOKUP(B22,'Up Stats'!A:A,'Up Stats'!J:J,)</f>
        <v/>
      </c>
      <c r="AL22" s="40" t="str">
        <f>IFERROR(__xludf.DUMMYFUNCTION("if(AND(AM22=FALSE,AN22=FALSE),,if(AM22=AN22,JOIN("""",""Static: "",AM22),JOIN("""",""Min:  "",AM22, CHAR(10),""Max: "",AN22)))"),"")</f>
        <v/>
      </c>
      <c r="AM22" s="42" t="str">
        <f t="array" ref="AM22">_xlfn.XLOOKUP(B22,'Up Min'!A:A,'Up Min'!J:J,)</f>
        <v/>
      </c>
      <c r="AN22" s="42" t="str">
        <f t="array" ref="AN22">_xlfn.XLOOKUP(B22,'Up Max'!A:A,'Up Max'!J:J,)</f>
        <v/>
      </c>
      <c r="AO22" s="34" t="str">
        <f t="array" ref="AO22">CONCATENATE(_xlfn.XLOOKUP(B22,'Up Cells'!A:A,'Up Cells'!B:B,))</f>
        <v>4</v>
      </c>
      <c r="AP22" s="34" t="str">
        <f t="array" ref="AP22">CONCATENATE(_xlfn.XLOOKUP(B22,'Up Rarity'!A:A,'Up Rarity'!B:B,),CHAR(10),"-")</f>
        <v>Epic
-</v>
      </c>
    </row>
    <row r="23">
      <c r="A23" s="75" t="str">
        <f t="array" ref="A23">_xlfn.XLOOKUP(B23,'Up Icon'!A:A,'Up Icon'!B:B,)</f>
        <v/>
      </c>
      <c r="B23" s="61" t="str">
        <f t="array" ref="B23">HYPERLINK(_xlfn.XLOOKUP('Up Names'!P32,'Up Wiki'!A:A,'Up Wiki'!B:B,),'Up Names'!P32)</f>
        <v>Structural Survey</v>
      </c>
      <c r="C23" s="52" t="str">
        <f t="array" ref="C23">_xlfn.XLOOKUP(B23,'Up Desc'!A:A,'Up Desc'!B:B,)</f>
        <v>Highlights low-health enemy parts.</v>
      </c>
      <c r="D23" s="52" t="str">
        <f t="array" ref="D23">_xlfn.XLOOKUP(B23,'Up Turbo'!A:A,'Up Turbo'!B:B,)</f>
        <v>n/a</v>
      </c>
      <c r="E23" s="53" t="str">
        <f t="array" ref="E23">_xlfn.XLOOKUP(B23,'Up Stats'!A:A,'Up Stats'!B:B,)</f>
        <v/>
      </c>
      <c r="F23" s="54" t="str">
        <f>IFERROR(__xludf.DUMMYFUNCTION("if(AND(G23=FALSE,H23=FALSE),,if(G23=H23,JOIN("""",""Static: "",G23),JOIN("""",""Min:  "",G23, CHAR(10),""Max: "",H23)))"),"")</f>
        <v/>
      </c>
      <c r="G23" s="55" t="str">
        <f t="array" ref="G23">_xlfn.XLOOKUP(B23,'Up Min'!A:A,'Up Min'!B:B,)</f>
        <v/>
      </c>
      <c r="H23" s="56" t="str">
        <f t="array" ref="H23">_xlfn.XLOOKUP(B23,'Up Max'!A:A,'Up Max'!B:B,)</f>
        <v/>
      </c>
      <c r="I23" s="53" t="str">
        <f t="array" ref="I23">_xlfn.XLOOKUP(B23,'Up Stats'!A:A,'Up Stats'!C:C,)</f>
        <v/>
      </c>
      <c r="J23" s="54" t="str">
        <f>IFERROR(__xludf.DUMMYFUNCTION("if(AND(K23=FALSE,L23=FALSE),,if(K23=L23,JOIN("""",""Static: "",K23),JOIN("""",""Min:  "",K23, CHAR(10),""Max: "",L23)))"),"")</f>
        <v/>
      </c>
      <c r="K23" s="72" t="str">
        <f t="array" ref="K23">_xlfn.XLOOKUP(B23,'Up Min'!A:A,'Up Min'!C:C,)</f>
        <v/>
      </c>
      <c r="L23" s="72" t="str">
        <f t="array" ref="L23">_xlfn.XLOOKUP(B23,'Up Max'!A:A,'Up Max'!C:C,)</f>
        <v/>
      </c>
      <c r="M23" s="57" t="str">
        <f t="array" ref="M23">_xlfn.XLOOKUP(B23,'Up Stats'!A:A,'Up Stats'!D:D,)</f>
        <v/>
      </c>
      <c r="N23" s="54" t="str">
        <f>IFERROR(__xludf.DUMMYFUNCTION("if(AND(O23=FALSE,P23=FALSE),,if(O23=P23,JOIN("""",""Static: "",O23),JOIN("""",""Min:  "",O23, CHAR(10),""Max: "",P23)))"),"")</f>
        <v/>
      </c>
      <c r="O23" s="55" t="str">
        <f t="array" ref="O23">_xlfn.XLOOKUP(B23,'Up Min'!A:A,'Up Min'!D:D,)</f>
        <v/>
      </c>
      <c r="P23" s="55" t="str">
        <f t="array" ref="P23">_xlfn.XLOOKUP(B23,'Up Max'!A:A,'Up Max'!D:D,)</f>
        <v/>
      </c>
      <c r="Q23" s="57" t="str">
        <f t="array" ref="Q23">_xlfn.XLOOKUP(B23,'Up Stats'!A:A,'Up Stats'!E:E,)</f>
        <v/>
      </c>
      <c r="R23" s="54" t="str">
        <f>IFERROR(__xludf.DUMMYFUNCTION("if(AND(S23=FALSE,T23=FALSE),,if(S23=T23,JOIN("""",""Static: "",S23),JOIN("""",""Min:  "",S23, CHAR(10),""Max: "",T23)))"),"")</f>
        <v/>
      </c>
      <c r="S23" s="55" t="str">
        <f t="array" ref="S23">_xlfn.XLOOKUP(B23,'Up Min'!A:A,'Up Min'!E:E,)</f>
        <v/>
      </c>
      <c r="T23" s="55" t="str">
        <f t="array" ref="T23">_xlfn.XLOOKUP(B23,'Up Max'!A:A,'Up Max'!E:E,)</f>
        <v/>
      </c>
      <c r="U23" s="57" t="str">
        <f t="array" ref="U23">_xlfn.XLOOKUP(B23,'Up Stats'!A:A,'Up Stats'!F:F,)</f>
        <v/>
      </c>
      <c r="V23" s="54" t="str">
        <f>IFERROR(__xludf.DUMMYFUNCTION("if(AND(W23=FALSE,X23=FALSE),,if(W23=X23,JOIN("""",""Static: "",W23),JOIN("""",""Min:  "",W23, CHAR(10),""Max: "",X23)))"),"")</f>
        <v/>
      </c>
      <c r="W23" s="55" t="str">
        <f t="array" ref="W23">_xlfn.XLOOKUP(B23,'Up Min'!A:A,'Up Min'!F:F,)</f>
        <v/>
      </c>
      <c r="X23" s="55" t="str">
        <f t="array" ref="X23">_xlfn.XLOOKUP(B23,'Up Max'!A:A,'Up Max'!F:F,)</f>
        <v/>
      </c>
      <c r="Y23" s="57" t="str">
        <f t="array" ref="Y23">_xlfn.XLOOKUP(B23,'Up Stats'!A:A,'Up Stats'!G:G,)</f>
        <v/>
      </c>
      <c r="Z23" s="54" t="str">
        <f>IFERROR(__xludf.DUMMYFUNCTION("if(AND(AA23=FALSE,AB23=FALSE),,if(AA23=AB23,JOIN("""",""Static: "",AA23),JOIN("""",""Min:  "",AA23, CHAR(10),""Max: "",AB23)))"),"")</f>
        <v/>
      </c>
      <c r="AA23" s="55" t="str">
        <f t="array" ref="AA23">_xlfn.XLOOKUP(B23,'Up Min'!A:A,'Up Min'!G:G,)</f>
        <v/>
      </c>
      <c r="AB23" s="55" t="str">
        <f t="array" ref="AB23">_xlfn.XLOOKUP(B23,'Up Max'!A:A,'Up Max'!G:G,)</f>
        <v/>
      </c>
      <c r="AC23" s="57" t="str">
        <f t="array" ref="AC23">_xlfn.XLOOKUP(B23,'Up Stats'!A:A,'Up Stats'!H:H,)</f>
        <v/>
      </c>
      <c r="AD23" s="54" t="str">
        <f>IFERROR(__xludf.DUMMYFUNCTION("if(AND(AE23=FALSE,AF23=FALSE),,if(AE23=AF23,JOIN("""",""Static: "",AE23),JOIN("""",""Min:  "",AE23, CHAR(10),""Max: "",AF23)))"),"")</f>
        <v/>
      </c>
      <c r="AE23" s="55" t="str">
        <f t="array" ref="AE23">_xlfn.XLOOKUP(B23,'Up Min'!A:A,'Up Min'!H:H,)</f>
        <v/>
      </c>
      <c r="AF23" s="55" t="str">
        <f t="array" ref="AF23">_xlfn.XLOOKUP(B23,'Up Max'!A:A,'Up Max'!H:H,)</f>
        <v/>
      </c>
      <c r="AG23" s="57" t="str">
        <f t="array" ref="AG23">_xlfn.XLOOKUP(B23,'Up Stats'!A:A,'Up Stats'!I:I,)</f>
        <v/>
      </c>
      <c r="AH23" s="54" t="str">
        <f>IFERROR(__xludf.DUMMYFUNCTION("if(AND(AI23=FALSE,AJ23=FALSE),,if(AI23=AJ23,JOIN("""",""Static: "",AI23),JOIN("""",""Min:  "",AI23, CHAR(10),""Max: "",AJ23)))"),"")</f>
        <v/>
      </c>
      <c r="AI23" s="55" t="str">
        <f t="array" ref="AI23">_xlfn.XLOOKUP(B23,'Up Min'!A:A,'Up Min'!I:I,)</f>
        <v/>
      </c>
      <c r="AJ23" s="55" t="str">
        <f t="array" ref="AJ23">_xlfn.XLOOKUP(B23,'Up Max'!A:A,'Up Max'!I:I,)</f>
        <v/>
      </c>
      <c r="AK23" s="57" t="str">
        <f t="array" ref="AK23">_xlfn.XLOOKUP(B23,'Up Stats'!A:A,'Up Stats'!J:J,)</f>
        <v/>
      </c>
      <c r="AL23" s="54" t="str">
        <f>IFERROR(__xludf.DUMMYFUNCTION("if(AND(AM23=FALSE,AN23=FALSE),,if(AM23=AN23,JOIN("""",""Static: "",AM23),JOIN("""",""Min:  "",AM23, CHAR(10),""Max: "",AN23)))"),"")</f>
        <v/>
      </c>
      <c r="AM23" s="55" t="str">
        <f t="array" ref="AM23">_xlfn.XLOOKUP(B23,'Up Min'!A:A,'Up Min'!J:J,)</f>
        <v/>
      </c>
      <c r="AN23" s="55" t="str">
        <f t="array" ref="AN23">_xlfn.XLOOKUP(B23,'Up Max'!A:A,'Up Max'!J:J,)</f>
        <v/>
      </c>
      <c r="AO23" s="51" t="str">
        <f t="array" ref="AO23">CONCATENATE(_xlfn.XLOOKUP(B23,'Up Cells'!A:A,'Up Cells'!B:B,))</f>
        <v>3</v>
      </c>
      <c r="AP23" s="51" t="str">
        <f t="array" ref="AP23">CONCATENATE(_xlfn.XLOOKUP(B23,'Up Rarity'!A:A,'Up Rarity'!B:B,),CHAR(10),"-")</f>
        <v>Epic
-</v>
      </c>
    </row>
    <row r="24">
      <c r="A24" s="75" t="str">
        <f t="array" ref="A24">_xlfn.XLOOKUP(B24,'Up Icon'!A:A,'Up Icon'!B:B,)</f>
        <v/>
      </c>
      <c r="B24" s="89" t="str">
        <f t="array" ref="B24">HYPERLINK(_xlfn.XLOOKUP('Up Names'!P16,'Up Wiki'!A:A,'Up Wiki'!B:B,),'Up Names'!P16)</f>
        <v>Third Arm</v>
      </c>
      <c r="C24" s="67" t="str">
        <f t="array" ref="C24">_xlfn.XLOOKUP(B24,'Up Desc'!A:A,'Up Desc'!B:B,)</f>
        <v>Your stowed weapons are automatically reloaded after a short time.</v>
      </c>
      <c r="D24" s="37" t="str">
        <f t="array" ref="D24">_xlfn.XLOOKUP(B24,'Up Turbo'!A:A,'Up Turbo'!B:B,)</f>
        <v>n/a</v>
      </c>
      <c r="E24" s="39" t="str">
        <f t="array" ref="E24">_xlfn.XLOOKUP(B24,'Up Stats'!A:A,'Up Stats'!B:B,)</f>
        <v>Speed</v>
      </c>
      <c r="F24" s="40" t="str">
        <f>IFERROR(__xludf.DUMMYFUNCTION("if(AND(G24=FALSE,H24=FALSE),,if(G24=H24,JOIN("""",""Static: "",G24),JOIN("""",""Min:  "",G24, CHAR(10),""Max: "",H24)))"),"Min:  31.30%
Max: 23.30%")</f>
        <v>Min:  31.30%
Max: 23.30%</v>
      </c>
      <c r="G24" s="78">
        <f t="array" ref="G24">_xlfn.XLOOKUP(B24,'Up Min'!A:A,'Up Min'!B:B,)</f>
        <v>0.313</v>
      </c>
      <c r="H24" s="78">
        <f t="array" ref="H24">_xlfn.XLOOKUP(B24,'Up Max'!A:A,'Up Max'!B:B,)</f>
        <v>0.233</v>
      </c>
      <c r="I24" s="39" t="str">
        <f t="array" ref="I24">_xlfn.XLOOKUP(B24,'Up Stats'!A:A,'Up Stats'!C:C,)</f>
        <v/>
      </c>
      <c r="J24" s="40" t="str">
        <f>IFERROR(__xludf.DUMMYFUNCTION("if(AND(K24=FALSE,L24=FALSE),,if(K24=L24,JOIN("""",""Static: "",K24),JOIN("""",""Min:  "",K24, CHAR(10),""Max: "",L24)))"),"")</f>
        <v/>
      </c>
      <c r="K24" s="74" t="str">
        <f t="array" ref="K24">_xlfn.XLOOKUP(B24,'Up Min'!A:A,'Up Min'!C:C,)</f>
        <v/>
      </c>
      <c r="L24" s="74" t="str">
        <f t="array" ref="L24">_xlfn.XLOOKUP(B24,'Up Max'!A:A,'Up Max'!C:C,)</f>
        <v/>
      </c>
      <c r="M24" s="48" t="str">
        <f t="array" ref="M24">_xlfn.XLOOKUP(B24,'Up Stats'!A:A,'Up Stats'!D:D,)</f>
        <v/>
      </c>
      <c r="N24" s="40" t="str">
        <f>IFERROR(__xludf.DUMMYFUNCTION("if(AND(O24=FALSE,P24=FALSE),,if(O24=P24,JOIN("""",""Static: "",O24),JOIN("""",""Min:  "",O24, CHAR(10),""Max: "",P24)))"),"")</f>
        <v/>
      </c>
      <c r="O24" s="42" t="str">
        <f t="array" ref="O24">_xlfn.XLOOKUP(B24,'Up Min'!A:A,'Up Min'!D:D,)</f>
        <v/>
      </c>
      <c r="P24" s="42" t="str">
        <f t="array" ref="P24">_xlfn.XLOOKUP(B24,'Up Max'!A:A,'Up Max'!D:D,)</f>
        <v/>
      </c>
      <c r="Q24" s="48" t="str">
        <f t="array" ref="Q24">_xlfn.XLOOKUP(B24,'Up Stats'!A:A,'Up Stats'!E:E,)</f>
        <v/>
      </c>
      <c r="R24" s="40" t="str">
        <f>IFERROR(__xludf.DUMMYFUNCTION("if(AND(S24=FALSE,T24=FALSE),,if(S24=T24,JOIN("""",""Static: "",S24),JOIN("""",""Min:  "",S24, CHAR(10),""Max: "",T24)))"),"")</f>
        <v/>
      </c>
      <c r="S24" s="42" t="str">
        <f t="array" ref="S24">_xlfn.XLOOKUP(B24,'Up Min'!A:A,'Up Min'!E:E,)</f>
        <v/>
      </c>
      <c r="T24" s="42" t="str">
        <f t="array" ref="T24">_xlfn.XLOOKUP(B24,'Up Max'!A:A,'Up Max'!E:E,)</f>
        <v/>
      </c>
      <c r="U24" s="48" t="str">
        <f t="array" ref="U24">_xlfn.XLOOKUP(B24,'Up Stats'!A:A,'Up Stats'!F:F,)</f>
        <v/>
      </c>
      <c r="V24" s="40" t="str">
        <f>IFERROR(__xludf.DUMMYFUNCTION("if(AND(W24=FALSE,X24=FALSE),,if(W24=X24,JOIN("""",""Static: "",W24),JOIN("""",""Min:  "",W24, CHAR(10),""Max: "",X24)))"),"")</f>
        <v/>
      </c>
      <c r="W24" s="42" t="str">
        <f t="array" ref="W24">_xlfn.XLOOKUP(B24,'Up Min'!A:A,'Up Min'!F:F,)</f>
        <v/>
      </c>
      <c r="X24" s="42" t="str">
        <f t="array" ref="X24">_xlfn.XLOOKUP(B24,'Up Max'!A:A,'Up Max'!F:F,)</f>
        <v/>
      </c>
      <c r="Y24" s="48" t="str">
        <f t="array" ref="Y24">_xlfn.XLOOKUP(B24,'Up Stats'!A:A,'Up Stats'!G:G,)</f>
        <v/>
      </c>
      <c r="Z24" s="40" t="str">
        <f>IFERROR(__xludf.DUMMYFUNCTION("if(AND(AA24=FALSE,AB24=FALSE),,if(AA24=AB24,JOIN("""",""Static: "",AA24),JOIN("""",""Min:  "",AA24, CHAR(10),""Max: "",AB24)))"),"")</f>
        <v/>
      </c>
      <c r="AA24" s="42" t="str">
        <f t="array" ref="AA24">_xlfn.XLOOKUP(B24,'Up Min'!A:A,'Up Min'!G:G,)</f>
        <v/>
      </c>
      <c r="AB24" s="42" t="str">
        <f t="array" ref="AB24">_xlfn.XLOOKUP(B24,'Up Max'!A:A,'Up Max'!G:G,)</f>
        <v/>
      </c>
      <c r="AC24" s="48" t="str">
        <f t="array" ref="AC24">_xlfn.XLOOKUP(B24,'Up Stats'!A:A,'Up Stats'!H:H,)</f>
        <v/>
      </c>
      <c r="AD24" s="40" t="str">
        <f>IFERROR(__xludf.DUMMYFUNCTION("if(AND(AE24=FALSE,AF24=FALSE),,if(AE24=AF24,JOIN("""",""Static: "",AE24),JOIN("""",""Min:  "",AE24, CHAR(10),""Max: "",AF24)))"),"")</f>
        <v/>
      </c>
      <c r="AE24" s="42" t="str">
        <f t="array" ref="AE24">_xlfn.XLOOKUP(B24,'Up Min'!A:A,'Up Min'!H:H,)</f>
        <v/>
      </c>
      <c r="AF24" s="42" t="str">
        <f t="array" ref="AF24">_xlfn.XLOOKUP(B24,'Up Max'!A:A,'Up Max'!H:H,)</f>
        <v/>
      </c>
      <c r="AG24" s="48" t="str">
        <f t="array" ref="AG24">_xlfn.XLOOKUP(B24,'Up Stats'!A:A,'Up Stats'!I:I,)</f>
        <v/>
      </c>
      <c r="AH24" s="40" t="str">
        <f>IFERROR(__xludf.DUMMYFUNCTION("if(AND(AI24=FALSE,AJ24=FALSE),,if(AI24=AJ24,JOIN("""",""Static: "",AI24),JOIN("""",""Min:  "",AI24, CHAR(10),""Max: "",AJ24)))"),"")</f>
        <v/>
      </c>
      <c r="AI24" s="42" t="str">
        <f t="array" ref="AI24">_xlfn.XLOOKUP(B24,'Up Min'!A:A,'Up Min'!I:I,)</f>
        <v/>
      </c>
      <c r="AJ24" s="42" t="str">
        <f t="array" ref="AJ24">_xlfn.XLOOKUP(B24,'Up Max'!A:A,'Up Max'!I:I,)</f>
        <v/>
      </c>
      <c r="AK24" s="48" t="str">
        <f t="array" ref="AK24">_xlfn.XLOOKUP(B24,'Up Stats'!A:A,'Up Stats'!J:J,)</f>
        <v/>
      </c>
      <c r="AL24" s="40" t="str">
        <f>IFERROR(__xludf.DUMMYFUNCTION("if(AND(AM24=FALSE,AN24=FALSE),,if(AM24=AN24,JOIN("""",""Static: "",AM24),JOIN("""",""Min:  "",AM24, CHAR(10),""Max: "",AN24)))"),"")</f>
        <v/>
      </c>
      <c r="AM24" s="42" t="str">
        <f t="array" ref="AM24">_xlfn.XLOOKUP(B24,'Up Min'!A:A,'Up Min'!J:J,)</f>
        <v/>
      </c>
      <c r="AN24" s="42" t="str">
        <f t="array" ref="AN24">_xlfn.XLOOKUP(B24,'Up Max'!A:A,'Up Max'!J:J,)</f>
        <v/>
      </c>
      <c r="AO24" s="34" t="str">
        <f t="array" ref="AO24">CONCATENATE(_xlfn.XLOOKUP(B24,'Up Cells'!A:A,'Up Cells'!B:B,))</f>
        <v>7</v>
      </c>
      <c r="AP24" s="34" t="str">
        <f t="array" ref="AP24">CONCATENATE(_xlfn.XLOOKUP(B24,'Up Rarity'!A:A,'Up Rarity'!B:B,),CHAR(10),"-")</f>
        <v>Epic
-</v>
      </c>
    </row>
    <row r="25">
      <c r="A25" s="83" t="str">
        <f t="array" ref="A25">_xlfn.XLOOKUP(B25,'Up Icon'!A:A,'Up Icon'!B:B,)</f>
        <v/>
      </c>
      <c r="B25" s="88" t="str">
        <f t="array" ref="B25">HYPERLINK(_xlfn.XLOOKUP('Up Names'!P17,'Up Wiki'!A:A,'Up Wiki'!B:B,),'Up Names'!P17)</f>
        <v>Acid Affinity</v>
      </c>
      <c r="C25" s="52" t="str">
        <f t="array" ref="C25">_xlfn.XLOOKUP(B25,'Up Desc'!A:A,'Up Desc'!B:B,)</f>
        <v>Apply more acid to all targets.</v>
      </c>
      <c r="D25" s="52" t="str">
        <f t="array" ref="D25">_xlfn.XLOOKUP(B25,'Up Turbo'!A:A,'Up Turbo'!B:B,)</f>
        <v>n/a</v>
      </c>
      <c r="E25" s="53" t="str">
        <f t="array" ref="E25">_xlfn.XLOOKUP(B25,'Up Stats'!A:A,'Up Stats'!B:B,)</f>
        <v>Element</v>
      </c>
      <c r="F25" s="54" t="str">
        <f>IFERROR(__xludf.DUMMYFUNCTION("if(AND(G25=FALSE,H25=FALSE),,if(G25=H25,JOIN("""",""Static: "",G25),JOIN("""",""Min:  "",G25, CHAR(10),""Max: "",H25)))"),"Static: 15%")</f>
        <v>Static: 15%</v>
      </c>
      <c r="G25" s="59">
        <f t="array" ref="G25">_xlfn.XLOOKUP(B25,'Up Min'!A:A,'Up Min'!B:B,)</f>
        <v>0.15</v>
      </c>
      <c r="H25" s="59">
        <f t="array" ref="H25">_xlfn.XLOOKUP(B25,'Up Max'!A:A,'Up Max'!B:B,)</f>
        <v>0.15</v>
      </c>
      <c r="I25" s="53" t="str">
        <f t="array" ref="I25">_xlfn.XLOOKUP(B25,'Up Stats'!A:A,'Up Stats'!C:C,)</f>
        <v/>
      </c>
      <c r="J25" s="54" t="str">
        <f>IFERROR(__xludf.DUMMYFUNCTION("if(AND(K25=FALSE,L25=FALSE),,if(K25=L25,JOIN("""",""Static: "",K25),JOIN("""",""Min:  "",K25, CHAR(10),""Max: "",L25)))"),"")</f>
        <v/>
      </c>
      <c r="K25" s="72" t="str">
        <f t="array" ref="K25">_xlfn.XLOOKUP(B25,'Up Min'!A:A,'Up Min'!C:C,)</f>
        <v/>
      </c>
      <c r="L25" s="72" t="str">
        <f t="array" ref="L25">_xlfn.XLOOKUP(B25,'Up Max'!A:A,'Up Max'!C:C,)</f>
        <v/>
      </c>
      <c r="M25" s="57" t="str">
        <f t="array" ref="M25">_xlfn.XLOOKUP(B25,'Up Stats'!A:A,'Up Stats'!D:D,)</f>
        <v/>
      </c>
      <c r="N25" s="54" t="str">
        <f>IFERROR(__xludf.DUMMYFUNCTION("if(AND(O25=FALSE,P25=FALSE),,if(O25=P25,JOIN("""",""Static: "",O25),JOIN("""",""Min:  "",O25, CHAR(10),""Max: "",P25)))"),"")</f>
        <v/>
      </c>
      <c r="O25" s="55" t="str">
        <f t="array" ref="O25">_xlfn.XLOOKUP(B25,'Up Min'!A:A,'Up Min'!D:D,)</f>
        <v/>
      </c>
      <c r="P25" s="55" t="str">
        <f t="array" ref="P25">_xlfn.XLOOKUP(B25,'Up Max'!A:A,'Up Max'!D:D,)</f>
        <v/>
      </c>
      <c r="Q25" s="57" t="str">
        <f t="array" ref="Q25">_xlfn.XLOOKUP(B25,'Up Stats'!A:A,'Up Stats'!E:E,)</f>
        <v/>
      </c>
      <c r="R25" s="54" t="str">
        <f>IFERROR(__xludf.DUMMYFUNCTION("if(AND(S25=FALSE,T25=FALSE),,if(S25=T25,JOIN("""",""Static: "",S25),JOIN("""",""Min:  "",S25, CHAR(10),""Max: "",T25)))"),"")</f>
        <v/>
      </c>
      <c r="S25" s="55" t="str">
        <f t="array" ref="S25">_xlfn.XLOOKUP(B25,'Up Min'!A:A,'Up Min'!E:E,)</f>
        <v/>
      </c>
      <c r="T25" s="55" t="str">
        <f t="array" ref="T25">_xlfn.XLOOKUP(B25,'Up Max'!A:A,'Up Max'!E:E,)</f>
        <v/>
      </c>
      <c r="U25" s="57" t="str">
        <f t="array" ref="U25">_xlfn.XLOOKUP(B25,'Up Stats'!A:A,'Up Stats'!F:F,)</f>
        <v/>
      </c>
      <c r="V25" s="54" t="str">
        <f>IFERROR(__xludf.DUMMYFUNCTION("if(AND(W25=FALSE,X25=FALSE),,if(W25=X25,JOIN("""",""Static: "",W25),JOIN("""",""Min:  "",W25, CHAR(10),""Max: "",X25)))"),"")</f>
        <v/>
      </c>
      <c r="W25" s="55" t="str">
        <f t="array" ref="W25">_xlfn.XLOOKUP(B25,'Up Min'!A:A,'Up Min'!F:F,)</f>
        <v/>
      </c>
      <c r="X25" s="55" t="str">
        <f t="array" ref="X25">_xlfn.XLOOKUP(B25,'Up Max'!A:A,'Up Max'!F:F,)</f>
        <v/>
      </c>
      <c r="Y25" s="57" t="str">
        <f t="array" ref="Y25">_xlfn.XLOOKUP(B25,'Up Stats'!A:A,'Up Stats'!G:G,)</f>
        <v/>
      </c>
      <c r="Z25" s="54" t="str">
        <f>IFERROR(__xludf.DUMMYFUNCTION("if(AND(AA25=FALSE,AB25=FALSE),,if(AA25=AB25,JOIN("""",""Static: "",AA25),JOIN("""",""Min:  "",AA25, CHAR(10),""Max: "",AB25)))"),"")</f>
        <v/>
      </c>
      <c r="AA25" s="55" t="str">
        <f t="array" ref="AA25">_xlfn.XLOOKUP(B25,'Up Min'!A:A,'Up Min'!G:G,)</f>
        <v/>
      </c>
      <c r="AB25" s="55" t="str">
        <f t="array" ref="AB25">_xlfn.XLOOKUP(B25,'Up Max'!A:A,'Up Max'!G:G,)</f>
        <v/>
      </c>
      <c r="AC25" s="57" t="str">
        <f t="array" ref="AC25">_xlfn.XLOOKUP(B25,'Up Stats'!A:A,'Up Stats'!H:H,)</f>
        <v/>
      </c>
      <c r="AD25" s="54" t="str">
        <f>IFERROR(__xludf.DUMMYFUNCTION("if(AND(AE25=FALSE,AF25=FALSE),,if(AE25=AF25,JOIN("""",""Static: "",AE25),JOIN("""",""Min:  "",AE25, CHAR(10),""Max: "",AF25)))"),"")</f>
        <v/>
      </c>
      <c r="AE25" s="55" t="str">
        <f t="array" ref="AE25">_xlfn.XLOOKUP(B25,'Up Min'!A:A,'Up Min'!H:H,)</f>
        <v/>
      </c>
      <c r="AF25" s="55" t="str">
        <f t="array" ref="AF25">_xlfn.XLOOKUP(B25,'Up Max'!A:A,'Up Max'!H:H,)</f>
        <v/>
      </c>
      <c r="AG25" s="57" t="str">
        <f t="array" ref="AG25">_xlfn.XLOOKUP(B25,'Up Stats'!A:A,'Up Stats'!I:I,)</f>
        <v/>
      </c>
      <c r="AH25" s="54" t="str">
        <f>IFERROR(__xludf.DUMMYFUNCTION("if(AND(AI25=FALSE,AJ25=FALSE),,if(AI25=AJ25,JOIN("""",""Static: "",AI25),JOIN("""",""Min:  "",AI25, CHAR(10),""Max: "",AJ25)))"),"")</f>
        <v/>
      </c>
      <c r="AI25" s="55" t="str">
        <f t="array" ref="AI25">_xlfn.XLOOKUP(B25,'Up Min'!A:A,'Up Min'!I:I,)</f>
        <v/>
      </c>
      <c r="AJ25" s="55" t="str">
        <f t="array" ref="AJ25">_xlfn.XLOOKUP(B25,'Up Max'!A:A,'Up Max'!I:I,)</f>
        <v/>
      </c>
      <c r="AK25" s="57" t="str">
        <f t="array" ref="AK25">_xlfn.XLOOKUP(B25,'Up Stats'!A:A,'Up Stats'!J:J,)</f>
        <v/>
      </c>
      <c r="AL25" s="54" t="str">
        <f>IFERROR(__xludf.DUMMYFUNCTION("if(AND(AM25=FALSE,AN25=FALSE),,if(AM25=AN25,JOIN("""",""Static: "",AM25),JOIN("""",""Min:  "",AM25, CHAR(10),""Max: "",AN25)))"),"")</f>
        <v/>
      </c>
      <c r="AM25" s="55" t="str">
        <f t="array" ref="AM25">_xlfn.XLOOKUP(B25,'Up Min'!A:A,'Up Min'!J:J,)</f>
        <v/>
      </c>
      <c r="AN25" s="55" t="str">
        <f t="array" ref="AN25">_xlfn.XLOOKUP(B25,'Up Max'!A:A,'Up Max'!J:J,)</f>
        <v/>
      </c>
      <c r="AO25" s="51" t="str">
        <f t="array" ref="AO25">CONCATENATE(_xlfn.XLOOKUP(B25,'Up Cells'!A:A,'Up Cells'!B:B,))</f>
        <v>3</v>
      </c>
      <c r="AP25" s="51" t="str">
        <f t="array" ref="AP25">CONCATENATE(_xlfn.XLOOKUP(B25,'Up Rarity'!A:A,'Up Rarity'!B:B,),CHAR(10),"-")</f>
        <v>Rare
-</v>
      </c>
    </row>
    <row r="26">
      <c r="A26" s="83" t="str">
        <f t="array" ref="A26">_xlfn.XLOOKUP(B26,'Up Icon'!A:A,'Up Icon'!B:B,)</f>
        <v/>
      </c>
      <c r="B26" s="89" t="str">
        <f t="array" ref="B26">HYPERLINK(_xlfn.XLOOKUP('Up Names'!P18,'Up Wiki'!A:A,'Up Wiki'!B:B,),'Up Names'!P18)</f>
        <v>Boost Buffer</v>
      </c>
      <c r="C26" s="37" t="str">
        <f t="array" ref="C26">_xlfn.XLOOKUP(B26,'Up Desc'!A:A,'Up Desc'!B:B,)</f>
        <v>Gain a small burst of speed when you pick up a health chunk.</v>
      </c>
      <c r="D26" s="37" t="str">
        <f t="array" ref="D26">_xlfn.XLOOKUP(B26,'Up Turbo'!A:A,'Up Turbo'!B:B,)</f>
        <v>n/a</v>
      </c>
      <c r="E26" s="48" t="str">
        <f t="array" ref="E26">_xlfn.XLOOKUP(B26,'Up Stats'!A:A,'Up Stats'!B:B,)</f>
        <v/>
      </c>
      <c r="F26" s="40" t="str">
        <f>IFERROR(__xludf.DUMMYFUNCTION("if(AND(G26=FALSE,H26=FALSE),,if(G26=H26,JOIN("""",""Static: "",G26),JOIN("""",""Min:  "",G26, CHAR(10),""Max: "",H26)))"),"")</f>
        <v/>
      </c>
      <c r="G26" s="42" t="str">
        <f t="array" ref="G26">_xlfn.XLOOKUP(B26,'Up Min'!A:A,'Up Min'!B:B,)</f>
        <v/>
      </c>
      <c r="H26" s="42" t="str">
        <f t="array" ref="H26">_xlfn.XLOOKUP(B26,'Up Max'!A:A,'Up Max'!B:B,)</f>
        <v/>
      </c>
      <c r="I26" s="48" t="str">
        <f t="array" ref="I26">_xlfn.XLOOKUP(B26,'Up Stats'!A:A,'Up Stats'!C:C,)</f>
        <v/>
      </c>
      <c r="J26" s="40" t="str">
        <f>IFERROR(__xludf.DUMMYFUNCTION("if(AND(K26=FALSE,L26=FALSE),,if(K26=L26,JOIN("""",""Static: "",K26),JOIN("""",""Min:  "",K26, CHAR(10),""Max: "",L26)))"),"")</f>
        <v/>
      </c>
      <c r="K26" s="74" t="str">
        <f t="array" ref="K26">_xlfn.XLOOKUP(B26,'Up Min'!A:A,'Up Min'!C:C,)</f>
        <v/>
      </c>
      <c r="L26" s="74" t="str">
        <f t="array" ref="L26">_xlfn.XLOOKUP(B26,'Up Max'!A:A,'Up Max'!C:C,)</f>
        <v/>
      </c>
      <c r="M26" s="48" t="str">
        <f t="array" ref="M26">_xlfn.XLOOKUP(B26,'Up Stats'!A:A,'Up Stats'!D:D,)</f>
        <v/>
      </c>
      <c r="N26" s="40" t="str">
        <f>IFERROR(__xludf.DUMMYFUNCTION("if(AND(O26=FALSE,P26=FALSE),,if(O26=P26,JOIN("""",""Static: "",O26),JOIN("""",""Min:  "",O26, CHAR(10),""Max: "",P26)))"),"")</f>
        <v/>
      </c>
      <c r="O26" s="42" t="str">
        <f t="array" ref="O26">_xlfn.XLOOKUP(B26,'Up Min'!A:A,'Up Min'!D:D,)</f>
        <v/>
      </c>
      <c r="P26" s="42" t="str">
        <f t="array" ref="P26">_xlfn.XLOOKUP(B26,'Up Max'!A:A,'Up Max'!D:D,)</f>
        <v/>
      </c>
      <c r="Q26" s="48" t="str">
        <f t="array" ref="Q26">_xlfn.XLOOKUP(B26,'Up Stats'!A:A,'Up Stats'!E:E,)</f>
        <v/>
      </c>
      <c r="R26" s="40" t="str">
        <f>IFERROR(__xludf.DUMMYFUNCTION("if(AND(S26=FALSE,T26=FALSE),,if(S26=T26,JOIN("""",""Static: "",S26),JOIN("""",""Min:  "",S26, CHAR(10),""Max: "",T26)))"),"")</f>
        <v/>
      </c>
      <c r="S26" s="42" t="str">
        <f t="array" ref="S26">_xlfn.XLOOKUP(B26,'Up Min'!A:A,'Up Min'!E:E,)</f>
        <v/>
      </c>
      <c r="T26" s="42" t="str">
        <f t="array" ref="T26">_xlfn.XLOOKUP(B26,'Up Max'!A:A,'Up Max'!E:E,)</f>
        <v/>
      </c>
      <c r="U26" s="48" t="str">
        <f t="array" ref="U26">_xlfn.XLOOKUP(B26,'Up Stats'!A:A,'Up Stats'!F:F,)</f>
        <v/>
      </c>
      <c r="V26" s="40" t="str">
        <f>IFERROR(__xludf.DUMMYFUNCTION("if(AND(W26=FALSE,X26=FALSE),,if(W26=X26,JOIN("""",""Static: "",W26),JOIN("""",""Min:  "",W26, CHAR(10),""Max: "",X26)))"),"")</f>
        <v/>
      </c>
      <c r="W26" s="42" t="str">
        <f t="array" ref="W26">_xlfn.XLOOKUP(B26,'Up Min'!A:A,'Up Min'!F:F,)</f>
        <v/>
      </c>
      <c r="X26" s="42" t="str">
        <f t="array" ref="X26">_xlfn.XLOOKUP(B26,'Up Max'!A:A,'Up Max'!F:F,)</f>
        <v/>
      </c>
      <c r="Y26" s="48" t="str">
        <f t="array" ref="Y26">_xlfn.XLOOKUP(B26,'Up Stats'!A:A,'Up Stats'!G:G,)</f>
        <v/>
      </c>
      <c r="Z26" s="40" t="str">
        <f>IFERROR(__xludf.DUMMYFUNCTION("if(AND(AA26=FALSE,AB26=FALSE),,if(AA26=AB26,JOIN("""",""Static: "",AA26),JOIN("""",""Min:  "",AA26, CHAR(10),""Max: "",AB26)))"),"")</f>
        <v/>
      </c>
      <c r="AA26" s="42" t="str">
        <f t="array" ref="AA26">_xlfn.XLOOKUP(B26,'Up Min'!A:A,'Up Min'!G:G,)</f>
        <v/>
      </c>
      <c r="AB26" s="42" t="str">
        <f t="array" ref="AB26">_xlfn.XLOOKUP(B26,'Up Max'!A:A,'Up Max'!G:G,)</f>
        <v/>
      </c>
      <c r="AC26" s="48" t="str">
        <f t="array" ref="AC26">_xlfn.XLOOKUP(B26,'Up Stats'!A:A,'Up Stats'!H:H,)</f>
        <v/>
      </c>
      <c r="AD26" s="40" t="str">
        <f>IFERROR(__xludf.DUMMYFUNCTION("if(AND(AE26=FALSE,AF26=FALSE),,if(AE26=AF26,JOIN("""",""Static: "",AE26),JOIN("""",""Min:  "",AE26, CHAR(10),""Max: "",AF26)))"),"")</f>
        <v/>
      </c>
      <c r="AE26" s="42" t="str">
        <f t="array" ref="AE26">_xlfn.XLOOKUP(B26,'Up Min'!A:A,'Up Min'!H:H,)</f>
        <v/>
      </c>
      <c r="AF26" s="42" t="str">
        <f t="array" ref="AF26">_xlfn.XLOOKUP(B26,'Up Max'!A:A,'Up Max'!H:H,)</f>
        <v/>
      </c>
      <c r="AG26" s="48" t="str">
        <f t="array" ref="AG26">_xlfn.XLOOKUP(B26,'Up Stats'!A:A,'Up Stats'!I:I,)</f>
        <v/>
      </c>
      <c r="AH26" s="40" t="str">
        <f>IFERROR(__xludf.DUMMYFUNCTION("if(AND(AI26=FALSE,AJ26=FALSE),,if(AI26=AJ26,JOIN("""",""Static: "",AI26),JOIN("""",""Min:  "",AI26, CHAR(10),""Max: "",AJ26)))"),"")</f>
        <v/>
      </c>
      <c r="AI26" s="42" t="str">
        <f t="array" ref="AI26">_xlfn.XLOOKUP(B26,'Up Min'!A:A,'Up Min'!I:I,)</f>
        <v/>
      </c>
      <c r="AJ26" s="42" t="str">
        <f t="array" ref="AJ26">_xlfn.XLOOKUP(B26,'Up Max'!A:A,'Up Max'!I:I,)</f>
        <v/>
      </c>
      <c r="AK26" s="48" t="str">
        <f t="array" ref="AK26">_xlfn.XLOOKUP(B26,'Up Stats'!A:A,'Up Stats'!J:J,)</f>
        <v/>
      </c>
      <c r="AL26" s="40" t="str">
        <f>IFERROR(__xludf.DUMMYFUNCTION("if(AND(AM26=FALSE,AN26=FALSE),,if(AM26=AN26,JOIN("""",""Static: "",AM26),JOIN("""",""Min:  "",AM26, CHAR(10),""Max: "",AN26)))"),"")</f>
        <v/>
      </c>
      <c r="AM26" s="42" t="str">
        <f t="array" ref="AM26">_xlfn.XLOOKUP(B26,'Up Min'!A:A,'Up Min'!J:J,)</f>
        <v/>
      </c>
      <c r="AN26" s="42" t="str">
        <f t="array" ref="AN26">_xlfn.XLOOKUP(B26,'Up Max'!A:A,'Up Max'!J:J,)</f>
        <v/>
      </c>
      <c r="AO26" s="34" t="str">
        <f t="array" ref="AO26">CONCATENATE(_xlfn.XLOOKUP(B26,'Up Cells'!A:A,'Up Cells'!B:B,))</f>
        <v>5</v>
      </c>
      <c r="AP26" s="34" t="str">
        <f t="array" ref="AP26">CONCATENATE(_xlfn.XLOOKUP(B26,'Up Rarity'!A:A,'Up Rarity'!B:B,),CHAR(10),"-")</f>
        <v>Rare
-</v>
      </c>
    </row>
    <row r="27">
      <c r="A27" s="83" t="str">
        <f t="array" ref="A27">_xlfn.XLOOKUP(B27,'Up Icon'!A:A,'Up Icon'!B:B,)</f>
        <v/>
      </c>
      <c r="B27" s="88" t="str">
        <f t="array" ref="B27">HYPERLINK(_xlfn.XLOOKUP('Up Names'!P19,'Up Wiki'!A:A,'Up Wiki'!B:B,),'Up Names'!P19)</f>
        <v>Brittle Battery</v>
      </c>
      <c r="C27" s="52" t="str">
        <f t="array" ref="C27">_xlfn.XLOOKUP(B27,'Up Desc'!A:A,'Up Desc'!B:B,)</f>
        <v>You take more damage but also receive more healing from health chunks.</v>
      </c>
      <c r="D27" s="52" t="str">
        <f t="array" ref="D27">_xlfn.XLOOKUP(B27,'Up Turbo'!A:A,'Up Turbo'!B:B,)</f>
        <v>n/a</v>
      </c>
      <c r="E27" s="53" t="str">
        <f t="array" ref="E27">_xlfn.XLOOKUP(B27,'Up Stats'!A:A,'Up Stats'!B:B,)</f>
        <v>Damage Taken</v>
      </c>
      <c r="F27" s="54" t="str">
        <f>IFERROR(__xludf.DUMMYFUNCTION("if(AND(G27=FALSE,H27=FALSE),,if(G27=H27,JOIN("""",""Static: "",G27),JOIN("""",""Min:  "",G27, CHAR(10),""Max: "",H27)))"),"Static: 15%")</f>
        <v>Static: 15%</v>
      </c>
      <c r="G27" s="59">
        <f t="array" ref="G27">_xlfn.XLOOKUP(B27,'Up Min'!A:A,'Up Min'!B:B,)</f>
        <v>0.15</v>
      </c>
      <c r="H27" s="59">
        <f t="array" ref="H27">_xlfn.XLOOKUP(B27,'Up Max'!A:A,'Up Max'!B:B,)</f>
        <v>0.15</v>
      </c>
      <c r="I27" s="53" t="str">
        <f t="array" ref="I27">_xlfn.XLOOKUP(B27,'Up Stats'!A:A,'Up Stats'!C:C,)</f>
        <v>Collected Health</v>
      </c>
      <c r="J27" s="54" t="str">
        <f>IFERROR(__xludf.DUMMYFUNCTION("if(AND(K27=FALSE,L27=FALSE),,if(K27=L27,JOIN("""",""Static: "",K27),JOIN("""",""Min:  "",K27, CHAR(10),""Max: "",L27)))"),"Static: 25%")</f>
        <v>Static: 25%</v>
      </c>
      <c r="K27" s="59">
        <f t="array" ref="K27">_xlfn.XLOOKUP(B27,'Up Min'!A:A,'Up Min'!C:C,)</f>
        <v>0.25</v>
      </c>
      <c r="L27" s="59">
        <f t="array" ref="L27">_xlfn.XLOOKUP(B27,'Up Max'!A:A,'Up Max'!C:C,)</f>
        <v>0.25</v>
      </c>
      <c r="M27" s="53" t="str">
        <f t="array" ref="M27">_xlfn.XLOOKUP(B27,'Up Stats'!A:A,'Up Stats'!D:D,)</f>
        <v/>
      </c>
      <c r="N27" s="54" t="str">
        <f>IFERROR(__xludf.DUMMYFUNCTION("if(AND(O27=FALSE,P27=FALSE),,if(O27=P27,JOIN("""",""Static: "",O27),JOIN("""",""Min:  "",O27, CHAR(10),""Max: "",P27)))"),"")</f>
        <v/>
      </c>
      <c r="O27" s="55" t="str">
        <f t="array" ref="O27">_xlfn.XLOOKUP(B27,'Up Min'!A:A,'Up Min'!D:D,)</f>
        <v/>
      </c>
      <c r="P27" s="55" t="str">
        <f t="array" ref="P27">_xlfn.XLOOKUP(B27,'Up Max'!A:A,'Up Max'!D:D,)</f>
        <v/>
      </c>
      <c r="Q27" s="57" t="str">
        <f t="array" ref="Q27">_xlfn.XLOOKUP(B27,'Up Stats'!A:A,'Up Stats'!E:E,)</f>
        <v/>
      </c>
      <c r="R27" s="54" t="str">
        <f>IFERROR(__xludf.DUMMYFUNCTION("if(AND(S27=FALSE,T27=FALSE),,if(S27=T27,JOIN("""",""Static: "",S27),JOIN("""",""Min:  "",S27, CHAR(10),""Max: "",T27)))"),"")</f>
        <v/>
      </c>
      <c r="S27" s="55" t="str">
        <f t="array" ref="S27">_xlfn.XLOOKUP(B27,'Up Min'!A:A,'Up Min'!E:E,)</f>
        <v/>
      </c>
      <c r="T27" s="55" t="str">
        <f t="array" ref="T27">_xlfn.XLOOKUP(B27,'Up Max'!A:A,'Up Max'!E:E,)</f>
        <v/>
      </c>
      <c r="U27" s="57" t="str">
        <f t="array" ref="U27">_xlfn.XLOOKUP(B27,'Up Stats'!A:A,'Up Stats'!F:F,)</f>
        <v/>
      </c>
      <c r="V27" s="54" t="str">
        <f>IFERROR(__xludf.DUMMYFUNCTION("if(AND(W27=FALSE,X27=FALSE),,if(W27=X27,JOIN("""",""Static: "",W27),JOIN("""",""Min:  "",W27, CHAR(10),""Max: "",X27)))"),"")</f>
        <v/>
      </c>
      <c r="W27" s="55" t="str">
        <f t="array" ref="W27">_xlfn.XLOOKUP(B27,'Up Min'!A:A,'Up Min'!F:F,)</f>
        <v/>
      </c>
      <c r="X27" s="55" t="str">
        <f t="array" ref="X27">_xlfn.XLOOKUP(B27,'Up Max'!A:A,'Up Max'!F:F,)</f>
        <v/>
      </c>
      <c r="Y27" s="57" t="str">
        <f t="array" ref="Y27">_xlfn.XLOOKUP(B27,'Up Stats'!A:A,'Up Stats'!G:G,)</f>
        <v/>
      </c>
      <c r="Z27" s="54" t="str">
        <f>IFERROR(__xludf.DUMMYFUNCTION("if(AND(AA27=FALSE,AB27=FALSE),,if(AA27=AB27,JOIN("""",""Static: "",AA27),JOIN("""",""Min:  "",AA27, CHAR(10),""Max: "",AB27)))"),"")</f>
        <v/>
      </c>
      <c r="AA27" s="55" t="str">
        <f t="array" ref="AA27">_xlfn.XLOOKUP(B27,'Up Min'!A:A,'Up Min'!G:G,)</f>
        <v/>
      </c>
      <c r="AB27" s="55" t="str">
        <f t="array" ref="AB27">_xlfn.XLOOKUP(B27,'Up Max'!A:A,'Up Max'!G:G,)</f>
        <v/>
      </c>
      <c r="AC27" s="57" t="str">
        <f t="array" ref="AC27">_xlfn.XLOOKUP(B27,'Up Stats'!A:A,'Up Stats'!H:H,)</f>
        <v/>
      </c>
      <c r="AD27" s="54" t="str">
        <f>IFERROR(__xludf.DUMMYFUNCTION("if(AND(AE27=FALSE,AF27=FALSE),,if(AE27=AF27,JOIN("""",""Static: "",AE27),JOIN("""",""Min:  "",AE27, CHAR(10),""Max: "",AF27)))"),"")</f>
        <v/>
      </c>
      <c r="AE27" s="55" t="str">
        <f t="array" ref="AE27">_xlfn.XLOOKUP(B27,'Up Min'!A:A,'Up Min'!H:H,)</f>
        <v/>
      </c>
      <c r="AF27" s="55" t="str">
        <f t="array" ref="AF27">_xlfn.XLOOKUP(B27,'Up Max'!A:A,'Up Max'!H:H,)</f>
        <v/>
      </c>
      <c r="AG27" s="57" t="str">
        <f t="array" ref="AG27">_xlfn.XLOOKUP(B27,'Up Stats'!A:A,'Up Stats'!I:I,)</f>
        <v/>
      </c>
      <c r="AH27" s="54" t="str">
        <f>IFERROR(__xludf.DUMMYFUNCTION("if(AND(AI27=FALSE,AJ27=FALSE),,if(AI27=AJ27,JOIN("""",""Static: "",AI27),JOIN("""",""Min:  "",AI27, CHAR(10),""Max: "",AJ27)))"),"")</f>
        <v/>
      </c>
      <c r="AI27" s="55" t="str">
        <f t="array" ref="AI27">_xlfn.XLOOKUP(B27,'Up Min'!A:A,'Up Min'!I:I,)</f>
        <v/>
      </c>
      <c r="AJ27" s="55" t="str">
        <f t="array" ref="AJ27">_xlfn.XLOOKUP(B27,'Up Max'!A:A,'Up Max'!I:I,)</f>
        <v/>
      </c>
      <c r="AK27" s="57" t="str">
        <f t="array" ref="AK27">_xlfn.XLOOKUP(B27,'Up Stats'!A:A,'Up Stats'!J:J,)</f>
        <v/>
      </c>
      <c r="AL27" s="54" t="str">
        <f>IFERROR(__xludf.DUMMYFUNCTION("if(AND(AM27=FALSE,AN27=FALSE),,if(AM27=AN27,JOIN("""",""Static: "",AM27),JOIN("""",""Min:  "",AM27, CHAR(10),""Max: "",AN27)))"),"")</f>
        <v/>
      </c>
      <c r="AM27" s="55" t="str">
        <f t="array" ref="AM27">_xlfn.XLOOKUP(B27,'Up Min'!A:A,'Up Min'!J:J,)</f>
        <v/>
      </c>
      <c r="AN27" s="55" t="str">
        <f t="array" ref="AN27">_xlfn.XLOOKUP(B27,'Up Max'!A:A,'Up Max'!J:J,)</f>
        <v/>
      </c>
      <c r="AO27" s="51" t="str">
        <f t="array" ref="AO27">CONCATENATE(_xlfn.XLOOKUP(B27,'Up Cells'!A:A,'Up Cells'!B:B,))</f>
        <v>4</v>
      </c>
      <c r="AP27" s="51" t="str">
        <f t="array" ref="AP27">CONCATENATE(_xlfn.XLOOKUP(B27,'Up Rarity'!A:A,'Up Rarity'!B:B,),CHAR(10),"-")</f>
        <v>Rare
-</v>
      </c>
    </row>
    <row r="28">
      <c r="A28" s="83" t="str">
        <f t="array" ref="A28">_xlfn.XLOOKUP(B28,'Up Icon'!A:A,'Up Icon'!B:B,)</f>
        <v/>
      </c>
      <c r="B28" s="89" t="str">
        <f t="array" ref="B28">HYPERLINK(_xlfn.XLOOKUP('Up Names'!P20,'Up Wiki'!A:A,'Up Wiki'!B:B,),'Up Names'!P20)</f>
        <v>Elemental Health</v>
      </c>
      <c r="C28" s="37" t="str">
        <f t="array" ref="C28">_xlfn.XLOOKUP(B28,'Up Desc'!A:A,'Up Desc'!B:B,)</f>
        <v>Gain health when you stop taking damage from the given elemental effect.</v>
      </c>
      <c r="D28" s="37" t="str">
        <f t="array" ref="D28">_xlfn.XLOOKUP(B28,'Up Turbo'!A:A,'Up Turbo'!B:B,)</f>
        <v>n/a</v>
      </c>
      <c r="E28" s="48" t="str">
        <f t="array" ref="E28">_xlfn.XLOOKUP(B28,'Up Stats'!A:A,'Up Stats'!B:B,)</f>
        <v>Element</v>
      </c>
      <c r="F28" s="40" t="str">
        <f>IFERROR(__xludf.DUMMYFUNCTION("if(AND(G28=FALSE,H28=FALSE),,if(G28=H28,JOIN("""",""Static: "",G28),JOIN("""",""Min:  "",G28, CHAR(10),""Max: "",H28)))"),"Static: element")</f>
        <v>Static: element</v>
      </c>
      <c r="G28" s="69" t="str">
        <f t="array" ref="G28">_xlfn.XLOOKUP(B28,'Up Min'!A:A,'Up Min'!B:B,)</f>
        <v>element</v>
      </c>
      <c r="H28" s="68" t="str">
        <f t="array" ref="H28">_xlfn.XLOOKUP(B28,'Up Max'!A:A,'Up Max'!B:B,)</f>
        <v>element</v>
      </c>
      <c r="I28" s="39" t="str">
        <f t="array" ref="I28">_xlfn.XLOOKUP(B28,'Up Stats'!A:A,'Up Stats'!C:C,)</f>
        <v>Health</v>
      </c>
      <c r="J28" s="40" t="str">
        <f>IFERROR(__xludf.DUMMYFUNCTION("if(AND(K28=FALSE,L28=FALSE),,if(K28=L28,JOIN("""",""Static: "",K28),JOIN("""",""Min:  "",K28, CHAR(10),""Max: "",L28)))"),"Min:  1
Max: 2.5")</f>
        <v>Min:  1
Max: 2.5</v>
      </c>
      <c r="K28" s="69">
        <f t="array" ref="K28">_xlfn.XLOOKUP(B28,'Up Min'!A:A,'Up Min'!C:C,)</f>
        <v>1</v>
      </c>
      <c r="L28" s="69">
        <f t="array" ref="L28">_xlfn.XLOOKUP(B28,'Up Max'!A:A,'Up Max'!C:C,)</f>
        <v>2.5</v>
      </c>
      <c r="M28" s="39" t="str">
        <f t="array" ref="M28">_xlfn.XLOOKUP(B28,'Up Stats'!A:A,'Up Stats'!D:D,)</f>
        <v/>
      </c>
      <c r="N28" s="40" t="str">
        <f>IFERROR(__xludf.DUMMYFUNCTION("if(AND(O28=FALSE,P28=FALSE),,if(O28=P28,JOIN("""",""Static: "",O28),JOIN("""",""Min:  "",O28, CHAR(10),""Max: "",P28)))"),"")</f>
        <v/>
      </c>
      <c r="O28" s="42" t="str">
        <f t="array" ref="O28">_xlfn.XLOOKUP(B28,'Up Min'!A:A,'Up Min'!D:D,)</f>
        <v/>
      </c>
      <c r="P28" s="42" t="str">
        <f t="array" ref="P28">_xlfn.XLOOKUP(B28,'Up Max'!A:A,'Up Max'!D:D,)</f>
        <v/>
      </c>
      <c r="Q28" s="48" t="str">
        <f t="array" ref="Q28">_xlfn.XLOOKUP(B28,'Up Stats'!A:A,'Up Stats'!E:E,)</f>
        <v/>
      </c>
      <c r="R28" s="40" t="str">
        <f>IFERROR(__xludf.DUMMYFUNCTION("if(AND(S28=FALSE,T28=FALSE),,if(S28=T28,JOIN("""",""Static: "",S28),JOIN("""",""Min:  "",S28, CHAR(10),""Max: "",T28)))"),"")</f>
        <v/>
      </c>
      <c r="S28" s="42" t="str">
        <f t="array" ref="S28">_xlfn.XLOOKUP(B28,'Up Min'!A:A,'Up Min'!E:E,)</f>
        <v/>
      </c>
      <c r="T28" s="42" t="str">
        <f t="array" ref="T28">_xlfn.XLOOKUP(B28,'Up Max'!A:A,'Up Max'!E:E,)</f>
        <v/>
      </c>
      <c r="U28" s="48" t="str">
        <f t="array" ref="U28">_xlfn.XLOOKUP(B28,'Up Stats'!A:A,'Up Stats'!F:F,)</f>
        <v/>
      </c>
      <c r="V28" s="40" t="str">
        <f>IFERROR(__xludf.DUMMYFUNCTION("if(AND(W28=FALSE,X28=FALSE),,if(W28=X28,JOIN("""",""Static: "",W28),JOIN("""",""Min:  "",W28, CHAR(10),""Max: "",X28)))"),"")</f>
        <v/>
      </c>
      <c r="W28" s="42" t="str">
        <f t="array" ref="W28">_xlfn.XLOOKUP(B28,'Up Min'!A:A,'Up Min'!F:F,)</f>
        <v/>
      </c>
      <c r="X28" s="42" t="str">
        <f t="array" ref="X28">_xlfn.XLOOKUP(B28,'Up Max'!A:A,'Up Max'!F:F,)</f>
        <v/>
      </c>
      <c r="Y28" s="48" t="str">
        <f t="array" ref="Y28">_xlfn.XLOOKUP(B28,'Up Stats'!A:A,'Up Stats'!G:G,)</f>
        <v/>
      </c>
      <c r="Z28" s="40" t="str">
        <f>IFERROR(__xludf.DUMMYFUNCTION("if(AND(AA28=FALSE,AB28=FALSE),,if(AA28=AB28,JOIN("""",""Static: "",AA28),JOIN("""",""Min:  "",AA28, CHAR(10),""Max: "",AB28)))"),"")</f>
        <v/>
      </c>
      <c r="AA28" s="42" t="str">
        <f t="array" ref="AA28">_xlfn.XLOOKUP(B28,'Up Min'!A:A,'Up Min'!G:G,)</f>
        <v/>
      </c>
      <c r="AB28" s="42" t="str">
        <f t="array" ref="AB28">_xlfn.XLOOKUP(B28,'Up Max'!A:A,'Up Max'!G:G,)</f>
        <v/>
      </c>
      <c r="AC28" s="48" t="str">
        <f t="array" ref="AC28">_xlfn.XLOOKUP(B28,'Up Stats'!A:A,'Up Stats'!H:H,)</f>
        <v/>
      </c>
      <c r="AD28" s="40" t="str">
        <f>IFERROR(__xludf.DUMMYFUNCTION("if(AND(AE28=FALSE,AF28=FALSE),,if(AE28=AF28,JOIN("""",""Static: "",AE28),JOIN("""",""Min:  "",AE28, CHAR(10),""Max: "",AF28)))"),"")</f>
        <v/>
      </c>
      <c r="AE28" s="42" t="str">
        <f t="array" ref="AE28">_xlfn.XLOOKUP(B28,'Up Min'!A:A,'Up Min'!H:H,)</f>
        <v/>
      </c>
      <c r="AF28" s="42" t="str">
        <f t="array" ref="AF28">_xlfn.XLOOKUP(B28,'Up Max'!A:A,'Up Max'!H:H,)</f>
        <v/>
      </c>
      <c r="AG28" s="48" t="str">
        <f t="array" ref="AG28">_xlfn.XLOOKUP(B28,'Up Stats'!A:A,'Up Stats'!I:I,)</f>
        <v/>
      </c>
      <c r="AH28" s="40" t="str">
        <f>IFERROR(__xludf.DUMMYFUNCTION("if(AND(AI28=FALSE,AJ28=FALSE),,if(AI28=AJ28,JOIN("""",""Static: "",AI28),JOIN("""",""Min:  "",AI28, CHAR(10),""Max: "",AJ28)))"),"")</f>
        <v/>
      </c>
      <c r="AI28" s="42" t="str">
        <f t="array" ref="AI28">_xlfn.XLOOKUP(B28,'Up Min'!A:A,'Up Min'!I:I,)</f>
        <v/>
      </c>
      <c r="AJ28" s="42" t="str">
        <f t="array" ref="AJ28">_xlfn.XLOOKUP(B28,'Up Max'!A:A,'Up Max'!I:I,)</f>
        <v/>
      </c>
      <c r="AK28" s="48" t="str">
        <f t="array" ref="AK28">_xlfn.XLOOKUP(B28,'Up Stats'!A:A,'Up Stats'!J:J,)</f>
        <v/>
      </c>
      <c r="AL28" s="40" t="str">
        <f>IFERROR(__xludf.DUMMYFUNCTION("if(AND(AM28=FALSE,AN28=FALSE),,if(AM28=AN28,JOIN("""",""Static: "",AM28),JOIN("""",""Min:  "",AM28, CHAR(10),""Max: "",AN28)))"),"")</f>
        <v/>
      </c>
      <c r="AM28" s="42" t="str">
        <f t="array" ref="AM28">_xlfn.XLOOKUP(B28,'Up Min'!A:A,'Up Min'!J:J,)</f>
        <v/>
      </c>
      <c r="AN28" s="42" t="str">
        <f t="array" ref="AN28">_xlfn.XLOOKUP(B28,'Up Max'!A:A,'Up Max'!J:J,)</f>
        <v/>
      </c>
      <c r="AO28" s="34" t="str">
        <f t="array" ref="AO28">CONCATENATE(_xlfn.XLOOKUP(B28,'Up Cells'!A:A,'Up Cells'!B:B,))</f>
        <v>4</v>
      </c>
      <c r="AP28" s="34" t="str">
        <f t="array" ref="AP28">CONCATENATE(_xlfn.XLOOKUP(B28,'Up Rarity'!A:A,'Up Rarity'!B:B,),CHAR(10),"-")</f>
        <v>Rare
-</v>
      </c>
    </row>
    <row r="29">
      <c r="A29" s="83" t="str">
        <f t="array" ref="A29">_xlfn.XLOOKUP(B29,'Up Icon'!A:A,'Up Icon'!B:B,)</f>
        <v/>
      </c>
      <c r="B29" s="88" t="str">
        <f t="array" ref="B29">HYPERLINK(_xlfn.XLOOKUP('Up Names'!P21,'Up Wiki'!A:A,'Up Wiki'!B:B,),'Up Names'!P21)</f>
        <v>Fire Affinity</v>
      </c>
      <c r="C29" s="52" t="str">
        <f t="array" ref="C29">_xlfn.XLOOKUP(B29,'Up Desc'!A:A,'Up Desc'!B:B,)</f>
        <v>Apply more fire to all targets.</v>
      </c>
      <c r="D29" s="52" t="str">
        <f t="array" ref="D29">_xlfn.XLOOKUP(B29,'Up Turbo'!A:A,'Up Turbo'!B:B,)</f>
        <v>n/a</v>
      </c>
      <c r="E29" s="53" t="str">
        <f t="array" ref="E29">_xlfn.XLOOKUP(B29,'Up Stats'!A:A,'Up Stats'!B:B,)</f>
        <v>Element</v>
      </c>
      <c r="F29" s="54" t="str">
        <f>IFERROR(__xludf.DUMMYFUNCTION("if(AND(G29=FALSE,H29=FALSE),,if(G29=H29,JOIN("""",""Static: "",G29),JOIN("""",""Min:  "",G29, CHAR(10),""Max: "",H29)))"),"Static: 15%")</f>
        <v>Static: 15%</v>
      </c>
      <c r="G29" s="59">
        <f t="array" ref="G29">_xlfn.XLOOKUP(B29,'Up Min'!A:A,'Up Min'!B:B,)</f>
        <v>0.15</v>
      </c>
      <c r="H29" s="59">
        <f t="array" ref="H29">_xlfn.XLOOKUP(B29,'Up Max'!A:A,'Up Max'!B:B,)</f>
        <v>0.15</v>
      </c>
      <c r="I29" s="53" t="str">
        <f t="array" ref="I29">_xlfn.XLOOKUP(B29,'Up Stats'!A:A,'Up Stats'!C:C,)</f>
        <v/>
      </c>
      <c r="J29" s="54" t="str">
        <f>IFERROR(__xludf.DUMMYFUNCTION("if(AND(K29=FALSE,L29=FALSE),,if(K29=L29,JOIN("""",""Static: "",K29),JOIN("""",""Min:  "",K29, CHAR(10),""Max: "",L29)))"),"")</f>
        <v/>
      </c>
      <c r="K29" s="72" t="str">
        <f t="array" ref="K29">_xlfn.XLOOKUP(B29,'Up Min'!A:A,'Up Min'!C:C,)</f>
        <v/>
      </c>
      <c r="L29" s="72" t="str">
        <f t="array" ref="L29">_xlfn.XLOOKUP(B29,'Up Max'!A:A,'Up Max'!C:C,)</f>
        <v/>
      </c>
      <c r="M29" s="57" t="str">
        <f t="array" ref="M29">_xlfn.XLOOKUP(B29,'Up Stats'!A:A,'Up Stats'!D:D,)</f>
        <v/>
      </c>
      <c r="N29" s="54" t="str">
        <f>IFERROR(__xludf.DUMMYFUNCTION("if(AND(O29=FALSE,P29=FALSE),,if(O29=P29,JOIN("""",""Static: "",O29),JOIN("""",""Min:  "",O29, CHAR(10),""Max: "",P29)))"),"")</f>
        <v/>
      </c>
      <c r="O29" s="55" t="str">
        <f t="array" ref="O29">_xlfn.XLOOKUP(B29,'Up Min'!A:A,'Up Min'!D:D,)</f>
        <v/>
      </c>
      <c r="P29" s="55" t="str">
        <f t="array" ref="P29">_xlfn.XLOOKUP(B29,'Up Max'!A:A,'Up Max'!D:D,)</f>
        <v/>
      </c>
      <c r="Q29" s="57" t="str">
        <f t="array" ref="Q29">_xlfn.XLOOKUP(B29,'Up Stats'!A:A,'Up Stats'!E:E,)</f>
        <v/>
      </c>
      <c r="R29" s="54" t="str">
        <f>IFERROR(__xludf.DUMMYFUNCTION("if(AND(S29=FALSE,T29=FALSE),,if(S29=T29,JOIN("""",""Static: "",S29),JOIN("""",""Min:  "",S29, CHAR(10),""Max: "",T29)))"),"")</f>
        <v/>
      </c>
      <c r="S29" s="55" t="str">
        <f t="array" ref="S29">_xlfn.XLOOKUP(B29,'Up Min'!A:A,'Up Min'!E:E,)</f>
        <v/>
      </c>
      <c r="T29" s="55" t="str">
        <f t="array" ref="T29">_xlfn.XLOOKUP(B29,'Up Max'!A:A,'Up Max'!E:E,)</f>
        <v/>
      </c>
      <c r="U29" s="57" t="str">
        <f t="array" ref="U29">_xlfn.XLOOKUP(B29,'Up Stats'!A:A,'Up Stats'!F:F,)</f>
        <v/>
      </c>
      <c r="V29" s="54" t="str">
        <f>IFERROR(__xludf.DUMMYFUNCTION("if(AND(W29=FALSE,X29=FALSE),,if(W29=X29,JOIN("""",""Static: "",W29),JOIN("""",""Min:  "",W29, CHAR(10),""Max: "",X29)))"),"")</f>
        <v/>
      </c>
      <c r="W29" s="55" t="str">
        <f t="array" ref="W29">_xlfn.XLOOKUP(B29,'Up Min'!A:A,'Up Min'!F:F,)</f>
        <v/>
      </c>
      <c r="X29" s="55" t="str">
        <f t="array" ref="X29">_xlfn.XLOOKUP(B29,'Up Max'!A:A,'Up Max'!F:F,)</f>
        <v/>
      </c>
      <c r="Y29" s="57" t="str">
        <f t="array" ref="Y29">_xlfn.XLOOKUP(B29,'Up Stats'!A:A,'Up Stats'!G:G,)</f>
        <v/>
      </c>
      <c r="Z29" s="54" t="str">
        <f>IFERROR(__xludf.DUMMYFUNCTION("if(AND(AA29=FALSE,AB29=FALSE),,if(AA29=AB29,JOIN("""",""Static: "",AA29),JOIN("""",""Min:  "",AA29, CHAR(10),""Max: "",AB29)))"),"")</f>
        <v/>
      </c>
      <c r="AA29" s="55" t="str">
        <f t="array" ref="AA29">_xlfn.XLOOKUP(B29,'Up Min'!A:A,'Up Min'!G:G,)</f>
        <v/>
      </c>
      <c r="AB29" s="55" t="str">
        <f t="array" ref="AB29">_xlfn.XLOOKUP(B29,'Up Max'!A:A,'Up Max'!G:G,)</f>
        <v/>
      </c>
      <c r="AC29" s="57" t="str">
        <f t="array" ref="AC29">_xlfn.XLOOKUP(B29,'Up Stats'!A:A,'Up Stats'!H:H,)</f>
        <v/>
      </c>
      <c r="AD29" s="54" t="str">
        <f>IFERROR(__xludf.DUMMYFUNCTION("if(AND(AE29=FALSE,AF29=FALSE),,if(AE29=AF29,JOIN("""",""Static: "",AE29),JOIN("""",""Min:  "",AE29, CHAR(10),""Max: "",AF29)))"),"")</f>
        <v/>
      </c>
      <c r="AE29" s="55" t="str">
        <f t="array" ref="AE29">_xlfn.XLOOKUP(B29,'Up Min'!A:A,'Up Min'!H:H,)</f>
        <v/>
      </c>
      <c r="AF29" s="55" t="str">
        <f t="array" ref="AF29">_xlfn.XLOOKUP(B29,'Up Max'!A:A,'Up Max'!H:H,)</f>
        <v/>
      </c>
      <c r="AG29" s="57" t="str">
        <f t="array" ref="AG29">_xlfn.XLOOKUP(B29,'Up Stats'!A:A,'Up Stats'!I:I,)</f>
        <v/>
      </c>
      <c r="AH29" s="54" t="str">
        <f>IFERROR(__xludf.DUMMYFUNCTION("if(AND(AI29=FALSE,AJ29=FALSE),,if(AI29=AJ29,JOIN("""",""Static: "",AI29),JOIN("""",""Min:  "",AI29, CHAR(10),""Max: "",AJ29)))"),"")</f>
        <v/>
      </c>
      <c r="AI29" s="55" t="str">
        <f t="array" ref="AI29">_xlfn.XLOOKUP(B29,'Up Min'!A:A,'Up Min'!I:I,)</f>
        <v/>
      </c>
      <c r="AJ29" s="55" t="str">
        <f t="array" ref="AJ29">_xlfn.XLOOKUP(B29,'Up Max'!A:A,'Up Max'!I:I,)</f>
        <v/>
      </c>
      <c r="AK29" s="57" t="str">
        <f t="array" ref="AK29">_xlfn.XLOOKUP(B29,'Up Stats'!A:A,'Up Stats'!J:J,)</f>
        <v/>
      </c>
      <c r="AL29" s="54" t="str">
        <f>IFERROR(__xludf.DUMMYFUNCTION("if(AND(AM29=FALSE,AN29=FALSE),,if(AM29=AN29,JOIN("""",""Static: "",AM29),JOIN("""",""Min:  "",AM29, CHAR(10),""Max: "",AN29)))"),"")</f>
        <v/>
      </c>
      <c r="AM29" s="55" t="str">
        <f t="array" ref="AM29">_xlfn.XLOOKUP(B29,'Up Min'!A:A,'Up Min'!J:J,)</f>
        <v/>
      </c>
      <c r="AN29" s="55" t="str">
        <f t="array" ref="AN29">_xlfn.XLOOKUP(B29,'Up Max'!A:A,'Up Max'!J:J,)</f>
        <v/>
      </c>
      <c r="AO29" s="51" t="str">
        <f t="array" ref="AO29">CONCATENATE(_xlfn.XLOOKUP(B29,'Up Cells'!A:A,'Up Cells'!B:B,))</f>
        <v>3</v>
      </c>
      <c r="AP29" s="51" t="str">
        <f t="array" ref="AP29">CONCATENATE(_xlfn.XLOOKUP(B29,'Up Rarity'!A:A,'Up Rarity'!B:B,),CHAR(10),"-")</f>
        <v>Rare
-</v>
      </c>
    </row>
    <row r="30">
      <c r="A30" s="83" t="str">
        <f t="array" ref="A30">_xlfn.XLOOKUP(B30,'Up Icon'!A:A,'Up Icon'!B:B,)</f>
        <v/>
      </c>
      <c r="B30" s="89" t="str">
        <f t="array" ref="B30">HYPERLINK(_xlfn.XLOOKUP('Up Names'!P22,'Up Wiki'!A:A,'Up Wiki'!B:B,),'Up Names'!P22)</f>
        <v>Polished Chassis</v>
      </c>
      <c r="C30" s="67" t="str">
        <f t="array" ref="C30">_xlfn.XLOOKUP(B30,'Up Desc'!A:A,'Up Desc'!B:B,)</f>
        <v>Slide speed is increased.</v>
      </c>
      <c r="D30" s="37" t="str">
        <f t="array" ref="D30">_xlfn.XLOOKUP(B30,'Up Turbo'!A:A,'Up Turbo'!B:B,)</f>
        <v>n/a</v>
      </c>
      <c r="E30" s="39" t="str">
        <f t="array" ref="E30">_xlfn.XLOOKUP(B30,'Up Stats'!A:A,'Up Stats'!B:B,)</f>
        <v>Slide Speed</v>
      </c>
      <c r="F30" s="40" t="str">
        <f>IFERROR(__xludf.DUMMYFUNCTION("if(AND(G30=FALSE,H30=FALSE),,if(G30=H30,JOIN("""",""Static: "",G30),JOIN("""",""Min:  "",G30, CHAR(10),""Max: "",H30)))"),"Min:  20%
Max: 30%")</f>
        <v>Min:  20%
Max: 30%</v>
      </c>
      <c r="G30" s="41">
        <f t="array" ref="G30">_xlfn.XLOOKUP(B30,'Up Min'!A:A,'Up Min'!B:B,)</f>
        <v>0.2</v>
      </c>
      <c r="H30" s="41">
        <f t="array" ref="H30">_xlfn.XLOOKUP(B30,'Up Max'!A:A,'Up Max'!B:B,)</f>
        <v>0.3</v>
      </c>
      <c r="I30" s="39" t="str">
        <f t="array" ref="I30">_xlfn.XLOOKUP(B30,'Up Stats'!A:A,'Up Stats'!C:C,)</f>
        <v/>
      </c>
      <c r="J30" s="40" t="str">
        <f>IFERROR(__xludf.DUMMYFUNCTION("if(AND(K30=FALSE,L30=FALSE),,if(K30=L30,JOIN("""",""Static: "",K30),JOIN("""",""Min:  "",K30, CHAR(10),""Max: "",L30)))"),"")</f>
        <v/>
      </c>
      <c r="K30" s="74" t="str">
        <f t="array" ref="K30">_xlfn.XLOOKUP(B30,'Up Min'!A:A,'Up Min'!C:C,)</f>
        <v/>
      </c>
      <c r="L30" s="74" t="str">
        <f t="array" ref="L30">_xlfn.XLOOKUP(B30,'Up Max'!A:A,'Up Max'!C:C,)</f>
        <v/>
      </c>
      <c r="M30" s="48" t="str">
        <f t="array" ref="M30">_xlfn.XLOOKUP(B30,'Up Stats'!A:A,'Up Stats'!D:D,)</f>
        <v/>
      </c>
      <c r="N30" s="40" t="str">
        <f>IFERROR(__xludf.DUMMYFUNCTION("if(AND(O30=FALSE,P30=FALSE),,if(O30=P30,JOIN("""",""Static: "",O30),JOIN("""",""Min:  "",O30, CHAR(10),""Max: "",P30)))"),"")</f>
        <v/>
      </c>
      <c r="O30" s="42" t="str">
        <f t="array" ref="O30">_xlfn.XLOOKUP(B30,'Up Min'!A:A,'Up Min'!D:D,)</f>
        <v/>
      </c>
      <c r="P30" s="42" t="str">
        <f t="array" ref="P30">_xlfn.XLOOKUP(B30,'Up Max'!A:A,'Up Max'!D:D,)</f>
        <v/>
      </c>
      <c r="Q30" s="48" t="str">
        <f t="array" ref="Q30">_xlfn.XLOOKUP(B30,'Up Stats'!A:A,'Up Stats'!E:E,)</f>
        <v/>
      </c>
      <c r="R30" s="40" t="str">
        <f>IFERROR(__xludf.DUMMYFUNCTION("if(AND(S30=FALSE,T30=FALSE),,if(S30=T30,JOIN("""",""Static: "",S30),JOIN("""",""Min:  "",S30, CHAR(10),""Max: "",T30)))"),"")</f>
        <v/>
      </c>
      <c r="S30" s="42" t="str">
        <f t="array" ref="S30">_xlfn.XLOOKUP(B30,'Up Min'!A:A,'Up Min'!E:E,)</f>
        <v/>
      </c>
      <c r="T30" s="42" t="str">
        <f t="array" ref="T30">_xlfn.XLOOKUP(B30,'Up Max'!A:A,'Up Max'!E:E,)</f>
        <v/>
      </c>
      <c r="U30" s="48" t="str">
        <f t="array" ref="U30">_xlfn.XLOOKUP(B30,'Up Stats'!A:A,'Up Stats'!F:F,)</f>
        <v/>
      </c>
      <c r="V30" s="40" t="str">
        <f>IFERROR(__xludf.DUMMYFUNCTION("if(AND(W30=FALSE,X30=FALSE),,if(W30=X30,JOIN("""",""Static: "",W30),JOIN("""",""Min:  "",W30, CHAR(10),""Max: "",X30)))"),"")</f>
        <v/>
      </c>
      <c r="W30" s="42" t="str">
        <f t="array" ref="W30">_xlfn.XLOOKUP(B30,'Up Min'!A:A,'Up Min'!F:F,)</f>
        <v/>
      </c>
      <c r="X30" s="42" t="str">
        <f t="array" ref="X30">_xlfn.XLOOKUP(B30,'Up Max'!A:A,'Up Max'!F:F,)</f>
        <v/>
      </c>
      <c r="Y30" s="48" t="str">
        <f t="array" ref="Y30">_xlfn.XLOOKUP(B30,'Up Stats'!A:A,'Up Stats'!G:G,)</f>
        <v/>
      </c>
      <c r="Z30" s="40" t="str">
        <f>IFERROR(__xludf.DUMMYFUNCTION("if(AND(AA30=FALSE,AB30=FALSE),,if(AA30=AB30,JOIN("""",""Static: "",AA30),JOIN("""",""Min:  "",AA30, CHAR(10),""Max: "",AB30)))"),"")</f>
        <v/>
      </c>
      <c r="AA30" s="42" t="str">
        <f t="array" ref="AA30">_xlfn.XLOOKUP(B30,'Up Min'!A:A,'Up Min'!G:G,)</f>
        <v/>
      </c>
      <c r="AB30" s="42" t="str">
        <f t="array" ref="AB30">_xlfn.XLOOKUP(B30,'Up Max'!A:A,'Up Max'!G:G,)</f>
        <v/>
      </c>
      <c r="AC30" s="48" t="str">
        <f t="array" ref="AC30">_xlfn.XLOOKUP(B30,'Up Stats'!A:A,'Up Stats'!H:H,)</f>
        <v/>
      </c>
      <c r="AD30" s="40" t="str">
        <f>IFERROR(__xludf.DUMMYFUNCTION("if(AND(AE30=FALSE,AF30=FALSE),,if(AE30=AF30,JOIN("""",""Static: "",AE30),JOIN("""",""Min:  "",AE30, CHAR(10),""Max: "",AF30)))"),"")</f>
        <v/>
      </c>
      <c r="AE30" s="42" t="str">
        <f t="array" ref="AE30">_xlfn.XLOOKUP(B30,'Up Min'!A:A,'Up Min'!H:H,)</f>
        <v/>
      </c>
      <c r="AF30" s="42" t="str">
        <f t="array" ref="AF30">_xlfn.XLOOKUP(B30,'Up Max'!A:A,'Up Max'!H:H,)</f>
        <v/>
      </c>
      <c r="AG30" s="48" t="str">
        <f t="array" ref="AG30">_xlfn.XLOOKUP(B30,'Up Stats'!A:A,'Up Stats'!I:I,)</f>
        <v/>
      </c>
      <c r="AH30" s="40" t="str">
        <f>IFERROR(__xludf.DUMMYFUNCTION("if(AND(AI30=FALSE,AJ30=FALSE),,if(AI30=AJ30,JOIN("""",""Static: "",AI30),JOIN("""",""Min:  "",AI30, CHAR(10),""Max: "",AJ30)))"),"")</f>
        <v/>
      </c>
      <c r="AI30" s="42" t="str">
        <f t="array" ref="AI30">_xlfn.XLOOKUP(B30,'Up Min'!A:A,'Up Min'!I:I,)</f>
        <v/>
      </c>
      <c r="AJ30" s="42" t="str">
        <f t="array" ref="AJ30">_xlfn.XLOOKUP(B30,'Up Max'!A:A,'Up Max'!I:I,)</f>
        <v/>
      </c>
      <c r="AK30" s="48" t="str">
        <f t="array" ref="AK30">_xlfn.XLOOKUP(B30,'Up Stats'!A:A,'Up Stats'!J:J,)</f>
        <v/>
      </c>
      <c r="AL30" s="40" t="str">
        <f>IFERROR(__xludf.DUMMYFUNCTION("if(AND(AM30=FALSE,AN30=FALSE),,if(AM30=AN30,JOIN("""",""Static: "",AM30),JOIN("""",""Min:  "",AM30, CHAR(10),""Max: "",AN30)))"),"")</f>
        <v/>
      </c>
      <c r="AM30" s="42" t="str">
        <f t="array" ref="AM30">_xlfn.XLOOKUP(B30,'Up Min'!A:A,'Up Min'!J:J,)</f>
        <v/>
      </c>
      <c r="AN30" s="42" t="str">
        <f t="array" ref="AN30">_xlfn.XLOOKUP(B30,'Up Max'!A:A,'Up Max'!J:J,)</f>
        <v/>
      </c>
      <c r="AO30" s="34" t="str">
        <f t="array" ref="AO30">CONCATENATE(_xlfn.XLOOKUP(B30,'Up Cells'!A:A,'Up Cells'!B:B,))</f>
        <v>4</v>
      </c>
      <c r="AP30" s="34" t="str">
        <f t="array" ref="AP30">CONCATENATE(_xlfn.XLOOKUP(B30,'Up Rarity'!A:A,'Up Rarity'!B:B,),CHAR(10),"-")</f>
        <v>Rare
-</v>
      </c>
    </row>
    <row r="31">
      <c r="A31" s="83" t="str">
        <f t="array" ref="A31">_xlfn.XLOOKUP(B31,'Up Icon'!A:A,'Up Icon'!B:B,)</f>
        <v/>
      </c>
      <c r="B31" s="88" t="str">
        <f t="array" ref="B31">HYPERLINK(_xlfn.XLOOKUP('Up Names'!P23,'Up Wiki'!A:A,'Up Wiki'!B:B,),'Up Names'!P23)</f>
        <v>Punch Punch</v>
      </c>
      <c r="C31" s="70" t="str">
        <f t="array" ref="C31">_xlfn.XLOOKUP(B31,'Up Desc'!A:A,'Up Desc'!B:B,)</f>
        <v>Killing an enemy with a melee attack drops additional small health chunks.</v>
      </c>
      <c r="D31" s="52" t="str">
        <f t="array" ref="D31">_xlfn.XLOOKUP(B31,'Up Turbo'!A:A,'Up Turbo'!B:B,)</f>
        <v>n/a</v>
      </c>
      <c r="E31" s="53" t="str">
        <f t="array" ref="E31">_xlfn.XLOOKUP(B31,'Up Stats'!A:A,'Up Stats'!B:B,)</f>
        <v>Chunks</v>
      </c>
      <c r="F31" s="54" t="str">
        <f>IFERROR(__xludf.DUMMYFUNCTION("if(AND(G31=FALSE,H31=FALSE),,if(G31=H31,JOIN("""",""Static: "",G31),JOIN("""",""Min:  "",G31, CHAR(10),""Max: "",H31)))"),"Min:  1
Max: 3")</f>
        <v>Min:  1
Max: 3</v>
      </c>
      <c r="G31" s="64">
        <f t="array" ref="G31">_xlfn.XLOOKUP(B31,'Up Min'!A:A,'Up Min'!B:B,)</f>
        <v>1</v>
      </c>
      <c r="H31" s="65">
        <f t="array" ref="H31">_xlfn.XLOOKUP(B31,'Up Max'!A:A,'Up Max'!B:B,)</f>
        <v>3</v>
      </c>
      <c r="I31" s="53" t="str">
        <f t="array" ref="I31">_xlfn.XLOOKUP(B31,'Up Stats'!A:A,'Up Stats'!C:C,)</f>
        <v/>
      </c>
      <c r="J31" s="54" t="str">
        <f>IFERROR(__xludf.DUMMYFUNCTION("if(AND(K31=FALSE,L31=FALSE),,if(K31=L31,JOIN("""",""Static: "",K31),JOIN("""",""Min:  "",K31, CHAR(10),""Max: "",L31)))"),"")</f>
        <v/>
      </c>
      <c r="K31" s="72" t="str">
        <f t="array" ref="K31">_xlfn.XLOOKUP(B31,'Up Min'!A:A,'Up Min'!C:C,)</f>
        <v/>
      </c>
      <c r="L31" s="72" t="str">
        <f t="array" ref="L31">_xlfn.XLOOKUP(B31,'Up Max'!A:A,'Up Max'!C:C,)</f>
        <v/>
      </c>
      <c r="M31" s="57" t="str">
        <f t="array" ref="M31">_xlfn.XLOOKUP(B31,'Up Stats'!A:A,'Up Stats'!D:D,)</f>
        <v/>
      </c>
      <c r="N31" s="54" t="str">
        <f>IFERROR(__xludf.DUMMYFUNCTION("if(AND(O31=FALSE,P31=FALSE),,if(O31=P31,JOIN("""",""Static: "",O31),JOIN("""",""Min:  "",O31, CHAR(10),""Max: "",P31)))"),"")</f>
        <v/>
      </c>
      <c r="O31" s="55" t="str">
        <f t="array" ref="O31">_xlfn.XLOOKUP(B31,'Up Min'!A:A,'Up Min'!D:D,)</f>
        <v/>
      </c>
      <c r="P31" s="55" t="str">
        <f t="array" ref="P31">_xlfn.XLOOKUP(B31,'Up Max'!A:A,'Up Max'!D:D,)</f>
        <v/>
      </c>
      <c r="Q31" s="57" t="str">
        <f t="array" ref="Q31">_xlfn.XLOOKUP(B31,'Up Stats'!A:A,'Up Stats'!E:E,)</f>
        <v/>
      </c>
      <c r="R31" s="54" t="str">
        <f>IFERROR(__xludf.DUMMYFUNCTION("if(AND(S31=FALSE,T31=FALSE),,if(S31=T31,JOIN("""",""Static: "",S31),JOIN("""",""Min:  "",S31, CHAR(10),""Max: "",T31)))"),"")</f>
        <v/>
      </c>
      <c r="S31" s="55" t="str">
        <f t="array" ref="S31">_xlfn.XLOOKUP(B31,'Up Min'!A:A,'Up Min'!E:E,)</f>
        <v/>
      </c>
      <c r="T31" s="55" t="str">
        <f t="array" ref="T31">_xlfn.XLOOKUP(B31,'Up Max'!A:A,'Up Max'!E:E,)</f>
        <v/>
      </c>
      <c r="U31" s="57" t="str">
        <f t="array" ref="U31">_xlfn.XLOOKUP(B31,'Up Stats'!A:A,'Up Stats'!F:F,)</f>
        <v/>
      </c>
      <c r="V31" s="54" t="str">
        <f>IFERROR(__xludf.DUMMYFUNCTION("if(AND(W31=FALSE,X31=FALSE),,if(W31=X31,JOIN("""",""Static: "",W31),JOIN("""",""Min:  "",W31, CHAR(10),""Max: "",X31)))"),"")</f>
        <v/>
      </c>
      <c r="W31" s="55" t="str">
        <f t="array" ref="W31">_xlfn.XLOOKUP(B31,'Up Min'!A:A,'Up Min'!F:F,)</f>
        <v/>
      </c>
      <c r="X31" s="55" t="str">
        <f t="array" ref="X31">_xlfn.XLOOKUP(B31,'Up Max'!A:A,'Up Max'!F:F,)</f>
        <v/>
      </c>
      <c r="Y31" s="57" t="str">
        <f t="array" ref="Y31">_xlfn.XLOOKUP(B31,'Up Stats'!A:A,'Up Stats'!G:G,)</f>
        <v/>
      </c>
      <c r="Z31" s="54" t="str">
        <f>IFERROR(__xludf.DUMMYFUNCTION("if(AND(AA31=FALSE,AB31=FALSE),,if(AA31=AB31,JOIN("""",""Static: "",AA31),JOIN("""",""Min:  "",AA31, CHAR(10),""Max: "",AB31)))"),"")</f>
        <v/>
      </c>
      <c r="AA31" s="55" t="str">
        <f t="array" ref="AA31">_xlfn.XLOOKUP(B31,'Up Min'!A:A,'Up Min'!G:G,)</f>
        <v/>
      </c>
      <c r="AB31" s="55" t="str">
        <f t="array" ref="AB31">_xlfn.XLOOKUP(B31,'Up Max'!A:A,'Up Max'!G:G,)</f>
        <v/>
      </c>
      <c r="AC31" s="57" t="str">
        <f t="array" ref="AC31">_xlfn.XLOOKUP(B31,'Up Stats'!A:A,'Up Stats'!H:H,)</f>
        <v/>
      </c>
      <c r="AD31" s="54" t="str">
        <f>IFERROR(__xludf.DUMMYFUNCTION("if(AND(AE31=FALSE,AF31=FALSE),,if(AE31=AF31,JOIN("""",""Static: "",AE31),JOIN("""",""Min:  "",AE31, CHAR(10),""Max: "",AF31)))"),"")</f>
        <v/>
      </c>
      <c r="AE31" s="55" t="str">
        <f t="array" ref="AE31">_xlfn.XLOOKUP(B31,'Up Min'!A:A,'Up Min'!H:H,)</f>
        <v/>
      </c>
      <c r="AF31" s="55" t="str">
        <f t="array" ref="AF31">_xlfn.XLOOKUP(B31,'Up Max'!A:A,'Up Max'!H:H,)</f>
        <v/>
      </c>
      <c r="AG31" s="57" t="str">
        <f t="array" ref="AG31">_xlfn.XLOOKUP(B31,'Up Stats'!A:A,'Up Stats'!I:I,)</f>
        <v/>
      </c>
      <c r="AH31" s="54" t="str">
        <f>IFERROR(__xludf.DUMMYFUNCTION("if(AND(AI31=FALSE,AJ31=FALSE),,if(AI31=AJ31,JOIN("""",""Static: "",AI31),JOIN("""",""Min:  "",AI31, CHAR(10),""Max: "",AJ31)))"),"")</f>
        <v/>
      </c>
      <c r="AI31" s="55" t="str">
        <f t="array" ref="AI31">_xlfn.XLOOKUP(B31,'Up Min'!A:A,'Up Min'!I:I,)</f>
        <v/>
      </c>
      <c r="AJ31" s="55" t="str">
        <f t="array" ref="AJ31">_xlfn.XLOOKUP(B31,'Up Max'!A:A,'Up Max'!I:I,)</f>
        <v/>
      </c>
      <c r="AK31" s="57" t="str">
        <f t="array" ref="AK31">_xlfn.XLOOKUP(B31,'Up Stats'!A:A,'Up Stats'!J:J,)</f>
        <v/>
      </c>
      <c r="AL31" s="54" t="str">
        <f>IFERROR(__xludf.DUMMYFUNCTION("if(AND(AM31=FALSE,AN31=FALSE),,if(AM31=AN31,JOIN("""",""Static: "",AM31),JOIN("""",""Min:  "",AM31, CHAR(10),""Max: "",AN31)))"),"")</f>
        <v/>
      </c>
      <c r="AM31" s="55" t="str">
        <f t="array" ref="AM31">_xlfn.XLOOKUP(B31,'Up Min'!A:A,'Up Min'!J:J,)</f>
        <v/>
      </c>
      <c r="AN31" s="55" t="str">
        <f t="array" ref="AN31">_xlfn.XLOOKUP(B31,'Up Max'!A:A,'Up Max'!J:J,)</f>
        <v/>
      </c>
      <c r="AO31" s="51" t="str">
        <f t="array" ref="AO31">CONCATENATE(_xlfn.XLOOKUP(B31,'Up Cells'!A:A,'Up Cells'!B:B,))</f>
        <v>4</v>
      </c>
      <c r="AP31" s="51" t="str">
        <f t="array" ref="AP31">CONCATENATE(_xlfn.XLOOKUP(B31,'Up Rarity'!A:A,'Up Rarity'!B:B,),CHAR(10),"-")</f>
        <v>Rare
-</v>
      </c>
    </row>
    <row r="32">
      <c r="A32" s="83" t="str">
        <f t="array" ref="A32">_xlfn.XLOOKUP(B32,'Up Icon'!A:A,'Up Icon'!B:B,)</f>
        <v/>
      </c>
      <c r="B32" s="89" t="str">
        <f t="array" ref="B32">HYPERLINK(_xlfn.XLOOKUP('Up Names'!P24,'Up Wiki'!A:A,'Up Wiki'!B:B,),'Up Names'!P24)</f>
        <v>Reinforced Plating</v>
      </c>
      <c r="C32" s="67" t="str">
        <f t="array" ref="C32">_xlfn.XLOOKUP(B32,'Up Desc'!A:A,'Up Desc'!B:B,)</f>
        <v>Health is increased.</v>
      </c>
      <c r="D32" s="37" t="str">
        <f t="array" ref="D32">_xlfn.XLOOKUP(B32,'Up Turbo'!A:A,'Up Turbo'!B:B,)</f>
        <v>n/a</v>
      </c>
      <c r="E32" s="39" t="str">
        <f t="array" ref="E32">_xlfn.XLOOKUP(B32,'Up Stats'!A:A,'Up Stats'!B:B,)</f>
        <v>Health</v>
      </c>
      <c r="F32" s="40" t="str">
        <f>IFERROR(__xludf.DUMMYFUNCTION("if(AND(G32=FALSE,H32=FALSE),,if(G32=H32,JOIN("""",""Static: "",G32),JOIN("""",""Min:  "",G32, CHAR(10),""Max: "",H32)))"),"Min:  6%
Max: 12%")</f>
        <v>Min:  6%
Max: 12%</v>
      </c>
      <c r="G32" s="41">
        <f t="array" ref="G32">_xlfn.XLOOKUP(B32,'Up Min'!A:A,'Up Min'!B:B,)</f>
        <v>0.06</v>
      </c>
      <c r="H32" s="41">
        <f t="array" ref="H32">_xlfn.XLOOKUP(B32,'Up Max'!A:A,'Up Max'!B:B,)</f>
        <v>0.12</v>
      </c>
      <c r="I32" s="39" t="str">
        <f t="array" ref="I32">_xlfn.XLOOKUP(B32,'Up Stats'!A:A,'Up Stats'!C:C,)</f>
        <v/>
      </c>
      <c r="J32" s="40" t="str">
        <f>IFERROR(__xludf.DUMMYFUNCTION("if(AND(K32=FALSE,L32=FALSE),,if(K32=L32,JOIN("""",""Static: "",K32),JOIN("""",""Min:  "",K32, CHAR(10),""Max: "",L32)))"),"")</f>
        <v/>
      </c>
      <c r="K32" s="74" t="str">
        <f t="array" ref="K32">_xlfn.XLOOKUP(B32,'Up Min'!A:A,'Up Min'!C:C,)</f>
        <v/>
      </c>
      <c r="L32" s="74" t="str">
        <f t="array" ref="L32">_xlfn.XLOOKUP(B32,'Up Max'!A:A,'Up Max'!C:C,)</f>
        <v/>
      </c>
      <c r="M32" s="48" t="str">
        <f t="array" ref="M32">_xlfn.XLOOKUP(B32,'Up Stats'!A:A,'Up Stats'!D:D,)</f>
        <v/>
      </c>
      <c r="N32" s="40" t="str">
        <f>IFERROR(__xludf.DUMMYFUNCTION("if(AND(O32=FALSE,P32=FALSE),,if(O32=P32,JOIN("""",""Static: "",O32),JOIN("""",""Min:  "",O32, CHAR(10),""Max: "",P32)))"),"")</f>
        <v/>
      </c>
      <c r="O32" s="42" t="str">
        <f t="array" ref="O32">_xlfn.XLOOKUP(B32,'Up Min'!A:A,'Up Min'!D:D,)</f>
        <v/>
      </c>
      <c r="P32" s="42" t="str">
        <f t="array" ref="P32">_xlfn.XLOOKUP(B32,'Up Max'!A:A,'Up Max'!D:D,)</f>
        <v/>
      </c>
      <c r="Q32" s="48" t="str">
        <f t="array" ref="Q32">_xlfn.XLOOKUP(B32,'Up Stats'!A:A,'Up Stats'!E:E,)</f>
        <v/>
      </c>
      <c r="R32" s="40" t="str">
        <f>IFERROR(__xludf.DUMMYFUNCTION("if(AND(S32=FALSE,T32=FALSE),,if(S32=T32,JOIN("""",""Static: "",S32),JOIN("""",""Min:  "",S32, CHAR(10),""Max: "",T32)))"),"")</f>
        <v/>
      </c>
      <c r="S32" s="42" t="str">
        <f t="array" ref="S32">_xlfn.XLOOKUP(B32,'Up Min'!A:A,'Up Min'!E:E,)</f>
        <v/>
      </c>
      <c r="T32" s="42" t="str">
        <f t="array" ref="T32">_xlfn.XLOOKUP(B32,'Up Max'!A:A,'Up Max'!E:E,)</f>
        <v/>
      </c>
      <c r="U32" s="48" t="str">
        <f t="array" ref="U32">_xlfn.XLOOKUP(B32,'Up Stats'!A:A,'Up Stats'!F:F,)</f>
        <v/>
      </c>
      <c r="V32" s="40" t="str">
        <f>IFERROR(__xludf.DUMMYFUNCTION("if(AND(W32=FALSE,X32=FALSE),,if(W32=X32,JOIN("""",""Static: "",W32),JOIN("""",""Min:  "",W32, CHAR(10),""Max: "",X32)))"),"")</f>
        <v/>
      </c>
      <c r="W32" s="42" t="str">
        <f t="array" ref="W32">_xlfn.XLOOKUP(B32,'Up Min'!A:A,'Up Min'!F:F,)</f>
        <v/>
      </c>
      <c r="X32" s="42" t="str">
        <f t="array" ref="X32">_xlfn.XLOOKUP(B32,'Up Max'!A:A,'Up Max'!F:F,)</f>
        <v/>
      </c>
      <c r="Y32" s="48" t="str">
        <f t="array" ref="Y32">_xlfn.XLOOKUP(B32,'Up Stats'!A:A,'Up Stats'!G:G,)</f>
        <v/>
      </c>
      <c r="Z32" s="40" t="str">
        <f>IFERROR(__xludf.DUMMYFUNCTION("if(AND(AA32=FALSE,AB32=FALSE),,if(AA32=AB32,JOIN("""",""Static: "",AA32),JOIN("""",""Min:  "",AA32, CHAR(10),""Max: "",AB32)))"),"")</f>
        <v/>
      </c>
      <c r="AA32" s="42" t="str">
        <f t="array" ref="AA32">_xlfn.XLOOKUP(B32,'Up Min'!A:A,'Up Min'!G:G,)</f>
        <v/>
      </c>
      <c r="AB32" s="42" t="str">
        <f t="array" ref="AB32">_xlfn.XLOOKUP(B32,'Up Max'!A:A,'Up Max'!G:G,)</f>
        <v/>
      </c>
      <c r="AC32" s="48" t="str">
        <f t="array" ref="AC32">_xlfn.XLOOKUP(B32,'Up Stats'!A:A,'Up Stats'!H:H,)</f>
        <v/>
      </c>
      <c r="AD32" s="40" t="str">
        <f>IFERROR(__xludf.DUMMYFUNCTION("if(AND(AE32=FALSE,AF32=FALSE),,if(AE32=AF32,JOIN("""",""Static: "",AE32),JOIN("""",""Min:  "",AE32, CHAR(10),""Max: "",AF32)))"),"")</f>
        <v/>
      </c>
      <c r="AE32" s="42" t="str">
        <f t="array" ref="AE32">_xlfn.XLOOKUP(B32,'Up Min'!A:A,'Up Min'!H:H,)</f>
        <v/>
      </c>
      <c r="AF32" s="42" t="str">
        <f t="array" ref="AF32">_xlfn.XLOOKUP(B32,'Up Max'!A:A,'Up Max'!H:H,)</f>
        <v/>
      </c>
      <c r="AG32" s="48" t="str">
        <f t="array" ref="AG32">_xlfn.XLOOKUP(B32,'Up Stats'!A:A,'Up Stats'!I:I,)</f>
        <v/>
      </c>
      <c r="AH32" s="40" t="str">
        <f>IFERROR(__xludf.DUMMYFUNCTION("if(AND(AI32=FALSE,AJ32=FALSE),,if(AI32=AJ32,JOIN("""",""Static: "",AI32),JOIN("""",""Min:  "",AI32, CHAR(10),""Max: "",AJ32)))"),"")</f>
        <v/>
      </c>
      <c r="AI32" s="42" t="str">
        <f t="array" ref="AI32">_xlfn.XLOOKUP(B32,'Up Min'!A:A,'Up Min'!I:I,)</f>
        <v/>
      </c>
      <c r="AJ32" s="42" t="str">
        <f t="array" ref="AJ32">_xlfn.XLOOKUP(B32,'Up Max'!A:A,'Up Max'!I:I,)</f>
        <v/>
      </c>
      <c r="AK32" s="48" t="str">
        <f t="array" ref="AK32">_xlfn.XLOOKUP(B32,'Up Stats'!A:A,'Up Stats'!J:J,)</f>
        <v/>
      </c>
      <c r="AL32" s="40" t="str">
        <f>IFERROR(__xludf.DUMMYFUNCTION("if(AND(AM32=FALSE,AN32=FALSE),,if(AM32=AN32,JOIN("""",""Static: "",AM32),JOIN("""",""Min:  "",AM32, CHAR(10),""Max: "",AN32)))"),"")</f>
        <v/>
      </c>
      <c r="AM32" s="42" t="str">
        <f t="array" ref="AM32">_xlfn.XLOOKUP(B32,'Up Min'!A:A,'Up Min'!J:J,)</f>
        <v/>
      </c>
      <c r="AN32" s="42" t="str">
        <f t="array" ref="AN32">_xlfn.XLOOKUP(B32,'Up Max'!A:A,'Up Max'!J:J,)</f>
        <v/>
      </c>
      <c r="AO32" s="34" t="str">
        <f t="array" ref="AO32">CONCATENATE(_xlfn.XLOOKUP(B32,'Up Cells'!A:A,'Up Cells'!B:B,))</f>
        <v>4</v>
      </c>
      <c r="AP32" s="34" t="str">
        <f t="array" ref="AP32">CONCATENATE(_xlfn.XLOOKUP(B32,'Up Rarity'!A:A,'Up Rarity'!B:B,),CHAR(10),"-")</f>
        <v>Rare
-</v>
      </c>
    </row>
    <row r="33">
      <c r="A33" s="83" t="str">
        <f t="array" ref="A33">_xlfn.XLOOKUP(B33,'Up Icon'!A:A,'Up Icon'!B:B,)</f>
        <v/>
      </c>
      <c r="B33" s="88" t="str">
        <f t="array" ref="B33">HYPERLINK(_xlfn.XLOOKUP('Up Names'!P25,'Up Wiki'!A:A,'Up Wiki'!B:B,),'Up Names'!P25)</f>
        <v>Repair Siphon</v>
      </c>
      <c r="C33" s="70" t="str">
        <f t="array" ref="C33">_xlfn.XLOOKUP(B33,'Up Desc'!A:A,'Up Desc'!B:B,)</f>
        <v>Gain health when you repair another player.</v>
      </c>
      <c r="D33" s="52" t="str">
        <f t="array" ref="D33">_xlfn.XLOOKUP(B33,'Up Turbo'!A:A,'Up Turbo'!B:B,)</f>
        <v>n/a</v>
      </c>
      <c r="E33" s="53" t="str">
        <f t="array" ref="E33">_xlfn.XLOOKUP(B33,'Up Stats'!A:A,'Up Stats'!B:B,)</f>
        <v>Health</v>
      </c>
      <c r="F33" s="54" t="str">
        <f>IFERROR(__xludf.DUMMYFUNCTION("if(AND(G33=FALSE,H33=FALSE),,if(G33=H33,JOIN("""",""Static: "",G33),JOIN("""",""Min:  "",G33, CHAR(10),""Max: "",H33)))"),"Static: 20")</f>
        <v>Static: 20</v>
      </c>
      <c r="G33" s="64">
        <f t="array" ref="G33">_xlfn.XLOOKUP(B33,'Up Min'!A:A,'Up Min'!B:B,)</f>
        <v>20</v>
      </c>
      <c r="H33" s="65">
        <f t="array" ref="H33">_xlfn.XLOOKUP(B33,'Up Max'!A:A,'Up Max'!B:B,)</f>
        <v>20</v>
      </c>
      <c r="I33" s="53" t="str">
        <f t="array" ref="I33">_xlfn.XLOOKUP(B33,'Up Stats'!A:A,'Up Stats'!C:C,)</f>
        <v/>
      </c>
      <c r="J33" s="54" t="str">
        <f>IFERROR(__xludf.DUMMYFUNCTION("if(AND(K33=FALSE,L33=FALSE),,if(K33=L33,JOIN("""",""Static: "",K33),JOIN("""",""Min:  "",K33, CHAR(10),""Max: "",L33)))"),"")</f>
        <v/>
      </c>
      <c r="K33" s="72" t="str">
        <f t="array" ref="K33">_xlfn.XLOOKUP(B33,'Up Min'!A:A,'Up Min'!C:C,)</f>
        <v/>
      </c>
      <c r="L33" s="72" t="str">
        <f t="array" ref="L33">_xlfn.XLOOKUP(B33,'Up Max'!A:A,'Up Max'!C:C,)</f>
        <v/>
      </c>
      <c r="M33" s="57" t="str">
        <f t="array" ref="M33">_xlfn.XLOOKUP(B33,'Up Stats'!A:A,'Up Stats'!D:D,)</f>
        <v/>
      </c>
      <c r="N33" s="54" t="str">
        <f>IFERROR(__xludf.DUMMYFUNCTION("if(AND(O33=FALSE,P33=FALSE),,if(O33=P33,JOIN("""",""Static: "",O33),JOIN("""",""Min:  "",O33, CHAR(10),""Max: "",P33)))"),"")</f>
        <v/>
      </c>
      <c r="O33" s="55" t="str">
        <f t="array" ref="O33">_xlfn.XLOOKUP(B33,'Up Min'!A:A,'Up Min'!D:D,)</f>
        <v/>
      </c>
      <c r="P33" s="55" t="str">
        <f t="array" ref="P33">_xlfn.XLOOKUP(B33,'Up Max'!A:A,'Up Max'!D:D,)</f>
        <v/>
      </c>
      <c r="Q33" s="57" t="str">
        <f t="array" ref="Q33">_xlfn.XLOOKUP(B33,'Up Stats'!A:A,'Up Stats'!E:E,)</f>
        <v/>
      </c>
      <c r="R33" s="54" t="str">
        <f>IFERROR(__xludf.DUMMYFUNCTION("if(AND(S33=FALSE,T33=FALSE),,if(S33=T33,JOIN("""",""Static: "",S33),JOIN("""",""Min:  "",S33, CHAR(10),""Max: "",T33)))"),"")</f>
        <v/>
      </c>
      <c r="S33" s="55" t="str">
        <f t="array" ref="S33">_xlfn.XLOOKUP(B33,'Up Min'!A:A,'Up Min'!E:E,)</f>
        <v/>
      </c>
      <c r="T33" s="55" t="str">
        <f t="array" ref="T33">_xlfn.XLOOKUP(B33,'Up Max'!A:A,'Up Max'!E:E,)</f>
        <v/>
      </c>
      <c r="U33" s="57" t="str">
        <f t="array" ref="U33">_xlfn.XLOOKUP(B33,'Up Stats'!A:A,'Up Stats'!F:F,)</f>
        <v/>
      </c>
      <c r="V33" s="54" t="str">
        <f>IFERROR(__xludf.DUMMYFUNCTION("if(AND(W33=FALSE,X33=FALSE),,if(W33=X33,JOIN("""",""Static: "",W33),JOIN("""",""Min:  "",W33, CHAR(10),""Max: "",X33)))"),"")</f>
        <v/>
      </c>
      <c r="W33" s="55" t="str">
        <f t="array" ref="W33">_xlfn.XLOOKUP(B33,'Up Min'!A:A,'Up Min'!F:F,)</f>
        <v/>
      </c>
      <c r="X33" s="55" t="str">
        <f t="array" ref="X33">_xlfn.XLOOKUP(B33,'Up Max'!A:A,'Up Max'!F:F,)</f>
        <v/>
      </c>
      <c r="Y33" s="57" t="str">
        <f t="array" ref="Y33">_xlfn.XLOOKUP(B33,'Up Stats'!A:A,'Up Stats'!G:G,)</f>
        <v/>
      </c>
      <c r="Z33" s="54" t="str">
        <f>IFERROR(__xludf.DUMMYFUNCTION("if(AND(AA33=FALSE,AB33=FALSE),,if(AA33=AB33,JOIN("""",""Static: "",AA33),JOIN("""",""Min:  "",AA33, CHAR(10),""Max: "",AB33)))"),"")</f>
        <v/>
      </c>
      <c r="AA33" s="55" t="str">
        <f t="array" ref="AA33">_xlfn.XLOOKUP(B33,'Up Min'!A:A,'Up Min'!G:G,)</f>
        <v/>
      </c>
      <c r="AB33" s="55" t="str">
        <f t="array" ref="AB33">_xlfn.XLOOKUP(B33,'Up Max'!A:A,'Up Max'!G:G,)</f>
        <v/>
      </c>
      <c r="AC33" s="57" t="str">
        <f t="array" ref="AC33">_xlfn.XLOOKUP(B33,'Up Stats'!A:A,'Up Stats'!H:H,)</f>
        <v/>
      </c>
      <c r="AD33" s="54" t="str">
        <f>IFERROR(__xludf.DUMMYFUNCTION("if(AND(AE33=FALSE,AF33=FALSE),,if(AE33=AF33,JOIN("""",""Static: "",AE33),JOIN("""",""Min:  "",AE33, CHAR(10),""Max: "",AF33)))"),"")</f>
        <v/>
      </c>
      <c r="AE33" s="55" t="str">
        <f t="array" ref="AE33">_xlfn.XLOOKUP(B33,'Up Min'!A:A,'Up Min'!H:H,)</f>
        <v/>
      </c>
      <c r="AF33" s="55" t="str">
        <f t="array" ref="AF33">_xlfn.XLOOKUP(B33,'Up Max'!A:A,'Up Max'!H:H,)</f>
        <v/>
      </c>
      <c r="AG33" s="57" t="str">
        <f t="array" ref="AG33">_xlfn.XLOOKUP(B33,'Up Stats'!A:A,'Up Stats'!I:I,)</f>
        <v/>
      </c>
      <c r="AH33" s="54" t="str">
        <f>IFERROR(__xludf.DUMMYFUNCTION("if(AND(AI33=FALSE,AJ33=FALSE),,if(AI33=AJ33,JOIN("""",""Static: "",AI33),JOIN("""",""Min:  "",AI33, CHAR(10),""Max: "",AJ33)))"),"")</f>
        <v/>
      </c>
      <c r="AI33" s="55" t="str">
        <f t="array" ref="AI33">_xlfn.XLOOKUP(B33,'Up Min'!A:A,'Up Min'!I:I,)</f>
        <v/>
      </c>
      <c r="AJ33" s="55" t="str">
        <f t="array" ref="AJ33">_xlfn.XLOOKUP(B33,'Up Max'!A:A,'Up Max'!I:I,)</f>
        <v/>
      </c>
      <c r="AK33" s="57" t="str">
        <f t="array" ref="AK33">_xlfn.XLOOKUP(B33,'Up Stats'!A:A,'Up Stats'!J:J,)</f>
        <v/>
      </c>
      <c r="AL33" s="54" t="str">
        <f>IFERROR(__xludf.DUMMYFUNCTION("if(AND(AM33=FALSE,AN33=FALSE),,if(AM33=AN33,JOIN("""",""Static: "",AM33),JOIN("""",""Min:  "",AM33, CHAR(10),""Max: "",AN33)))"),"")</f>
        <v/>
      </c>
      <c r="AM33" s="55" t="str">
        <f t="array" ref="AM33">_xlfn.XLOOKUP(B33,'Up Min'!A:A,'Up Min'!J:J,)</f>
        <v/>
      </c>
      <c r="AN33" s="55" t="str">
        <f t="array" ref="AN33">_xlfn.XLOOKUP(B33,'Up Max'!A:A,'Up Max'!J:J,)</f>
        <v/>
      </c>
      <c r="AO33" s="51" t="str">
        <f t="array" ref="AO33">CONCATENATE(_xlfn.XLOOKUP(B33,'Up Cells'!A:A,'Up Cells'!B:B,))</f>
        <v>3</v>
      </c>
      <c r="AP33" s="51" t="str">
        <f t="array" ref="AP33">CONCATENATE(_xlfn.XLOOKUP(B33,'Up Rarity'!A:A,'Up Rarity'!B:B,),CHAR(10),"-")</f>
        <v>Rare
-</v>
      </c>
    </row>
    <row r="34">
      <c r="A34" s="83" t="str">
        <f t="array" ref="A34">_xlfn.XLOOKUP(B34,'Up Icon'!A:A,'Up Icon'!B:B,)</f>
        <v/>
      </c>
      <c r="B34" s="89" t="str">
        <f t="array" ref="B34">HYPERLINK(_xlfn.XLOOKUP('Up Names'!P26,'Up Wiki'!A:A,'Up Wiki'!B:B,),'Up Names'!P26)</f>
        <v>Shock Affinity</v>
      </c>
      <c r="C34" s="37" t="str">
        <f t="array" ref="C34">_xlfn.XLOOKUP(B34,'Up Desc'!A:A,'Up Desc'!B:B,)</f>
        <v>Apply more shock to all targets.</v>
      </c>
      <c r="D34" s="37" t="str">
        <f t="array" ref="D34">_xlfn.XLOOKUP(B34,'Up Turbo'!A:A,'Up Turbo'!B:B,)</f>
        <v>n/a</v>
      </c>
      <c r="E34" s="39" t="str">
        <f t="array" ref="E34">_xlfn.XLOOKUP(B34,'Up Stats'!A:A,'Up Stats'!B:B,)</f>
        <v>Element</v>
      </c>
      <c r="F34" s="40" t="str">
        <f>IFERROR(__xludf.DUMMYFUNCTION("if(AND(G34=FALSE,H34=FALSE),,if(G34=H34,JOIN("""",""Static: "",G34),JOIN("""",""Min:  "",G34, CHAR(10),""Max: "",H34)))"),"Static: 15%")</f>
        <v>Static: 15%</v>
      </c>
      <c r="G34" s="41">
        <f t="array" ref="G34">_xlfn.XLOOKUP(B34,'Up Min'!A:A,'Up Min'!B:B,)</f>
        <v>0.15</v>
      </c>
      <c r="H34" s="41">
        <f t="array" ref="H34">_xlfn.XLOOKUP(B34,'Up Max'!A:A,'Up Max'!B:B,)</f>
        <v>0.15</v>
      </c>
      <c r="I34" s="39" t="str">
        <f t="array" ref="I34">_xlfn.XLOOKUP(B34,'Up Stats'!A:A,'Up Stats'!C:C,)</f>
        <v/>
      </c>
      <c r="J34" s="40" t="str">
        <f>IFERROR(__xludf.DUMMYFUNCTION("if(AND(K34=FALSE,L34=FALSE),,if(K34=L34,JOIN("""",""Static: "",K34),JOIN("""",""Min:  "",K34, CHAR(10),""Max: "",L34)))"),"")</f>
        <v/>
      </c>
      <c r="K34" s="74" t="str">
        <f t="array" ref="K34">_xlfn.XLOOKUP(B34,'Up Min'!A:A,'Up Min'!C:C,)</f>
        <v/>
      </c>
      <c r="L34" s="74" t="str">
        <f t="array" ref="L34">_xlfn.XLOOKUP(B34,'Up Max'!A:A,'Up Max'!C:C,)</f>
        <v/>
      </c>
      <c r="M34" s="48" t="str">
        <f t="array" ref="M34">_xlfn.XLOOKUP(B34,'Up Stats'!A:A,'Up Stats'!D:D,)</f>
        <v/>
      </c>
      <c r="N34" s="40" t="str">
        <f>IFERROR(__xludf.DUMMYFUNCTION("if(AND(O34=FALSE,P34=FALSE),,if(O34=P34,JOIN("""",""Static: "",O34),JOIN("""",""Min:  "",O34, CHAR(10),""Max: "",P34)))"),"")</f>
        <v/>
      </c>
      <c r="O34" s="42" t="str">
        <f t="array" ref="O34">_xlfn.XLOOKUP(B34,'Up Min'!A:A,'Up Min'!D:D,)</f>
        <v/>
      </c>
      <c r="P34" s="42" t="str">
        <f t="array" ref="P34">_xlfn.XLOOKUP(B34,'Up Max'!A:A,'Up Max'!D:D,)</f>
        <v/>
      </c>
      <c r="Q34" s="48" t="str">
        <f t="array" ref="Q34">_xlfn.XLOOKUP(B34,'Up Stats'!A:A,'Up Stats'!E:E,)</f>
        <v/>
      </c>
      <c r="R34" s="40" t="str">
        <f>IFERROR(__xludf.DUMMYFUNCTION("if(AND(S34=FALSE,T34=FALSE),,if(S34=T34,JOIN("""",""Static: "",S34),JOIN("""",""Min:  "",S34, CHAR(10),""Max: "",T34)))"),"")</f>
        <v/>
      </c>
      <c r="S34" s="42" t="str">
        <f t="array" ref="S34">_xlfn.XLOOKUP(B34,'Up Min'!A:A,'Up Min'!E:E,)</f>
        <v/>
      </c>
      <c r="T34" s="42" t="str">
        <f t="array" ref="T34">_xlfn.XLOOKUP(B34,'Up Max'!A:A,'Up Max'!E:E,)</f>
        <v/>
      </c>
      <c r="U34" s="48" t="str">
        <f t="array" ref="U34">_xlfn.XLOOKUP(B34,'Up Stats'!A:A,'Up Stats'!F:F,)</f>
        <v/>
      </c>
      <c r="V34" s="40" t="str">
        <f>IFERROR(__xludf.DUMMYFUNCTION("if(AND(W34=FALSE,X34=FALSE),,if(W34=X34,JOIN("""",""Static: "",W34),JOIN("""",""Min:  "",W34, CHAR(10),""Max: "",X34)))"),"")</f>
        <v/>
      </c>
      <c r="W34" s="42" t="str">
        <f t="array" ref="W34">_xlfn.XLOOKUP(B34,'Up Min'!A:A,'Up Min'!F:F,)</f>
        <v/>
      </c>
      <c r="X34" s="42" t="str">
        <f t="array" ref="X34">_xlfn.XLOOKUP(B34,'Up Max'!A:A,'Up Max'!F:F,)</f>
        <v/>
      </c>
      <c r="Y34" s="48" t="str">
        <f t="array" ref="Y34">_xlfn.XLOOKUP(B34,'Up Stats'!A:A,'Up Stats'!G:G,)</f>
        <v/>
      </c>
      <c r="Z34" s="40" t="str">
        <f>IFERROR(__xludf.DUMMYFUNCTION("if(AND(AA34=FALSE,AB34=FALSE),,if(AA34=AB34,JOIN("""",""Static: "",AA34),JOIN("""",""Min:  "",AA34, CHAR(10),""Max: "",AB34)))"),"")</f>
        <v/>
      </c>
      <c r="AA34" s="42" t="str">
        <f t="array" ref="AA34">_xlfn.XLOOKUP(B34,'Up Min'!A:A,'Up Min'!G:G,)</f>
        <v/>
      </c>
      <c r="AB34" s="42" t="str">
        <f t="array" ref="AB34">_xlfn.XLOOKUP(B34,'Up Max'!A:A,'Up Max'!G:G,)</f>
        <v/>
      </c>
      <c r="AC34" s="48" t="str">
        <f t="array" ref="AC34">_xlfn.XLOOKUP(B34,'Up Stats'!A:A,'Up Stats'!H:H,)</f>
        <v/>
      </c>
      <c r="AD34" s="40" t="str">
        <f>IFERROR(__xludf.DUMMYFUNCTION("if(AND(AE34=FALSE,AF34=FALSE),,if(AE34=AF34,JOIN("""",""Static: "",AE34),JOIN("""",""Min:  "",AE34, CHAR(10),""Max: "",AF34)))"),"")</f>
        <v/>
      </c>
      <c r="AE34" s="42" t="str">
        <f t="array" ref="AE34">_xlfn.XLOOKUP(B34,'Up Min'!A:A,'Up Min'!H:H,)</f>
        <v/>
      </c>
      <c r="AF34" s="42" t="str">
        <f t="array" ref="AF34">_xlfn.XLOOKUP(B34,'Up Max'!A:A,'Up Max'!H:H,)</f>
        <v/>
      </c>
      <c r="AG34" s="48" t="str">
        <f t="array" ref="AG34">_xlfn.XLOOKUP(B34,'Up Stats'!A:A,'Up Stats'!I:I,)</f>
        <v/>
      </c>
      <c r="AH34" s="40" t="str">
        <f>IFERROR(__xludf.DUMMYFUNCTION("if(AND(AI34=FALSE,AJ34=FALSE),,if(AI34=AJ34,JOIN("""",""Static: "",AI34),JOIN("""",""Min:  "",AI34, CHAR(10),""Max: "",AJ34)))"),"")</f>
        <v/>
      </c>
      <c r="AI34" s="42" t="str">
        <f t="array" ref="AI34">_xlfn.XLOOKUP(B34,'Up Min'!A:A,'Up Min'!I:I,)</f>
        <v/>
      </c>
      <c r="AJ34" s="42" t="str">
        <f t="array" ref="AJ34">_xlfn.XLOOKUP(B34,'Up Max'!A:A,'Up Max'!I:I,)</f>
        <v/>
      </c>
      <c r="AK34" s="48" t="str">
        <f t="array" ref="AK34">_xlfn.XLOOKUP(B34,'Up Stats'!A:A,'Up Stats'!J:J,)</f>
        <v/>
      </c>
      <c r="AL34" s="40" t="str">
        <f>IFERROR(__xludf.DUMMYFUNCTION("if(AND(AM34=FALSE,AN34=FALSE),,if(AM34=AN34,JOIN("""",""Static: "",AM34),JOIN("""",""Min:  "",AM34, CHAR(10),""Max: "",AN34)))"),"")</f>
        <v/>
      </c>
      <c r="AM34" s="42" t="str">
        <f t="array" ref="AM34">_xlfn.XLOOKUP(B34,'Up Min'!A:A,'Up Min'!J:J,)</f>
        <v/>
      </c>
      <c r="AN34" s="42" t="str">
        <f t="array" ref="AN34">_xlfn.XLOOKUP(B34,'Up Max'!A:A,'Up Max'!J:J,)</f>
        <v/>
      </c>
      <c r="AO34" s="34" t="str">
        <f t="array" ref="AO34">CONCATENATE(_xlfn.XLOOKUP(B34,'Up Cells'!A:A,'Up Cells'!B:B,))</f>
        <v>3</v>
      </c>
      <c r="AP34" s="34" t="str">
        <f t="array" ref="AP34">CONCATENATE(_xlfn.XLOOKUP(B34,'Up Rarity'!A:A,'Up Rarity'!B:B,),CHAR(10),"-")</f>
        <v>Rare
-</v>
      </c>
    </row>
    <row r="35">
      <c r="A35" s="83" t="str">
        <f t="array" ref="A35">_xlfn.XLOOKUP(B35,'Up Icon'!A:A,'Up Icon'!B:B,)</f>
        <v/>
      </c>
      <c r="B35" s="88" t="str">
        <f t="array" ref="B35">HYPERLINK(_xlfn.XLOOKUP('Up Names'!P27,'Up Wiki'!A:A,'Up Wiki'!B:B,),'Up Names'!P27)</f>
        <v>Slide Buffer</v>
      </c>
      <c r="C35" s="70" t="str">
        <f t="array" ref="C35">_xlfn.XLOOKUP(B35,'Up Desc'!A:A,'Up Desc'!B:B,)</f>
        <v>Slider duration is increased for each cell that touches another upgrade.</v>
      </c>
      <c r="D35" s="52" t="str">
        <f t="array" ref="D35">_xlfn.XLOOKUP(B35,'Up Turbo'!A:A,'Up Turbo'!B:B,)</f>
        <v>n/a</v>
      </c>
      <c r="E35" s="53" t="str">
        <f t="array" ref="E35">_xlfn.XLOOKUP(B35,'Up Stats'!A:A,'Up Stats'!B:B,)</f>
        <v>Duration per Cell</v>
      </c>
      <c r="F35" s="54" t="str">
        <f>IFERROR(__xludf.DUMMYFUNCTION("if(AND(G35=FALSE,H35=FALSE),,if(G35=H35,JOIN("""",""Static: "",G35),JOIN("""",""Min:  "",G35, CHAR(10),""Max: "",H35)))"),"Min:  0.11
Max: 0.15")</f>
        <v>Min:  0.11
Max: 0.15</v>
      </c>
      <c r="G35" s="64">
        <f t="array" ref="G35">_xlfn.XLOOKUP(B35,'Up Min'!A:A,'Up Min'!B:B,)</f>
        <v>0.11</v>
      </c>
      <c r="H35" s="65">
        <f t="array" ref="H35">_xlfn.XLOOKUP(B35,'Up Max'!A:A,'Up Max'!B:B,)</f>
        <v>0.15</v>
      </c>
      <c r="I35" s="53" t="str">
        <f t="array" ref="I35">_xlfn.XLOOKUP(B35,'Up Stats'!A:A,'Up Stats'!C:C,)</f>
        <v/>
      </c>
      <c r="J35" s="54" t="str">
        <f>IFERROR(__xludf.DUMMYFUNCTION("if(AND(K35=FALSE,L35=FALSE),,if(K35=L35,JOIN("""",""Static: "",K35),JOIN("""",""Min:  "",K35, CHAR(10),""Max: "",L35)))"),"")</f>
        <v/>
      </c>
      <c r="K35" s="72" t="str">
        <f t="array" ref="K35">_xlfn.XLOOKUP(B35,'Up Min'!A:A,'Up Min'!C:C,)</f>
        <v/>
      </c>
      <c r="L35" s="72" t="str">
        <f t="array" ref="L35">_xlfn.XLOOKUP(B35,'Up Max'!A:A,'Up Max'!C:C,)</f>
        <v/>
      </c>
      <c r="M35" s="57" t="str">
        <f t="array" ref="M35">_xlfn.XLOOKUP(B35,'Up Stats'!A:A,'Up Stats'!D:D,)</f>
        <v/>
      </c>
      <c r="N35" s="54" t="str">
        <f>IFERROR(__xludf.DUMMYFUNCTION("if(AND(O35=FALSE,P35=FALSE),,if(O35=P35,JOIN("""",""Static: "",O35),JOIN("""",""Min:  "",O35, CHAR(10),""Max: "",P35)))"),"")</f>
        <v/>
      </c>
      <c r="O35" s="55" t="str">
        <f t="array" ref="O35">_xlfn.XLOOKUP(B35,'Up Min'!A:A,'Up Min'!D:D,)</f>
        <v/>
      </c>
      <c r="P35" s="55" t="str">
        <f t="array" ref="P35">_xlfn.XLOOKUP(B35,'Up Max'!A:A,'Up Max'!D:D,)</f>
        <v/>
      </c>
      <c r="Q35" s="57" t="str">
        <f t="array" ref="Q35">_xlfn.XLOOKUP(B35,'Up Stats'!A:A,'Up Stats'!E:E,)</f>
        <v/>
      </c>
      <c r="R35" s="54" t="str">
        <f>IFERROR(__xludf.DUMMYFUNCTION("if(AND(S35=FALSE,T35=FALSE),,if(S35=T35,JOIN("""",""Static: "",S35),JOIN("""",""Min:  "",S35, CHAR(10),""Max: "",T35)))"),"")</f>
        <v/>
      </c>
      <c r="S35" s="55" t="str">
        <f t="array" ref="S35">_xlfn.XLOOKUP(B35,'Up Min'!A:A,'Up Min'!E:E,)</f>
        <v/>
      </c>
      <c r="T35" s="55" t="str">
        <f t="array" ref="T35">_xlfn.XLOOKUP(B35,'Up Max'!A:A,'Up Max'!E:E,)</f>
        <v/>
      </c>
      <c r="U35" s="57" t="str">
        <f t="array" ref="U35">_xlfn.XLOOKUP(B35,'Up Stats'!A:A,'Up Stats'!F:F,)</f>
        <v/>
      </c>
      <c r="V35" s="54" t="str">
        <f>IFERROR(__xludf.DUMMYFUNCTION("if(AND(W35=FALSE,X35=FALSE),,if(W35=X35,JOIN("""",""Static: "",W35),JOIN("""",""Min:  "",W35, CHAR(10),""Max: "",X35)))"),"")</f>
        <v/>
      </c>
      <c r="W35" s="55" t="str">
        <f t="array" ref="W35">_xlfn.XLOOKUP(B35,'Up Min'!A:A,'Up Min'!F:F,)</f>
        <v/>
      </c>
      <c r="X35" s="55" t="str">
        <f t="array" ref="X35">_xlfn.XLOOKUP(B35,'Up Max'!A:A,'Up Max'!F:F,)</f>
        <v/>
      </c>
      <c r="Y35" s="57" t="str">
        <f t="array" ref="Y35">_xlfn.XLOOKUP(B35,'Up Stats'!A:A,'Up Stats'!G:G,)</f>
        <v/>
      </c>
      <c r="Z35" s="54" t="str">
        <f>IFERROR(__xludf.DUMMYFUNCTION("if(AND(AA35=FALSE,AB35=FALSE),,if(AA35=AB35,JOIN("""",""Static: "",AA35),JOIN("""",""Min:  "",AA35, CHAR(10),""Max: "",AB35)))"),"")</f>
        <v/>
      </c>
      <c r="AA35" s="55" t="str">
        <f t="array" ref="AA35">_xlfn.XLOOKUP(B35,'Up Min'!A:A,'Up Min'!G:G,)</f>
        <v/>
      </c>
      <c r="AB35" s="55" t="str">
        <f t="array" ref="AB35">_xlfn.XLOOKUP(B35,'Up Max'!A:A,'Up Max'!G:G,)</f>
        <v/>
      </c>
      <c r="AC35" s="57" t="str">
        <f t="array" ref="AC35">_xlfn.XLOOKUP(B35,'Up Stats'!A:A,'Up Stats'!H:H,)</f>
        <v/>
      </c>
      <c r="AD35" s="54" t="str">
        <f>IFERROR(__xludf.DUMMYFUNCTION("if(AND(AE35=FALSE,AF35=FALSE),,if(AE35=AF35,JOIN("""",""Static: "",AE35),JOIN("""",""Min:  "",AE35, CHAR(10),""Max: "",AF35)))"),"")</f>
        <v/>
      </c>
      <c r="AE35" s="55" t="str">
        <f t="array" ref="AE35">_xlfn.XLOOKUP(B35,'Up Min'!A:A,'Up Min'!H:H,)</f>
        <v/>
      </c>
      <c r="AF35" s="55" t="str">
        <f t="array" ref="AF35">_xlfn.XLOOKUP(B35,'Up Max'!A:A,'Up Max'!H:H,)</f>
        <v/>
      </c>
      <c r="AG35" s="57" t="str">
        <f t="array" ref="AG35">_xlfn.XLOOKUP(B35,'Up Stats'!A:A,'Up Stats'!I:I,)</f>
        <v/>
      </c>
      <c r="AH35" s="54" t="str">
        <f>IFERROR(__xludf.DUMMYFUNCTION("if(AND(AI35=FALSE,AJ35=FALSE),,if(AI35=AJ35,JOIN("""",""Static: "",AI35),JOIN("""",""Min:  "",AI35, CHAR(10),""Max: "",AJ35)))"),"")</f>
        <v/>
      </c>
      <c r="AI35" s="55" t="str">
        <f t="array" ref="AI35">_xlfn.XLOOKUP(B35,'Up Min'!A:A,'Up Min'!I:I,)</f>
        <v/>
      </c>
      <c r="AJ35" s="55" t="str">
        <f t="array" ref="AJ35">_xlfn.XLOOKUP(B35,'Up Max'!A:A,'Up Max'!I:I,)</f>
        <v/>
      </c>
      <c r="AK35" s="57" t="str">
        <f t="array" ref="AK35">_xlfn.XLOOKUP(B35,'Up Stats'!A:A,'Up Stats'!J:J,)</f>
        <v/>
      </c>
      <c r="AL35" s="54" t="str">
        <f>IFERROR(__xludf.DUMMYFUNCTION("if(AND(AM35=FALSE,AN35=FALSE),,if(AM35=AN35,JOIN("""",""Static: "",AM35),JOIN("""",""Min:  "",AM35, CHAR(10),""Max: "",AN35)))"),"")</f>
        <v/>
      </c>
      <c r="AM35" s="55" t="str">
        <f t="array" ref="AM35">_xlfn.XLOOKUP(B35,'Up Min'!A:A,'Up Min'!J:J,)</f>
        <v/>
      </c>
      <c r="AN35" s="55" t="str">
        <f t="array" ref="AN35">_xlfn.XLOOKUP(B35,'Up Max'!A:A,'Up Max'!J:J,)</f>
        <v/>
      </c>
      <c r="AO35" s="51" t="str">
        <f t="array" ref="AO35">CONCATENATE(_xlfn.XLOOKUP(B35,'Up Cells'!A:A,'Up Cells'!B:B,))</f>
        <v>3</v>
      </c>
      <c r="AP35" s="51" t="str">
        <f t="array" ref="AP35">CONCATENATE(_xlfn.XLOOKUP(B35,'Up Rarity'!A:A,'Up Rarity'!B:B,),CHAR(10),"-")</f>
        <v>Rare
-</v>
      </c>
    </row>
    <row r="36">
      <c r="A36" s="83" t="str">
        <f t="array" ref="A36">_xlfn.XLOOKUP(B36,'Up Icon'!A:A,'Up Icon'!B:B,)</f>
        <v/>
      </c>
      <c r="B36" s="89" t="str">
        <f t="array" ref="B36">HYPERLINK(_xlfn.XLOOKUP('Up Names'!P28,'Up Wiki'!A:A,'Up Wiki'!B:B,),'Up Names'!P28)</f>
        <v>Surge Protector</v>
      </c>
      <c r="C36" s="37" t="str">
        <f t="array" ref="C36">_xlfn.XLOOKUP(B36,'Up Desc'!A:A,'Up Desc'!B:B,)</f>
        <v>Move faster while electrocuted.</v>
      </c>
      <c r="D36" s="37" t="str">
        <f t="array" ref="D36">_xlfn.XLOOKUP(B36,'Up Turbo'!A:A,'Up Turbo'!B:B,)</f>
        <v>n/a</v>
      </c>
      <c r="E36" s="39" t="str">
        <f t="array" ref="E36">_xlfn.XLOOKUP(B36,'Up Stats'!A:A,'Up Stats'!B:B,)</f>
        <v>Speed</v>
      </c>
      <c r="F36" s="40" t="str">
        <f>IFERROR(__xludf.DUMMYFUNCTION("if(AND(G36=FALSE,H36=FALSE),,if(G36=H36,JOIN("""",""Static: "",G36),JOIN("""",""Min:  "",G36, CHAR(10),""Max: "",H36)))"),"Static: 3")</f>
        <v>Static: 3</v>
      </c>
      <c r="G36" s="69">
        <f t="array" ref="G36">_xlfn.XLOOKUP(B36,'Up Min'!A:A,'Up Min'!B:B,)</f>
        <v>3</v>
      </c>
      <c r="H36" s="68">
        <f t="array" ref="H36">_xlfn.XLOOKUP(B36,'Up Max'!A:A,'Up Max'!B:B,)</f>
        <v>3</v>
      </c>
      <c r="I36" s="39" t="str">
        <f t="array" ref="I36">_xlfn.XLOOKUP(B36,'Up Stats'!A:A,'Up Stats'!C:C,)</f>
        <v/>
      </c>
      <c r="J36" s="40" t="str">
        <f>IFERROR(__xludf.DUMMYFUNCTION("if(AND(K36=FALSE,L36=FALSE),,if(K36=L36,JOIN("""",""Static: "",K36),JOIN("""",""Min:  "",K36, CHAR(10),""Max: "",L36)))"),"")</f>
        <v/>
      </c>
      <c r="K36" s="74" t="str">
        <f t="array" ref="K36">_xlfn.XLOOKUP(B36,'Up Min'!A:A,'Up Min'!C:C,)</f>
        <v/>
      </c>
      <c r="L36" s="74" t="str">
        <f t="array" ref="L36">_xlfn.XLOOKUP(B36,'Up Max'!A:A,'Up Max'!C:C,)</f>
        <v/>
      </c>
      <c r="M36" s="48" t="str">
        <f t="array" ref="M36">_xlfn.XLOOKUP(B36,'Up Stats'!A:A,'Up Stats'!D:D,)</f>
        <v/>
      </c>
      <c r="N36" s="40" t="str">
        <f>IFERROR(__xludf.DUMMYFUNCTION("if(AND(O36=FALSE,P36=FALSE),,if(O36=P36,JOIN("""",""Static: "",O36),JOIN("""",""Min:  "",O36, CHAR(10),""Max: "",P36)))"),"")</f>
        <v/>
      </c>
      <c r="O36" s="42" t="str">
        <f t="array" ref="O36">_xlfn.XLOOKUP(B36,'Up Min'!A:A,'Up Min'!D:D,)</f>
        <v/>
      </c>
      <c r="P36" s="42" t="str">
        <f t="array" ref="P36">_xlfn.XLOOKUP(B36,'Up Max'!A:A,'Up Max'!D:D,)</f>
        <v/>
      </c>
      <c r="Q36" s="48" t="str">
        <f t="array" ref="Q36">_xlfn.XLOOKUP(B36,'Up Stats'!A:A,'Up Stats'!E:E,)</f>
        <v/>
      </c>
      <c r="R36" s="40" t="str">
        <f>IFERROR(__xludf.DUMMYFUNCTION("if(AND(S36=FALSE,T36=FALSE),,if(S36=T36,JOIN("""",""Static: "",S36),JOIN("""",""Min:  "",S36, CHAR(10),""Max: "",T36)))"),"")</f>
        <v/>
      </c>
      <c r="S36" s="42" t="str">
        <f t="array" ref="S36">_xlfn.XLOOKUP(B36,'Up Min'!A:A,'Up Min'!E:E,)</f>
        <v/>
      </c>
      <c r="T36" s="42" t="str">
        <f t="array" ref="T36">_xlfn.XLOOKUP(B36,'Up Max'!A:A,'Up Max'!E:E,)</f>
        <v/>
      </c>
      <c r="U36" s="48" t="str">
        <f t="array" ref="U36">_xlfn.XLOOKUP(B36,'Up Stats'!A:A,'Up Stats'!F:F,)</f>
        <v/>
      </c>
      <c r="V36" s="40" t="str">
        <f>IFERROR(__xludf.DUMMYFUNCTION("if(AND(W36=FALSE,X36=FALSE),,if(W36=X36,JOIN("""",""Static: "",W36),JOIN("""",""Min:  "",W36, CHAR(10),""Max: "",X36)))"),"")</f>
        <v/>
      </c>
      <c r="W36" s="42" t="str">
        <f t="array" ref="W36">_xlfn.XLOOKUP(B36,'Up Min'!A:A,'Up Min'!F:F,)</f>
        <v/>
      </c>
      <c r="X36" s="42" t="str">
        <f t="array" ref="X36">_xlfn.XLOOKUP(B36,'Up Max'!A:A,'Up Max'!F:F,)</f>
        <v/>
      </c>
      <c r="Y36" s="48" t="str">
        <f t="array" ref="Y36">_xlfn.XLOOKUP(B36,'Up Stats'!A:A,'Up Stats'!G:G,)</f>
        <v/>
      </c>
      <c r="Z36" s="40" t="str">
        <f>IFERROR(__xludf.DUMMYFUNCTION("if(AND(AA36=FALSE,AB36=FALSE),,if(AA36=AB36,JOIN("""",""Static: "",AA36),JOIN("""",""Min:  "",AA36, CHAR(10),""Max: "",AB36)))"),"")</f>
        <v/>
      </c>
      <c r="AA36" s="42" t="str">
        <f t="array" ref="AA36">_xlfn.XLOOKUP(B36,'Up Min'!A:A,'Up Min'!G:G,)</f>
        <v/>
      </c>
      <c r="AB36" s="42" t="str">
        <f t="array" ref="AB36">_xlfn.XLOOKUP(B36,'Up Max'!A:A,'Up Max'!G:G,)</f>
        <v/>
      </c>
      <c r="AC36" s="48" t="str">
        <f t="array" ref="AC36">_xlfn.XLOOKUP(B36,'Up Stats'!A:A,'Up Stats'!H:H,)</f>
        <v/>
      </c>
      <c r="AD36" s="40" t="str">
        <f>IFERROR(__xludf.DUMMYFUNCTION("if(AND(AE36=FALSE,AF36=FALSE),,if(AE36=AF36,JOIN("""",""Static: "",AE36),JOIN("""",""Min:  "",AE36, CHAR(10),""Max: "",AF36)))"),"")</f>
        <v/>
      </c>
      <c r="AE36" s="42" t="str">
        <f t="array" ref="AE36">_xlfn.XLOOKUP(B36,'Up Min'!A:A,'Up Min'!H:H,)</f>
        <v/>
      </c>
      <c r="AF36" s="42" t="str">
        <f t="array" ref="AF36">_xlfn.XLOOKUP(B36,'Up Max'!A:A,'Up Max'!H:H,)</f>
        <v/>
      </c>
      <c r="AG36" s="48" t="str">
        <f t="array" ref="AG36">_xlfn.XLOOKUP(B36,'Up Stats'!A:A,'Up Stats'!I:I,)</f>
        <v/>
      </c>
      <c r="AH36" s="40" t="str">
        <f>IFERROR(__xludf.DUMMYFUNCTION("if(AND(AI36=FALSE,AJ36=FALSE),,if(AI36=AJ36,JOIN("""",""Static: "",AI36),JOIN("""",""Min:  "",AI36, CHAR(10),""Max: "",AJ36)))"),"")</f>
        <v/>
      </c>
      <c r="AI36" s="42" t="str">
        <f t="array" ref="AI36">_xlfn.XLOOKUP(B36,'Up Min'!A:A,'Up Min'!I:I,)</f>
        <v/>
      </c>
      <c r="AJ36" s="42" t="str">
        <f t="array" ref="AJ36">_xlfn.XLOOKUP(B36,'Up Max'!A:A,'Up Max'!I:I,)</f>
        <v/>
      </c>
      <c r="AK36" s="48" t="str">
        <f t="array" ref="AK36">_xlfn.XLOOKUP(B36,'Up Stats'!A:A,'Up Stats'!J:J,)</f>
        <v/>
      </c>
      <c r="AL36" s="40" t="str">
        <f>IFERROR(__xludf.DUMMYFUNCTION("if(AND(AM36=FALSE,AN36=FALSE),,if(AM36=AN36,JOIN("""",""Static: "",AM36),JOIN("""",""Min:  "",AM36, CHAR(10),""Max: "",AN36)))"),"")</f>
        <v/>
      </c>
      <c r="AM36" s="42" t="str">
        <f t="array" ref="AM36">_xlfn.XLOOKUP(B36,'Up Min'!A:A,'Up Min'!J:J,)</f>
        <v/>
      </c>
      <c r="AN36" s="42" t="str">
        <f t="array" ref="AN36">_xlfn.XLOOKUP(B36,'Up Max'!A:A,'Up Max'!J:J,)</f>
        <v/>
      </c>
      <c r="AO36" s="34" t="str">
        <f t="array" ref="AO36">CONCATENATE(_xlfn.XLOOKUP(B36,'Up Cells'!A:A,'Up Cells'!B:B,))</f>
        <v>4</v>
      </c>
      <c r="AP36" s="34" t="str">
        <f t="array" ref="AP36">CONCATENATE(_xlfn.XLOOKUP(B36,'Up Rarity'!A:A,'Up Rarity'!B:B,),CHAR(10),"-")</f>
        <v>Rare
-</v>
      </c>
    </row>
    <row r="37">
      <c r="A37" s="84" t="str">
        <f t="array" ref="A37">_xlfn.XLOOKUP(B37,'Up Icon'!A:A,'Up Icon'!B:B,)</f>
        <v/>
      </c>
      <c r="B37" s="88" t="str">
        <f t="array" ref="B37">HYPERLINK(_xlfn.XLOOKUP('Up Names'!P29,'Up Wiki'!A:A,'Up Wiki'!B:B,),'Up Names'!P29)</f>
        <v>Acid Resistance</v>
      </c>
      <c r="C37" s="52" t="str">
        <f t="array" ref="C37">_xlfn.XLOOKUP(B37,'Up Desc'!A:A,'Up Desc'!B:B,)</f>
        <v>Take less acid damage from being corroded.</v>
      </c>
      <c r="D37" s="52" t="str">
        <f t="array" ref="D37">_xlfn.XLOOKUP(B37,'Up Turbo'!A:A,'Up Turbo'!B:B,)</f>
        <v>n/a</v>
      </c>
      <c r="E37" s="53" t="str">
        <f t="array" ref="E37">_xlfn.XLOOKUP(B37,'Up Stats'!A:A,'Up Stats'!B:B,)</f>
        <v>Damage Taken</v>
      </c>
      <c r="F37" s="54" t="str">
        <f>IFERROR(__xludf.DUMMYFUNCTION("if(AND(G37=FALSE,H37=FALSE),,if(G37=H37,JOIN("""",""Static: "",G37),JOIN("""",""Min:  "",G37, CHAR(10),""Max: "",H37)))"),"Min:  -30%
Max: -10%")</f>
        <v>Min:  -30%
Max: -10%</v>
      </c>
      <c r="G37" s="59">
        <f t="array" ref="G37">_xlfn.XLOOKUP(B37,'Up Min'!A:A,'Up Min'!B:B,)</f>
        <v>-0.3</v>
      </c>
      <c r="H37" s="59">
        <f t="array" ref="H37">_xlfn.XLOOKUP(B37,'Up Max'!A:A,'Up Max'!B:B,)</f>
        <v>-0.1</v>
      </c>
      <c r="I37" s="53" t="str">
        <f t="array" ref="I37">_xlfn.XLOOKUP(B37,'Up Stats'!A:A,'Up Stats'!C:C,)</f>
        <v/>
      </c>
      <c r="J37" s="54" t="str">
        <f>IFERROR(__xludf.DUMMYFUNCTION("if(AND(K37=FALSE,L37=FALSE),,if(K37=L37,JOIN("""",""Static: "",K37),JOIN("""",""Min:  "",K37, CHAR(10),""Max: "",L37)))"),"")</f>
        <v/>
      </c>
      <c r="K37" s="72" t="str">
        <f t="array" ref="K37">_xlfn.XLOOKUP(B37,'Up Min'!A:A,'Up Min'!C:C,)</f>
        <v/>
      </c>
      <c r="L37" s="72" t="str">
        <f t="array" ref="L37">_xlfn.XLOOKUP(B37,'Up Max'!A:A,'Up Max'!C:C,)</f>
        <v/>
      </c>
      <c r="M37" s="57" t="str">
        <f t="array" ref="M37">_xlfn.XLOOKUP(B37,'Up Stats'!A:A,'Up Stats'!D:D,)</f>
        <v/>
      </c>
      <c r="N37" s="54" t="str">
        <f>IFERROR(__xludf.DUMMYFUNCTION("if(AND(O37=FALSE,P37=FALSE),,if(O37=P37,JOIN("""",""Static: "",O37),JOIN("""",""Min:  "",O37, CHAR(10),""Max: "",P37)))"),"")</f>
        <v/>
      </c>
      <c r="O37" s="55" t="str">
        <f t="array" ref="O37">_xlfn.XLOOKUP(B37,'Up Min'!A:A,'Up Min'!D:D,)</f>
        <v/>
      </c>
      <c r="P37" s="55" t="str">
        <f t="array" ref="P37">_xlfn.XLOOKUP(B37,'Up Max'!A:A,'Up Max'!D:D,)</f>
        <v/>
      </c>
      <c r="Q37" s="57" t="str">
        <f t="array" ref="Q37">_xlfn.XLOOKUP(B37,'Up Stats'!A:A,'Up Stats'!E:E,)</f>
        <v/>
      </c>
      <c r="R37" s="54" t="str">
        <f>IFERROR(__xludf.DUMMYFUNCTION("if(AND(S37=FALSE,T37=FALSE),,if(S37=T37,JOIN("""",""Static: "",S37),JOIN("""",""Min:  "",S37, CHAR(10),""Max: "",T37)))"),"")</f>
        <v/>
      </c>
      <c r="S37" s="55" t="str">
        <f t="array" ref="S37">_xlfn.XLOOKUP(B37,'Up Min'!A:A,'Up Min'!E:E,)</f>
        <v/>
      </c>
      <c r="T37" s="55" t="str">
        <f t="array" ref="T37">_xlfn.XLOOKUP(B37,'Up Max'!A:A,'Up Max'!E:E,)</f>
        <v/>
      </c>
      <c r="U37" s="57" t="str">
        <f t="array" ref="U37">_xlfn.XLOOKUP(B37,'Up Stats'!A:A,'Up Stats'!F:F,)</f>
        <v/>
      </c>
      <c r="V37" s="54" t="str">
        <f>IFERROR(__xludf.DUMMYFUNCTION("if(AND(W37=FALSE,X37=FALSE),,if(W37=X37,JOIN("""",""Static: "",W37),JOIN("""",""Min:  "",W37, CHAR(10),""Max: "",X37)))"),"")</f>
        <v/>
      </c>
      <c r="W37" s="55" t="str">
        <f t="array" ref="W37">_xlfn.XLOOKUP(B37,'Up Min'!A:A,'Up Min'!F:F,)</f>
        <v/>
      </c>
      <c r="X37" s="55" t="str">
        <f t="array" ref="X37">_xlfn.XLOOKUP(B37,'Up Max'!A:A,'Up Max'!F:F,)</f>
        <v/>
      </c>
      <c r="Y37" s="57" t="str">
        <f t="array" ref="Y37">_xlfn.XLOOKUP(B37,'Up Stats'!A:A,'Up Stats'!G:G,)</f>
        <v/>
      </c>
      <c r="Z37" s="54" t="str">
        <f>IFERROR(__xludf.DUMMYFUNCTION("if(AND(AA37=FALSE,AB37=FALSE),,if(AA37=AB37,JOIN("""",""Static: "",AA37),JOIN("""",""Min:  "",AA37, CHAR(10),""Max: "",AB37)))"),"")</f>
        <v/>
      </c>
      <c r="AA37" s="55" t="str">
        <f t="array" ref="AA37">_xlfn.XLOOKUP(B37,'Up Min'!A:A,'Up Min'!G:G,)</f>
        <v/>
      </c>
      <c r="AB37" s="55" t="str">
        <f t="array" ref="AB37">_xlfn.XLOOKUP(B37,'Up Max'!A:A,'Up Max'!G:G,)</f>
        <v/>
      </c>
      <c r="AC37" s="57" t="str">
        <f t="array" ref="AC37">_xlfn.XLOOKUP(B37,'Up Stats'!A:A,'Up Stats'!H:H,)</f>
        <v/>
      </c>
      <c r="AD37" s="54" t="str">
        <f>IFERROR(__xludf.DUMMYFUNCTION("if(AND(AE37=FALSE,AF37=FALSE),,if(AE37=AF37,JOIN("""",""Static: "",AE37),JOIN("""",""Min:  "",AE37, CHAR(10),""Max: "",AF37)))"),"")</f>
        <v/>
      </c>
      <c r="AE37" s="55" t="str">
        <f t="array" ref="AE37">_xlfn.XLOOKUP(B37,'Up Min'!A:A,'Up Min'!H:H,)</f>
        <v/>
      </c>
      <c r="AF37" s="55" t="str">
        <f t="array" ref="AF37">_xlfn.XLOOKUP(B37,'Up Max'!A:A,'Up Max'!H:H,)</f>
        <v/>
      </c>
      <c r="AG37" s="57" t="str">
        <f t="array" ref="AG37">_xlfn.XLOOKUP(B37,'Up Stats'!A:A,'Up Stats'!I:I,)</f>
        <v/>
      </c>
      <c r="AH37" s="54" t="str">
        <f>IFERROR(__xludf.DUMMYFUNCTION("if(AND(AI37=FALSE,AJ37=FALSE),,if(AI37=AJ37,JOIN("""",""Static: "",AI37),JOIN("""",""Min:  "",AI37, CHAR(10),""Max: "",AJ37)))"),"")</f>
        <v/>
      </c>
      <c r="AI37" s="55" t="str">
        <f t="array" ref="AI37">_xlfn.XLOOKUP(B37,'Up Min'!A:A,'Up Min'!I:I,)</f>
        <v/>
      </c>
      <c r="AJ37" s="55" t="str">
        <f t="array" ref="AJ37">_xlfn.XLOOKUP(B37,'Up Max'!A:A,'Up Max'!I:I,)</f>
        <v/>
      </c>
      <c r="AK37" s="57" t="str">
        <f t="array" ref="AK37">_xlfn.XLOOKUP(B37,'Up Stats'!A:A,'Up Stats'!J:J,)</f>
        <v/>
      </c>
      <c r="AL37" s="54" t="str">
        <f>IFERROR(__xludf.DUMMYFUNCTION("if(AND(AM37=FALSE,AN37=FALSE),,if(AM37=AN37,JOIN("""",""Static: "",AM37),JOIN("""",""Min:  "",AM37, CHAR(10),""Max: "",AN37)))"),"")</f>
        <v/>
      </c>
      <c r="AM37" s="55" t="str">
        <f t="array" ref="AM37">_xlfn.XLOOKUP(B37,'Up Min'!A:A,'Up Min'!J:J,)</f>
        <v/>
      </c>
      <c r="AN37" s="55" t="str">
        <f t="array" ref="AN37">_xlfn.XLOOKUP(B37,'Up Max'!A:A,'Up Max'!J:J,)</f>
        <v/>
      </c>
      <c r="AO37" s="51" t="str">
        <f t="array" ref="AO37">CONCATENATE(_xlfn.XLOOKUP(B37,'Up Cells'!A:A,'Up Cells'!B:B,))</f>
        <v>4</v>
      </c>
      <c r="AP37" s="51" t="str">
        <f t="array" ref="AP37">CONCATENATE(_xlfn.XLOOKUP(B37,'Up Rarity'!A:A,'Up Rarity'!B:B,),CHAR(10),"-")</f>
        <v>Standard
-</v>
      </c>
    </row>
    <row r="38">
      <c r="A38" s="84" t="str">
        <f t="array" ref="A38">_xlfn.XLOOKUP(B38,'Up Icon'!A:A,'Up Icon'!B:B,)</f>
        <v/>
      </c>
      <c r="B38" s="89" t="str">
        <f t="array" ref="B38">HYPERLINK(_xlfn.XLOOKUP('Up Names'!P30,'Up Wiki'!A:A,'Up Wiki'!B:B,),'Up Names'!P30)</f>
        <v>Fire Resistance</v>
      </c>
      <c r="C38" s="37" t="str">
        <f t="array" ref="C38">_xlfn.XLOOKUP(B38,'Up Desc'!A:A,'Up Desc'!B:B,)</f>
        <v>Take less fire damage from being ignited.</v>
      </c>
      <c r="D38" s="37" t="str">
        <f t="array" ref="D38">_xlfn.XLOOKUP(B38,'Up Turbo'!A:A,'Up Turbo'!B:B,)</f>
        <v>n/a</v>
      </c>
      <c r="E38" s="39" t="str">
        <f t="array" ref="E38">_xlfn.XLOOKUP(B38,'Up Stats'!A:A,'Up Stats'!B:B,)</f>
        <v>Damage Taken</v>
      </c>
      <c r="F38" s="40" t="str">
        <f>IFERROR(__xludf.DUMMYFUNCTION("if(AND(G38=FALSE,H38=FALSE),,if(G38=H38,JOIN("""",""Static: "",G38),JOIN("""",""Min:  "",G38, CHAR(10),""Max: "",H38)))"),"Min:  -30%
Max: -10%")</f>
        <v>Min:  -30%
Max: -10%</v>
      </c>
      <c r="G38" s="41">
        <f t="array" ref="G38">_xlfn.XLOOKUP(B38,'Up Min'!A:A,'Up Min'!B:B,)</f>
        <v>-0.3</v>
      </c>
      <c r="H38" s="41">
        <f t="array" ref="H38">_xlfn.XLOOKUP(B38,'Up Max'!A:A,'Up Max'!B:B,)</f>
        <v>-0.1</v>
      </c>
      <c r="I38" s="39" t="str">
        <f t="array" ref="I38">_xlfn.XLOOKUP(B38,'Up Stats'!A:A,'Up Stats'!C:C,)</f>
        <v/>
      </c>
      <c r="J38" s="40" t="str">
        <f>IFERROR(__xludf.DUMMYFUNCTION("if(AND(K38=FALSE,L38=FALSE),,if(K38=L38,JOIN("""",""Static: "",K38),JOIN("""",""Min:  "",K38, CHAR(10),""Max: "",L38)))"),"")</f>
        <v/>
      </c>
      <c r="K38" s="74" t="str">
        <f t="array" ref="K38">_xlfn.XLOOKUP(B38,'Up Min'!A:A,'Up Min'!C:C,)</f>
        <v/>
      </c>
      <c r="L38" s="74" t="str">
        <f t="array" ref="L38">_xlfn.XLOOKUP(B38,'Up Max'!A:A,'Up Max'!C:C,)</f>
        <v/>
      </c>
      <c r="M38" s="48" t="str">
        <f t="array" ref="M38">_xlfn.XLOOKUP(B38,'Up Stats'!A:A,'Up Stats'!D:D,)</f>
        <v/>
      </c>
      <c r="N38" s="40" t="str">
        <f>IFERROR(__xludf.DUMMYFUNCTION("if(AND(O38=FALSE,P38=FALSE),,if(O38=P38,JOIN("""",""Static: "",O38),JOIN("""",""Min:  "",O38, CHAR(10),""Max: "",P38)))"),"")</f>
        <v/>
      </c>
      <c r="O38" s="42" t="str">
        <f t="array" ref="O38">_xlfn.XLOOKUP(B38,'Up Min'!A:A,'Up Min'!D:D,)</f>
        <v/>
      </c>
      <c r="P38" s="42" t="str">
        <f t="array" ref="P38">_xlfn.XLOOKUP(B38,'Up Max'!A:A,'Up Max'!D:D,)</f>
        <v/>
      </c>
      <c r="Q38" s="48" t="str">
        <f t="array" ref="Q38">_xlfn.XLOOKUP(B38,'Up Stats'!A:A,'Up Stats'!E:E,)</f>
        <v/>
      </c>
      <c r="R38" s="40" t="str">
        <f>IFERROR(__xludf.DUMMYFUNCTION("if(AND(S38=FALSE,T38=FALSE),,if(S38=T38,JOIN("""",""Static: "",S38),JOIN("""",""Min:  "",S38, CHAR(10),""Max: "",T38)))"),"")</f>
        <v/>
      </c>
      <c r="S38" s="42" t="str">
        <f t="array" ref="S38">_xlfn.XLOOKUP(B38,'Up Min'!A:A,'Up Min'!E:E,)</f>
        <v/>
      </c>
      <c r="T38" s="42" t="str">
        <f t="array" ref="T38">_xlfn.XLOOKUP(B38,'Up Max'!A:A,'Up Max'!E:E,)</f>
        <v/>
      </c>
      <c r="U38" s="48" t="str">
        <f t="array" ref="U38">_xlfn.XLOOKUP(B38,'Up Stats'!A:A,'Up Stats'!F:F,)</f>
        <v/>
      </c>
      <c r="V38" s="40" t="str">
        <f>IFERROR(__xludf.DUMMYFUNCTION("if(AND(W38=FALSE,X38=FALSE),,if(W38=X38,JOIN("""",""Static: "",W38),JOIN("""",""Min:  "",W38, CHAR(10),""Max: "",X38)))"),"")</f>
        <v/>
      </c>
      <c r="W38" s="42" t="str">
        <f t="array" ref="W38">_xlfn.XLOOKUP(B38,'Up Min'!A:A,'Up Min'!F:F,)</f>
        <v/>
      </c>
      <c r="X38" s="42" t="str">
        <f t="array" ref="X38">_xlfn.XLOOKUP(B38,'Up Max'!A:A,'Up Max'!F:F,)</f>
        <v/>
      </c>
      <c r="Y38" s="48" t="str">
        <f t="array" ref="Y38">_xlfn.XLOOKUP(B38,'Up Stats'!A:A,'Up Stats'!G:G,)</f>
        <v/>
      </c>
      <c r="Z38" s="40" t="str">
        <f>IFERROR(__xludf.DUMMYFUNCTION("if(AND(AA38=FALSE,AB38=FALSE),,if(AA38=AB38,JOIN("""",""Static: "",AA38),JOIN("""",""Min:  "",AA38, CHAR(10),""Max: "",AB38)))"),"")</f>
        <v/>
      </c>
      <c r="AA38" s="42" t="str">
        <f t="array" ref="AA38">_xlfn.XLOOKUP(B38,'Up Min'!A:A,'Up Min'!G:G,)</f>
        <v/>
      </c>
      <c r="AB38" s="42" t="str">
        <f t="array" ref="AB38">_xlfn.XLOOKUP(B38,'Up Max'!A:A,'Up Max'!G:G,)</f>
        <v/>
      </c>
      <c r="AC38" s="48" t="str">
        <f t="array" ref="AC38">_xlfn.XLOOKUP(B38,'Up Stats'!A:A,'Up Stats'!H:H,)</f>
        <v/>
      </c>
      <c r="AD38" s="40" t="str">
        <f>IFERROR(__xludf.DUMMYFUNCTION("if(AND(AE38=FALSE,AF38=FALSE),,if(AE38=AF38,JOIN("""",""Static: "",AE38),JOIN("""",""Min:  "",AE38, CHAR(10),""Max: "",AF38)))"),"")</f>
        <v/>
      </c>
      <c r="AE38" s="42" t="str">
        <f t="array" ref="AE38">_xlfn.XLOOKUP(B38,'Up Min'!A:A,'Up Min'!H:H,)</f>
        <v/>
      </c>
      <c r="AF38" s="42" t="str">
        <f t="array" ref="AF38">_xlfn.XLOOKUP(B38,'Up Max'!A:A,'Up Max'!H:H,)</f>
        <v/>
      </c>
      <c r="AG38" s="48" t="str">
        <f t="array" ref="AG38">_xlfn.XLOOKUP(B38,'Up Stats'!A:A,'Up Stats'!I:I,)</f>
        <v/>
      </c>
      <c r="AH38" s="40" t="str">
        <f>IFERROR(__xludf.DUMMYFUNCTION("if(AND(AI38=FALSE,AJ38=FALSE),,if(AI38=AJ38,JOIN("""",""Static: "",AI38),JOIN("""",""Min:  "",AI38, CHAR(10),""Max: "",AJ38)))"),"")</f>
        <v/>
      </c>
      <c r="AI38" s="42" t="str">
        <f t="array" ref="AI38">_xlfn.XLOOKUP(B38,'Up Min'!A:A,'Up Min'!I:I,)</f>
        <v/>
      </c>
      <c r="AJ38" s="42" t="str">
        <f t="array" ref="AJ38">_xlfn.XLOOKUP(B38,'Up Max'!A:A,'Up Max'!I:I,)</f>
        <v/>
      </c>
      <c r="AK38" s="48" t="str">
        <f t="array" ref="AK38">_xlfn.XLOOKUP(B38,'Up Stats'!A:A,'Up Stats'!J:J,)</f>
        <v/>
      </c>
      <c r="AL38" s="40" t="str">
        <f>IFERROR(__xludf.DUMMYFUNCTION("if(AND(AM38=FALSE,AN38=FALSE),,if(AM38=AN38,JOIN("""",""Static: "",AM38),JOIN("""",""Min:  "",AM38, CHAR(10),""Max: "",AN38)))"),"")</f>
        <v/>
      </c>
      <c r="AM38" s="42" t="str">
        <f t="array" ref="AM38">_xlfn.XLOOKUP(B38,'Up Min'!A:A,'Up Min'!J:J,)</f>
        <v/>
      </c>
      <c r="AN38" s="42" t="str">
        <f t="array" ref="AN38">_xlfn.XLOOKUP(B38,'Up Max'!A:A,'Up Max'!J:J,)</f>
        <v/>
      </c>
      <c r="AO38" s="34" t="str">
        <f t="array" ref="AO38">CONCATENATE(_xlfn.XLOOKUP(B38,'Up Cells'!A:A,'Up Cells'!B:B,))</f>
        <v>4</v>
      </c>
      <c r="AP38" s="34" t="str">
        <f t="array" ref="AP38">CONCATENATE(_xlfn.XLOOKUP(B38,'Up Rarity'!A:A,'Up Rarity'!B:B,),CHAR(10),"-")</f>
        <v>Standard
-</v>
      </c>
    </row>
    <row r="39">
      <c r="A39" s="84" t="str">
        <f t="array" ref="A39">_xlfn.XLOOKUP(B39,'Up Icon'!A:A,'Up Icon'!B:B,)</f>
        <v/>
      </c>
      <c r="B39" s="88" t="str">
        <f t="array" ref="B39">HYPERLINK(_xlfn.XLOOKUP('Up Names'!P31,'Up Wiki'!A:A,'Up Wiki'!B:B,),'Up Names'!P31)</f>
        <v>Shock Resistance</v>
      </c>
      <c r="C39" s="52" t="str">
        <f t="array" ref="C39">_xlfn.XLOOKUP(B39,'Up Desc'!A:A,'Up Desc'!B:B,)</f>
        <v>Take less shock damage from being electrocuted.</v>
      </c>
      <c r="D39" s="52" t="str">
        <f t="array" ref="D39">_xlfn.XLOOKUP(B39,'Up Turbo'!A:A,'Up Turbo'!B:B,)</f>
        <v>n/a</v>
      </c>
      <c r="E39" s="53" t="str">
        <f t="array" ref="E39">_xlfn.XLOOKUP(B39,'Up Stats'!A:A,'Up Stats'!B:B,)</f>
        <v>Damage Taken</v>
      </c>
      <c r="F39" s="54" t="str">
        <f>IFERROR(__xludf.DUMMYFUNCTION("if(AND(G39=FALSE,H39=FALSE),,if(G39=H39,JOIN("""",""Static: "",G39),JOIN("""",""Min:  "",G39, CHAR(10),""Max: "",H39)))"),"Min:  -30%
Max: -10%")</f>
        <v>Min:  -30%
Max: -10%</v>
      </c>
      <c r="G39" s="59">
        <f t="array" ref="G39">_xlfn.XLOOKUP(B39,'Up Min'!A:A,'Up Min'!B:B,)</f>
        <v>-0.3</v>
      </c>
      <c r="H39" s="59">
        <f t="array" ref="H39">_xlfn.XLOOKUP(B39,'Up Max'!A:A,'Up Max'!B:B,)</f>
        <v>-0.1</v>
      </c>
      <c r="I39" s="53" t="str">
        <f t="array" ref="I39">_xlfn.XLOOKUP(B39,'Up Stats'!A:A,'Up Stats'!C:C,)</f>
        <v/>
      </c>
      <c r="J39" s="54" t="str">
        <f>IFERROR(__xludf.DUMMYFUNCTION("if(AND(K39=FALSE,L39=FALSE),,if(K39=L39,JOIN("""",""Static: "",K39),JOIN("""",""Min:  "",K39, CHAR(10),""Max: "",L39)))"),"")</f>
        <v/>
      </c>
      <c r="K39" s="72" t="str">
        <f t="array" ref="K39">_xlfn.XLOOKUP(B39,'Up Min'!A:A,'Up Min'!C:C,)</f>
        <v/>
      </c>
      <c r="L39" s="72" t="str">
        <f t="array" ref="L39">_xlfn.XLOOKUP(B39,'Up Max'!A:A,'Up Max'!C:C,)</f>
        <v/>
      </c>
      <c r="M39" s="57" t="str">
        <f t="array" ref="M39">_xlfn.XLOOKUP(B39,'Up Stats'!A:A,'Up Stats'!D:D,)</f>
        <v/>
      </c>
      <c r="N39" s="54" t="str">
        <f>IFERROR(__xludf.DUMMYFUNCTION("if(AND(O39=FALSE,P39=FALSE),,if(O39=P39,JOIN("""",""Static: "",O39),JOIN("""",""Min:  "",O39, CHAR(10),""Max: "",P39)))"),"")</f>
        <v/>
      </c>
      <c r="O39" s="55" t="str">
        <f t="array" ref="O39">_xlfn.XLOOKUP(B39,'Up Min'!A:A,'Up Min'!D:D,)</f>
        <v/>
      </c>
      <c r="P39" s="55" t="str">
        <f t="array" ref="P39">_xlfn.XLOOKUP(B39,'Up Max'!A:A,'Up Max'!D:D,)</f>
        <v/>
      </c>
      <c r="Q39" s="57" t="str">
        <f t="array" ref="Q39">_xlfn.XLOOKUP(B39,'Up Stats'!A:A,'Up Stats'!E:E,)</f>
        <v/>
      </c>
      <c r="R39" s="54" t="str">
        <f>IFERROR(__xludf.DUMMYFUNCTION("if(AND(S39=FALSE,T39=FALSE),,if(S39=T39,JOIN("""",""Static: "",S39),JOIN("""",""Min:  "",S39, CHAR(10),""Max: "",T39)))"),"")</f>
        <v/>
      </c>
      <c r="S39" s="55" t="str">
        <f t="array" ref="S39">_xlfn.XLOOKUP(B39,'Up Min'!A:A,'Up Min'!E:E,)</f>
        <v/>
      </c>
      <c r="T39" s="55" t="str">
        <f t="array" ref="T39">_xlfn.XLOOKUP(B39,'Up Max'!A:A,'Up Max'!E:E,)</f>
        <v/>
      </c>
      <c r="U39" s="57" t="str">
        <f t="array" ref="U39">_xlfn.XLOOKUP(B39,'Up Stats'!A:A,'Up Stats'!F:F,)</f>
        <v/>
      </c>
      <c r="V39" s="54" t="str">
        <f>IFERROR(__xludf.DUMMYFUNCTION("if(AND(W39=FALSE,X39=FALSE),,if(W39=X39,JOIN("""",""Static: "",W39),JOIN("""",""Min:  "",W39, CHAR(10),""Max: "",X39)))"),"")</f>
        <v/>
      </c>
      <c r="W39" s="55" t="str">
        <f t="array" ref="W39">_xlfn.XLOOKUP(B39,'Up Min'!A:A,'Up Min'!F:F,)</f>
        <v/>
      </c>
      <c r="X39" s="55" t="str">
        <f t="array" ref="X39">_xlfn.XLOOKUP(B39,'Up Max'!A:A,'Up Max'!F:F,)</f>
        <v/>
      </c>
      <c r="Y39" s="57" t="str">
        <f t="array" ref="Y39">_xlfn.XLOOKUP(B39,'Up Stats'!A:A,'Up Stats'!G:G,)</f>
        <v/>
      </c>
      <c r="Z39" s="54" t="str">
        <f>IFERROR(__xludf.DUMMYFUNCTION("if(AND(AA39=FALSE,AB39=FALSE),,if(AA39=AB39,JOIN("""",""Static: "",AA39),JOIN("""",""Min:  "",AA39, CHAR(10),""Max: "",AB39)))"),"")</f>
        <v/>
      </c>
      <c r="AA39" s="55" t="str">
        <f t="array" ref="AA39">_xlfn.XLOOKUP(B39,'Up Min'!A:A,'Up Min'!G:G,)</f>
        <v/>
      </c>
      <c r="AB39" s="55" t="str">
        <f t="array" ref="AB39">_xlfn.XLOOKUP(B39,'Up Max'!A:A,'Up Max'!G:G,)</f>
        <v/>
      </c>
      <c r="AC39" s="57" t="str">
        <f t="array" ref="AC39">_xlfn.XLOOKUP(B39,'Up Stats'!A:A,'Up Stats'!H:H,)</f>
        <v/>
      </c>
      <c r="AD39" s="54" t="str">
        <f>IFERROR(__xludf.DUMMYFUNCTION("if(AND(AE39=FALSE,AF39=FALSE),,if(AE39=AF39,JOIN("""",""Static: "",AE39),JOIN("""",""Min:  "",AE39, CHAR(10),""Max: "",AF39)))"),"")</f>
        <v/>
      </c>
      <c r="AE39" s="55" t="str">
        <f t="array" ref="AE39">_xlfn.XLOOKUP(B39,'Up Min'!A:A,'Up Min'!H:H,)</f>
        <v/>
      </c>
      <c r="AF39" s="55" t="str">
        <f t="array" ref="AF39">_xlfn.XLOOKUP(B39,'Up Max'!A:A,'Up Max'!H:H,)</f>
        <v/>
      </c>
      <c r="AG39" s="57" t="str">
        <f t="array" ref="AG39">_xlfn.XLOOKUP(B39,'Up Stats'!A:A,'Up Stats'!I:I,)</f>
        <v/>
      </c>
      <c r="AH39" s="54" t="str">
        <f>IFERROR(__xludf.DUMMYFUNCTION("if(AND(AI39=FALSE,AJ39=FALSE),,if(AI39=AJ39,JOIN("""",""Static: "",AI39),JOIN("""",""Min:  "",AI39, CHAR(10),""Max: "",AJ39)))"),"")</f>
        <v/>
      </c>
      <c r="AI39" s="55" t="str">
        <f t="array" ref="AI39">_xlfn.XLOOKUP(B39,'Up Min'!A:A,'Up Min'!I:I,)</f>
        <v/>
      </c>
      <c r="AJ39" s="55" t="str">
        <f t="array" ref="AJ39">_xlfn.XLOOKUP(B39,'Up Max'!A:A,'Up Max'!I:I,)</f>
        <v/>
      </c>
      <c r="AK39" s="57" t="str">
        <f t="array" ref="AK39">_xlfn.XLOOKUP(B39,'Up Stats'!A:A,'Up Stats'!J:J,)</f>
        <v/>
      </c>
      <c r="AL39" s="54" t="str">
        <f>IFERROR(__xludf.DUMMYFUNCTION("if(AND(AM39=FALSE,AN39=FALSE),,if(AM39=AN39,JOIN("""",""Static: "",AM39),JOIN("""",""Min:  "",AM39, CHAR(10),""Max: "",AN39)))"),"")</f>
        <v/>
      </c>
      <c r="AM39" s="55" t="str">
        <f t="array" ref="AM39">_xlfn.XLOOKUP(B39,'Up Min'!A:A,'Up Min'!J:J,)</f>
        <v/>
      </c>
      <c r="AN39" s="55" t="str">
        <f t="array" ref="AN39">_xlfn.XLOOKUP(B39,'Up Max'!A:A,'Up Max'!J:J,)</f>
        <v/>
      </c>
      <c r="AO39" s="51" t="str">
        <f t="array" ref="AO39">CONCATENATE(_xlfn.XLOOKUP(B39,'Up Cells'!A:A,'Up Cells'!B:B,))</f>
        <v>4</v>
      </c>
      <c r="AP39" s="51" t="str">
        <f t="array" ref="AP39">CONCATENATE(_xlfn.XLOOKUP(B39,'Up Rarity'!A:A,'Up Rarity'!B:B,),CHAR(10),"-")</f>
        <v>Standard
-</v>
      </c>
    </row>
    <row r="40">
      <c r="A40" s="87" t="str">
        <f t="array" ref="A40">_xlfn.XLOOKUP(B40,'Up Icon'!A:A,'Up Icon'!B:B,)</f>
        <v/>
      </c>
      <c r="B40" s="58" t="str">
        <f t="array" ref="B40">HYPERLINK(_xlfn.XLOOKUP('Up Names'!P40,'Up Wiki'!A:A,'Up Wiki'!B:B,),'Up Names'!P40)</f>
        <v/>
      </c>
      <c r="C40" s="37" t="str">
        <f t="array" ref="C40">_xlfn.XLOOKUP(B40,'Up Desc'!A:A,'Up Desc'!B:B,)</f>
        <v/>
      </c>
      <c r="D40" s="37" t="str">
        <f t="array" ref="D40">_xlfn.XLOOKUP(B40,'Up Turbo'!A:A,'Up Turbo'!B:B,)</f>
        <v/>
      </c>
      <c r="E40" s="39" t="str">
        <f t="array" ref="E40">_xlfn.XLOOKUP(B40,'Up Stats'!A:A,'Up Stats'!B:B,)</f>
        <v/>
      </c>
      <c r="F40" s="40" t="str">
        <f>IFERROR(__xludf.DUMMYFUNCTION("if(AND(G40=FALSE,H40=FALSE),,if(G40=H40,JOIN("""",""Static: "",G40),JOIN("""",""Min:  "",G40, CHAR(10),""Max: "",H40)))"),"")</f>
        <v/>
      </c>
      <c r="G40" s="42" t="str">
        <f t="array" ref="G40">_xlfn.XLOOKUP(B40,'Up Min'!A:A,'Up Min'!B:B,)</f>
        <v/>
      </c>
      <c r="H40" s="45" t="str">
        <f t="array" ref="H40">_xlfn.XLOOKUP(B40,'Up Max'!A:A,'Up Max'!B:B,)</f>
        <v/>
      </c>
      <c r="I40" s="39" t="str">
        <f t="array" ref="I40">_xlfn.XLOOKUP(B40,'Up Stats'!A:A,'Up Stats'!C:C,)</f>
        <v/>
      </c>
      <c r="J40" s="40" t="str">
        <f>IFERROR(__xludf.DUMMYFUNCTION("if(AND(K40=FALSE,L40=FALSE),,if(K40=L40,JOIN("""",""Static: "",K40),JOIN("""",""Min:  "",K40, CHAR(10),""Max: "",L40)))"),"")</f>
        <v/>
      </c>
      <c r="K40" s="42" t="str">
        <f t="array" ref="K40">_xlfn.XLOOKUP(B40,'Up Min'!A:A,'Up Min'!C:C,)</f>
        <v/>
      </c>
      <c r="L40" s="42" t="str">
        <f t="array" ref="L40">_xlfn.XLOOKUP(B40,'Up Max'!A:A,'Up Max'!C:C,)</f>
        <v/>
      </c>
      <c r="M40" s="48" t="str">
        <f t="array" ref="M40">_xlfn.XLOOKUP(B40,'Up Stats'!A:A,'Up Stats'!D:D,)</f>
        <v/>
      </c>
      <c r="N40" s="40" t="str">
        <f>IFERROR(__xludf.DUMMYFUNCTION("if(AND(O40=FALSE,P40=FALSE),,if(O40=P40,JOIN("""",""Static: "",O40),JOIN("""",""Min:  "",O40, CHAR(10),""Max: "",P40)))"),"")</f>
        <v/>
      </c>
      <c r="O40" s="42" t="str">
        <f t="array" ref="O40">_xlfn.XLOOKUP(B40,'Up Min'!A:A,'Up Min'!D:D,)</f>
        <v/>
      </c>
      <c r="P40" s="42" t="str">
        <f t="array" ref="P40">_xlfn.XLOOKUP(B40,'Up Max'!A:A,'Up Max'!D:D,)</f>
        <v/>
      </c>
      <c r="Q40" s="48" t="str">
        <f t="array" ref="Q40">_xlfn.XLOOKUP(B40,'Up Stats'!A:A,'Up Stats'!E:E,)</f>
        <v/>
      </c>
      <c r="R40" s="40" t="str">
        <f>IFERROR(__xludf.DUMMYFUNCTION("if(AND(S40=FALSE,T40=FALSE),,if(S40=T40,JOIN("""",""Static: "",S40),JOIN("""",""Min:  "",S40, CHAR(10),""Max: "",T40)))"),"")</f>
        <v/>
      </c>
      <c r="S40" s="42" t="str">
        <f t="array" ref="S40">_xlfn.XLOOKUP(B40,'Up Min'!A:A,'Up Min'!E:E,)</f>
        <v/>
      </c>
      <c r="T40" s="42" t="str">
        <f t="array" ref="T40">_xlfn.XLOOKUP(B40,'Up Max'!A:A,'Up Max'!E:E,)</f>
        <v/>
      </c>
      <c r="U40" s="48" t="str">
        <f t="array" ref="U40">_xlfn.XLOOKUP(B40,'Up Stats'!A:A,'Up Stats'!F:F,)</f>
        <v/>
      </c>
      <c r="V40" s="40" t="str">
        <f>IFERROR(__xludf.DUMMYFUNCTION("if(AND(W40=FALSE,X40=FALSE),,if(W40=X40,JOIN("""",""Static: "",W40),JOIN("""",""Min:  "",W40, CHAR(10),""Max: "",X40)))"),"")</f>
        <v/>
      </c>
      <c r="W40" s="42" t="str">
        <f t="array" ref="W40">_xlfn.XLOOKUP(B40,'Up Min'!A:A,'Up Min'!F:F,)</f>
        <v/>
      </c>
      <c r="X40" s="42" t="str">
        <f t="array" ref="X40">_xlfn.XLOOKUP(B40,'Up Max'!A:A,'Up Max'!F:F,)</f>
        <v/>
      </c>
      <c r="Y40" s="48" t="str">
        <f t="array" ref="Y40">_xlfn.XLOOKUP(B40,'Up Stats'!A:A,'Up Stats'!G:G,)</f>
        <v/>
      </c>
      <c r="Z40" s="40" t="str">
        <f>IFERROR(__xludf.DUMMYFUNCTION("if(AND(AA40=FALSE,AB40=FALSE),,if(AA40=AB40,JOIN("""",""Static: "",AA40),JOIN("""",""Min:  "",AA40, CHAR(10),""Max: "",AB40)))"),"")</f>
        <v/>
      </c>
      <c r="AA40" s="42" t="str">
        <f t="array" ref="AA40">_xlfn.XLOOKUP(B40,'Up Min'!A:A,'Up Min'!G:G,)</f>
        <v/>
      </c>
      <c r="AB40" s="42" t="str">
        <f t="array" ref="AB40">_xlfn.XLOOKUP(B40,'Up Max'!A:A,'Up Max'!G:G,)</f>
        <v/>
      </c>
      <c r="AC40" s="48" t="str">
        <f t="array" ref="AC40">_xlfn.XLOOKUP(B40,'Up Stats'!A:A,'Up Stats'!H:H,)</f>
        <v/>
      </c>
      <c r="AD40" s="40" t="str">
        <f>IFERROR(__xludf.DUMMYFUNCTION("if(AND(AE40=FALSE,AF40=FALSE),,if(AE40=AF40,JOIN("""",""Static: "",AE40),JOIN("""",""Min:  "",AE40, CHAR(10),""Max: "",AF40)))"),"")</f>
        <v/>
      </c>
      <c r="AE40" s="42" t="str">
        <f t="array" ref="AE40">_xlfn.XLOOKUP(B40,'Up Min'!A:A,'Up Min'!H:H,)</f>
        <v/>
      </c>
      <c r="AF40" s="42" t="str">
        <f t="array" ref="AF40">_xlfn.XLOOKUP(B40,'Up Max'!A:A,'Up Max'!H:H,)</f>
        <v/>
      </c>
      <c r="AG40" s="48" t="str">
        <f t="array" ref="AG40">_xlfn.XLOOKUP(B40,'Up Stats'!A:A,'Up Stats'!I:I,)</f>
        <v/>
      </c>
      <c r="AH40" s="40" t="str">
        <f>IFERROR(__xludf.DUMMYFUNCTION("if(AND(AI40=FALSE,AJ40=FALSE),,if(AI40=AJ40,JOIN("""",""Static: "",AI40),JOIN("""",""Min:  "",AI40, CHAR(10),""Max: "",AJ40)))"),"")</f>
        <v/>
      </c>
      <c r="AI40" s="42" t="str">
        <f t="array" ref="AI40">_xlfn.XLOOKUP(B40,'Up Min'!A:A,'Up Min'!I:I,)</f>
        <v/>
      </c>
      <c r="AJ40" s="42" t="str">
        <f t="array" ref="AJ40">_xlfn.XLOOKUP(B40,'Up Max'!A:A,'Up Max'!I:I,)</f>
        <v/>
      </c>
      <c r="AK40" s="48" t="str">
        <f t="array" ref="AK40">_xlfn.XLOOKUP(B40,'Up Stats'!A:A,'Up Stats'!J:J,)</f>
        <v/>
      </c>
      <c r="AL40" s="40" t="str">
        <f>IFERROR(__xludf.DUMMYFUNCTION("if(AND(AM40=FALSE,AN40=FALSE),,if(AM40=AN40,JOIN("""",""Static: "",AM40),JOIN("""",""Min:  "",AM40, CHAR(10),""Max: "",AN40)))"),"")</f>
        <v/>
      </c>
      <c r="AM40" s="42" t="str">
        <f t="array" ref="AM40">_xlfn.XLOOKUP(B40,'Up Min'!A:A,'Up Min'!J:J,)</f>
        <v/>
      </c>
      <c r="AN40" s="42" t="str">
        <f t="array" ref="AN40">_xlfn.XLOOKUP(B40,'Up Max'!A:A,'Up Max'!J:J,)</f>
        <v/>
      </c>
      <c r="AO40" s="34" t="str">
        <f t="array" ref="AO40">CONCATENATE(_xlfn.XLOOKUP(B40,'Up Cells'!A:A,'Up Cells'!B:B,))</f>
        <v/>
      </c>
      <c r="AP40" s="34" t="str">
        <f t="array" ref="AP40">CONCATENATE(_xlfn.XLOOKUP(B40,'Up Rarity'!A:A,'Up Rarity'!B:B,),CHAR(10),"-")</f>
        <v>
-</v>
      </c>
    </row>
    <row r="41">
      <c r="A41" s="86" t="str">
        <f t="array" ref="A41">_xlfn.XLOOKUP(B41,'Up Icon'!A:A,'Up Icon'!B:B,)</f>
        <v/>
      </c>
      <c r="B41" s="61" t="str">
        <f t="array" ref="B41">HYPERLINK(_xlfn.XLOOKUP('Up Names'!P41,'Up Wiki'!A:A,'Up Wiki'!B:B,),'Up Names'!P41)</f>
        <v/>
      </c>
      <c r="C41" s="52" t="str">
        <f t="array" ref="C41">_xlfn.XLOOKUP(B41,'Up Desc'!A:A,'Up Desc'!B:B,)</f>
        <v/>
      </c>
      <c r="D41" s="52" t="str">
        <f t="array" ref="D41">_xlfn.XLOOKUP(B41,'Up Turbo'!A:A,'Up Turbo'!B:B,)</f>
        <v/>
      </c>
      <c r="E41" s="53" t="str">
        <f t="array" ref="E41">_xlfn.XLOOKUP(B41,'Up Stats'!A:A,'Up Stats'!B:B,)</f>
        <v/>
      </c>
      <c r="F41" s="54" t="str">
        <f>IFERROR(__xludf.DUMMYFUNCTION("if(AND(G41=FALSE,H41=FALSE),,if(G41=H41,JOIN("""",""Static: "",G41),JOIN("""",""Min:  "",G41, CHAR(10),""Max: "",H41)))"),"")</f>
        <v/>
      </c>
      <c r="G41" s="55" t="str">
        <f t="array" ref="G41">_xlfn.XLOOKUP(B41,'Up Min'!A:A,'Up Min'!B:B,)</f>
        <v/>
      </c>
      <c r="H41" s="56" t="str">
        <f t="array" ref="H41">_xlfn.XLOOKUP(B41,'Up Max'!A:A,'Up Max'!B:B,)</f>
        <v/>
      </c>
      <c r="I41" s="53" t="str">
        <f t="array" ref="I41">_xlfn.XLOOKUP(B41,'Up Stats'!A:A,'Up Stats'!C:C,)</f>
        <v/>
      </c>
      <c r="J41" s="54" t="str">
        <f>IFERROR(__xludf.DUMMYFUNCTION("if(AND(K41=FALSE,L41=FALSE),,if(K41=L41,JOIN("""",""Static: "",K41),JOIN("""",""Min:  "",K41, CHAR(10),""Max: "",L41)))"),"")</f>
        <v/>
      </c>
      <c r="K41" s="55" t="str">
        <f t="array" ref="K41">_xlfn.XLOOKUP(B41,'Up Min'!A:A,'Up Min'!C:C,)</f>
        <v/>
      </c>
      <c r="L41" s="55" t="str">
        <f t="array" ref="L41">_xlfn.XLOOKUP(B41,'Up Max'!A:A,'Up Max'!C:C,)</f>
        <v/>
      </c>
      <c r="M41" s="57" t="str">
        <f t="array" ref="M41">_xlfn.XLOOKUP(B41,'Up Stats'!A:A,'Up Stats'!D:D,)</f>
        <v/>
      </c>
      <c r="N41" s="54" t="str">
        <f>IFERROR(__xludf.DUMMYFUNCTION("if(AND(O41=FALSE,P41=FALSE),,if(O41=P41,JOIN("""",""Static: "",O41),JOIN("""",""Min:  "",O41, CHAR(10),""Max: "",P41)))"),"")</f>
        <v/>
      </c>
      <c r="O41" s="55" t="str">
        <f t="array" ref="O41">_xlfn.XLOOKUP(B41,'Up Min'!A:A,'Up Min'!D:D,)</f>
        <v/>
      </c>
      <c r="P41" s="55" t="str">
        <f t="array" ref="P41">_xlfn.XLOOKUP(B41,'Up Max'!A:A,'Up Max'!D:D,)</f>
        <v/>
      </c>
      <c r="Q41" s="57" t="str">
        <f t="array" ref="Q41">_xlfn.XLOOKUP(B41,'Up Stats'!A:A,'Up Stats'!E:E,)</f>
        <v/>
      </c>
      <c r="R41" s="54" t="str">
        <f>IFERROR(__xludf.DUMMYFUNCTION("if(AND(S41=FALSE,T41=FALSE),,if(S41=T41,JOIN("""",""Static: "",S41),JOIN("""",""Min:  "",S41, CHAR(10),""Max: "",T41)))"),"")</f>
        <v/>
      </c>
      <c r="S41" s="55" t="str">
        <f t="array" ref="S41">_xlfn.XLOOKUP(B41,'Up Min'!A:A,'Up Min'!E:E,)</f>
        <v/>
      </c>
      <c r="T41" s="55" t="str">
        <f t="array" ref="T41">_xlfn.XLOOKUP(B41,'Up Max'!A:A,'Up Max'!E:E,)</f>
        <v/>
      </c>
      <c r="U41" s="57" t="str">
        <f t="array" ref="U41">_xlfn.XLOOKUP(B41,'Up Stats'!A:A,'Up Stats'!F:F,)</f>
        <v/>
      </c>
      <c r="V41" s="54" t="str">
        <f>IFERROR(__xludf.DUMMYFUNCTION("if(AND(W41=FALSE,X41=FALSE),,if(W41=X41,JOIN("""",""Static: "",W41),JOIN("""",""Min:  "",W41, CHAR(10),""Max: "",X41)))"),"")</f>
        <v/>
      </c>
      <c r="W41" s="55" t="str">
        <f t="array" ref="W41">_xlfn.XLOOKUP(B41,'Up Min'!A:A,'Up Min'!F:F,)</f>
        <v/>
      </c>
      <c r="X41" s="55" t="str">
        <f t="array" ref="X41">_xlfn.XLOOKUP(B41,'Up Max'!A:A,'Up Max'!F:F,)</f>
        <v/>
      </c>
      <c r="Y41" s="57" t="str">
        <f t="array" ref="Y41">_xlfn.XLOOKUP(B41,'Up Stats'!A:A,'Up Stats'!G:G,)</f>
        <v/>
      </c>
      <c r="Z41" s="54" t="str">
        <f>IFERROR(__xludf.DUMMYFUNCTION("if(AND(AA41=FALSE,AB41=FALSE),,if(AA41=AB41,JOIN("""",""Static: "",AA41),JOIN("""",""Min:  "",AA41, CHAR(10),""Max: "",AB41)))"),"")</f>
        <v/>
      </c>
      <c r="AA41" s="55" t="str">
        <f t="array" ref="AA41">_xlfn.XLOOKUP(B41,'Up Min'!A:A,'Up Min'!G:G,)</f>
        <v/>
      </c>
      <c r="AB41" s="55" t="str">
        <f t="array" ref="AB41">_xlfn.XLOOKUP(B41,'Up Max'!A:A,'Up Max'!G:G,)</f>
        <v/>
      </c>
      <c r="AC41" s="57" t="str">
        <f t="array" ref="AC41">_xlfn.XLOOKUP(B41,'Up Stats'!A:A,'Up Stats'!H:H,)</f>
        <v/>
      </c>
      <c r="AD41" s="54" t="str">
        <f>IFERROR(__xludf.DUMMYFUNCTION("if(AND(AE41=FALSE,AF41=FALSE),,if(AE41=AF41,JOIN("""",""Static: "",AE41),JOIN("""",""Min:  "",AE41, CHAR(10),""Max: "",AF41)))"),"")</f>
        <v/>
      </c>
      <c r="AE41" s="55" t="str">
        <f t="array" ref="AE41">_xlfn.XLOOKUP(B41,'Up Min'!A:A,'Up Min'!H:H,)</f>
        <v/>
      </c>
      <c r="AF41" s="55" t="str">
        <f t="array" ref="AF41">_xlfn.XLOOKUP(B41,'Up Max'!A:A,'Up Max'!H:H,)</f>
        <v/>
      </c>
      <c r="AG41" s="57" t="str">
        <f t="array" ref="AG41">_xlfn.XLOOKUP(B41,'Up Stats'!A:A,'Up Stats'!I:I,)</f>
        <v/>
      </c>
      <c r="AH41" s="54" t="str">
        <f>IFERROR(__xludf.DUMMYFUNCTION("if(AND(AI41=FALSE,AJ41=FALSE),,if(AI41=AJ41,JOIN("""",""Static: "",AI41),JOIN("""",""Min:  "",AI41, CHAR(10),""Max: "",AJ41)))"),"")</f>
        <v/>
      </c>
      <c r="AI41" s="55" t="str">
        <f t="array" ref="AI41">_xlfn.XLOOKUP(B41,'Up Min'!A:A,'Up Min'!I:I,)</f>
        <v/>
      </c>
      <c r="AJ41" s="55" t="str">
        <f t="array" ref="AJ41">_xlfn.XLOOKUP(B41,'Up Max'!A:A,'Up Max'!I:I,)</f>
        <v/>
      </c>
      <c r="AK41" s="57" t="str">
        <f t="array" ref="AK41">_xlfn.XLOOKUP(B41,'Up Stats'!A:A,'Up Stats'!J:J,)</f>
        <v/>
      </c>
      <c r="AL41" s="54" t="str">
        <f>IFERROR(__xludf.DUMMYFUNCTION("if(AND(AM41=FALSE,AN41=FALSE),,if(AM41=AN41,JOIN("""",""Static: "",AM41),JOIN("""",""Min:  "",AM41, CHAR(10),""Max: "",AN41)))"),"")</f>
        <v/>
      </c>
      <c r="AM41" s="55" t="str">
        <f t="array" ref="AM41">_xlfn.XLOOKUP(B41,'Up Min'!A:A,'Up Min'!J:J,)</f>
        <v/>
      </c>
      <c r="AN41" s="55" t="str">
        <f t="array" ref="AN41">_xlfn.XLOOKUP(B41,'Up Max'!A:A,'Up Max'!J:J,)</f>
        <v/>
      </c>
      <c r="AO41" s="51" t="str">
        <f t="array" ref="AO41">CONCATENATE(_xlfn.XLOOKUP(B41,'Up Cells'!A:A,'Up Cells'!B:B,))</f>
        <v/>
      </c>
      <c r="AP41" s="51" t="str">
        <f t="array" ref="AP41">CONCATENATE(_xlfn.XLOOKUP(B41,'Up Rarity'!A:A,'Up Rarity'!B:B,),CHAR(10),"-")</f>
        <v>
-</v>
      </c>
    </row>
    <row r="42">
      <c r="A42" s="87" t="str">
        <f t="array" ref="A42">_xlfn.XLOOKUP(B42,'Up Icon'!A:A,'Up Icon'!B:B,)</f>
        <v/>
      </c>
      <c r="B42" s="58" t="str">
        <f t="array" ref="B42">HYPERLINK(_xlfn.XLOOKUP('Up Names'!P42,'Up Wiki'!A:A,'Up Wiki'!B:B,),'Up Names'!P42)</f>
        <v/>
      </c>
      <c r="C42" s="37" t="str">
        <f t="array" ref="C42">_xlfn.XLOOKUP(B42,'Up Desc'!A:A,'Up Desc'!B:B,)</f>
        <v/>
      </c>
      <c r="D42" s="37" t="str">
        <f t="array" ref="D42">_xlfn.XLOOKUP(B42,'Up Turbo'!A:A,'Up Turbo'!B:B,)</f>
        <v/>
      </c>
      <c r="E42" s="39" t="str">
        <f t="array" ref="E42">_xlfn.XLOOKUP(B42,'Up Stats'!A:A,'Up Stats'!B:B,)</f>
        <v/>
      </c>
      <c r="F42" s="40" t="str">
        <f>IFERROR(__xludf.DUMMYFUNCTION("if(AND(G42=FALSE,H42=FALSE),,if(G42=H42,JOIN("""",""Static: "",G42),JOIN("""",""Min:  "",G42, CHAR(10),""Max: "",H42)))"),"")</f>
        <v/>
      </c>
      <c r="G42" s="42" t="str">
        <f t="array" ref="G42">_xlfn.XLOOKUP(B42,'Up Min'!A:A,'Up Min'!B:B,)</f>
        <v/>
      </c>
      <c r="H42" s="45" t="str">
        <f t="array" ref="H42">_xlfn.XLOOKUP(B42,'Up Max'!A:A,'Up Max'!B:B,)</f>
        <v/>
      </c>
      <c r="I42" s="39" t="str">
        <f t="array" ref="I42">_xlfn.XLOOKUP(B42,'Up Stats'!A:A,'Up Stats'!C:C,)</f>
        <v/>
      </c>
      <c r="J42" s="40" t="str">
        <f>IFERROR(__xludf.DUMMYFUNCTION("if(AND(K42=FALSE,L42=FALSE),,if(K42=L42,JOIN("""",""Static: "",K42),JOIN("""",""Min:  "",K42, CHAR(10),""Max: "",L42)))"),"")</f>
        <v/>
      </c>
      <c r="K42" s="42" t="str">
        <f t="array" ref="K42">_xlfn.XLOOKUP(B42,'Up Min'!A:A,'Up Min'!C:C,)</f>
        <v/>
      </c>
      <c r="L42" s="42" t="str">
        <f t="array" ref="L42">_xlfn.XLOOKUP(B42,'Up Max'!A:A,'Up Max'!C:C,)</f>
        <v/>
      </c>
      <c r="M42" s="48" t="str">
        <f t="array" ref="M42">_xlfn.XLOOKUP(B42,'Up Stats'!A:A,'Up Stats'!D:D,)</f>
        <v/>
      </c>
      <c r="N42" s="40" t="str">
        <f>IFERROR(__xludf.DUMMYFUNCTION("if(AND(O42=FALSE,P42=FALSE),,if(O42=P42,JOIN("""",""Static: "",O42),JOIN("""",""Min:  "",O42, CHAR(10),""Max: "",P42)))"),"")</f>
        <v/>
      </c>
      <c r="O42" s="42" t="str">
        <f t="array" ref="O42">_xlfn.XLOOKUP(B42,'Up Min'!A:A,'Up Min'!D:D,)</f>
        <v/>
      </c>
      <c r="P42" s="42" t="str">
        <f t="array" ref="P42">_xlfn.XLOOKUP(B42,'Up Max'!A:A,'Up Max'!D:D,)</f>
        <v/>
      </c>
      <c r="Q42" s="48" t="str">
        <f t="array" ref="Q42">_xlfn.XLOOKUP(B42,'Up Stats'!A:A,'Up Stats'!E:E,)</f>
        <v/>
      </c>
      <c r="R42" s="40" t="str">
        <f>IFERROR(__xludf.DUMMYFUNCTION("if(AND(S42=FALSE,T42=FALSE),,if(S42=T42,JOIN("""",""Static: "",S42),JOIN("""",""Min:  "",S42, CHAR(10),""Max: "",T42)))"),"")</f>
        <v/>
      </c>
      <c r="S42" s="42" t="str">
        <f t="array" ref="S42">_xlfn.XLOOKUP(B42,'Up Min'!A:A,'Up Min'!E:E,)</f>
        <v/>
      </c>
      <c r="T42" s="42" t="str">
        <f t="array" ref="T42">_xlfn.XLOOKUP(B42,'Up Max'!A:A,'Up Max'!E:E,)</f>
        <v/>
      </c>
      <c r="U42" s="48" t="str">
        <f t="array" ref="U42">_xlfn.XLOOKUP(B42,'Up Stats'!A:A,'Up Stats'!F:F,)</f>
        <v/>
      </c>
      <c r="V42" s="40" t="str">
        <f>IFERROR(__xludf.DUMMYFUNCTION("if(AND(W42=FALSE,X42=FALSE),,if(W42=X42,JOIN("""",""Static: "",W42),JOIN("""",""Min:  "",W42, CHAR(10),""Max: "",X42)))"),"")</f>
        <v/>
      </c>
      <c r="W42" s="42" t="str">
        <f t="array" ref="W42">_xlfn.XLOOKUP(B42,'Up Min'!A:A,'Up Min'!F:F,)</f>
        <v/>
      </c>
      <c r="X42" s="42" t="str">
        <f t="array" ref="X42">_xlfn.XLOOKUP(B42,'Up Max'!A:A,'Up Max'!F:F,)</f>
        <v/>
      </c>
      <c r="Y42" s="48" t="str">
        <f t="array" ref="Y42">_xlfn.XLOOKUP(B42,'Up Stats'!A:A,'Up Stats'!G:G,)</f>
        <v/>
      </c>
      <c r="Z42" s="40" t="str">
        <f>IFERROR(__xludf.DUMMYFUNCTION("if(AND(AA42=FALSE,AB42=FALSE),,if(AA42=AB42,JOIN("""",""Static: "",AA42),JOIN("""",""Min:  "",AA42, CHAR(10),""Max: "",AB42)))"),"")</f>
        <v/>
      </c>
      <c r="AA42" s="42" t="str">
        <f t="array" ref="AA42">_xlfn.XLOOKUP(B42,'Up Min'!A:A,'Up Min'!G:G,)</f>
        <v/>
      </c>
      <c r="AB42" s="42" t="str">
        <f t="array" ref="AB42">_xlfn.XLOOKUP(B42,'Up Max'!A:A,'Up Max'!G:G,)</f>
        <v/>
      </c>
      <c r="AC42" s="48" t="str">
        <f t="array" ref="AC42">_xlfn.XLOOKUP(B42,'Up Stats'!A:A,'Up Stats'!H:H,)</f>
        <v/>
      </c>
      <c r="AD42" s="40" t="str">
        <f>IFERROR(__xludf.DUMMYFUNCTION("if(AND(AE42=FALSE,AF42=FALSE),,if(AE42=AF42,JOIN("""",""Static: "",AE42),JOIN("""",""Min:  "",AE42, CHAR(10),""Max: "",AF42)))"),"")</f>
        <v/>
      </c>
      <c r="AE42" s="42" t="str">
        <f t="array" ref="AE42">_xlfn.XLOOKUP(B42,'Up Min'!A:A,'Up Min'!H:H,)</f>
        <v/>
      </c>
      <c r="AF42" s="42" t="str">
        <f t="array" ref="AF42">_xlfn.XLOOKUP(B42,'Up Max'!A:A,'Up Max'!H:H,)</f>
        <v/>
      </c>
      <c r="AG42" s="48" t="str">
        <f t="array" ref="AG42">_xlfn.XLOOKUP(B42,'Up Stats'!A:A,'Up Stats'!I:I,)</f>
        <v/>
      </c>
      <c r="AH42" s="40" t="str">
        <f>IFERROR(__xludf.DUMMYFUNCTION("if(AND(AI42=FALSE,AJ42=FALSE),,if(AI42=AJ42,JOIN("""",""Static: "",AI42),JOIN("""",""Min:  "",AI42, CHAR(10),""Max: "",AJ42)))"),"")</f>
        <v/>
      </c>
      <c r="AI42" s="42" t="str">
        <f t="array" ref="AI42">_xlfn.XLOOKUP(B42,'Up Min'!A:A,'Up Min'!I:I,)</f>
        <v/>
      </c>
      <c r="AJ42" s="42" t="str">
        <f t="array" ref="AJ42">_xlfn.XLOOKUP(B42,'Up Max'!A:A,'Up Max'!I:I,)</f>
        <v/>
      </c>
      <c r="AK42" s="48" t="str">
        <f t="array" ref="AK42">_xlfn.XLOOKUP(B42,'Up Stats'!A:A,'Up Stats'!J:J,)</f>
        <v/>
      </c>
      <c r="AL42" s="40" t="str">
        <f>IFERROR(__xludf.DUMMYFUNCTION("if(AND(AM42=FALSE,AN42=FALSE),,if(AM42=AN42,JOIN("""",""Static: "",AM42),JOIN("""",""Min:  "",AM42, CHAR(10),""Max: "",AN42)))"),"")</f>
        <v/>
      </c>
      <c r="AM42" s="42" t="str">
        <f t="array" ref="AM42">_xlfn.XLOOKUP(B42,'Up Min'!A:A,'Up Min'!J:J,)</f>
        <v/>
      </c>
      <c r="AN42" s="42" t="str">
        <f t="array" ref="AN42">_xlfn.XLOOKUP(B42,'Up Max'!A:A,'Up Max'!J:J,)</f>
        <v/>
      </c>
      <c r="AO42" s="34" t="str">
        <f t="array" ref="AO42">CONCATENATE(_xlfn.XLOOKUP(B42,'Up Cells'!A:A,'Up Cells'!B:B,))</f>
        <v/>
      </c>
      <c r="AP42" s="34" t="str">
        <f t="array" ref="AP42">CONCATENATE(_xlfn.XLOOKUP(B42,'Up Rarity'!A:A,'Up Rarity'!B:B,),CHAR(10),"-")</f>
        <v>
-</v>
      </c>
    </row>
    <row r="43">
      <c r="A43" s="86" t="str">
        <f t="array" ref="A43">_xlfn.XLOOKUP(B43,'Up Icon'!A:A,'Up Icon'!B:B,)</f>
        <v/>
      </c>
      <c r="B43" s="61" t="str">
        <f t="array" ref="B43">HYPERLINK(_xlfn.XLOOKUP('Up Names'!P43,'Up Wiki'!A:A,'Up Wiki'!B:B,),'Up Names'!P43)</f>
        <v/>
      </c>
      <c r="C43" s="52" t="str">
        <f t="array" ref="C43">_xlfn.XLOOKUP(B43,'Up Desc'!A:A,'Up Desc'!B:B,)</f>
        <v/>
      </c>
      <c r="D43" s="52" t="str">
        <f t="array" ref="D43">_xlfn.XLOOKUP(B43,'Up Turbo'!A:A,'Up Turbo'!B:B,)</f>
        <v/>
      </c>
      <c r="E43" s="53" t="str">
        <f t="array" ref="E43">_xlfn.XLOOKUP(B43,'Up Stats'!A:A,'Up Stats'!B:B,)</f>
        <v/>
      </c>
      <c r="F43" s="54" t="str">
        <f>IFERROR(__xludf.DUMMYFUNCTION("if(AND(G43=FALSE,H43=FALSE),,if(G43=H43,JOIN("""",""Static: "",G43),JOIN("""",""Min:  "",G43, CHAR(10),""Max: "",H43)))"),"")</f>
        <v/>
      </c>
      <c r="G43" s="55" t="str">
        <f t="array" ref="G43">_xlfn.XLOOKUP(B43,'Up Min'!A:A,'Up Min'!B:B,)</f>
        <v/>
      </c>
      <c r="H43" s="56" t="str">
        <f t="array" ref="H43">_xlfn.XLOOKUP(B43,'Up Max'!A:A,'Up Max'!B:B,)</f>
        <v/>
      </c>
      <c r="I43" s="53" t="str">
        <f t="array" ref="I43">_xlfn.XLOOKUP(B43,'Up Stats'!A:A,'Up Stats'!C:C,)</f>
        <v/>
      </c>
      <c r="J43" s="54" t="str">
        <f>IFERROR(__xludf.DUMMYFUNCTION("if(AND(K43=FALSE,L43=FALSE),,if(K43=L43,JOIN("""",""Static: "",K43),JOIN("""",""Min:  "",K43, CHAR(10),""Max: "",L43)))"),"")</f>
        <v/>
      </c>
      <c r="K43" s="55" t="str">
        <f t="array" ref="K43">_xlfn.XLOOKUP(B43,'Up Min'!A:A,'Up Min'!C:C,)</f>
        <v/>
      </c>
      <c r="L43" s="55" t="str">
        <f t="array" ref="L43">_xlfn.XLOOKUP(B43,'Up Max'!A:A,'Up Max'!C:C,)</f>
        <v/>
      </c>
      <c r="M43" s="57" t="str">
        <f t="array" ref="M43">_xlfn.XLOOKUP(B43,'Up Stats'!A:A,'Up Stats'!D:D,)</f>
        <v/>
      </c>
      <c r="N43" s="54" t="str">
        <f>IFERROR(__xludf.DUMMYFUNCTION("if(AND(O43=FALSE,P43=FALSE),,if(O43=P43,JOIN("""",""Static: "",O43),JOIN("""",""Min:  "",O43, CHAR(10),""Max: "",P43)))"),"")</f>
        <v/>
      </c>
      <c r="O43" s="55" t="str">
        <f t="array" ref="O43">_xlfn.XLOOKUP(B43,'Up Min'!A:A,'Up Min'!D:D,)</f>
        <v/>
      </c>
      <c r="P43" s="55" t="str">
        <f t="array" ref="P43">_xlfn.XLOOKUP(B43,'Up Max'!A:A,'Up Max'!D:D,)</f>
        <v/>
      </c>
      <c r="Q43" s="57" t="str">
        <f t="array" ref="Q43">_xlfn.XLOOKUP(B43,'Up Stats'!A:A,'Up Stats'!E:E,)</f>
        <v/>
      </c>
      <c r="R43" s="54" t="str">
        <f>IFERROR(__xludf.DUMMYFUNCTION("if(AND(S43=FALSE,T43=FALSE),,if(S43=T43,JOIN("""",""Static: "",S43),JOIN("""",""Min:  "",S43, CHAR(10),""Max: "",T43)))"),"")</f>
        <v/>
      </c>
      <c r="S43" s="55" t="str">
        <f t="array" ref="S43">_xlfn.XLOOKUP(B43,'Up Min'!A:A,'Up Min'!E:E,)</f>
        <v/>
      </c>
      <c r="T43" s="55" t="str">
        <f t="array" ref="T43">_xlfn.XLOOKUP(B43,'Up Max'!A:A,'Up Max'!E:E,)</f>
        <v/>
      </c>
      <c r="U43" s="57" t="str">
        <f t="array" ref="U43">_xlfn.XLOOKUP(B43,'Up Stats'!A:A,'Up Stats'!F:F,)</f>
        <v/>
      </c>
      <c r="V43" s="54" t="str">
        <f>IFERROR(__xludf.DUMMYFUNCTION("if(AND(W43=FALSE,X43=FALSE),,if(W43=X43,JOIN("""",""Static: "",W43),JOIN("""",""Min:  "",W43, CHAR(10),""Max: "",X43)))"),"")</f>
        <v/>
      </c>
      <c r="W43" s="55" t="str">
        <f t="array" ref="W43">_xlfn.XLOOKUP(B43,'Up Min'!A:A,'Up Min'!F:F,)</f>
        <v/>
      </c>
      <c r="X43" s="55" t="str">
        <f t="array" ref="X43">_xlfn.XLOOKUP(B43,'Up Max'!A:A,'Up Max'!F:F,)</f>
        <v/>
      </c>
      <c r="Y43" s="57" t="str">
        <f t="array" ref="Y43">_xlfn.XLOOKUP(B43,'Up Stats'!A:A,'Up Stats'!G:G,)</f>
        <v/>
      </c>
      <c r="Z43" s="54" t="str">
        <f>IFERROR(__xludf.DUMMYFUNCTION("if(AND(AA43=FALSE,AB43=FALSE),,if(AA43=AB43,JOIN("""",""Static: "",AA43),JOIN("""",""Min:  "",AA43, CHAR(10),""Max: "",AB43)))"),"")</f>
        <v/>
      </c>
      <c r="AA43" s="55" t="str">
        <f t="array" ref="AA43">_xlfn.XLOOKUP(B43,'Up Min'!A:A,'Up Min'!G:G,)</f>
        <v/>
      </c>
      <c r="AB43" s="55" t="str">
        <f t="array" ref="AB43">_xlfn.XLOOKUP(B43,'Up Max'!A:A,'Up Max'!G:G,)</f>
        <v/>
      </c>
      <c r="AC43" s="57" t="str">
        <f t="array" ref="AC43">_xlfn.XLOOKUP(B43,'Up Stats'!A:A,'Up Stats'!H:H,)</f>
        <v/>
      </c>
      <c r="AD43" s="54" t="str">
        <f>IFERROR(__xludf.DUMMYFUNCTION("if(AND(AE43=FALSE,AF43=FALSE),,if(AE43=AF43,JOIN("""",""Static: "",AE43),JOIN("""",""Min:  "",AE43, CHAR(10),""Max: "",AF43)))"),"")</f>
        <v/>
      </c>
      <c r="AE43" s="55" t="str">
        <f t="array" ref="AE43">_xlfn.XLOOKUP(B43,'Up Min'!A:A,'Up Min'!H:H,)</f>
        <v/>
      </c>
      <c r="AF43" s="55" t="str">
        <f t="array" ref="AF43">_xlfn.XLOOKUP(B43,'Up Max'!A:A,'Up Max'!H:H,)</f>
        <v/>
      </c>
      <c r="AG43" s="57" t="str">
        <f t="array" ref="AG43">_xlfn.XLOOKUP(B43,'Up Stats'!A:A,'Up Stats'!I:I,)</f>
        <v/>
      </c>
      <c r="AH43" s="54" t="str">
        <f>IFERROR(__xludf.DUMMYFUNCTION("if(AND(AI43=FALSE,AJ43=FALSE),,if(AI43=AJ43,JOIN("""",""Static: "",AI43),JOIN("""",""Min:  "",AI43, CHAR(10),""Max: "",AJ43)))"),"")</f>
        <v/>
      </c>
      <c r="AI43" s="55" t="str">
        <f t="array" ref="AI43">_xlfn.XLOOKUP(B43,'Up Min'!A:A,'Up Min'!I:I,)</f>
        <v/>
      </c>
      <c r="AJ43" s="55" t="str">
        <f t="array" ref="AJ43">_xlfn.XLOOKUP(B43,'Up Max'!A:A,'Up Max'!I:I,)</f>
        <v/>
      </c>
      <c r="AK43" s="57" t="str">
        <f t="array" ref="AK43">_xlfn.XLOOKUP(B43,'Up Stats'!A:A,'Up Stats'!J:J,)</f>
        <v/>
      </c>
      <c r="AL43" s="54" t="str">
        <f>IFERROR(__xludf.DUMMYFUNCTION("if(AND(AM43=FALSE,AN43=FALSE),,if(AM43=AN43,JOIN("""",""Static: "",AM43),JOIN("""",""Min:  "",AM43, CHAR(10),""Max: "",AN43)))"),"")</f>
        <v/>
      </c>
      <c r="AM43" s="55" t="str">
        <f t="array" ref="AM43">_xlfn.XLOOKUP(B43,'Up Min'!A:A,'Up Min'!J:J,)</f>
        <v/>
      </c>
      <c r="AN43" s="55" t="str">
        <f t="array" ref="AN43">_xlfn.XLOOKUP(B43,'Up Max'!A:A,'Up Max'!J:J,)</f>
        <v/>
      </c>
      <c r="AO43" s="51" t="str">
        <f t="array" ref="AO43">CONCATENATE(_xlfn.XLOOKUP(B43,'Up Cells'!A:A,'Up Cells'!B:B,))</f>
        <v/>
      </c>
      <c r="AP43" s="51" t="str">
        <f t="array" ref="AP43">CONCATENATE(_xlfn.XLOOKUP(B43,'Up Rarity'!A:A,'Up Rarity'!B:B,),CHAR(10),"-")</f>
        <v>
-</v>
      </c>
    </row>
    <row r="44">
      <c r="A44" s="87" t="str">
        <f t="array" ref="A44">_xlfn.XLOOKUP(B44,'Up Icon'!A:A,'Up Icon'!B:B,)</f>
        <v/>
      </c>
      <c r="B44" s="58" t="str">
        <f t="array" ref="B44">HYPERLINK(_xlfn.XLOOKUP('Up Names'!P44,'Up Wiki'!A:A,'Up Wiki'!B:B,),'Up Names'!P44)</f>
        <v/>
      </c>
      <c r="C44" s="37" t="str">
        <f t="array" ref="C44">_xlfn.XLOOKUP(B44,'Up Desc'!A:A,'Up Desc'!B:B,)</f>
        <v/>
      </c>
      <c r="D44" s="37" t="str">
        <f t="array" ref="D44">_xlfn.XLOOKUP(B44,'Up Turbo'!A:A,'Up Turbo'!B:B,)</f>
        <v/>
      </c>
      <c r="E44" s="39" t="str">
        <f t="array" ref="E44">_xlfn.XLOOKUP(B44,'Up Stats'!A:A,'Up Stats'!B:B,)</f>
        <v/>
      </c>
      <c r="F44" s="40" t="str">
        <f>IFERROR(__xludf.DUMMYFUNCTION("if(AND(G44=FALSE,H44=FALSE),,if(G44=H44,JOIN("""",""Static: "",G44),JOIN("""",""Min:  "",G44, CHAR(10),""Max: "",H44)))"),"")</f>
        <v/>
      </c>
      <c r="G44" s="42" t="str">
        <f t="array" ref="G44">_xlfn.XLOOKUP(B44,'Up Min'!A:A,'Up Min'!B:B,)</f>
        <v/>
      </c>
      <c r="H44" s="45" t="str">
        <f t="array" ref="H44">_xlfn.XLOOKUP(B44,'Up Max'!A:A,'Up Max'!B:B,)</f>
        <v/>
      </c>
      <c r="I44" s="39" t="str">
        <f t="array" ref="I44">_xlfn.XLOOKUP(B44,'Up Stats'!A:A,'Up Stats'!C:C,)</f>
        <v/>
      </c>
      <c r="J44" s="40" t="str">
        <f>IFERROR(__xludf.DUMMYFUNCTION("if(AND(K44=FALSE,L44=FALSE),,if(K44=L44,JOIN("""",""Static: "",K44),JOIN("""",""Min:  "",K44, CHAR(10),""Max: "",L44)))"),"")</f>
        <v/>
      </c>
      <c r="K44" s="42" t="str">
        <f t="array" ref="K44">_xlfn.XLOOKUP(B44,'Up Min'!A:A,'Up Min'!C:C,)</f>
        <v/>
      </c>
      <c r="L44" s="42" t="str">
        <f t="array" ref="L44">_xlfn.XLOOKUP(B44,'Up Max'!A:A,'Up Max'!C:C,)</f>
        <v/>
      </c>
      <c r="M44" s="48" t="str">
        <f t="array" ref="M44">_xlfn.XLOOKUP(B44,'Up Stats'!A:A,'Up Stats'!D:D,)</f>
        <v/>
      </c>
      <c r="N44" s="40" t="str">
        <f>IFERROR(__xludf.DUMMYFUNCTION("if(AND(O44=FALSE,P44=FALSE),,if(O44=P44,JOIN("""",""Static: "",O44),JOIN("""",""Min:  "",O44, CHAR(10),""Max: "",P44)))"),"")</f>
        <v/>
      </c>
      <c r="O44" s="42" t="str">
        <f t="array" ref="O44">_xlfn.XLOOKUP(B44,'Up Min'!A:A,'Up Min'!D:D,)</f>
        <v/>
      </c>
      <c r="P44" s="42" t="str">
        <f t="array" ref="P44">_xlfn.XLOOKUP(B44,'Up Max'!A:A,'Up Max'!D:D,)</f>
        <v/>
      </c>
      <c r="Q44" s="48" t="str">
        <f t="array" ref="Q44">_xlfn.XLOOKUP(B44,'Up Stats'!A:A,'Up Stats'!E:E,)</f>
        <v/>
      </c>
      <c r="R44" s="40" t="str">
        <f>IFERROR(__xludf.DUMMYFUNCTION("if(AND(S44=FALSE,T44=FALSE),,if(S44=T44,JOIN("""",""Static: "",S44),JOIN("""",""Min:  "",S44, CHAR(10),""Max: "",T44)))"),"")</f>
        <v/>
      </c>
      <c r="S44" s="42" t="str">
        <f t="array" ref="S44">_xlfn.XLOOKUP(B44,'Up Min'!A:A,'Up Min'!E:E,)</f>
        <v/>
      </c>
      <c r="T44" s="42" t="str">
        <f t="array" ref="T44">_xlfn.XLOOKUP(B44,'Up Max'!A:A,'Up Max'!E:E,)</f>
        <v/>
      </c>
      <c r="U44" s="48" t="str">
        <f t="array" ref="U44">_xlfn.XLOOKUP(B44,'Up Stats'!A:A,'Up Stats'!F:F,)</f>
        <v/>
      </c>
      <c r="V44" s="40" t="str">
        <f>IFERROR(__xludf.DUMMYFUNCTION("if(AND(W44=FALSE,X44=FALSE),,if(W44=X44,JOIN("""",""Static: "",W44),JOIN("""",""Min:  "",W44, CHAR(10),""Max: "",X44)))"),"")</f>
        <v/>
      </c>
      <c r="W44" s="42" t="str">
        <f t="array" ref="W44">_xlfn.XLOOKUP(B44,'Up Min'!A:A,'Up Min'!F:F,)</f>
        <v/>
      </c>
      <c r="X44" s="42" t="str">
        <f t="array" ref="X44">_xlfn.XLOOKUP(B44,'Up Max'!A:A,'Up Max'!F:F,)</f>
        <v/>
      </c>
      <c r="Y44" s="48" t="str">
        <f t="array" ref="Y44">_xlfn.XLOOKUP(B44,'Up Stats'!A:A,'Up Stats'!G:G,)</f>
        <v/>
      </c>
      <c r="Z44" s="40" t="str">
        <f>IFERROR(__xludf.DUMMYFUNCTION("if(AND(AA44=FALSE,AB44=FALSE),,if(AA44=AB44,JOIN("""",""Static: "",AA44),JOIN("""",""Min:  "",AA44, CHAR(10),""Max: "",AB44)))"),"")</f>
        <v/>
      </c>
      <c r="AA44" s="42" t="str">
        <f t="array" ref="AA44">_xlfn.XLOOKUP(B44,'Up Min'!A:A,'Up Min'!G:G,)</f>
        <v/>
      </c>
      <c r="AB44" s="42" t="str">
        <f t="array" ref="AB44">_xlfn.XLOOKUP(B44,'Up Max'!A:A,'Up Max'!G:G,)</f>
        <v/>
      </c>
      <c r="AC44" s="48" t="str">
        <f t="array" ref="AC44">_xlfn.XLOOKUP(B44,'Up Stats'!A:A,'Up Stats'!H:H,)</f>
        <v/>
      </c>
      <c r="AD44" s="40" t="str">
        <f>IFERROR(__xludf.DUMMYFUNCTION("if(AND(AE44=FALSE,AF44=FALSE),,if(AE44=AF44,JOIN("""",""Static: "",AE44),JOIN("""",""Min:  "",AE44, CHAR(10),""Max: "",AF44)))"),"")</f>
        <v/>
      </c>
      <c r="AE44" s="42" t="str">
        <f t="array" ref="AE44">_xlfn.XLOOKUP(B44,'Up Min'!A:A,'Up Min'!H:H,)</f>
        <v/>
      </c>
      <c r="AF44" s="42" t="str">
        <f t="array" ref="AF44">_xlfn.XLOOKUP(B44,'Up Max'!A:A,'Up Max'!H:H,)</f>
        <v/>
      </c>
      <c r="AG44" s="48" t="str">
        <f t="array" ref="AG44">_xlfn.XLOOKUP(B44,'Up Stats'!A:A,'Up Stats'!I:I,)</f>
        <v/>
      </c>
      <c r="AH44" s="40" t="str">
        <f>IFERROR(__xludf.DUMMYFUNCTION("if(AND(AI44=FALSE,AJ44=FALSE),,if(AI44=AJ44,JOIN("""",""Static: "",AI44),JOIN("""",""Min:  "",AI44, CHAR(10),""Max: "",AJ44)))"),"")</f>
        <v/>
      </c>
      <c r="AI44" s="42" t="str">
        <f t="array" ref="AI44">_xlfn.XLOOKUP(B44,'Up Min'!A:A,'Up Min'!I:I,)</f>
        <v/>
      </c>
      <c r="AJ44" s="42" t="str">
        <f t="array" ref="AJ44">_xlfn.XLOOKUP(B44,'Up Max'!A:A,'Up Max'!I:I,)</f>
        <v/>
      </c>
      <c r="AK44" s="48" t="str">
        <f t="array" ref="AK44">_xlfn.XLOOKUP(B44,'Up Stats'!A:A,'Up Stats'!J:J,)</f>
        <v/>
      </c>
      <c r="AL44" s="40" t="str">
        <f>IFERROR(__xludf.DUMMYFUNCTION("if(AND(AM44=FALSE,AN44=FALSE),,if(AM44=AN44,JOIN("""",""Static: "",AM44),JOIN("""",""Min:  "",AM44, CHAR(10),""Max: "",AN44)))"),"")</f>
        <v/>
      </c>
      <c r="AM44" s="42" t="str">
        <f t="array" ref="AM44">_xlfn.XLOOKUP(B44,'Up Min'!A:A,'Up Min'!J:J,)</f>
        <v/>
      </c>
      <c r="AN44" s="42" t="str">
        <f t="array" ref="AN44">_xlfn.XLOOKUP(B44,'Up Max'!A:A,'Up Max'!J:J,)</f>
        <v/>
      </c>
      <c r="AO44" s="34" t="str">
        <f t="array" ref="AO44">CONCATENATE(_xlfn.XLOOKUP(B44,'Up Cells'!A:A,'Up Cells'!B:B,))</f>
        <v/>
      </c>
      <c r="AP44" s="34" t="str">
        <f t="array" ref="AP44">CONCATENATE(_xlfn.XLOOKUP(B44,'Up Rarity'!A:A,'Up Rarity'!B:B,),CHAR(10),"-")</f>
        <v>
-</v>
      </c>
    </row>
    <row r="45">
      <c r="A45" s="86" t="str">
        <f t="array" ref="A45">_xlfn.XLOOKUP(B45,'Up Icon'!A:A,'Up Icon'!B:B,)</f>
        <v/>
      </c>
      <c r="B45" s="61" t="str">
        <f t="array" ref="B45">HYPERLINK(_xlfn.XLOOKUP('Up Names'!P45,'Up Wiki'!A:A,'Up Wiki'!B:B,),'Up Names'!P45)</f>
        <v/>
      </c>
      <c r="C45" s="52" t="str">
        <f t="array" ref="C45">_xlfn.XLOOKUP(B45,'Up Desc'!A:A,'Up Desc'!B:B,)</f>
        <v/>
      </c>
      <c r="D45" s="52" t="str">
        <f t="array" ref="D45">_xlfn.XLOOKUP(B45,'Up Turbo'!A:A,'Up Turbo'!B:B,)</f>
        <v/>
      </c>
      <c r="E45" s="53" t="str">
        <f t="array" ref="E45">_xlfn.XLOOKUP(B45,'Up Stats'!A:A,'Up Stats'!B:B,)</f>
        <v/>
      </c>
      <c r="F45" s="54" t="str">
        <f>IFERROR(__xludf.DUMMYFUNCTION("if(AND(G45=FALSE,H45=FALSE),,if(G45=H45,JOIN("""",""Static: "",G45),JOIN("""",""Min:  "",G45, CHAR(10),""Max: "",H45)))"),"")</f>
        <v/>
      </c>
      <c r="G45" s="55" t="str">
        <f t="array" ref="G45">_xlfn.XLOOKUP(B45,'Up Min'!A:A,'Up Min'!B:B,)</f>
        <v/>
      </c>
      <c r="H45" s="56" t="str">
        <f t="array" ref="H45">_xlfn.XLOOKUP(B45,'Up Max'!A:A,'Up Max'!B:B,)</f>
        <v/>
      </c>
      <c r="I45" s="53" t="str">
        <f t="array" ref="I45">_xlfn.XLOOKUP(B45,'Up Stats'!A:A,'Up Stats'!C:C,)</f>
        <v/>
      </c>
      <c r="J45" s="54" t="str">
        <f>IFERROR(__xludf.DUMMYFUNCTION("if(AND(K45=FALSE,L45=FALSE),,if(K45=L45,JOIN("""",""Static: "",K45),JOIN("""",""Min:  "",K45, CHAR(10),""Max: "",L45)))"),"")</f>
        <v/>
      </c>
      <c r="K45" s="55" t="str">
        <f t="array" ref="K45">_xlfn.XLOOKUP(B45,'Up Min'!A:A,'Up Min'!C:C,)</f>
        <v/>
      </c>
      <c r="L45" s="55" t="str">
        <f t="array" ref="L45">_xlfn.XLOOKUP(B45,'Up Max'!A:A,'Up Max'!C:C,)</f>
        <v/>
      </c>
      <c r="M45" s="57" t="str">
        <f t="array" ref="M45">_xlfn.XLOOKUP(B45,'Up Stats'!A:A,'Up Stats'!D:D,)</f>
        <v/>
      </c>
      <c r="N45" s="54" t="str">
        <f>IFERROR(__xludf.DUMMYFUNCTION("if(AND(O45=FALSE,P45=FALSE),,if(O45=P45,JOIN("""",""Static: "",O45),JOIN("""",""Min:  "",O45, CHAR(10),""Max: "",P45)))"),"")</f>
        <v/>
      </c>
      <c r="O45" s="55" t="str">
        <f t="array" ref="O45">_xlfn.XLOOKUP(B45,'Up Min'!A:A,'Up Min'!D:D,)</f>
        <v/>
      </c>
      <c r="P45" s="55" t="str">
        <f t="array" ref="P45">_xlfn.XLOOKUP(B45,'Up Max'!A:A,'Up Max'!D:D,)</f>
        <v/>
      </c>
      <c r="Q45" s="57" t="str">
        <f t="array" ref="Q45">_xlfn.XLOOKUP(B45,'Up Stats'!A:A,'Up Stats'!E:E,)</f>
        <v/>
      </c>
      <c r="R45" s="54" t="str">
        <f>IFERROR(__xludf.DUMMYFUNCTION("if(AND(S45=FALSE,T45=FALSE),,if(S45=T45,JOIN("""",""Static: "",S45),JOIN("""",""Min:  "",S45, CHAR(10),""Max: "",T45)))"),"")</f>
        <v/>
      </c>
      <c r="S45" s="55" t="str">
        <f t="array" ref="S45">_xlfn.XLOOKUP(B45,'Up Min'!A:A,'Up Min'!E:E,)</f>
        <v/>
      </c>
      <c r="T45" s="55" t="str">
        <f t="array" ref="T45">_xlfn.XLOOKUP(B45,'Up Max'!A:A,'Up Max'!E:E,)</f>
        <v/>
      </c>
      <c r="U45" s="57" t="str">
        <f t="array" ref="U45">_xlfn.XLOOKUP(B45,'Up Stats'!A:A,'Up Stats'!F:F,)</f>
        <v/>
      </c>
      <c r="V45" s="54" t="str">
        <f>IFERROR(__xludf.DUMMYFUNCTION("if(AND(W45=FALSE,X45=FALSE),,if(W45=X45,JOIN("""",""Static: "",W45),JOIN("""",""Min:  "",W45, CHAR(10),""Max: "",X45)))"),"")</f>
        <v/>
      </c>
      <c r="W45" s="55" t="str">
        <f t="array" ref="W45">_xlfn.XLOOKUP(B45,'Up Min'!A:A,'Up Min'!F:F,)</f>
        <v/>
      </c>
      <c r="X45" s="55" t="str">
        <f t="array" ref="X45">_xlfn.XLOOKUP(B45,'Up Max'!A:A,'Up Max'!F:F,)</f>
        <v/>
      </c>
      <c r="Y45" s="57" t="str">
        <f t="array" ref="Y45">_xlfn.XLOOKUP(B45,'Up Stats'!A:A,'Up Stats'!G:G,)</f>
        <v/>
      </c>
      <c r="Z45" s="54" t="str">
        <f>IFERROR(__xludf.DUMMYFUNCTION("if(AND(AA45=FALSE,AB45=FALSE),,if(AA45=AB45,JOIN("""",""Static: "",AA45),JOIN("""",""Min:  "",AA45, CHAR(10),""Max: "",AB45)))"),"")</f>
        <v/>
      </c>
      <c r="AA45" s="55" t="str">
        <f t="array" ref="AA45">_xlfn.XLOOKUP(B45,'Up Min'!A:A,'Up Min'!G:G,)</f>
        <v/>
      </c>
      <c r="AB45" s="55" t="str">
        <f t="array" ref="AB45">_xlfn.XLOOKUP(B45,'Up Max'!A:A,'Up Max'!G:G,)</f>
        <v/>
      </c>
      <c r="AC45" s="57" t="str">
        <f t="array" ref="AC45">_xlfn.XLOOKUP(B45,'Up Stats'!A:A,'Up Stats'!H:H,)</f>
        <v/>
      </c>
      <c r="AD45" s="54" t="str">
        <f>IFERROR(__xludf.DUMMYFUNCTION("if(AND(AE45=FALSE,AF45=FALSE),,if(AE45=AF45,JOIN("""",""Static: "",AE45),JOIN("""",""Min:  "",AE45, CHAR(10),""Max: "",AF45)))"),"")</f>
        <v/>
      </c>
      <c r="AE45" s="55" t="str">
        <f t="array" ref="AE45">_xlfn.XLOOKUP(B45,'Up Min'!A:A,'Up Min'!H:H,)</f>
        <v/>
      </c>
      <c r="AF45" s="55" t="str">
        <f t="array" ref="AF45">_xlfn.XLOOKUP(B45,'Up Max'!A:A,'Up Max'!H:H,)</f>
        <v/>
      </c>
      <c r="AG45" s="57" t="str">
        <f t="array" ref="AG45">_xlfn.XLOOKUP(B45,'Up Stats'!A:A,'Up Stats'!I:I,)</f>
        <v/>
      </c>
      <c r="AH45" s="54" t="str">
        <f>IFERROR(__xludf.DUMMYFUNCTION("if(AND(AI45=FALSE,AJ45=FALSE),,if(AI45=AJ45,JOIN("""",""Static: "",AI45),JOIN("""",""Min:  "",AI45, CHAR(10),""Max: "",AJ45)))"),"")</f>
        <v/>
      </c>
      <c r="AI45" s="55" t="str">
        <f t="array" ref="AI45">_xlfn.XLOOKUP(B45,'Up Min'!A:A,'Up Min'!I:I,)</f>
        <v/>
      </c>
      <c r="AJ45" s="55" t="str">
        <f t="array" ref="AJ45">_xlfn.XLOOKUP(B45,'Up Max'!A:A,'Up Max'!I:I,)</f>
        <v/>
      </c>
      <c r="AK45" s="57" t="str">
        <f t="array" ref="AK45">_xlfn.XLOOKUP(B45,'Up Stats'!A:A,'Up Stats'!J:J,)</f>
        <v/>
      </c>
      <c r="AL45" s="54" t="str">
        <f>IFERROR(__xludf.DUMMYFUNCTION("if(AND(AM45=FALSE,AN45=FALSE),,if(AM45=AN45,JOIN("""",""Static: "",AM45),JOIN("""",""Min:  "",AM45, CHAR(10),""Max: "",AN45)))"),"")</f>
        <v/>
      </c>
      <c r="AM45" s="55" t="str">
        <f t="array" ref="AM45">_xlfn.XLOOKUP(B45,'Up Min'!A:A,'Up Min'!J:J,)</f>
        <v/>
      </c>
      <c r="AN45" s="55" t="str">
        <f t="array" ref="AN45">_xlfn.XLOOKUP(B45,'Up Max'!A:A,'Up Max'!J:J,)</f>
        <v/>
      </c>
      <c r="AO45" s="51" t="str">
        <f t="array" ref="AO45">CONCATENATE(_xlfn.XLOOKUP(B45,'Up Cells'!A:A,'Up Cells'!B:B,))</f>
        <v/>
      </c>
      <c r="AP45" s="51" t="str">
        <f t="array" ref="AP45">CONCATENATE(_xlfn.XLOOKUP(B45,'Up Rarity'!A:A,'Up Rarity'!B:B,),CHAR(10),"-")</f>
        <v>
-</v>
      </c>
    </row>
    <row r="46">
      <c r="A46" s="87" t="str">
        <f t="array" ref="A46">_xlfn.XLOOKUP(B46,'Up Icon'!A:A,'Up Icon'!B:B,)</f>
        <v/>
      </c>
      <c r="B46" s="58" t="str">
        <f t="array" ref="B46">HYPERLINK(_xlfn.XLOOKUP('Up Names'!P46,'Up Wiki'!A:A,'Up Wiki'!B:B,),'Up Names'!P46)</f>
        <v/>
      </c>
      <c r="C46" s="37" t="str">
        <f t="array" ref="C46">_xlfn.XLOOKUP(B46,'Up Desc'!A:A,'Up Desc'!B:B,)</f>
        <v/>
      </c>
      <c r="D46" s="37" t="str">
        <f t="array" ref="D46">_xlfn.XLOOKUP(B46,'Up Turbo'!A:A,'Up Turbo'!B:B,)</f>
        <v/>
      </c>
      <c r="E46" s="39" t="str">
        <f t="array" ref="E46">_xlfn.XLOOKUP(B46,'Up Stats'!A:A,'Up Stats'!B:B,)</f>
        <v/>
      </c>
      <c r="F46" s="40" t="str">
        <f>IFERROR(__xludf.DUMMYFUNCTION("if(AND(G46=FALSE,H46=FALSE),,if(G46=H46,JOIN("""",""Static: "",G46),JOIN("""",""Min:  "",G46, CHAR(10),""Max: "",H46)))"),"")</f>
        <v/>
      </c>
      <c r="G46" s="42" t="str">
        <f t="array" ref="G46">_xlfn.XLOOKUP(B46,'Up Min'!A:A,'Up Min'!B:B,)</f>
        <v/>
      </c>
      <c r="H46" s="45" t="str">
        <f t="array" ref="H46">_xlfn.XLOOKUP(B46,'Up Max'!A:A,'Up Max'!B:B,)</f>
        <v/>
      </c>
      <c r="I46" s="39" t="str">
        <f t="array" ref="I46">_xlfn.XLOOKUP(B46,'Up Stats'!A:A,'Up Stats'!C:C,)</f>
        <v/>
      </c>
      <c r="J46" s="40" t="str">
        <f>IFERROR(__xludf.DUMMYFUNCTION("if(AND(K46=FALSE,L46=FALSE),,if(K46=L46,JOIN("""",""Static: "",K46),JOIN("""",""Min:  "",K46, CHAR(10),""Max: "",L46)))"),"")</f>
        <v/>
      </c>
      <c r="K46" s="42" t="str">
        <f t="array" ref="K46">_xlfn.XLOOKUP(B46,'Up Min'!A:A,'Up Min'!C:C,)</f>
        <v/>
      </c>
      <c r="L46" s="42" t="str">
        <f t="array" ref="L46">_xlfn.XLOOKUP(B46,'Up Max'!A:A,'Up Max'!C:C,)</f>
        <v/>
      </c>
      <c r="M46" s="48" t="str">
        <f t="array" ref="M46">_xlfn.XLOOKUP(B46,'Up Stats'!A:A,'Up Stats'!D:D,)</f>
        <v/>
      </c>
      <c r="N46" s="40" t="str">
        <f>IFERROR(__xludf.DUMMYFUNCTION("if(AND(O46=FALSE,P46=FALSE),,if(O46=P46,JOIN("""",""Static: "",O46),JOIN("""",""Min:  "",O46, CHAR(10),""Max: "",P46)))"),"")</f>
        <v/>
      </c>
      <c r="O46" s="42" t="str">
        <f t="array" ref="O46">_xlfn.XLOOKUP(B46,'Up Min'!A:A,'Up Min'!D:D,)</f>
        <v/>
      </c>
      <c r="P46" s="42" t="str">
        <f t="array" ref="P46">_xlfn.XLOOKUP(B46,'Up Max'!A:A,'Up Max'!D:D,)</f>
        <v/>
      </c>
      <c r="Q46" s="48" t="str">
        <f t="array" ref="Q46">_xlfn.XLOOKUP(B46,'Up Stats'!A:A,'Up Stats'!E:E,)</f>
        <v/>
      </c>
      <c r="R46" s="40" t="str">
        <f>IFERROR(__xludf.DUMMYFUNCTION("if(AND(S46=FALSE,T46=FALSE),,if(S46=T46,JOIN("""",""Static: "",S46),JOIN("""",""Min:  "",S46, CHAR(10),""Max: "",T46)))"),"")</f>
        <v/>
      </c>
      <c r="S46" s="42" t="str">
        <f t="array" ref="S46">_xlfn.XLOOKUP(B46,'Up Min'!A:A,'Up Min'!E:E,)</f>
        <v/>
      </c>
      <c r="T46" s="42" t="str">
        <f t="array" ref="T46">_xlfn.XLOOKUP(B46,'Up Max'!A:A,'Up Max'!E:E,)</f>
        <v/>
      </c>
      <c r="U46" s="48" t="str">
        <f t="array" ref="U46">_xlfn.XLOOKUP(B46,'Up Stats'!A:A,'Up Stats'!F:F,)</f>
        <v/>
      </c>
      <c r="V46" s="40" t="str">
        <f>IFERROR(__xludf.DUMMYFUNCTION("if(AND(W46=FALSE,X46=FALSE),,if(W46=X46,JOIN("""",""Static: "",W46),JOIN("""",""Min:  "",W46, CHAR(10),""Max: "",X46)))"),"")</f>
        <v/>
      </c>
      <c r="W46" s="42" t="str">
        <f t="array" ref="W46">_xlfn.XLOOKUP(B46,'Up Min'!A:A,'Up Min'!F:F,)</f>
        <v/>
      </c>
      <c r="X46" s="42" t="str">
        <f t="array" ref="X46">_xlfn.XLOOKUP(B46,'Up Max'!A:A,'Up Max'!F:F,)</f>
        <v/>
      </c>
      <c r="Y46" s="48" t="str">
        <f t="array" ref="Y46">_xlfn.XLOOKUP(B46,'Up Stats'!A:A,'Up Stats'!G:G,)</f>
        <v/>
      </c>
      <c r="Z46" s="40" t="str">
        <f>IFERROR(__xludf.DUMMYFUNCTION("if(AND(AA46=FALSE,AB46=FALSE),,if(AA46=AB46,JOIN("""",""Static: "",AA46),JOIN("""",""Min:  "",AA46, CHAR(10),""Max: "",AB46)))"),"")</f>
        <v/>
      </c>
      <c r="AA46" s="42" t="str">
        <f t="array" ref="AA46">_xlfn.XLOOKUP(B46,'Up Min'!A:A,'Up Min'!G:G,)</f>
        <v/>
      </c>
      <c r="AB46" s="42" t="str">
        <f t="array" ref="AB46">_xlfn.XLOOKUP(B46,'Up Max'!A:A,'Up Max'!G:G,)</f>
        <v/>
      </c>
      <c r="AC46" s="48" t="str">
        <f t="array" ref="AC46">_xlfn.XLOOKUP(B46,'Up Stats'!A:A,'Up Stats'!H:H,)</f>
        <v/>
      </c>
      <c r="AD46" s="40" t="str">
        <f>IFERROR(__xludf.DUMMYFUNCTION("if(AND(AE46=FALSE,AF46=FALSE),,if(AE46=AF46,JOIN("""",""Static: "",AE46),JOIN("""",""Min:  "",AE46, CHAR(10),""Max: "",AF46)))"),"")</f>
        <v/>
      </c>
      <c r="AE46" s="42" t="str">
        <f t="array" ref="AE46">_xlfn.XLOOKUP(B46,'Up Min'!A:A,'Up Min'!H:H,)</f>
        <v/>
      </c>
      <c r="AF46" s="42" t="str">
        <f t="array" ref="AF46">_xlfn.XLOOKUP(B46,'Up Max'!A:A,'Up Max'!H:H,)</f>
        <v/>
      </c>
      <c r="AG46" s="48" t="str">
        <f t="array" ref="AG46">_xlfn.XLOOKUP(B46,'Up Stats'!A:A,'Up Stats'!I:I,)</f>
        <v/>
      </c>
      <c r="AH46" s="40" t="str">
        <f>IFERROR(__xludf.DUMMYFUNCTION("if(AND(AI46=FALSE,AJ46=FALSE),,if(AI46=AJ46,JOIN("""",""Static: "",AI46),JOIN("""",""Min:  "",AI46, CHAR(10),""Max: "",AJ46)))"),"")</f>
        <v/>
      </c>
      <c r="AI46" s="42" t="str">
        <f t="array" ref="AI46">_xlfn.XLOOKUP(B46,'Up Min'!A:A,'Up Min'!I:I,)</f>
        <v/>
      </c>
      <c r="AJ46" s="42" t="str">
        <f t="array" ref="AJ46">_xlfn.XLOOKUP(B46,'Up Max'!A:A,'Up Max'!I:I,)</f>
        <v/>
      </c>
      <c r="AK46" s="48" t="str">
        <f t="array" ref="AK46">_xlfn.XLOOKUP(B46,'Up Stats'!A:A,'Up Stats'!J:J,)</f>
        <v/>
      </c>
      <c r="AL46" s="40" t="str">
        <f>IFERROR(__xludf.DUMMYFUNCTION("if(AND(AM46=FALSE,AN46=FALSE),,if(AM46=AN46,JOIN("""",""Static: "",AM46),JOIN("""",""Min:  "",AM46, CHAR(10),""Max: "",AN46)))"),"")</f>
        <v/>
      </c>
      <c r="AM46" s="42" t="str">
        <f t="array" ref="AM46">_xlfn.XLOOKUP(B46,'Up Min'!A:A,'Up Min'!J:J,)</f>
        <v/>
      </c>
      <c r="AN46" s="42" t="str">
        <f t="array" ref="AN46">_xlfn.XLOOKUP(B46,'Up Max'!A:A,'Up Max'!J:J,)</f>
        <v/>
      </c>
      <c r="AO46" s="34" t="str">
        <f t="array" ref="AO46">CONCATENATE(_xlfn.XLOOKUP(B46,'Up Cells'!A:A,'Up Cells'!B:B,))</f>
        <v/>
      </c>
      <c r="AP46" s="34" t="str">
        <f t="array" ref="AP46">CONCATENATE(_xlfn.XLOOKUP(B46,'Up Rarity'!A:A,'Up Rarity'!B:B,),CHAR(10),"-")</f>
        <v>
-</v>
      </c>
    </row>
    <row r="47">
      <c r="A47" s="86" t="str">
        <f t="array" ref="A47">_xlfn.XLOOKUP(B47,'Up Icon'!A:A,'Up Icon'!B:B,)</f>
        <v/>
      </c>
      <c r="B47" s="61" t="str">
        <f t="array" ref="B47">HYPERLINK(_xlfn.XLOOKUP('Up Names'!P47,'Up Wiki'!A:A,'Up Wiki'!B:B,),'Up Names'!P47)</f>
        <v/>
      </c>
      <c r="C47" s="52" t="str">
        <f t="array" ref="C47">_xlfn.XLOOKUP(B47,'Up Desc'!A:A,'Up Desc'!B:B,)</f>
        <v/>
      </c>
      <c r="D47" s="52" t="str">
        <f t="array" ref="D47">_xlfn.XLOOKUP(B47,'Up Turbo'!A:A,'Up Turbo'!B:B,)</f>
        <v/>
      </c>
      <c r="E47" s="53" t="str">
        <f t="array" ref="E47">_xlfn.XLOOKUP(B47,'Up Stats'!A:A,'Up Stats'!B:B,)</f>
        <v/>
      </c>
      <c r="F47" s="54" t="str">
        <f>IFERROR(__xludf.DUMMYFUNCTION("if(AND(G47=FALSE,H47=FALSE),,if(G47=H47,JOIN("""",""Static: "",G47),JOIN("""",""Min:  "",G47, CHAR(10),""Max: "",H47)))"),"")</f>
        <v/>
      </c>
      <c r="G47" s="55" t="str">
        <f t="array" ref="G47">_xlfn.XLOOKUP(B47,'Up Min'!A:A,'Up Min'!B:B,)</f>
        <v/>
      </c>
      <c r="H47" s="56" t="str">
        <f t="array" ref="H47">_xlfn.XLOOKUP(B47,'Up Max'!A:A,'Up Max'!B:B,)</f>
        <v/>
      </c>
      <c r="I47" s="53" t="str">
        <f t="array" ref="I47">_xlfn.XLOOKUP(B47,'Up Stats'!A:A,'Up Stats'!C:C,)</f>
        <v/>
      </c>
      <c r="J47" s="54" t="str">
        <f>IFERROR(__xludf.DUMMYFUNCTION("if(AND(K47=FALSE,L47=FALSE),,if(K47=L47,JOIN("""",""Static: "",K47),JOIN("""",""Min:  "",K47, CHAR(10),""Max: "",L47)))"),"")</f>
        <v/>
      </c>
      <c r="K47" s="55" t="str">
        <f t="array" ref="K47">_xlfn.XLOOKUP(B47,'Up Min'!A:A,'Up Min'!C:C,)</f>
        <v/>
      </c>
      <c r="L47" s="55" t="str">
        <f t="array" ref="L47">_xlfn.XLOOKUP(B47,'Up Max'!A:A,'Up Max'!C:C,)</f>
        <v/>
      </c>
      <c r="M47" s="57" t="str">
        <f t="array" ref="M47">_xlfn.XLOOKUP(B47,'Up Stats'!A:A,'Up Stats'!D:D,)</f>
        <v/>
      </c>
      <c r="N47" s="54" t="str">
        <f>IFERROR(__xludf.DUMMYFUNCTION("if(AND(O47=FALSE,P47=FALSE),,if(O47=P47,JOIN("""",""Static: "",O47),JOIN("""",""Min:  "",O47, CHAR(10),""Max: "",P47)))"),"")</f>
        <v/>
      </c>
      <c r="O47" s="55" t="str">
        <f t="array" ref="O47">_xlfn.XLOOKUP(B47,'Up Min'!A:A,'Up Min'!D:D,)</f>
        <v/>
      </c>
      <c r="P47" s="55" t="str">
        <f t="array" ref="P47">_xlfn.XLOOKUP(B47,'Up Max'!A:A,'Up Max'!D:D,)</f>
        <v/>
      </c>
      <c r="Q47" s="57" t="str">
        <f t="array" ref="Q47">_xlfn.XLOOKUP(B47,'Up Stats'!A:A,'Up Stats'!E:E,)</f>
        <v/>
      </c>
      <c r="R47" s="54" t="str">
        <f>IFERROR(__xludf.DUMMYFUNCTION("if(AND(S47=FALSE,T47=FALSE),,if(S47=T47,JOIN("""",""Static: "",S47),JOIN("""",""Min:  "",S47, CHAR(10),""Max: "",T47)))"),"")</f>
        <v/>
      </c>
      <c r="S47" s="55" t="str">
        <f t="array" ref="S47">_xlfn.XLOOKUP(B47,'Up Min'!A:A,'Up Min'!E:E,)</f>
        <v/>
      </c>
      <c r="T47" s="55" t="str">
        <f t="array" ref="T47">_xlfn.XLOOKUP(B47,'Up Max'!A:A,'Up Max'!E:E,)</f>
        <v/>
      </c>
      <c r="U47" s="57" t="str">
        <f t="array" ref="U47">_xlfn.XLOOKUP(B47,'Up Stats'!A:A,'Up Stats'!F:F,)</f>
        <v/>
      </c>
      <c r="V47" s="54" t="str">
        <f>IFERROR(__xludf.DUMMYFUNCTION("if(AND(W47=FALSE,X47=FALSE),,if(W47=X47,JOIN("""",""Static: "",W47),JOIN("""",""Min:  "",W47, CHAR(10),""Max: "",X47)))"),"")</f>
        <v/>
      </c>
      <c r="W47" s="55" t="str">
        <f t="array" ref="W47">_xlfn.XLOOKUP(B47,'Up Min'!A:A,'Up Min'!F:F,)</f>
        <v/>
      </c>
      <c r="X47" s="55" t="str">
        <f t="array" ref="X47">_xlfn.XLOOKUP(B47,'Up Max'!A:A,'Up Max'!F:F,)</f>
        <v/>
      </c>
      <c r="Y47" s="57" t="str">
        <f t="array" ref="Y47">_xlfn.XLOOKUP(B47,'Up Stats'!A:A,'Up Stats'!G:G,)</f>
        <v/>
      </c>
      <c r="Z47" s="54" t="str">
        <f>IFERROR(__xludf.DUMMYFUNCTION("if(AND(AA47=FALSE,AB47=FALSE),,if(AA47=AB47,JOIN("""",""Static: "",AA47),JOIN("""",""Min:  "",AA47, CHAR(10),""Max: "",AB47)))"),"")</f>
        <v/>
      </c>
      <c r="AA47" s="55" t="str">
        <f t="array" ref="AA47">_xlfn.XLOOKUP(B47,'Up Min'!A:A,'Up Min'!G:G,)</f>
        <v/>
      </c>
      <c r="AB47" s="55" t="str">
        <f t="array" ref="AB47">_xlfn.XLOOKUP(B47,'Up Max'!A:A,'Up Max'!G:G,)</f>
        <v/>
      </c>
      <c r="AC47" s="57" t="str">
        <f t="array" ref="AC47">_xlfn.XLOOKUP(B47,'Up Stats'!A:A,'Up Stats'!H:H,)</f>
        <v/>
      </c>
      <c r="AD47" s="54" t="str">
        <f>IFERROR(__xludf.DUMMYFUNCTION("if(AND(AE47=FALSE,AF47=FALSE),,if(AE47=AF47,JOIN("""",""Static: "",AE47),JOIN("""",""Min:  "",AE47, CHAR(10),""Max: "",AF47)))"),"")</f>
        <v/>
      </c>
      <c r="AE47" s="55" t="str">
        <f t="array" ref="AE47">_xlfn.XLOOKUP(B47,'Up Min'!A:A,'Up Min'!H:H,)</f>
        <v/>
      </c>
      <c r="AF47" s="55" t="str">
        <f t="array" ref="AF47">_xlfn.XLOOKUP(B47,'Up Max'!A:A,'Up Max'!H:H,)</f>
        <v/>
      </c>
      <c r="AG47" s="57" t="str">
        <f t="array" ref="AG47">_xlfn.XLOOKUP(B47,'Up Stats'!A:A,'Up Stats'!I:I,)</f>
        <v/>
      </c>
      <c r="AH47" s="54" t="str">
        <f>IFERROR(__xludf.DUMMYFUNCTION("if(AND(AI47=FALSE,AJ47=FALSE),,if(AI47=AJ47,JOIN("""",""Static: "",AI47),JOIN("""",""Min:  "",AI47, CHAR(10),""Max: "",AJ47)))"),"")</f>
        <v/>
      </c>
      <c r="AI47" s="55" t="str">
        <f t="array" ref="AI47">_xlfn.XLOOKUP(B47,'Up Min'!A:A,'Up Min'!I:I,)</f>
        <v/>
      </c>
      <c r="AJ47" s="55" t="str">
        <f t="array" ref="AJ47">_xlfn.XLOOKUP(B47,'Up Max'!A:A,'Up Max'!I:I,)</f>
        <v/>
      </c>
      <c r="AK47" s="57" t="str">
        <f t="array" ref="AK47">_xlfn.XLOOKUP(B47,'Up Stats'!A:A,'Up Stats'!J:J,)</f>
        <v/>
      </c>
      <c r="AL47" s="54" t="str">
        <f>IFERROR(__xludf.DUMMYFUNCTION("if(AND(AM47=FALSE,AN47=FALSE),,if(AM47=AN47,JOIN("""",""Static: "",AM47),JOIN("""",""Min:  "",AM47, CHAR(10),""Max: "",AN47)))"),"")</f>
        <v/>
      </c>
      <c r="AM47" s="55" t="str">
        <f t="array" ref="AM47">_xlfn.XLOOKUP(B47,'Up Min'!A:A,'Up Min'!J:J,)</f>
        <v/>
      </c>
      <c r="AN47" s="55" t="str">
        <f t="array" ref="AN47">_xlfn.XLOOKUP(B47,'Up Max'!A:A,'Up Max'!J:J,)</f>
        <v/>
      </c>
      <c r="AO47" s="51" t="str">
        <f t="array" ref="AO47">CONCATENATE(_xlfn.XLOOKUP(B47,'Up Cells'!A:A,'Up Cells'!B:B,))</f>
        <v/>
      </c>
      <c r="AP47" s="51" t="str">
        <f t="array" ref="AP47">CONCATENATE(_xlfn.XLOOKUP(B47,'Up Rarity'!A:A,'Up Rarity'!B:B,),CHAR(10),"-")</f>
        <v>
-</v>
      </c>
    </row>
  </sheetData>
  <autoFilter ref="$A$1:$AP$47">
    <sortState ref="A1:AP47">
      <sortCondition descending="1" sortBy="cellColor" ref="AP1:AP47" dxfId="2"/>
      <sortCondition ref="B1:B47"/>
    </sortState>
  </autoFilter>
  <conditionalFormatting sqref="AO1:AP47">
    <cfRule type="containsText" dxfId="3" priority="1" operator="containsText" text="Oddity">
      <formula>NOT(ISERROR(SEARCH(("Oddity"),(AO1))))</formula>
    </cfRule>
  </conditionalFormatting>
  <conditionalFormatting sqref="AO1:AP47">
    <cfRule type="containsText" dxfId="4" priority="2" operator="containsText" text="Exotic">
      <formula>NOT(ISERROR(SEARCH(("Exotic"),(AO1))))</formula>
    </cfRule>
  </conditionalFormatting>
  <conditionalFormatting sqref="AO1:AP47">
    <cfRule type="containsText" dxfId="5" priority="3" operator="containsText" text="Epic">
      <formula>NOT(ISERROR(SEARCH(("Epic"),(AO1))))</formula>
    </cfRule>
  </conditionalFormatting>
  <conditionalFormatting sqref="AO1:AP47">
    <cfRule type="containsText" dxfId="6" priority="4" operator="containsText" text="Rare">
      <formula>NOT(ISERROR(SEARCH(("Rare"),(AO1))))</formula>
    </cfRule>
  </conditionalFormatting>
  <conditionalFormatting sqref="AO1:AP47">
    <cfRule type="containsText" dxfId="7" priority="5" operator="containsText" text="Standard">
      <formula>NOT(ISERROR(SEARCH(("Standard"),(AO1))))</formula>
    </cfRule>
  </conditionalFormatting>
  <conditionalFormatting sqref="AO1:AP47">
    <cfRule type="containsText" dxfId="8" priority="6" operator="containsText" text="Contraband">
      <formula>NOT(ISERROR(SEARCH(("Contraband"),(AO1))))</formula>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12.63"/>
    <col customWidth="1" min="3" max="4" width="31.38"/>
    <col customWidth="1" min="5" max="6" width="12.63"/>
    <col customWidth="1" hidden="1" min="7" max="8" width="12.63"/>
    <col customWidth="1" min="9" max="10" width="12.63"/>
    <col customWidth="1" hidden="1" min="11" max="12" width="12.63"/>
    <col customWidth="1" min="13" max="14" width="12.63"/>
    <col customWidth="1" hidden="1" min="15" max="16" width="12.63"/>
    <col customWidth="1" min="17" max="18" width="12.63"/>
    <col customWidth="1" hidden="1" min="19" max="20" width="12.63"/>
    <col customWidth="1" min="21" max="22" width="12.63"/>
    <col customWidth="1" hidden="1" min="23" max="24" width="12.63"/>
    <col customWidth="1" min="25" max="26" width="12.63"/>
    <col customWidth="1" hidden="1" min="27" max="28" width="12.63"/>
    <col customWidth="1" min="29" max="30" width="12.63"/>
    <col customWidth="1" hidden="1" min="31" max="32" width="12.63"/>
    <col customWidth="1" min="33" max="34" width="12.63"/>
    <col customWidth="1" hidden="1" min="35" max="36" width="12.63"/>
    <col customWidth="1" min="37" max="38" width="12.63"/>
    <col customWidth="1" hidden="1" min="39" max="40" width="12.63"/>
    <col customWidth="1" min="41" max="42" width="8.25"/>
  </cols>
  <sheetData>
    <row r="1">
      <c r="A1" s="28" t="s">
        <v>1</v>
      </c>
      <c r="B1" s="9" t="s">
        <v>2</v>
      </c>
      <c r="C1" s="9" t="s">
        <v>3</v>
      </c>
      <c r="D1" s="11" t="s">
        <v>4</v>
      </c>
      <c r="E1" s="16" t="s">
        <v>6</v>
      </c>
      <c r="F1" s="19" t="s">
        <v>7</v>
      </c>
      <c r="G1" s="21" t="s">
        <v>8</v>
      </c>
      <c r="H1" s="25" t="s">
        <v>9</v>
      </c>
      <c r="I1" s="29" t="s">
        <v>6</v>
      </c>
      <c r="J1" s="19" t="s">
        <v>7</v>
      </c>
      <c r="K1" s="21" t="s">
        <v>8</v>
      </c>
      <c r="L1" s="21" t="s">
        <v>9</v>
      </c>
      <c r="M1" s="29" t="s">
        <v>6</v>
      </c>
      <c r="N1" s="19" t="s">
        <v>7</v>
      </c>
      <c r="O1" s="21" t="s">
        <v>8</v>
      </c>
      <c r="P1" s="21" t="s">
        <v>9</v>
      </c>
      <c r="Q1" s="16" t="s">
        <v>6</v>
      </c>
      <c r="R1" s="19" t="s">
        <v>7</v>
      </c>
      <c r="S1" s="25" t="s">
        <v>8</v>
      </c>
      <c r="T1" s="21" t="s">
        <v>9</v>
      </c>
      <c r="U1" s="16" t="s">
        <v>6</v>
      </c>
      <c r="V1" s="19" t="s">
        <v>7</v>
      </c>
      <c r="W1" s="21" t="s">
        <v>8</v>
      </c>
      <c r="X1" s="21" t="s">
        <v>9</v>
      </c>
      <c r="Y1" s="16" t="s">
        <v>6</v>
      </c>
      <c r="Z1" s="19" t="s">
        <v>7</v>
      </c>
      <c r="AA1" s="21" t="s">
        <v>8</v>
      </c>
      <c r="AB1" s="21" t="s">
        <v>9</v>
      </c>
      <c r="AC1" s="16" t="s">
        <v>6</v>
      </c>
      <c r="AD1" s="19" t="s">
        <v>7</v>
      </c>
      <c r="AE1" s="21" t="s">
        <v>8</v>
      </c>
      <c r="AF1" s="21" t="s">
        <v>9</v>
      </c>
      <c r="AG1" s="16" t="s">
        <v>6</v>
      </c>
      <c r="AH1" s="19" t="s">
        <v>7</v>
      </c>
      <c r="AI1" s="21" t="s">
        <v>8</v>
      </c>
      <c r="AJ1" s="21" t="s">
        <v>9</v>
      </c>
      <c r="AK1" s="16" t="s">
        <v>6</v>
      </c>
      <c r="AL1" s="19" t="s">
        <v>7</v>
      </c>
      <c r="AM1" s="21" t="s">
        <v>8</v>
      </c>
      <c r="AN1" s="21" t="s">
        <v>9</v>
      </c>
      <c r="AO1" s="11" t="s">
        <v>12</v>
      </c>
      <c r="AP1" s="22" t="s">
        <v>13</v>
      </c>
    </row>
    <row r="2">
      <c r="A2" s="60" t="str">
        <f t="array" ref="A2">_xlfn.XLOOKUP(B2,'Up Icon'!A:A,'Up Icon'!B:B,)</f>
        <v/>
      </c>
      <c r="B2" s="34" t="str">
        <f t="array" ref="B2">HYPERLINK(_xlfn.XLOOKUP('Up Names'!Q2,'Up Wiki'!A:A,'Up Wiki'!B:B,),'Up Names'!Q2)</f>
        <v>Switcheroo</v>
      </c>
      <c r="C2" s="37" t="str">
        <f t="array" ref="C2">_xlfn.XLOOKUP(B2,'Up Desc'!A:A,'Up Desc'!B:B,)</f>
        <v>Let's trade.</v>
      </c>
      <c r="D2" s="37" t="str">
        <f t="array" ref="D2">_xlfn.XLOOKUP(B2,'Up Turbo'!A:A,'Up Turbo'!B:B,)</f>
        <v>n/a</v>
      </c>
      <c r="E2" s="39" t="str">
        <f t="array" ref="E2">_xlfn.XLOOKUP(B2,'Up Stats'!A:A,'Up Stats'!B:B,)</f>
        <v/>
      </c>
      <c r="F2" s="40" t="str">
        <f>IFERROR(__xludf.DUMMYFUNCTION("if(AND(G2=FALSE,H2=FALSE),,if(G2=H2,JOIN("""",""Static: "",G2),JOIN("""",""Min:  "",G2, CHAR(10),""Max: "",H2)))"),"")</f>
        <v/>
      </c>
      <c r="G2" s="69" t="str">
        <f t="array" ref="G2">_xlfn.XLOOKUP(B2,'Up Min'!A:A,'Up Min'!B:B,)</f>
        <v/>
      </c>
      <c r="H2" s="68" t="str">
        <f t="array" ref="H2">_xlfn.XLOOKUP(B2,'Up Max'!A:A,'Up Max'!B:B,)</f>
        <v/>
      </c>
      <c r="I2" s="39" t="str">
        <f t="array" ref="I2">_xlfn.XLOOKUP(B2,'Up Stats'!A:A,'Up Stats'!C:C,)</f>
        <v/>
      </c>
      <c r="J2" s="40" t="str">
        <f>IFERROR(__xludf.DUMMYFUNCTION("if(AND(K2=FALSE,L2=FALSE),,if(K2=L2,JOIN("""",""Static: "",K2),JOIN("""",""Min:  "",K2, CHAR(10),""Max: "",L2)))"),"")</f>
        <v/>
      </c>
      <c r="K2" s="68" t="str">
        <f t="array" ref="K2">_xlfn.XLOOKUP(B2,'Up Min'!A:A,'Up Min'!C:C,)</f>
        <v/>
      </c>
      <c r="L2" s="69" t="str">
        <f t="array" ref="L2">_xlfn.XLOOKUP(B2,'Up Max'!A:A,'Up Max'!C:C,)</f>
        <v/>
      </c>
      <c r="M2" s="39" t="str">
        <f t="array" ref="M2">_xlfn.XLOOKUP(B2,'Up Stats'!A:A,'Up Stats'!D:D,)</f>
        <v/>
      </c>
      <c r="N2" s="40" t="str">
        <f>IFERROR(__xludf.DUMMYFUNCTION("if(AND(O2=FALSE,P2=FALSE),,if(O2=P2,JOIN("""",""Static: "",O2),JOIN("""",""Min:  "",O2, CHAR(10),""Max: "",P2)))"),"")</f>
        <v/>
      </c>
      <c r="O2" s="42" t="str">
        <f t="array" ref="O2">_xlfn.XLOOKUP(B2,'Up Min'!A:A,'Up Min'!D:D,)</f>
        <v/>
      </c>
      <c r="P2" s="42" t="str">
        <f t="array" ref="P2">_xlfn.XLOOKUP(B2,'Up Max'!A:A,'Up Max'!D:D,)</f>
        <v/>
      </c>
      <c r="Q2" s="48" t="str">
        <f t="array" ref="Q2">_xlfn.XLOOKUP(B2,'Up Stats'!A:A,'Up Stats'!E:E,)</f>
        <v/>
      </c>
      <c r="R2" s="40" t="str">
        <f>IFERROR(__xludf.DUMMYFUNCTION("if(AND(S2=FALSE,T2=FALSE),,if(S2=T2,JOIN("""",""Static: "",S2),JOIN("""",""Min:  "",S2, CHAR(10),""Max: "",T2)))"),"")</f>
        <v/>
      </c>
      <c r="S2" s="42" t="str">
        <f t="array" ref="S2">_xlfn.XLOOKUP(B2,'Up Min'!A:A,'Up Min'!E:E,)</f>
        <v/>
      </c>
      <c r="T2" s="42" t="str">
        <f t="array" ref="T2">_xlfn.XLOOKUP(B2,'Up Max'!A:A,'Up Max'!E:E,)</f>
        <v/>
      </c>
      <c r="U2" s="48" t="str">
        <f t="array" ref="U2">_xlfn.XLOOKUP(B2,'Up Stats'!A:A,'Up Stats'!F:F,)</f>
        <v/>
      </c>
      <c r="V2" s="40" t="str">
        <f>IFERROR(__xludf.DUMMYFUNCTION("if(AND(W2=FALSE,X2=FALSE),,if(W2=X2,JOIN("""",""Static: "",W2),JOIN("""",""Min:  "",W2, CHAR(10),""Max: "",X2)))"),"")</f>
        <v/>
      </c>
      <c r="W2" s="42" t="str">
        <f t="array" ref="W2">_xlfn.XLOOKUP(B2,'Up Min'!A:A,'Up Min'!F:F,)</f>
        <v/>
      </c>
      <c r="X2" s="42" t="str">
        <f t="array" ref="X2">_xlfn.XLOOKUP(B2,'Up Max'!A:A,'Up Max'!F:F,)</f>
        <v/>
      </c>
      <c r="Y2" s="48" t="str">
        <f t="array" ref="Y2">_xlfn.XLOOKUP(B2,'Up Stats'!A:A,'Up Stats'!G:G,)</f>
        <v/>
      </c>
      <c r="Z2" s="40" t="str">
        <f>IFERROR(__xludf.DUMMYFUNCTION("if(AND(AA2=FALSE,AB2=FALSE),,if(AA2=AB2,JOIN("""",""Static: "",AA2),JOIN("""",""Min:  "",AA2, CHAR(10),""Max: "",AB2)))"),"")</f>
        <v/>
      </c>
      <c r="AA2" s="42" t="str">
        <f t="array" ref="AA2">_xlfn.XLOOKUP(B2,'Up Min'!A:A,'Up Min'!G:G,)</f>
        <v/>
      </c>
      <c r="AB2" s="42" t="str">
        <f t="array" ref="AB2">_xlfn.XLOOKUP(B2,'Up Max'!A:A,'Up Max'!G:G,)</f>
        <v/>
      </c>
      <c r="AC2" s="48" t="str">
        <f t="array" ref="AC2">_xlfn.XLOOKUP(B2,'Up Stats'!A:A,'Up Stats'!H:H,)</f>
        <v/>
      </c>
      <c r="AD2" s="40" t="str">
        <f>IFERROR(__xludf.DUMMYFUNCTION("if(AND(AE2=FALSE,AF2=FALSE),,if(AE2=AF2,JOIN("""",""Static: "",AE2),JOIN("""",""Min:  "",AE2, CHAR(10),""Max: "",AF2)))"),"")</f>
        <v/>
      </c>
      <c r="AE2" s="42" t="str">
        <f t="array" ref="AE2">_xlfn.XLOOKUP(B2,'Up Min'!A:A,'Up Min'!H:H,)</f>
        <v/>
      </c>
      <c r="AF2" s="42" t="str">
        <f t="array" ref="AF2">_xlfn.XLOOKUP(B2,'Up Max'!A:A,'Up Max'!H:H,)</f>
        <v/>
      </c>
      <c r="AG2" s="48" t="str">
        <f t="array" ref="AG2">_xlfn.XLOOKUP(B2,'Up Stats'!A:A,'Up Stats'!I:I,)</f>
        <v/>
      </c>
      <c r="AH2" s="40" t="str">
        <f>IFERROR(__xludf.DUMMYFUNCTION("if(AND(AI2=FALSE,AJ2=FALSE),,if(AI2=AJ2,JOIN("""",""Static: "",AI2),JOIN("""",""Min:  "",AI2, CHAR(10),""Max: "",AJ2)))"),"")</f>
        <v/>
      </c>
      <c r="AI2" s="42" t="str">
        <f t="array" ref="AI2">_xlfn.XLOOKUP(B2,'Up Min'!A:A,'Up Min'!I:I,)</f>
        <v/>
      </c>
      <c r="AJ2" s="42" t="str">
        <f t="array" ref="AJ2">_xlfn.XLOOKUP(B2,'Up Max'!A:A,'Up Max'!I:I,)</f>
        <v/>
      </c>
      <c r="AK2" s="48" t="str">
        <f t="array" ref="AK2">_xlfn.XLOOKUP(B2,'Up Stats'!A:A,'Up Stats'!J:J,)</f>
        <v/>
      </c>
      <c r="AL2" s="40" t="str">
        <f>IFERROR(__xludf.DUMMYFUNCTION("if(AND(AM2=FALSE,AN2=FALSE),,if(AM2=AN2,JOIN("""",""Static: "",AM2),JOIN("""",""Min:  "",AM2, CHAR(10),""Max: "",AN2)))"),"")</f>
        <v/>
      </c>
      <c r="AM2" s="42" t="str">
        <f t="array" ref="AM2">_xlfn.XLOOKUP(B2,'Up Min'!A:A,'Up Min'!J:J,)</f>
        <v/>
      </c>
      <c r="AN2" s="42" t="str">
        <f t="array" ref="AN2">_xlfn.XLOOKUP(B2,'Up Max'!A:A,'Up Max'!J:J,)</f>
        <v/>
      </c>
      <c r="AO2" s="34" t="str">
        <f t="array" ref="AO2">CONCATENATE(_xlfn.XLOOKUP(B2,'Up Cells'!A:A,'Up Cells'!B:B,))</f>
        <v>6</v>
      </c>
      <c r="AP2" s="34" t="str">
        <f t="array" ref="AP2">CONCATENATE(_xlfn.XLOOKUP(B2,'Up Rarity'!A:A,'Up Rarity'!B:B,),CHAR(10),"-")</f>
        <v>Oddity
-</v>
      </c>
    </row>
    <row r="3">
      <c r="A3" s="62" t="str">
        <f t="array" ref="A3">_xlfn.XLOOKUP(B3,'Up Icon'!A:A,'Up Icon'!B:B,)</f>
        <v/>
      </c>
      <c r="B3" s="63" t="str">
        <f t="array" ref="B3">HYPERLINK(_xlfn.XLOOKUP('Up Names'!Q3,'Up Wiki'!A:A,'Up Wiki'!B:B,),'Up Names'!Q3)</f>
        <v>Blood, Sweat, Tears</v>
      </c>
      <c r="C3" s="52" t="str">
        <f t="array" ref="C3">_xlfn.XLOOKUP(B3,'Up Desc'!A:A,'Up Desc'!B:B,)</f>
        <v>Attempting to use your Rocket Lasso while it's recharging damages you and grants some charge.</v>
      </c>
      <c r="D3" s="52" t="str">
        <f t="array" ref="D3">_xlfn.XLOOKUP(B3,'Up Turbo'!A:A,'Up Turbo'!B:B,)</f>
        <v>The same is true for your air dash.
Charge: [+0.84 - +0.86]</v>
      </c>
      <c r="E3" s="53" t="str">
        <f t="array" ref="E3">_xlfn.XLOOKUP(B3,'Up Stats'!A:A,'Up Stats'!B:B,)</f>
        <v>Charge</v>
      </c>
      <c r="F3" s="54" t="str">
        <f>IFERROR(__xludf.DUMMYFUNCTION("if(AND(G3=FALSE,H3=FALSE),,if(G3=H3,JOIN("""",""Static: "",G3),JOIN("""",""Min:  "",G3, CHAR(10),""Max: "",H3)))"),"Min:  200%
Max: 300.00%")</f>
        <v>Min:  200%
Max: 300.00%</v>
      </c>
      <c r="G3" s="59">
        <f t="array" ref="G3">_xlfn.XLOOKUP(B3,'Up Min'!A:A,'Up Min'!B:B,)</f>
        <v>2</v>
      </c>
      <c r="H3" s="71">
        <f t="array" ref="H3">_xlfn.XLOOKUP(B3,'Up Max'!A:A,'Up Max'!B:B,)</f>
        <v>3</v>
      </c>
      <c r="I3" s="53" t="str">
        <f t="array" ref="I3">_xlfn.XLOOKUP(B3,'Up Stats'!A:A,'Up Stats'!C:C,)</f>
        <v>Damage Taken</v>
      </c>
      <c r="J3" s="54" t="str">
        <f>IFERROR(__xludf.DUMMYFUNCTION("if(AND(K3=FALSE,L3=FALSE),,if(K3=L3,JOIN("""",""Static: "",K3),JOIN("""",""Min:  "",K3, CHAR(10),""Max: "",L3)))"),"Min:  1.3
Max: 2")</f>
        <v>Min:  1.3
Max: 2</v>
      </c>
      <c r="K3" s="65">
        <f t="array" ref="K3">_xlfn.XLOOKUP(B3,'Up Min'!A:A,'Up Min'!C:C,)</f>
        <v>1.3</v>
      </c>
      <c r="L3" s="64">
        <f t="array" ref="L3">_xlfn.XLOOKUP(B3,'Up Max'!A:A,'Up Max'!C:C,)</f>
        <v>2</v>
      </c>
      <c r="M3" s="53" t="str">
        <f t="array" ref="M3">_xlfn.XLOOKUP(B3,'Up Stats'!A:A,'Up Stats'!D:D,)</f>
        <v/>
      </c>
      <c r="N3" s="54" t="str">
        <f>IFERROR(__xludf.DUMMYFUNCTION("if(AND(O3=FALSE,P3=FALSE),,if(O3=P3,JOIN("""",""Static: "",O3),JOIN("""",""Min:  "",O3, CHAR(10),""Max: "",P3)))"),"")</f>
        <v/>
      </c>
      <c r="O3" s="55" t="str">
        <f t="array" ref="O3">_xlfn.XLOOKUP(B3,'Up Min'!A:A,'Up Min'!D:D,)</f>
        <v/>
      </c>
      <c r="P3" s="55" t="str">
        <f t="array" ref="P3">_xlfn.XLOOKUP(B3,'Up Max'!A:A,'Up Max'!D:D,)</f>
        <v/>
      </c>
      <c r="Q3" s="57" t="str">
        <f t="array" ref="Q3">_xlfn.XLOOKUP(B3,'Up Stats'!A:A,'Up Stats'!E:E,)</f>
        <v/>
      </c>
      <c r="R3" s="54" t="str">
        <f>IFERROR(__xludf.DUMMYFUNCTION("if(AND(S3=FALSE,T3=FALSE),,if(S3=T3,JOIN("""",""Static: "",S3),JOIN("""",""Min:  "",S3, CHAR(10),""Max: "",T3)))"),"")</f>
        <v/>
      </c>
      <c r="S3" s="55" t="str">
        <f t="array" ref="S3">_xlfn.XLOOKUP(B3,'Up Min'!A:A,'Up Min'!E:E,)</f>
        <v/>
      </c>
      <c r="T3" s="55" t="str">
        <f t="array" ref="T3">_xlfn.XLOOKUP(B3,'Up Max'!A:A,'Up Max'!E:E,)</f>
        <v/>
      </c>
      <c r="U3" s="57" t="str">
        <f t="array" ref="U3">_xlfn.XLOOKUP(B3,'Up Stats'!A:A,'Up Stats'!F:F,)</f>
        <v/>
      </c>
      <c r="V3" s="54" t="str">
        <f>IFERROR(__xludf.DUMMYFUNCTION("if(AND(W3=FALSE,X3=FALSE),,if(W3=X3,JOIN("""",""Static: "",W3),JOIN("""",""Min:  "",W3, CHAR(10),""Max: "",X3)))"),"")</f>
        <v/>
      </c>
      <c r="W3" s="55" t="str">
        <f t="array" ref="W3">_xlfn.XLOOKUP(B3,'Up Min'!A:A,'Up Min'!F:F,)</f>
        <v/>
      </c>
      <c r="X3" s="55" t="str">
        <f t="array" ref="X3">_xlfn.XLOOKUP(B3,'Up Max'!A:A,'Up Max'!F:F,)</f>
        <v/>
      </c>
      <c r="Y3" s="57" t="str">
        <f t="array" ref="Y3">_xlfn.XLOOKUP(B3,'Up Stats'!A:A,'Up Stats'!G:G,)</f>
        <v/>
      </c>
      <c r="Z3" s="54" t="str">
        <f>IFERROR(__xludf.DUMMYFUNCTION("if(AND(AA3=FALSE,AB3=FALSE),,if(AA3=AB3,JOIN("""",""Static: "",AA3),JOIN("""",""Min:  "",AA3, CHAR(10),""Max: "",AB3)))"),"")</f>
        <v/>
      </c>
      <c r="AA3" s="55" t="str">
        <f t="array" ref="AA3">_xlfn.XLOOKUP(B3,'Up Min'!A:A,'Up Min'!G:G,)</f>
        <v/>
      </c>
      <c r="AB3" s="55" t="str">
        <f t="array" ref="AB3">_xlfn.XLOOKUP(B3,'Up Max'!A:A,'Up Max'!G:G,)</f>
        <v/>
      </c>
      <c r="AC3" s="57" t="str">
        <f t="array" ref="AC3">_xlfn.XLOOKUP(B3,'Up Stats'!A:A,'Up Stats'!H:H,)</f>
        <v/>
      </c>
      <c r="AD3" s="54" t="str">
        <f>IFERROR(__xludf.DUMMYFUNCTION("if(AND(AE3=FALSE,AF3=FALSE),,if(AE3=AF3,JOIN("""",""Static: "",AE3),JOIN("""",""Min:  "",AE3, CHAR(10),""Max: "",AF3)))"),"")</f>
        <v/>
      </c>
      <c r="AE3" s="55" t="str">
        <f t="array" ref="AE3">_xlfn.XLOOKUP(B3,'Up Min'!A:A,'Up Min'!H:H,)</f>
        <v/>
      </c>
      <c r="AF3" s="55" t="str">
        <f t="array" ref="AF3">_xlfn.XLOOKUP(B3,'Up Max'!A:A,'Up Max'!H:H,)</f>
        <v/>
      </c>
      <c r="AG3" s="57" t="str">
        <f t="array" ref="AG3">_xlfn.XLOOKUP(B3,'Up Stats'!A:A,'Up Stats'!I:I,)</f>
        <v/>
      </c>
      <c r="AH3" s="54" t="str">
        <f>IFERROR(__xludf.DUMMYFUNCTION("if(AND(AI3=FALSE,AJ3=FALSE),,if(AI3=AJ3,JOIN("""",""Static: "",AI3),JOIN("""",""Min:  "",AI3, CHAR(10),""Max: "",AJ3)))"),"")</f>
        <v/>
      </c>
      <c r="AI3" s="55" t="str">
        <f t="array" ref="AI3">_xlfn.XLOOKUP(B3,'Up Min'!A:A,'Up Min'!I:I,)</f>
        <v/>
      </c>
      <c r="AJ3" s="55" t="str">
        <f t="array" ref="AJ3">_xlfn.XLOOKUP(B3,'Up Max'!A:A,'Up Max'!I:I,)</f>
        <v/>
      </c>
      <c r="AK3" s="57" t="str">
        <f t="array" ref="AK3">_xlfn.XLOOKUP(B3,'Up Stats'!A:A,'Up Stats'!J:J,)</f>
        <v/>
      </c>
      <c r="AL3" s="54" t="str">
        <f>IFERROR(__xludf.DUMMYFUNCTION("if(AND(AM3=FALSE,AN3=FALSE),,if(AM3=AN3,JOIN("""",""Static: "",AM3),JOIN("""",""Min:  "",AM3, CHAR(10),""Max: "",AN3)))"),"")</f>
        <v/>
      </c>
      <c r="AM3" s="55" t="str">
        <f t="array" ref="AM3">_xlfn.XLOOKUP(B3,'Up Min'!A:A,'Up Min'!J:J,)</f>
        <v/>
      </c>
      <c r="AN3" s="55" t="str">
        <f t="array" ref="AN3">_xlfn.XLOOKUP(B3,'Up Max'!A:A,'Up Max'!J:J,)</f>
        <v/>
      </c>
      <c r="AO3" s="51" t="str">
        <f t="array" ref="AO3">CONCATENATE(_xlfn.XLOOKUP(B3,'Up Cells'!A:A,'Up Cells'!B:B,))</f>
        <v>4</v>
      </c>
      <c r="AP3" s="51" t="str">
        <f t="array" ref="AP3">CONCATENATE(_xlfn.XLOOKUP(B3,'Up Rarity'!A:A,'Up Rarity'!B:B,),CHAR(10),"-")</f>
        <v>Exotic
-</v>
      </c>
    </row>
    <row r="4">
      <c r="A4" s="62" t="str">
        <f t="array" ref="A4">_xlfn.XLOOKUP(B4,'Up Icon'!A:A,'Up Icon'!B:B,)</f>
        <v/>
      </c>
      <c r="B4" s="34" t="str">
        <f t="array" ref="B4">HYPERLINK(_xlfn.XLOOKUP('Up Names'!Q36,'Up Wiki'!A:A,'Up Wiki'!B:B,),'Up Names'!Q36)</f>
        <v>Dead or Alive</v>
      </c>
      <c r="C4" s="37" t="str">
        <f t="array" ref="C4">_xlfn.XLOOKUP(B4,'Up Desc'!A:A,'Up Desc'!B:B,)</f>
        <v>You periodically mark a nearby medium or large enemy for death, gaining increased damage against it. Killing a marked enemy moves the mark to another nearby enemy.</v>
      </c>
      <c r="D4" s="37" t="str">
        <f t="array" ref="D4">_xlfn.XLOOKUP(B4,'Up Turbo'!A:A,'Up Turbo'!B:B,)</f>
        <v/>
      </c>
      <c r="E4" s="39" t="str">
        <f t="array" ref="E4">_xlfn.XLOOKUP(B4,'Up Stats'!A:A,'Up Stats'!B:B,)</f>
        <v/>
      </c>
      <c r="F4" s="40" t="str">
        <f>IFERROR(__xludf.DUMMYFUNCTION("if(AND(G4=FALSE,H4=FALSE),,if(G4=H4,JOIN("""",""Static: "",G4),JOIN("""",""Min:  "",G4, CHAR(10),""Max: "",H4)))"),"")</f>
        <v/>
      </c>
      <c r="G4" s="42" t="str">
        <f t="array" ref="G4">_xlfn.XLOOKUP(B4,'Up Min'!A:A,'Up Min'!B:B,)</f>
        <v/>
      </c>
      <c r="H4" s="45" t="str">
        <f t="array" ref="H4">_xlfn.XLOOKUP(B4,'Up Max'!A:A,'Up Max'!B:B,)</f>
        <v/>
      </c>
      <c r="I4" s="39" t="str">
        <f t="array" ref="I4">_xlfn.XLOOKUP(B4,'Up Stats'!A:A,'Up Stats'!C:C,)</f>
        <v/>
      </c>
      <c r="J4" s="40" t="str">
        <f>IFERROR(__xludf.DUMMYFUNCTION("if(AND(K4=FALSE,L4=FALSE),,if(K4=L4,JOIN("""",""Static: "",K4),JOIN("""",""Min:  "",K4, CHAR(10),""Max: "",L4)))"),"")</f>
        <v/>
      </c>
      <c r="K4" s="74" t="str">
        <f t="array" ref="K4">_xlfn.XLOOKUP(B4,'Up Min'!A:A,'Up Min'!C:C,)</f>
        <v/>
      </c>
      <c r="L4" s="74" t="str">
        <f t="array" ref="L4">_xlfn.XLOOKUP(B4,'Up Max'!A:A,'Up Max'!C:C,)</f>
        <v/>
      </c>
      <c r="M4" s="48" t="str">
        <f t="array" ref="M4">_xlfn.XLOOKUP(B4,'Up Stats'!A:A,'Up Stats'!D:D,)</f>
        <v/>
      </c>
      <c r="N4" s="40" t="str">
        <f>IFERROR(__xludf.DUMMYFUNCTION("if(AND(O4=FALSE,P4=FALSE),,if(O4=P4,JOIN("""",""Static: "",O4),JOIN("""",""Min:  "",O4, CHAR(10),""Max: "",P4)))"),"")</f>
        <v/>
      </c>
      <c r="O4" s="42" t="str">
        <f t="array" ref="O4">_xlfn.XLOOKUP(B4,'Up Min'!A:A,'Up Min'!D:D,)</f>
        <v/>
      </c>
      <c r="P4" s="42" t="str">
        <f t="array" ref="P4">_xlfn.XLOOKUP(B4,'Up Max'!A:A,'Up Max'!D:D,)</f>
        <v/>
      </c>
      <c r="Q4" s="48" t="str">
        <f t="array" ref="Q4">_xlfn.XLOOKUP(B4,'Up Stats'!A:A,'Up Stats'!E:E,)</f>
        <v/>
      </c>
      <c r="R4" s="40" t="str">
        <f>IFERROR(__xludf.DUMMYFUNCTION("if(AND(S4=FALSE,T4=FALSE),,if(S4=T4,JOIN("""",""Static: "",S4),JOIN("""",""Min:  "",S4, CHAR(10),""Max: "",T4)))"),"")</f>
        <v/>
      </c>
      <c r="S4" s="42" t="str">
        <f t="array" ref="S4">_xlfn.XLOOKUP(B4,'Up Min'!A:A,'Up Min'!E:E,)</f>
        <v/>
      </c>
      <c r="T4" s="42" t="str">
        <f t="array" ref="T4">_xlfn.XLOOKUP(B4,'Up Max'!A:A,'Up Max'!E:E,)</f>
        <v/>
      </c>
      <c r="U4" s="48" t="str">
        <f t="array" ref="U4">_xlfn.XLOOKUP(B4,'Up Stats'!A:A,'Up Stats'!F:F,)</f>
        <v/>
      </c>
      <c r="V4" s="40" t="str">
        <f>IFERROR(__xludf.DUMMYFUNCTION("if(AND(W4=FALSE,X4=FALSE),,if(W4=X4,JOIN("""",""Static: "",W4),JOIN("""",""Min:  "",W4, CHAR(10),""Max: "",X4)))"),"")</f>
        <v/>
      </c>
      <c r="W4" s="42" t="str">
        <f t="array" ref="W4">_xlfn.XLOOKUP(B4,'Up Min'!A:A,'Up Min'!F:F,)</f>
        <v/>
      </c>
      <c r="X4" s="42" t="str">
        <f t="array" ref="X4">_xlfn.XLOOKUP(B4,'Up Max'!A:A,'Up Max'!F:F,)</f>
        <v/>
      </c>
      <c r="Y4" s="48" t="str">
        <f t="array" ref="Y4">_xlfn.XLOOKUP(B4,'Up Stats'!A:A,'Up Stats'!G:G,)</f>
        <v/>
      </c>
      <c r="Z4" s="40" t="str">
        <f>IFERROR(__xludf.DUMMYFUNCTION("if(AND(AA4=FALSE,AB4=FALSE),,if(AA4=AB4,JOIN("""",""Static: "",AA4),JOIN("""",""Min:  "",AA4, CHAR(10),""Max: "",AB4)))"),"")</f>
        <v/>
      </c>
      <c r="AA4" s="42" t="str">
        <f t="array" ref="AA4">_xlfn.XLOOKUP(B4,'Up Min'!A:A,'Up Min'!G:G,)</f>
        <v/>
      </c>
      <c r="AB4" s="42" t="str">
        <f t="array" ref="AB4">_xlfn.XLOOKUP(B4,'Up Max'!A:A,'Up Max'!G:G,)</f>
        <v/>
      </c>
      <c r="AC4" s="48" t="str">
        <f t="array" ref="AC4">_xlfn.XLOOKUP(B4,'Up Stats'!A:A,'Up Stats'!H:H,)</f>
        <v/>
      </c>
      <c r="AD4" s="40" t="str">
        <f>IFERROR(__xludf.DUMMYFUNCTION("if(AND(AE4=FALSE,AF4=FALSE),,if(AE4=AF4,JOIN("""",""Static: "",AE4),JOIN("""",""Min:  "",AE4, CHAR(10),""Max: "",AF4)))"),"")</f>
        <v/>
      </c>
      <c r="AE4" s="42" t="str">
        <f t="array" ref="AE4">_xlfn.XLOOKUP(B4,'Up Min'!A:A,'Up Min'!H:H,)</f>
        <v/>
      </c>
      <c r="AF4" s="42" t="str">
        <f t="array" ref="AF4">_xlfn.XLOOKUP(B4,'Up Max'!A:A,'Up Max'!H:H,)</f>
        <v/>
      </c>
      <c r="AG4" s="48" t="str">
        <f t="array" ref="AG4">_xlfn.XLOOKUP(B4,'Up Stats'!A:A,'Up Stats'!I:I,)</f>
        <v/>
      </c>
      <c r="AH4" s="40" t="str">
        <f>IFERROR(__xludf.DUMMYFUNCTION("if(AND(AI4=FALSE,AJ4=FALSE),,if(AI4=AJ4,JOIN("""",""Static: "",AI4),JOIN("""",""Min:  "",AI4, CHAR(10),""Max: "",AJ4)))"),"")</f>
        <v/>
      </c>
      <c r="AI4" s="42" t="str">
        <f t="array" ref="AI4">_xlfn.XLOOKUP(B4,'Up Min'!A:A,'Up Min'!I:I,)</f>
        <v/>
      </c>
      <c r="AJ4" s="42" t="str">
        <f t="array" ref="AJ4">_xlfn.XLOOKUP(B4,'Up Max'!A:A,'Up Max'!I:I,)</f>
        <v/>
      </c>
      <c r="AK4" s="48" t="str">
        <f t="array" ref="AK4">_xlfn.XLOOKUP(B4,'Up Stats'!A:A,'Up Stats'!J:J,)</f>
        <v/>
      </c>
      <c r="AL4" s="40" t="str">
        <f>IFERROR(__xludf.DUMMYFUNCTION("if(AND(AM4=FALSE,AN4=FALSE),,if(AM4=AN4,JOIN("""",""Static: "",AM4),JOIN("""",""Min:  "",AM4, CHAR(10),""Max: "",AN4)))"),"")</f>
        <v/>
      </c>
      <c r="AM4" s="42" t="str">
        <f t="array" ref="AM4">_xlfn.XLOOKUP(B4,'Up Min'!A:A,'Up Min'!J:J,)</f>
        <v/>
      </c>
      <c r="AN4" s="42" t="str">
        <f t="array" ref="AN4">_xlfn.XLOOKUP(B4,'Up Max'!A:A,'Up Max'!J:J,)</f>
        <v/>
      </c>
      <c r="AO4" s="34" t="str">
        <f t="array" ref="AO4">CONCATENATE(_xlfn.XLOOKUP(B4,'Up Cells'!A:A,'Up Cells'!B:B,))</f>
        <v>4</v>
      </c>
      <c r="AP4" s="34" t="str">
        <f t="array" ref="AP4">CONCATENATE(_xlfn.XLOOKUP(B4,'Up Rarity'!A:A,'Up Rarity'!B:B,),CHAR(10),"-")</f>
        <v>Exotic
-</v>
      </c>
    </row>
    <row r="5">
      <c r="A5" s="62" t="str">
        <f t="array" ref="A5">_xlfn.XLOOKUP(B5,'Up Icon'!A:A,'Up Icon'!B:B,)</f>
        <v/>
      </c>
      <c r="B5" s="63" t="str">
        <f t="array" ref="B5">HYPERLINK(_xlfn.XLOOKUP('Up Names'!Q4,'Up Wiki'!A:A,'Up Wiki'!B:B,),'Up Names'!Q4)</f>
        <v>Double Dash</v>
      </c>
      <c r="C5" s="70" t="str">
        <f t="array" ref="C5">_xlfn.XLOOKUP(B5,'Up Desc'!A:A,'Up Desc'!B:B,)</f>
        <v>Gain a second Air Dash charge.</v>
      </c>
      <c r="D5" s="52" t="str">
        <f t="array" ref="D5">_xlfn.XLOOKUP(B5,'Up Turbo'!A:A,'Up Turbo'!B:B,)</f>
        <v>Run Speed: [+4% - +5%]</v>
      </c>
      <c r="E5" s="53" t="str">
        <f t="array" ref="E5">_xlfn.XLOOKUP(B5,'Up Stats'!A:A,'Up Stats'!B:B,)</f>
        <v>Recharge Speed</v>
      </c>
      <c r="F5" s="54" t="str">
        <f>IFERROR(__xludf.DUMMYFUNCTION("if(AND(G5=FALSE,H5=FALSE),,if(G5=H5,JOIN("""",""Static: "",G5),JOIN("""",""Min:  "",G5, CHAR(10),""Max: "",H5)))"),"Min:  0%
Max: -11%")</f>
        <v>Min:  0%
Max: -11%</v>
      </c>
      <c r="G5" s="59">
        <f t="array" ref="G5">_xlfn.XLOOKUP(B5,'Up Min'!A:A,'Up Min'!B:B,)</f>
        <v>0</v>
      </c>
      <c r="H5" s="59">
        <f t="array" ref="H5">_xlfn.XLOOKUP(B5,'Up Max'!A:A,'Up Max'!B:B,)</f>
        <v>-0.1071</v>
      </c>
      <c r="I5" s="53" t="str">
        <f t="array" ref="I5">_xlfn.XLOOKUP(B5,'Up Stats'!A:A,'Up Stats'!C:C,)</f>
        <v>Charges</v>
      </c>
      <c r="J5" s="54" t="str">
        <f>IFERROR(__xludf.DUMMYFUNCTION("if(AND(K5=FALSE,L5=FALSE),,if(K5=L5,JOIN("""",""Static: "",K5),JOIN("""",""Min:  "",K5, CHAR(10),""Max: "",L5)))"),"Static: 1")</f>
        <v>Static: 1</v>
      </c>
      <c r="K5" s="65">
        <f t="array" ref="K5">_xlfn.XLOOKUP(B5,'Up Min'!A:A,'Up Min'!C:C,)</f>
        <v>1</v>
      </c>
      <c r="L5" s="64">
        <f t="array" ref="L5">_xlfn.XLOOKUP(B5,'Up Max'!A:A,'Up Max'!C:C,)</f>
        <v>1</v>
      </c>
      <c r="M5" s="53" t="str">
        <f t="array" ref="M5">_xlfn.XLOOKUP(B5,'Up Stats'!A:A,'Up Stats'!D:D,)</f>
        <v/>
      </c>
      <c r="N5" s="54" t="str">
        <f>IFERROR(__xludf.DUMMYFUNCTION("if(AND(O5=FALSE,P5=FALSE),,if(O5=P5,JOIN("""",""Static: "",O5),JOIN("""",""Min:  "",O5, CHAR(10),""Max: "",P5)))"),"")</f>
        <v/>
      </c>
      <c r="O5" s="71" t="str">
        <f t="array" ref="O5">_xlfn.XLOOKUP(B5,'Up Min'!A:A,'Up Min'!D:D,)</f>
        <v/>
      </c>
      <c r="P5" s="71" t="str">
        <f t="array" ref="P5">_xlfn.XLOOKUP(B5,'Up Max'!A:A,'Up Max'!D:D,)</f>
        <v/>
      </c>
      <c r="Q5" s="57" t="str">
        <f t="array" ref="Q5">_xlfn.XLOOKUP(B5,'Up Stats'!A:A,'Up Stats'!E:E,)</f>
        <v/>
      </c>
      <c r="R5" s="54" t="str">
        <f>IFERROR(__xludf.DUMMYFUNCTION("if(AND(S5=FALSE,T5=FALSE),,if(S5=T5,JOIN("""",""Static: "",S5),JOIN("""",""Min:  "",S5, CHAR(10),""Max: "",T5)))"),"")</f>
        <v/>
      </c>
      <c r="S5" s="64" t="str">
        <f t="array" ref="S5">_xlfn.XLOOKUP(B5,'Up Min'!A:A,'Up Min'!E:E,)</f>
        <v/>
      </c>
      <c r="T5" s="64" t="str">
        <f t="array" ref="T5">_xlfn.XLOOKUP(B5,'Up Max'!A:A,'Up Max'!E:E,)</f>
        <v/>
      </c>
      <c r="U5" s="53" t="str">
        <f t="array" ref="U5">_xlfn.XLOOKUP(B5,'Up Stats'!A:A,'Up Stats'!F:F,)</f>
        <v/>
      </c>
      <c r="V5" s="54" t="str">
        <f>IFERROR(__xludf.DUMMYFUNCTION("if(AND(W5=FALSE,X5=FALSE),,if(W5=X5,JOIN("""",""Static: "",W5),JOIN("""",""Min:  "",W5, CHAR(10),""Max: "",X5)))"),"")</f>
        <v/>
      </c>
      <c r="W5" s="55" t="str">
        <f t="array" ref="W5">_xlfn.XLOOKUP(B5,'Up Min'!A:A,'Up Min'!F:F,)</f>
        <v/>
      </c>
      <c r="X5" s="55" t="str">
        <f t="array" ref="X5">_xlfn.XLOOKUP(B5,'Up Max'!A:A,'Up Max'!F:F,)</f>
        <v/>
      </c>
      <c r="Y5" s="57" t="str">
        <f t="array" ref="Y5">_xlfn.XLOOKUP(B5,'Up Stats'!A:A,'Up Stats'!G:G,)</f>
        <v/>
      </c>
      <c r="Z5" s="54" t="str">
        <f>IFERROR(__xludf.DUMMYFUNCTION("if(AND(AA5=FALSE,AB5=FALSE),,if(AA5=AB5,JOIN("""",""Static: "",AA5),JOIN("""",""Min:  "",AA5, CHAR(10),""Max: "",AB5)))"),"")</f>
        <v/>
      </c>
      <c r="AA5" s="55" t="str">
        <f t="array" ref="AA5">_xlfn.XLOOKUP(B5,'Up Min'!A:A,'Up Min'!G:G,)</f>
        <v/>
      </c>
      <c r="AB5" s="55" t="str">
        <f t="array" ref="AB5">_xlfn.XLOOKUP(B5,'Up Max'!A:A,'Up Max'!G:G,)</f>
        <v/>
      </c>
      <c r="AC5" s="57" t="str">
        <f t="array" ref="AC5">_xlfn.XLOOKUP(B5,'Up Stats'!A:A,'Up Stats'!H:H,)</f>
        <v/>
      </c>
      <c r="AD5" s="54" t="str">
        <f>IFERROR(__xludf.DUMMYFUNCTION("if(AND(AE5=FALSE,AF5=FALSE),,if(AE5=AF5,JOIN("""",""Static: "",AE5),JOIN("""",""Min:  "",AE5, CHAR(10),""Max: "",AF5)))"),"")</f>
        <v/>
      </c>
      <c r="AE5" s="55" t="str">
        <f t="array" ref="AE5">_xlfn.XLOOKUP(B5,'Up Min'!A:A,'Up Min'!H:H,)</f>
        <v/>
      </c>
      <c r="AF5" s="55" t="str">
        <f t="array" ref="AF5">_xlfn.XLOOKUP(B5,'Up Max'!A:A,'Up Max'!H:H,)</f>
        <v/>
      </c>
      <c r="AG5" s="57" t="str">
        <f t="array" ref="AG5">_xlfn.XLOOKUP(B5,'Up Stats'!A:A,'Up Stats'!I:I,)</f>
        <v/>
      </c>
      <c r="AH5" s="54" t="str">
        <f>IFERROR(__xludf.DUMMYFUNCTION("if(AND(AI5=FALSE,AJ5=FALSE),,if(AI5=AJ5,JOIN("""",""Static: "",AI5),JOIN("""",""Min:  "",AI5, CHAR(10),""Max: "",AJ5)))"),"")</f>
        <v/>
      </c>
      <c r="AI5" s="55" t="str">
        <f t="array" ref="AI5">_xlfn.XLOOKUP(B5,'Up Min'!A:A,'Up Min'!I:I,)</f>
        <v/>
      </c>
      <c r="AJ5" s="55" t="str">
        <f t="array" ref="AJ5">_xlfn.XLOOKUP(B5,'Up Max'!A:A,'Up Max'!I:I,)</f>
        <v/>
      </c>
      <c r="AK5" s="57" t="str">
        <f t="array" ref="AK5">_xlfn.XLOOKUP(B5,'Up Stats'!A:A,'Up Stats'!J:J,)</f>
        <v/>
      </c>
      <c r="AL5" s="54" t="str">
        <f>IFERROR(__xludf.DUMMYFUNCTION("if(AND(AM5=FALSE,AN5=FALSE),,if(AM5=AN5,JOIN("""",""Static: "",AM5),JOIN("""",""Min:  "",AM5, CHAR(10),""Max: "",AN5)))"),"")</f>
        <v/>
      </c>
      <c r="AM5" s="55" t="str">
        <f t="array" ref="AM5">_xlfn.XLOOKUP(B5,'Up Min'!A:A,'Up Min'!J:J,)</f>
        <v/>
      </c>
      <c r="AN5" s="55" t="str">
        <f t="array" ref="AN5">_xlfn.XLOOKUP(B5,'Up Max'!A:A,'Up Max'!J:J,)</f>
        <v/>
      </c>
      <c r="AO5" s="51" t="str">
        <f t="array" ref="AO5">CONCATENATE(_xlfn.XLOOKUP(B5,'Up Cells'!A:A,'Up Cells'!B:B,))</f>
        <v>6</v>
      </c>
      <c r="AP5" s="51" t="str">
        <f t="array" ref="AP5">CONCATENATE(_xlfn.XLOOKUP(B5,'Up Rarity'!A:A,'Up Rarity'!B:B,),CHAR(10),"-")</f>
        <v>Exotic
-</v>
      </c>
    </row>
    <row r="6">
      <c r="A6" s="62" t="str">
        <f t="array" ref="A6">_xlfn.XLOOKUP(B6,'Up Icon'!A:A,'Up Icon'!B:B,)</f>
        <v/>
      </c>
      <c r="B6" s="66" t="str">
        <f t="array" ref="B6">HYPERLINK(_xlfn.XLOOKUP('Up Names'!Q5,'Up Wiki'!A:A,'Up Wiki'!B:B,),'Up Names'!Q5)</f>
        <v>Eyes Up Here</v>
      </c>
      <c r="C6" s="37" t="str">
        <f t="array" ref="C6">_xlfn.XLOOKUP(B6,'Up Desc'!A:A,'Up Desc'!B:B,)</f>
        <v>Eyes have a chance to sprout from enemies you kill. Destroy an eye to gain health and a stacking bonus to damage and move speed.</v>
      </c>
      <c r="D6" s="37" t="str">
        <f t="array" ref="D6">_xlfn.XLOOKUP(B6,'Up Turbo'!A:A,'Up Turbo'!B:B,)</f>
        <v>Health: [+0.7 - +0.9]</v>
      </c>
      <c r="E6" s="39" t="str">
        <f t="array" ref="E6">_xlfn.XLOOKUP(B6,'Up Stats'!A:A,'Up Stats'!B:B,)</f>
        <v>Chance</v>
      </c>
      <c r="F6" s="40" t="str">
        <f>IFERROR(__xludf.DUMMYFUNCTION("if(AND(G6=FALSE,H6=FALSE),,if(G6=H6,JOIN("""",""Static: "",G6),JOIN("""",""Min:  "",G6, CHAR(10),""Max: "",H6)))"),"Min:  48%
Max: 42%")</f>
        <v>Min:  48%
Max: 42%</v>
      </c>
      <c r="G6" s="41">
        <f t="array" ref="G6">_xlfn.XLOOKUP(B6,'Up Min'!A:A,'Up Min'!B:B,)</f>
        <v>0.48</v>
      </c>
      <c r="H6" s="41">
        <f t="array" ref="H6">_xlfn.XLOOKUP(B6,'Up Max'!A:A,'Up Max'!B:B,)</f>
        <v>0.42</v>
      </c>
      <c r="I6" s="39" t="str">
        <f t="array" ref="I6">_xlfn.XLOOKUP(B6,'Up Stats'!A:A,'Up Stats'!C:C,)</f>
        <v>Speed</v>
      </c>
      <c r="J6" s="40" t="str">
        <f>IFERROR(__xludf.DUMMYFUNCTION("if(AND(K6=FALSE,L6=FALSE),,if(K6=L6,JOIN("""",""Static: "",K6),JOIN("""",""Min:  "",K6, CHAR(10),""Max: "",L6)))"),"Min:  1.9
Max: 2.2")</f>
        <v>Min:  1.9
Max: 2.2</v>
      </c>
      <c r="K6" s="45">
        <f t="array" ref="K6">_xlfn.XLOOKUP(B6,'Up Min'!A:A,'Up Min'!C:C,)</f>
        <v>1.9</v>
      </c>
      <c r="L6" s="42">
        <f t="array" ref="L6">_xlfn.XLOOKUP(B6,'Up Max'!A:A,'Up Max'!C:C,)</f>
        <v>2.2</v>
      </c>
      <c r="M6" s="48" t="str">
        <f t="array" ref="M6">_xlfn.XLOOKUP(B6,'Up Stats'!A:A,'Up Stats'!D:D,)</f>
        <v>Damage</v>
      </c>
      <c r="N6" s="40" t="str">
        <f>IFERROR(__xludf.DUMMYFUNCTION("if(AND(O6=FALSE,P6=FALSE),,if(O6=P6,JOIN("""",""Static: "",O6),JOIN("""",""Min:  "",O6, CHAR(10),""Max: "",P6)))"),"Min:  6.60%
Max: 7.30%")</f>
        <v>Min:  6.60%
Max: 7.30%</v>
      </c>
      <c r="O6" s="85">
        <f t="array" ref="O6">_xlfn.XLOOKUP(B6,'Up Min'!A:A,'Up Min'!D:D,)</f>
        <v>0.066</v>
      </c>
      <c r="P6" s="85">
        <f t="array" ref="P6">_xlfn.XLOOKUP(B6,'Up Max'!A:A,'Up Max'!D:D,)</f>
        <v>0.073</v>
      </c>
      <c r="Q6" s="48" t="str">
        <f t="array" ref="Q6">_xlfn.XLOOKUP(B6,'Up Stats'!A:A,'Up Stats'!E:E,)</f>
        <v>Health</v>
      </c>
      <c r="R6" s="40" t="str">
        <f>IFERROR(__xludf.DUMMYFUNCTION("if(AND(S6=FALSE,T6=FALSE),,if(S6=T6,JOIN("""",""Static: "",S6),JOIN("""",""Min:  "",S6, CHAR(10),""Max: "",T6)))"),"Min:  2.8
Max: 3.2")</f>
        <v>Min:  2.8
Max: 3.2</v>
      </c>
      <c r="S6" s="42">
        <f t="array" ref="S6">_xlfn.XLOOKUP(B6,'Up Min'!A:A,'Up Min'!E:E,)</f>
        <v>2.8</v>
      </c>
      <c r="T6" s="42">
        <f t="array" ref="T6">_xlfn.XLOOKUP(B6,'Up Max'!A:A,'Up Max'!E:E,)</f>
        <v>3.2</v>
      </c>
      <c r="U6" s="48" t="str">
        <f t="array" ref="U6">_xlfn.XLOOKUP(B6,'Up Stats'!A:A,'Up Stats'!F:F,)</f>
        <v/>
      </c>
      <c r="V6" s="40" t="str">
        <f>IFERROR(__xludf.DUMMYFUNCTION("if(AND(W6=FALSE,X6=FALSE),,if(W6=X6,JOIN("""",""Static: "",W6),JOIN("""",""Min:  "",W6, CHAR(10),""Max: "",X6)))"),"")</f>
        <v/>
      </c>
      <c r="W6" s="42" t="str">
        <f t="array" ref="W6">_xlfn.XLOOKUP(B6,'Up Min'!A:A,'Up Min'!F:F,)</f>
        <v/>
      </c>
      <c r="X6" s="42" t="str">
        <f t="array" ref="X6">_xlfn.XLOOKUP(B6,'Up Max'!A:A,'Up Max'!F:F,)</f>
        <v/>
      </c>
      <c r="Y6" s="48" t="str">
        <f t="array" ref="Y6">_xlfn.XLOOKUP(B6,'Up Stats'!A:A,'Up Stats'!G:G,)</f>
        <v/>
      </c>
      <c r="Z6" s="40" t="str">
        <f>IFERROR(__xludf.DUMMYFUNCTION("if(AND(AA6=FALSE,AB6=FALSE),,if(AA6=AB6,JOIN("""",""Static: "",AA6),JOIN("""",""Min:  "",AA6, CHAR(10),""Max: "",AB6)))"),"")</f>
        <v/>
      </c>
      <c r="AA6" s="42" t="str">
        <f t="array" ref="AA6">_xlfn.XLOOKUP(B6,'Up Min'!A:A,'Up Min'!G:G,)</f>
        <v/>
      </c>
      <c r="AB6" s="42" t="str">
        <f t="array" ref="AB6">_xlfn.XLOOKUP(B6,'Up Max'!A:A,'Up Max'!G:G,)</f>
        <v/>
      </c>
      <c r="AC6" s="48" t="str">
        <f t="array" ref="AC6">_xlfn.XLOOKUP(B6,'Up Stats'!A:A,'Up Stats'!H:H,)</f>
        <v/>
      </c>
      <c r="AD6" s="40" t="str">
        <f>IFERROR(__xludf.DUMMYFUNCTION("if(AND(AE6=FALSE,AF6=FALSE),,if(AE6=AF6,JOIN("""",""Static: "",AE6),JOIN("""",""Min:  "",AE6, CHAR(10),""Max: "",AF6)))"),"")</f>
        <v/>
      </c>
      <c r="AE6" s="42" t="str">
        <f t="array" ref="AE6">_xlfn.XLOOKUP(B6,'Up Min'!A:A,'Up Min'!H:H,)</f>
        <v/>
      </c>
      <c r="AF6" s="42" t="str">
        <f t="array" ref="AF6">_xlfn.XLOOKUP(B6,'Up Max'!A:A,'Up Max'!H:H,)</f>
        <v/>
      </c>
      <c r="AG6" s="48" t="str">
        <f t="array" ref="AG6">_xlfn.XLOOKUP(B6,'Up Stats'!A:A,'Up Stats'!I:I,)</f>
        <v/>
      </c>
      <c r="AH6" s="40" t="str">
        <f>IFERROR(__xludf.DUMMYFUNCTION("if(AND(AI6=FALSE,AJ6=FALSE),,if(AI6=AJ6,JOIN("""",""Static: "",AI6),JOIN("""",""Min:  "",AI6, CHAR(10),""Max: "",AJ6)))"),"")</f>
        <v/>
      </c>
      <c r="AI6" s="42" t="str">
        <f t="array" ref="AI6">_xlfn.XLOOKUP(B6,'Up Min'!A:A,'Up Min'!I:I,)</f>
        <v/>
      </c>
      <c r="AJ6" s="42" t="str">
        <f t="array" ref="AJ6">_xlfn.XLOOKUP(B6,'Up Max'!A:A,'Up Max'!I:I,)</f>
        <v/>
      </c>
      <c r="AK6" s="48" t="str">
        <f t="array" ref="AK6">_xlfn.XLOOKUP(B6,'Up Stats'!A:A,'Up Stats'!J:J,)</f>
        <v/>
      </c>
      <c r="AL6" s="40" t="str">
        <f>IFERROR(__xludf.DUMMYFUNCTION("if(AND(AM6=FALSE,AN6=FALSE),,if(AM6=AN6,JOIN("""",""Static: "",AM6),JOIN("""",""Min:  "",AM6, CHAR(10),""Max: "",AN6)))"),"")</f>
        <v/>
      </c>
      <c r="AM6" s="42" t="str">
        <f t="array" ref="AM6">_xlfn.XLOOKUP(B6,'Up Min'!A:A,'Up Min'!J:J,)</f>
        <v/>
      </c>
      <c r="AN6" s="42" t="str">
        <f t="array" ref="AN6">_xlfn.XLOOKUP(B6,'Up Max'!A:A,'Up Max'!J:J,)</f>
        <v/>
      </c>
      <c r="AO6" s="34" t="str">
        <f t="array" ref="AO6">CONCATENATE(_xlfn.XLOOKUP(B6,'Up Cells'!A:A,'Up Cells'!B:B,))</f>
        <v>4</v>
      </c>
      <c r="AP6" s="34" t="str">
        <f t="array" ref="AP6">CONCATENATE(_xlfn.XLOOKUP(B6,'Up Rarity'!A:A,'Up Rarity'!B:B,),CHAR(10),"-")</f>
        <v>Exotic
-</v>
      </c>
    </row>
    <row r="7">
      <c r="A7" s="62" t="str">
        <f t="array" ref="A7">_xlfn.XLOOKUP(B7,'Up Icon'!A:A,'Up Icon'!B:B,)</f>
        <v/>
      </c>
      <c r="B7" s="63" t="str">
        <f t="array" ref="B7">HYPERLINK(_xlfn.XLOOKUP('Up Names'!Q6,'Up Wiki'!A:A,'Up Wiki'!B:B,),'Up Names'!Q6)</f>
        <v>Handspring</v>
      </c>
      <c r="C7" s="52" t="str">
        <f t="array" ref="C7">_xlfn.XLOOKUP(B7,'Up Desc'!A:A,'Up Desc'!B:B,)</f>
        <v>Melee a surface below you to launch yourself upward.</v>
      </c>
      <c r="D7" s="52" t="str">
        <f t="array" ref="D7">_xlfn.XLOOKUP(B7,'Up Turbo'!A:A,'Up Turbo'!B:B,)</f>
        <v>Handspring creates a small explosion.
Explosion Size: [2.8 - 3.02]</v>
      </c>
      <c r="E7" s="53" t="str">
        <f t="array" ref="E7">_xlfn.XLOOKUP(B7,'Up Stats'!A:A,'Up Stats'!B:B,)</f>
        <v>Force</v>
      </c>
      <c r="F7" s="54" t="str">
        <f>IFERROR(__xludf.DUMMYFUNCTION("if(AND(G7=FALSE,H7=FALSE),,if(G7=H7,JOIN("""",""Static: "",G7),JOIN("""",""Min:  "",G7, CHAR(10),""Max: "",H7)))"),"Min:  30
Max: 40")</f>
        <v>Min:  30
Max: 40</v>
      </c>
      <c r="G7" s="64">
        <f t="array" ref="G7">_xlfn.XLOOKUP(B7,'Up Min'!A:A,'Up Min'!B:B,)</f>
        <v>30</v>
      </c>
      <c r="H7" s="65">
        <f t="array" ref="H7">_xlfn.XLOOKUP(B7,'Up Max'!A:A,'Up Max'!B:B,)</f>
        <v>40</v>
      </c>
      <c r="I7" s="53" t="str">
        <f t="array" ref="I7">_xlfn.XLOOKUP(B7,'Up Stats'!A:A,'Up Stats'!C:C,)</f>
        <v/>
      </c>
      <c r="J7" s="54" t="str">
        <f>IFERROR(__xludf.DUMMYFUNCTION("if(AND(K7=FALSE,L7=FALSE),,if(K7=L7,JOIN("""",""Static: "",K7),JOIN("""",""Min:  "",K7, CHAR(10),""Max: "",L7)))"),"")</f>
        <v/>
      </c>
      <c r="K7" s="71" t="str">
        <f t="array" ref="K7">_xlfn.XLOOKUP(B7,'Up Min'!A:A,'Up Min'!C:C,)</f>
        <v/>
      </c>
      <c r="L7" s="71" t="str">
        <f t="array" ref="L7">_xlfn.XLOOKUP(B7,'Up Max'!A:A,'Up Max'!C:C,)</f>
        <v/>
      </c>
      <c r="M7" s="53" t="str">
        <f t="array" ref="M7">_xlfn.XLOOKUP(B7,'Up Stats'!A:A,'Up Stats'!D:D,)</f>
        <v/>
      </c>
      <c r="N7" s="54" t="str">
        <f>IFERROR(__xludf.DUMMYFUNCTION("if(AND(O7=FALSE,P7=FALSE),,if(O7=P7,JOIN("""",""Static: "",O7),JOIN("""",""Min:  "",O7, CHAR(10),""Max: "",P7)))"),"")</f>
        <v/>
      </c>
      <c r="O7" s="55" t="str">
        <f t="array" ref="O7">_xlfn.XLOOKUP(B7,'Up Min'!A:A,'Up Min'!D:D,)</f>
        <v/>
      </c>
      <c r="P7" s="55" t="str">
        <f t="array" ref="P7">_xlfn.XLOOKUP(B7,'Up Max'!A:A,'Up Max'!D:D,)</f>
        <v/>
      </c>
      <c r="Q7" s="57" t="str">
        <f t="array" ref="Q7">_xlfn.XLOOKUP(B7,'Up Stats'!A:A,'Up Stats'!E:E,)</f>
        <v/>
      </c>
      <c r="R7" s="54" t="str">
        <f>IFERROR(__xludf.DUMMYFUNCTION("if(AND(S7=FALSE,T7=FALSE),,if(S7=T7,JOIN("""",""Static: "",S7),JOIN("""",""Min:  "",S7, CHAR(10),""Max: "",T7)))"),"")</f>
        <v/>
      </c>
      <c r="S7" s="55" t="str">
        <f t="array" ref="S7">_xlfn.XLOOKUP(B7,'Up Min'!A:A,'Up Min'!E:E,)</f>
        <v/>
      </c>
      <c r="T7" s="55" t="str">
        <f t="array" ref="T7">_xlfn.XLOOKUP(B7,'Up Max'!A:A,'Up Max'!E:E,)</f>
        <v/>
      </c>
      <c r="U7" s="57" t="str">
        <f t="array" ref="U7">_xlfn.XLOOKUP(B7,'Up Stats'!A:A,'Up Stats'!F:F,)</f>
        <v/>
      </c>
      <c r="V7" s="54" t="str">
        <f>IFERROR(__xludf.DUMMYFUNCTION("if(AND(W7=FALSE,X7=FALSE),,if(W7=X7,JOIN("""",""Static: "",W7),JOIN("""",""Min:  "",W7, CHAR(10),""Max: "",X7)))"),"")</f>
        <v/>
      </c>
      <c r="W7" s="55" t="str">
        <f t="array" ref="W7">_xlfn.XLOOKUP(B7,'Up Min'!A:A,'Up Min'!F:F,)</f>
        <v/>
      </c>
      <c r="X7" s="55" t="str">
        <f t="array" ref="X7">_xlfn.XLOOKUP(B7,'Up Max'!A:A,'Up Max'!F:F,)</f>
        <v/>
      </c>
      <c r="Y7" s="57" t="str">
        <f t="array" ref="Y7">_xlfn.XLOOKUP(B7,'Up Stats'!A:A,'Up Stats'!G:G,)</f>
        <v/>
      </c>
      <c r="Z7" s="54" t="str">
        <f>IFERROR(__xludf.DUMMYFUNCTION("if(AND(AA7=FALSE,AB7=FALSE),,if(AA7=AB7,JOIN("""",""Static: "",AA7),JOIN("""",""Min:  "",AA7, CHAR(10),""Max: "",AB7)))"),"")</f>
        <v/>
      </c>
      <c r="AA7" s="55" t="str">
        <f t="array" ref="AA7">_xlfn.XLOOKUP(B7,'Up Min'!A:A,'Up Min'!G:G,)</f>
        <v/>
      </c>
      <c r="AB7" s="55" t="str">
        <f t="array" ref="AB7">_xlfn.XLOOKUP(B7,'Up Max'!A:A,'Up Max'!G:G,)</f>
        <v/>
      </c>
      <c r="AC7" s="57" t="str">
        <f t="array" ref="AC7">_xlfn.XLOOKUP(B7,'Up Stats'!A:A,'Up Stats'!H:H,)</f>
        <v/>
      </c>
      <c r="AD7" s="54" t="str">
        <f>IFERROR(__xludf.DUMMYFUNCTION("if(AND(AE7=FALSE,AF7=FALSE),,if(AE7=AF7,JOIN("""",""Static: "",AE7),JOIN("""",""Min:  "",AE7, CHAR(10),""Max: "",AF7)))"),"")</f>
        <v/>
      </c>
      <c r="AE7" s="55" t="str">
        <f t="array" ref="AE7">_xlfn.XLOOKUP(B7,'Up Min'!A:A,'Up Min'!H:H,)</f>
        <v/>
      </c>
      <c r="AF7" s="55" t="str">
        <f t="array" ref="AF7">_xlfn.XLOOKUP(B7,'Up Max'!A:A,'Up Max'!H:H,)</f>
        <v/>
      </c>
      <c r="AG7" s="57" t="str">
        <f t="array" ref="AG7">_xlfn.XLOOKUP(B7,'Up Stats'!A:A,'Up Stats'!I:I,)</f>
        <v/>
      </c>
      <c r="AH7" s="54" t="str">
        <f>IFERROR(__xludf.DUMMYFUNCTION("if(AND(AI7=FALSE,AJ7=FALSE),,if(AI7=AJ7,JOIN("""",""Static: "",AI7),JOIN("""",""Min:  "",AI7, CHAR(10),""Max: "",AJ7)))"),"")</f>
        <v/>
      </c>
      <c r="AI7" s="55" t="str">
        <f t="array" ref="AI7">_xlfn.XLOOKUP(B7,'Up Min'!A:A,'Up Min'!I:I,)</f>
        <v/>
      </c>
      <c r="AJ7" s="55" t="str">
        <f t="array" ref="AJ7">_xlfn.XLOOKUP(B7,'Up Max'!A:A,'Up Max'!I:I,)</f>
        <v/>
      </c>
      <c r="AK7" s="57" t="str">
        <f t="array" ref="AK7">_xlfn.XLOOKUP(B7,'Up Stats'!A:A,'Up Stats'!J:J,)</f>
        <v/>
      </c>
      <c r="AL7" s="54" t="str">
        <f>IFERROR(__xludf.DUMMYFUNCTION("if(AND(AM7=FALSE,AN7=FALSE),,if(AM7=AN7,JOIN("""",""Static: "",AM7),JOIN("""",""Min:  "",AM7, CHAR(10),""Max: "",AN7)))"),"")</f>
        <v/>
      </c>
      <c r="AM7" s="55" t="str">
        <f t="array" ref="AM7">_xlfn.XLOOKUP(B7,'Up Min'!A:A,'Up Min'!J:J,)</f>
        <v/>
      </c>
      <c r="AN7" s="55" t="str">
        <f t="array" ref="AN7">_xlfn.XLOOKUP(B7,'Up Max'!A:A,'Up Max'!J:J,)</f>
        <v/>
      </c>
      <c r="AO7" s="51" t="str">
        <f t="array" ref="AO7">CONCATENATE(_xlfn.XLOOKUP(B7,'Up Cells'!A:A,'Up Cells'!B:B,))</f>
        <v>6</v>
      </c>
      <c r="AP7" s="51" t="str">
        <f t="array" ref="AP7">CONCATENATE(_xlfn.XLOOKUP(B7,'Up Rarity'!A:A,'Up Rarity'!B:B,),CHAR(10),"-")</f>
        <v>Exotic
-</v>
      </c>
    </row>
    <row r="8">
      <c r="A8" s="75" t="str">
        <f t="array" ref="A8">_xlfn.XLOOKUP(B8,'Up Icon'!A:A,'Up Icon'!B:B,)</f>
        <v/>
      </c>
      <c r="B8" s="66" t="str">
        <f t="array" ref="B8">HYPERLINK(_xlfn.XLOOKUP('Up Names'!Q7,'Up Wiki'!A:A,'Up Wiki'!B:B,),'Up Names'!Q7)</f>
        <v>Through Hell</v>
      </c>
      <c r="C8" s="37" t="str">
        <f t="array" ref="C8">_xlfn.XLOOKUP(B8,'Up Desc'!A:A,'Up Desc'!B:B,)</f>
        <v>Air Dash ignites targets in your wake.</v>
      </c>
      <c r="D8" s="37" t="str">
        <f t="array" ref="D8">_xlfn.XLOOKUP(B8,'Up Turbo'!A:A,'Up Turbo'!B:B,)</f>
        <v>Changes Element to [Shock - Acid].
Recharge Speed: [-24.81% - -35.48%]</v>
      </c>
      <c r="E8" s="48" t="str">
        <f t="array" ref="E8">_xlfn.XLOOKUP(B8,'Up Stats'!A:A,'Up Stats'!B:B,)</f>
        <v>Size</v>
      </c>
      <c r="F8" s="40" t="str">
        <f>IFERROR(__xludf.DUMMYFUNCTION("if(AND(G8=FALSE,H8=FALSE),,if(G8=H8,JOIN("""",""Static: "",G8),JOIN("""",""Min:  "",G8, CHAR(10),""Max: "",H8)))"),"Min:  4.6
Max: 6.4")</f>
        <v>Min:  4.6
Max: 6.4</v>
      </c>
      <c r="G8" s="42">
        <f t="array" ref="G8">_xlfn.XLOOKUP(B8,'Up Min'!A:A,'Up Min'!B:B,)</f>
        <v>4.6</v>
      </c>
      <c r="H8" s="42">
        <f t="array" ref="H8">_xlfn.XLOOKUP(B8,'Up Max'!A:A,'Up Max'!B:B,)</f>
        <v>6.4</v>
      </c>
      <c r="I8" s="48" t="str">
        <f t="array" ref="I8">_xlfn.XLOOKUP(B8,'Up Stats'!A:A,'Up Stats'!C:C,)</f>
        <v>Recharge Speed</v>
      </c>
      <c r="J8" s="40" t="str">
        <f>IFERROR(__xludf.DUMMYFUNCTION("if(AND(K8=FALSE,L8=FALSE),,if(K8=L8,JOIN("""",""Static: "",K8),JOIN("""",""Min:  "",K8, CHAR(10),""Max: "",L8)))"),"Min:  -24.81%
Max: -35.48%")</f>
        <v>Min:  -24.81%
Max: -35.48%</v>
      </c>
      <c r="K8" s="85">
        <f t="array" ref="K8">_xlfn.XLOOKUP(B8,'Up Min'!A:A,'Up Min'!C:C,)</f>
        <v>-0.2481</v>
      </c>
      <c r="L8" s="85">
        <f t="array" ref="L8">_xlfn.XLOOKUP(B8,'Up Max'!A:A,'Up Max'!C:C,)</f>
        <v>-0.3548</v>
      </c>
      <c r="M8" s="48" t="str">
        <f t="array" ref="M8">_xlfn.XLOOKUP(B8,'Up Stats'!A:A,'Up Stats'!D:D,)</f>
        <v/>
      </c>
      <c r="N8" s="40" t="str">
        <f>IFERROR(__xludf.DUMMYFUNCTION("if(AND(O8=FALSE,P8=FALSE),,if(O8=P8,JOIN("""",""Static: "",O8),JOIN("""",""Min:  "",O8, CHAR(10),""Max: "",P8)))"),"")</f>
        <v/>
      </c>
      <c r="O8" s="42" t="str">
        <f t="array" ref="O8">_xlfn.XLOOKUP(B8,'Up Min'!A:A,'Up Min'!D:D,)</f>
        <v/>
      </c>
      <c r="P8" s="42" t="str">
        <f t="array" ref="P8">_xlfn.XLOOKUP(B8,'Up Max'!A:A,'Up Max'!D:D,)</f>
        <v/>
      </c>
      <c r="Q8" s="48" t="str">
        <f t="array" ref="Q8">_xlfn.XLOOKUP(B8,'Up Stats'!A:A,'Up Stats'!E:E,)</f>
        <v/>
      </c>
      <c r="R8" s="40" t="str">
        <f>IFERROR(__xludf.DUMMYFUNCTION("if(AND(S8=FALSE,T8=FALSE),,if(S8=T8,JOIN("""",""Static: "",S8),JOIN("""",""Min:  "",S8, CHAR(10),""Max: "",T8)))"),"")</f>
        <v/>
      </c>
      <c r="S8" s="42" t="str">
        <f t="array" ref="S8">_xlfn.XLOOKUP(B8,'Up Min'!A:A,'Up Min'!E:E,)</f>
        <v/>
      </c>
      <c r="T8" s="42" t="str">
        <f t="array" ref="T8">_xlfn.XLOOKUP(B8,'Up Max'!A:A,'Up Max'!E:E,)</f>
        <v/>
      </c>
      <c r="U8" s="48" t="str">
        <f t="array" ref="U8">_xlfn.XLOOKUP(B8,'Up Stats'!A:A,'Up Stats'!F:F,)</f>
        <v/>
      </c>
      <c r="V8" s="40" t="str">
        <f>IFERROR(__xludf.DUMMYFUNCTION("if(AND(W8=FALSE,X8=FALSE),,if(W8=X8,JOIN("""",""Static: "",W8),JOIN("""",""Min:  "",W8, CHAR(10),""Max: "",X8)))"),"")</f>
        <v/>
      </c>
      <c r="W8" s="42" t="str">
        <f t="array" ref="W8">_xlfn.XLOOKUP(B8,'Up Min'!A:A,'Up Min'!F:F,)</f>
        <v/>
      </c>
      <c r="X8" s="42" t="str">
        <f t="array" ref="X8">_xlfn.XLOOKUP(B8,'Up Max'!A:A,'Up Max'!F:F,)</f>
        <v/>
      </c>
      <c r="Y8" s="48" t="str">
        <f t="array" ref="Y8">_xlfn.XLOOKUP(B8,'Up Stats'!A:A,'Up Stats'!G:G,)</f>
        <v/>
      </c>
      <c r="Z8" s="40" t="str">
        <f>IFERROR(__xludf.DUMMYFUNCTION("if(AND(AA8=FALSE,AB8=FALSE),,if(AA8=AB8,JOIN("""",""Static: "",AA8),JOIN("""",""Min:  "",AA8, CHAR(10),""Max: "",AB8)))"),"")</f>
        <v/>
      </c>
      <c r="AA8" s="42" t="str">
        <f t="array" ref="AA8">_xlfn.XLOOKUP(B8,'Up Min'!A:A,'Up Min'!G:G,)</f>
        <v/>
      </c>
      <c r="AB8" s="42" t="str">
        <f t="array" ref="AB8">_xlfn.XLOOKUP(B8,'Up Max'!A:A,'Up Max'!G:G,)</f>
        <v/>
      </c>
      <c r="AC8" s="48" t="str">
        <f t="array" ref="AC8">_xlfn.XLOOKUP(B8,'Up Stats'!A:A,'Up Stats'!H:H,)</f>
        <v/>
      </c>
      <c r="AD8" s="40" t="str">
        <f>IFERROR(__xludf.DUMMYFUNCTION("if(AND(AE8=FALSE,AF8=FALSE),,if(AE8=AF8,JOIN("""",""Static: "",AE8),JOIN("""",""Min:  "",AE8, CHAR(10),""Max: "",AF8)))"),"")</f>
        <v/>
      </c>
      <c r="AE8" s="42" t="str">
        <f t="array" ref="AE8">_xlfn.XLOOKUP(B8,'Up Min'!A:A,'Up Min'!H:H,)</f>
        <v/>
      </c>
      <c r="AF8" s="42" t="str">
        <f t="array" ref="AF8">_xlfn.XLOOKUP(B8,'Up Max'!A:A,'Up Max'!H:H,)</f>
        <v/>
      </c>
      <c r="AG8" s="48" t="str">
        <f t="array" ref="AG8">_xlfn.XLOOKUP(B8,'Up Stats'!A:A,'Up Stats'!I:I,)</f>
        <v/>
      </c>
      <c r="AH8" s="40" t="str">
        <f>IFERROR(__xludf.DUMMYFUNCTION("if(AND(AI8=FALSE,AJ8=FALSE),,if(AI8=AJ8,JOIN("""",""Static: "",AI8),JOIN("""",""Min:  "",AI8, CHAR(10),""Max: "",AJ8)))"),"")</f>
        <v/>
      </c>
      <c r="AI8" s="42" t="str">
        <f t="array" ref="AI8">_xlfn.XLOOKUP(B8,'Up Min'!A:A,'Up Min'!I:I,)</f>
        <v/>
      </c>
      <c r="AJ8" s="42" t="str">
        <f t="array" ref="AJ8">_xlfn.XLOOKUP(B8,'Up Max'!A:A,'Up Max'!I:I,)</f>
        <v/>
      </c>
      <c r="AK8" s="48" t="str">
        <f t="array" ref="AK8">_xlfn.XLOOKUP(B8,'Up Stats'!A:A,'Up Stats'!J:J,)</f>
        <v/>
      </c>
      <c r="AL8" s="40" t="str">
        <f>IFERROR(__xludf.DUMMYFUNCTION("if(AND(AM8=FALSE,AN8=FALSE),,if(AM8=AN8,JOIN("""",""Static: "",AM8),JOIN("""",""Min:  "",AM8, CHAR(10),""Max: "",AN8)))"),"")</f>
        <v/>
      </c>
      <c r="AM8" s="42" t="str">
        <f t="array" ref="AM8">_xlfn.XLOOKUP(B8,'Up Min'!A:A,'Up Min'!J:J,)</f>
        <v/>
      </c>
      <c r="AN8" s="42" t="str">
        <f t="array" ref="AN8">_xlfn.XLOOKUP(B8,'Up Max'!A:A,'Up Max'!J:J,)</f>
        <v/>
      </c>
      <c r="AO8" s="34" t="str">
        <f t="array" ref="AO8">CONCATENATE(_xlfn.XLOOKUP(B8,'Up Cells'!A:A,'Up Cells'!B:B,))</f>
        <v>6</v>
      </c>
      <c r="AP8" s="34" t="str">
        <f t="array" ref="AP8">CONCATENATE(_xlfn.XLOOKUP(B8,'Up Rarity'!A:A,'Up Rarity'!B:B,),CHAR(10),"-")</f>
        <v>Exotic
-</v>
      </c>
    </row>
    <row r="9">
      <c r="A9" s="75" t="str">
        <f t="array" ref="A9">_xlfn.XLOOKUP(B9,'Up Icon'!A:A,'Up Icon'!B:B,)</f>
        <v/>
      </c>
      <c r="B9" s="63" t="str">
        <f t="array" ref="B9">HYPERLINK(_xlfn.XLOOKUP('Up Names'!Q8,'Up Wiki'!A:A,'Up Wiki'!B:B,),'Up Names'!Q8)</f>
        <v>Dash Immunity</v>
      </c>
      <c r="C9" s="52" t="str">
        <f t="array" ref="C9">_xlfn.XLOOKUP(B9,'Up Desc'!A:A,'Up Desc'!B:B,)</f>
        <v>Briefly gain immunity after using your air dash.</v>
      </c>
      <c r="D9" s="52" t="str">
        <f t="array" ref="D9">_xlfn.XLOOKUP(B9,'Up Turbo'!A:A,'Up Turbo'!B:B,)</f>
        <v>n/a</v>
      </c>
      <c r="E9" s="53" t="str">
        <f t="array" ref="E9">_xlfn.XLOOKUP(B9,'Up Stats'!A:A,'Up Stats'!B:B,)</f>
        <v/>
      </c>
      <c r="F9" s="54" t="str">
        <f>IFERROR(__xludf.DUMMYFUNCTION("if(AND(G9=FALSE,H9=FALSE),,if(G9=H9,JOIN("""",""Static: "",G9),JOIN("""",""Min:  "",G9, CHAR(10),""Max: "",H9)))"),"")</f>
        <v/>
      </c>
      <c r="G9" s="71" t="str">
        <f t="array" ref="G9">_xlfn.XLOOKUP(B9,'Up Min'!A:A,'Up Min'!B:B,)</f>
        <v/>
      </c>
      <c r="H9" s="71" t="str">
        <f t="array" ref="H9">_xlfn.XLOOKUP(B9,'Up Max'!A:A,'Up Max'!B:B,)</f>
        <v/>
      </c>
      <c r="I9" s="53" t="str">
        <f t="array" ref="I9">_xlfn.XLOOKUP(B9,'Up Stats'!A:A,'Up Stats'!C:C,)</f>
        <v/>
      </c>
      <c r="J9" s="54" t="str">
        <f>IFERROR(__xludf.DUMMYFUNCTION("if(AND(K9=FALSE,L9=FALSE),,if(K9=L9,JOIN("""",""Static: "",K9),JOIN("""",""Min:  "",K9, CHAR(10),""Max: "",L9)))"),"")</f>
        <v/>
      </c>
      <c r="K9" s="59" t="str">
        <f t="array" ref="K9">_xlfn.XLOOKUP(B9,'Up Min'!A:A,'Up Min'!C:C,)</f>
        <v/>
      </c>
      <c r="L9" s="59" t="str">
        <f t="array" ref="L9">_xlfn.XLOOKUP(B9,'Up Max'!A:A,'Up Max'!C:C,)</f>
        <v/>
      </c>
      <c r="M9" s="53" t="str">
        <f t="array" ref="M9">_xlfn.XLOOKUP(B9,'Up Stats'!A:A,'Up Stats'!D:D,)</f>
        <v/>
      </c>
      <c r="N9" s="54" t="str">
        <f>IFERROR(__xludf.DUMMYFUNCTION("if(AND(O9=FALSE,P9=FALSE),,if(O9=P9,JOIN("""",""Static: "",O9),JOIN("""",""Min:  "",O9, CHAR(10),""Max: "",P9)))"),"")</f>
        <v/>
      </c>
      <c r="O9" s="55" t="str">
        <f t="array" ref="O9">_xlfn.XLOOKUP(B9,'Up Min'!A:A,'Up Min'!D:D,)</f>
        <v/>
      </c>
      <c r="P9" s="55" t="str">
        <f t="array" ref="P9">_xlfn.XLOOKUP(B9,'Up Max'!A:A,'Up Max'!D:D,)</f>
        <v/>
      </c>
      <c r="Q9" s="57" t="str">
        <f t="array" ref="Q9">_xlfn.XLOOKUP(B9,'Up Stats'!A:A,'Up Stats'!E:E,)</f>
        <v/>
      </c>
      <c r="R9" s="54" t="str">
        <f>IFERROR(__xludf.DUMMYFUNCTION("if(AND(S9=FALSE,T9=FALSE),,if(S9=T9,JOIN("""",""Static: "",S9),JOIN("""",""Min:  "",S9, CHAR(10),""Max: "",T9)))"),"")</f>
        <v/>
      </c>
      <c r="S9" s="55" t="str">
        <f t="array" ref="S9">_xlfn.XLOOKUP(B9,'Up Min'!A:A,'Up Min'!E:E,)</f>
        <v/>
      </c>
      <c r="T9" s="55" t="str">
        <f t="array" ref="T9">_xlfn.XLOOKUP(B9,'Up Max'!A:A,'Up Max'!E:E,)</f>
        <v/>
      </c>
      <c r="U9" s="57" t="str">
        <f t="array" ref="U9">_xlfn.XLOOKUP(B9,'Up Stats'!A:A,'Up Stats'!F:F,)</f>
        <v/>
      </c>
      <c r="V9" s="54" t="str">
        <f>IFERROR(__xludf.DUMMYFUNCTION("if(AND(W9=FALSE,X9=FALSE),,if(W9=X9,JOIN("""",""Static: "",W9),JOIN("""",""Min:  "",W9, CHAR(10),""Max: "",X9)))"),"")</f>
        <v/>
      </c>
      <c r="W9" s="55" t="str">
        <f t="array" ref="W9">_xlfn.XLOOKUP(B9,'Up Min'!A:A,'Up Min'!F:F,)</f>
        <v/>
      </c>
      <c r="X9" s="55" t="str">
        <f t="array" ref="X9">_xlfn.XLOOKUP(B9,'Up Max'!A:A,'Up Max'!F:F,)</f>
        <v/>
      </c>
      <c r="Y9" s="57" t="str">
        <f t="array" ref="Y9">_xlfn.XLOOKUP(B9,'Up Stats'!A:A,'Up Stats'!G:G,)</f>
        <v/>
      </c>
      <c r="Z9" s="54" t="str">
        <f>IFERROR(__xludf.DUMMYFUNCTION("if(AND(AA9=FALSE,AB9=FALSE),,if(AA9=AB9,JOIN("""",""Static: "",AA9),JOIN("""",""Min:  "",AA9, CHAR(10),""Max: "",AB9)))"),"")</f>
        <v/>
      </c>
      <c r="AA9" s="55" t="str">
        <f t="array" ref="AA9">_xlfn.XLOOKUP(B9,'Up Min'!A:A,'Up Min'!G:G,)</f>
        <v/>
      </c>
      <c r="AB9" s="55" t="str">
        <f t="array" ref="AB9">_xlfn.XLOOKUP(B9,'Up Max'!A:A,'Up Max'!G:G,)</f>
        <v/>
      </c>
      <c r="AC9" s="57" t="str">
        <f t="array" ref="AC9">_xlfn.XLOOKUP(B9,'Up Stats'!A:A,'Up Stats'!H:H,)</f>
        <v/>
      </c>
      <c r="AD9" s="54" t="str">
        <f>IFERROR(__xludf.DUMMYFUNCTION("if(AND(AE9=FALSE,AF9=FALSE),,if(AE9=AF9,JOIN("""",""Static: "",AE9),JOIN("""",""Min:  "",AE9, CHAR(10),""Max: "",AF9)))"),"")</f>
        <v/>
      </c>
      <c r="AE9" s="55" t="str">
        <f t="array" ref="AE9">_xlfn.XLOOKUP(B9,'Up Min'!A:A,'Up Min'!H:H,)</f>
        <v/>
      </c>
      <c r="AF9" s="55" t="str">
        <f t="array" ref="AF9">_xlfn.XLOOKUP(B9,'Up Max'!A:A,'Up Max'!H:H,)</f>
        <v/>
      </c>
      <c r="AG9" s="57" t="str">
        <f t="array" ref="AG9">_xlfn.XLOOKUP(B9,'Up Stats'!A:A,'Up Stats'!I:I,)</f>
        <v/>
      </c>
      <c r="AH9" s="54" t="str">
        <f>IFERROR(__xludf.DUMMYFUNCTION("if(AND(AI9=FALSE,AJ9=FALSE),,if(AI9=AJ9,JOIN("""",""Static: "",AI9),JOIN("""",""Min:  "",AI9, CHAR(10),""Max: "",AJ9)))"),"")</f>
        <v/>
      </c>
      <c r="AI9" s="55" t="str">
        <f t="array" ref="AI9">_xlfn.XLOOKUP(B9,'Up Min'!A:A,'Up Min'!I:I,)</f>
        <v/>
      </c>
      <c r="AJ9" s="55" t="str">
        <f t="array" ref="AJ9">_xlfn.XLOOKUP(B9,'Up Max'!A:A,'Up Max'!I:I,)</f>
        <v/>
      </c>
      <c r="AK9" s="57" t="str">
        <f t="array" ref="AK9">_xlfn.XLOOKUP(B9,'Up Stats'!A:A,'Up Stats'!J:J,)</f>
        <v/>
      </c>
      <c r="AL9" s="54" t="str">
        <f>IFERROR(__xludf.DUMMYFUNCTION("if(AND(AM9=FALSE,AN9=FALSE),,if(AM9=AN9,JOIN("""",""Static: "",AM9),JOIN("""",""Min:  "",AM9, CHAR(10),""Max: "",AN9)))"),"")</f>
        <v/>
      </c>
      <c r="AM9" s="55" t="str">
        <f t="array" ref="AM9">_xlfn.XLOOKUP(B9,'Up Min'!A:A,'Up Min'!J:J,)</f>
        <v/>
      </c>
      <c r="AN9" s="55" t="str">
        <f t="array" ref="AN9">_xlfn.XLOOKUP(B9,'Up Max'!A:A,'Up Max'!J:J,)</f>
        <v/>
      </c>
      <c r="AO9" s="51" t="str">
        <f t="array" ref="AO9">CONCATENATE(_xlfn.XLOOKUP(B9,'Up Cells'!A:A,'Up Cells'!B:B,))</f>
        <v>4</v>
      </c>
      <c r="AP9" s="51" t="str">
        <f t="array" ref="AP9">CONCATENATE(_xlfn.XLOOKUP(B9,'Up Rarity'!A:A,'Up Rarity'!B:B,),CHAR(10),"-")</f>
        <v>Epic
-</v>
      </c>
    </row>
    <row r="10">
      <c r="A10" s="75" t="str">
        <f t="array" ref="A10">_xlfn.XLOOKUP(B10,'Up Icon'!A:A,'Up Icon'!B:B,)</f>
        <v/>
      </c>
      <c r="B10" s="66" t="str">
        <f t="array" ref="B10">HYPERLINK(_xlfn.XLOOKUP('Up Names'!Q9,'Up Wiki'!A:A,'Up Wiki'!B:B,),'Up Names'!Q9)</f>
        <v>Double Lasso</v>
      </c>
      <c r="C10" s="37" t="str">
        <f t="array" ref="C10">_xlfn.XLOOKUP(B10,'Up Desc'!A:A,'Up Desc'!B:B,)</f>
        <v>Gain a second Rocket Lasso charge.</v>
      </c>
      <c r="D10" s="37" t="str">
        <f t="array" ref="D10">_xlfn.XLOOKUP(B10,'Up Turbo'!A:A,'Up Turbo'!B:B,)</f>
        <v>n/a</v>
      </c>
      <c r="E10" s="39" t="str">
        <f t="array" ref="E10">_xlfn.XLOOKUP(B10,'Up Stats'!A:A,'Up Stats'!B:B,)</f>
        <v>Recharge Speed</v>
      </c>
      <c r="F10" s="40" t="str">
        <f>IFERROR(__xludf.DUMMYFUNCTION("if(AND(G10=FALSE,H10=FALSE),,if(G10=H10,JOIN("""",""Static: "",G10),JOIN("""",""Min:  "",G10, CHAR(10),""Max: "",H10)))"),"Min:  -9.91%
Max: -16.67%")</f>
        <v>Min:  -9.91%
Max: -16.67%</v>
      </c>
      <c r="G10" s="78">
        <f t="array" ref="G10">_xlfn.XLOOKUP(B10,'Up Min'!A:A,'Up Min'!B:B,)</f>
        <v>-0.0991</v>
      </c>
      <c r="H10" s="78">
        <f t="array" ref="H10">_xlfn.XLOOKUP(B10,'Up Max'!A:A,'Up Max'!B:B,)</f>
        <v>-0.1667</v>
      </c>
      <c r="I10" s="39" t="str">
        <f t="array" ref="I10">_xlfn.XLOOKUP(B10,'Up Stats'!A:A,'Up Stats'!C:C,)</f>
        <v>Charges</v>
      </c>
      <c r="J10" s="40" t="str">
        <f>IFERROR(__xludf.DUMMYFUNCTION("if(AND(K10=FALSE,L10=FALSE),,if(K10=L10,JOIN("""",""Static: "",K10),JOIN("""",""Min:  "",K10, CHAR(10),""Max: "",L10)))"),"Static: 1")</f>
        <v>Static: 1</v>
      </c>
      <c r="K10" s="68">
        <f t="array" ref="K10">_xlfn.XLOOKUP(B10,'Up Min'!A:A,'Up Min'!C:C,)</f>
        <v>1</v>
      </c>
      <c r="L10" s="69">
        <f t="array" ref="L10">_xlfn.XLOOKUP(B10,'Up Max'!A:A,'Up Max'!C:C,)</f>
        <v>1</v>
      </c>
      <c r="M10" s="39" t="str">
        <f t="array" ref="M10">_xlfn.XLOOKUP(B10,'Up Stats'!A:A,'Up Stats'!D:D,)</f>
        <v/>
      </c>
      <c r="N10" s="40" t="str">
        <f>IFERROR(__xludf.DUMMYFUNCTION("if(AND(O10=FALSE,P10=FALSE),,if(O10=P10,JOIN("""",""Static: "",O10),JOIN("""",""Min:  "",O10, CHAR(10),""Max: "",P10)))"),"")</f>
        <v/>
      </c>
      <c r="O10" s="68" t="str">
        <f t="array" ref="O10">_xlfn.XLOOKUP(B10,'Up Min'!A:A,'Up Min'!D:D,)</f>
        <v/>
      </c>
      <c r="P10" s="68" t="str">
        <f t="array" ref="P10">_xlfn.XLOOKUP(B10,'Up Max'!A:A,'Up Max'!D:D,)</f>
        <v/>
      </c>
      <c r="Q10" s="48" t="str">
        <f t="array" ref="Q10">_xlfn.XLOOKUP(B10,'Up Stats'!A:A,'Up Stats'!E:E,)</f>
        <v/>
      </c>
      <c r="R10" s="40" t="str">
        <f>IFERROR(__xludf.DUMMYFUNCTION("if(AND(S10=FALSE,T10=FALSE),,if(S10=T10,JOIN("""",""Static: "",S10),JOIN("""",""Min:  "",S10, CHAR(10),""Max: "",T10)))"),"")</f>
        <v/>
      </c>
      <c r="S10" s="45" t="str">
        <f t="array" ref="S10">_xlfn.XLOOKUP(B10,'Up Min'!A:A,'Up Min'!E:E,)</f>
        <v/>
      </c>
      <c r="T10" s="45" t="str">
        <f t="array" ref="T10">_xlfn.XLOOKUP(B10,'Up Max'!A:A,'Up Max'!E:E,)</f>
        <v/>
      </c>
      <c r="U10" s="39" t="str">
        <f t="array" ref="U10">_xlfn.XLOOKUP(B10,'Up Stats'!A:A,'Up Stats'!F:F,)</f>
        <v/>
      </c>
      <c r="V10" s="40" t="str">
        <f>IFERROR(__xludf.DUMMYFUNCTION("if(AND(W10=FALSE,X10=FALSE),,if(W10=X10,JOIN("""",""Static: "",W10),JOIN("""",""Min:  "",W10, CHAR(10),""Max: "",X10)))"),"")</f>
        <v/>
      </c>
      <c r="W10" s="45" t="str">
        <f t="array" ref="W10">_xlfn.XLOOKUP(B10,'Up Min'!A:A,'Up Min'!F:F,)</f>
        <v/>
      </c>
      <c r="X10" s="45" t="str">
        <f t="array" ref="X10">_xlfn.XLOOKUP(B10,'Up Max'!A:A,'Up Max'!F:F,)</f>
        <v/>
      </c>
      <c r="Y10" s="39" t="str">
        <f t="array" ref="Y10">_xlfn.XLOOKUP(B10,'Up Stats'!A:A,'Up Stats'!G:G,)</f>
        <v/>
      </c>
      <c r="Z10" s="40" t="str">
        <f>IFERROR(__xludf.DUMMYFUNCTION("if(AND(AA10=FALSE,AB10=FALSE),,if(AA10=AB10,JOIN("""",""Static: "",AA10),JOIN("""",""Min:  "",AA10, CHAR(10),""Max: "",AB10)))"),"")</f>
        <v/>
      </c>
      <c r="AA10" s="45" t="str">
        <f t="array" ref="AA10">_xlfn.XLOOKUP(B10,'Up Min'!A:A,'Up Min'!G:G,)</f>
        <v/>
      </c>
      <c r="AB10" s="45" t="str">
        <f t="array" ref="AB10">_xlfn.XLOOKUP(B10,'Up Max'!A:A,'Up Max'!G:G,)</f>
        <v/>
      </c>
      <c r="AC10" s="39" t="str">
        <f t="array" ref="AC10">_xlfn.XLOOKUP(B10,'Up Stats'!A:A,'Up Stats'!H:H,)</f>
        <v/>
      </c>
      <c r="AD10" s="40" t="str">
        <f>IFERROR(__xludf.DUMMYFUNCTION("if(AND(AE10=FALSE,AF10=FALSE),,if(AE10=AF10,JOIN("""",""Static: "",AE10),JOIN("""",""Min:  "",AE10, CHAR(10),""Max: "",AF10)))"),"")</f>
        <v/>
      </c>
      <c r="AE10" s="45" t="str">
        <f t="array" ref="AE10">_xlfn.XLOOKUP(B10,'Up Min'!A:A,'Up Min'!H:H,)</f>
        <v/>
      </c>
      <c r="AF10" s="45" t="str">
        <f t="array" ref="AF10">_xlfn.XLOOKUP(B10,'Up Max'!A:A,'Up Max'!H:H,)</f>
        <v/>
      </c>
      <c r="AG10" s="39" t="str">
        <f t="array" ref="AG10">_xlfn.XLOOKUP(B10,'Up Stats'!A:A,'Up Stats'!I:I,)</f>
        <v/>
      </c>
      <c r="AH10" s="40" t="str">
        <f>IFERROR(__xludf.DUMMYFUNCTION("if(AND(AI10=FALSE,AJ10=FALSE),,if(AI10=AJ10,JOIN("""",""Static: "",AI10),JOIN("""",""Min:  "",AI10, CHAR(10),""Max: "",AJ10)))"),"")</f>
        <v/>
      </c>
      <c r="AI10" s="45" t="str">
        <f t="array" ref="AI10">_xlfn.XLOOKUP(B10,'Up Min'!A:A,'Up Min'!I:I,)</f>
        <v/>
      </c>
      <c r="AJ10" s="45" t="str">
        <f t="array" ref="AJ10">_xlfn.XLOOKUP(B10,'Up Max'!A:A,'Up Max'!I:I,)</f>
        <v/>
      </c>
      <c r="AK10" s="39" t="str">
        <f t="array" ref="AK10">_xlfn.XLOOKUP(B10,'Up Stats'!A:A,'Up Stats'!J:J,)</f>
        <v/>
      </c>
      <c r="AL10" s="40" t="str">
        <f>IFERROR(__xludf.DUMMYFUNCTION("if(AND(AM10=FALSE,AN10=FALSE),,if(AM10=AN10,JOIN("""",""Static: "",AM10),JOIN("""",""Min:  "",AM10, CHAR(10),""Max: "",AN10)))"),"")</f>
        <v/>
      </c>
      <c r="AM10" s="45" t="str">
        <f t="array" ref="AM10">_xlfn.XLOOKUP(B10,'Up Min'!A:A,'Up Min'!J:J,)</f>
        <v/>
      </c>
      <c r="AN10" s="45" t="str">
        <f t="array" ref="AN10">_xlfn.XLOOKUP(B10,'Up Max'!A:A,'Up Max'!J:J,)</f>
        <v/>
      </c>
      <c r="AO10" s="34" t="str">
        <f t="array" ref="AO10">CONCATENATE(_xlfn.XLOOKUP(B10,'Up Cells'!A:A,'Up Cells'!B:B,))</f>
        <v>5</v>
      </c>
      <c r="AP10" s="34" t="str">
        <f t="array" ref="AP10">CONCATENATE(_xlfn.XLOOKUP(B10,'Up Rarity'!A:A,'Up Rarity'!B:B,),CHAR(10),"-")</f>
        <v>Epic
-</v>
      </c>
    </row>
    <row r="11">
      <c r="A11" s="75" t="str">
        <f t="array" ref="A11">_xlfn.XLOOKUP(B11,'Up Icon'!A:A,'Up Icon'!B:B,)</f>
        <v/>
      </c>
      <c r="B11" s="63" t="str">
        <f t="array" ref="B11">HYPERLINK(_xlfn.XLOOKUP('Up Names'!Q10,'Up Wiki'!A:A,'Up Wiki'!B:B,),'Up Names'!Q10)</f>
        <v>Dynamite on a String</v>
      </c>
      <c r="C11" s="52" t="str">
        <f t="array" ref="C11">_xlfn.XLOOKUP(B11,'Up Desc'!A:A,'Up Desc'!B:B,)</f>
        <v>Your lasso explodes.</v>
      </c>
      <c r="D11" s="52" t="str">
        <f t="array" ref="D11">_xlfn.XLOOKUP(B11,'Up Turbo'!A:A,'Up Turbo'!B:B,)</f>
        <v>n/a</v>
      </c>
      <c r="E11" s="53" t="str">
        <f t="array" ref="E11">_xlfn.XLOOKUP(B11,'Up Stats'!A:A,'Up Stats'!B:B,)</f>
        <v>Size</v>
      </c>
      <c r="F11" s="54" t="str">
        <f>IFERROR(__xludf.DUMMYFUNCTION("if(AND(G11=FALSE,H11=FALSE),,if(G11=H11,JOIN("""",""Static: "",G11),JOIN("""",""Min:  "",G11, CHAR(10),""Max: "",H11)))"),"Min:  5.5
Max: 8")</f>
        <v>Min:  5.5
Max: 8</v>
      </c>
      <c r="G11" s="64">
        <f t="array" ref="G11">_xlfn.XLOOKUP(B11,'Up Min'!A:A,'Up Min'!B:B,)</f>
        <v>5.5</v>
      </c>
      <c r="H11" s="65">
        <f t="array" ref="H11">_xlfn.XLOOKUP(B11,'Up Max'!A:A,'Up Max'!B:B,)</f>
        <v>8</v>
      </c>
      <c r="I11" s="53" t="str">
        <f t="array" ref="I11">_xlfn.XLOOKUP(B11,'Up Stats'!A:A,'Up Stats'!C:C,)</f>
        <v>Damage</v>
      </c>
      <c r="J11" s="54" t="str">
        <f>IFERROR(__xludf.DUMMYFUNCTION("if(AND(K11=FALSE,L11=FALSE),,if(K11=L11,JOIN("""",""Static: "",K11),JOIN("""",""Min:  "",K11, CHAR(10),""Max: "",L11)))"),"Min:  20
Max: 40")</f>
        <v>Min:  20
Max: 40</v>
      </c>
      <c r="K11" s="65">
        <f t="array" ref="K11">_xlfn.XLOOKUP(B11,'Up Min'!A:A,'Up Min'!C:C,)</f>
        <v>20</v>
      </c>
      <c r="L11" s="64">
        <f t="array" ref="L11">_xlfn.XLOOKUP(B11,'Up Max'!A:A,'Up Max'!C:C,)</f>
        <v>40</v>
      </c>
      <c r="M11" s="53" t="str">
        <f t="array" ref="M11">_xlfn.XLOOKUP(B11,'Up Stats'!A:A,'Up Stats'!D:D,)</f>
        <v>Element</v>
      </c>
      <c r="N11" s="54" t="str">
        <f>IFERROR(__xludf.DUMMYFUNCTION("if(AND(O11=FALSE,P11=FALSE),,if(O11=P11,JOIN("""",""Static: "",O11),JOIN("""",""Min:  "",O11, CHAR(10),""Max: "",P11)))"),"Static: element")</f>
        <v>Static: element</v>
      </c>
      <c r="O11" s="55" t="str">
        <f t="array" ref="O11">_xlfn.XLOOKUP(B11,'Up Min'!A:A,'Up Min'!D:D,)</f>
        <v>element</v>
      </c>
      <c r="P11" s="55" t="str">
        <f t="array" ref="P11">_xlfn.XLOOKUP(B11,'Up Max'!A:A,'Up Max'!D:D,)</f>
        <v>element</v>
      </c>
      <c r="Q11" s="57" t="str">
        <f t="array" ref="Q11">_xlfn.XLOOKUP(B11,'Up Stats'!A:A,'Up Stats'!E:E,)</f>
        <v/>
      </c>
      <c r="R11" s="54" t="str">
        <f>IFERROR(__xludf.DUMMYFUNCTION("if(AND(S11=FALSE,T11=FALSE),,if(S11=T11,JOIN("""",""Static: "",S11),JOIN("""",""Min:  "",S11, CHAR(10),""Max: "",T11)))"),"")</f>
        <v/>
      </c>
      <c r="S11" s="55" t="str">
        <f t="array" ref="S11">_xlfn.XLOOKUP(B11,'Up Min'!A:A,'Up Min'!E:E,)</f>
        <v/>
      </c>
      <c r="T11" s="55" t="str">
        <f t="array" ref="T11">_xlfn.XLOOKUP(B11,'Up Max'!A:A,'Up Max'!E:E,)</f>
        <v/>
      </c>
      <c r="U11" s="57" t="str">
        <f t="array" ref="U11">_xlfn.XLOOKUP(B11,'Up Stats'!A:A,'Up Stats'!F:F,)</f>
        <v/>
      </c>
      <c r="V11" s="54" t="str">
        <f>IFERROR(__xludf.DUMMYFUNCTION("if(AND(W11=FALSE,X11=FALSE),,if(W11=X11,JOIN("""",""Static: "",W11),JOIN("""",""Min:  "",W11, CHAR(10),""Max: "",X11)))"),"")</f>
        <v/>
      </c>
      <c r="W11" s="55" t="str">
        <f t="array" ref="W11">_xlfn.XLOOKUP(B11,'Up Min'!A:A,'Up Min'!F:F,)</f>
        <v/>
      </c>
      <c r="X11" s="55" t="str">
        <f t="array" ref="X11">_xlfn.XLOOKUP(B11,'Up Max'!A:A,'Up Max'!F:F,)</f>
        <v/>
      </c>
      <c r="Y11" s="57" t="str">
        <f t="array" ref="Y11">_xlfn.XLOOKUP(B11,'Up Stats'!A:A,'Up Stats'!G:G,)</f>
        <v/>
      </c>
      <c r="Z11" s="54" t="str">
        <f>IFERROR(__xludf.DUMMYFUNCTION("if(AND(AA11=FALSE,AB11=FALSE),,if(AA11=AB11,JOIN("""",""Static: "",AA11),JOIN("""",""Min:  "",AA11, CHAR(10),""Max: "",AB11)))"),"")</f>
        <v/>
      </c>
      <c r="AA11" s="55" t="str">
        <f t="array" ref="AA11">_xlfn.XLOOKUP(B11,'Up Min'!A:A,'Up Min'!G:G,)</f>
        <v/>
      </c>
      <c r="AB11" s="55" t="str">
        <f t="array" ref="AB11">_xlfn.XLOOKUP(B11,'Up Max'!A:A,'Up Max'!G:G,)</f>
        <v/>
      </c>
      <c r="AC11" s="57" t="str">
        <f t="array" ref="AC11">_xlfn.XLOOKUP(B11,'Up Stats'!A:A,'Up Stats'!H:H,)</f>
        <v/>
      </c>
      <c r="AD11" s="54" t="str">
        <f>IFERROR(__xludf.DUMMYFUNCTION("if(AND(AE11=FALSE,AF11=FALSE),,if(AE11=AF11,JOIN("""",""Static: "",AE11),JOIN("""",""Min:  "",AE11, CHAR(10),""Max: "",AF11)))"),"")</f>
        <v/>
      </c>
      <c r="AE11" s="55" t="str">
        <f t="array" ref="AE11">_xlfn.XLOOKUP(B11,'Up Min'!A:A,'Up Min'!H:H,)</f>
        <v/>
      </c>
      <c r="AF11" s="55" t="str">
        <f t="array" ref="AF11">_xlfn.XLOOKUP(B11,'Up Max'!A:A,'Up Max'!H:H,)</f>
        <v/>
      </c>
      <c r="AG11" s="57" t="str">
        <f t="array" ref="AG11">_xlfn.XLOOKUP(B11,'Up Stats'!A:A,'Up Stats'!I:I,)</f>
        <v/>
      </c>
      <c r="AH11" s="54" t="str">
        <f>IFERROR(__xludf.DUMMYFUNCTION("if(AND(AI11=FALSE,AJ11=FALSE),,if(AI11=AJ11,JOIN("""",""Static: "",AI11),JOIN("""",""Min:  "",AI11, CHAR(10),""Max: "",AJ11)))"),"")</f>
        <v/>
      </c>
      <c r="AI11" s="55" t="str">
        <f t="array" ref="AI11">_xlfn.XLOOKUP(B11,'Up Min'!A:A,'Up Min'!I:I,)</f>
        <v/>
      </c>
      <c r="AJ11" s="55" t="str">
        <f t="array" ref="AJ11">_xlfn.XLOOKUP(B11,'Up Max'!A:A,'Up Max'!I:I,)</f>
        <v/>
      </c>
      <c r="AK11" s="57" t="str">
        <f t="array" ref="AK11">_xlfn.XLOOKUP(B11,'Up Stats'!A:A,'Up Stats'!J:J,)</f>
        <v/>
      </c>
      <c r="AL11" s="54" t="str">
        <f>IFERROR(__xludf.DUMMYFUNCTION("if(AND(AM11=FALSE,AN11=FALSE),,if(AM11=AN11,JOIN("""",""Static: "",AM11),JOIN("""",""Min:  "",AM11, CHAR(10),""Max: "",AN11)))"),"")</f>
        <v/>
      </c>
      <c r="AM11" s="55" t="str">
        <f t="array" ref="AM11">_xlfn.XLOOKUP(B11,'Up Min'!A:A,'Up Min'!J:J,)</f>
        <v/>
      </c>
      <c r="AN11" s="55" t="str">
        <f t="array" ref="AN11">_xlfn.XLOOKUP(B11,'Up Max'!A:A,'Up Max'!J:J,)</f>
        <v/>
      </c>
      <c r="AO11" s="51" t="str">
        <f t="array" ref="AO11">CONCATENATE(_xlfn.XLOOKUP(B11,'Up Cells'!A:A,'Up Cells'!B:B,))</f>
        <v>5</v>
      </c>
      <c r="AP11" s="51" t="str">
        <f t="array" ref="AP11">CONCATENATE(_xlfn.XLOOKUP(B11,'Up Rarity'!A:A,'Up Rarity'!B:B,),CHAR(10),"-")</f>
        <v>Epic
-</v>
      </c>
    </row>
    <row r="12">
      <c r="A12" s="75" t="str">
        <f t="array" ref="A12">_xlfn.XLOOKUP(B12,'Up Icon'!A:A,'Up Icon'!B:B,)</f>
        <v/>
      </c>
      <c r="B12" s="66" t="str">
        <f t="array" ref="B12">HYPERLINK(_xlfn.XLOOKUP('Up Names'!Q11,'Up Wiki'!A:A,'Up Wiki'!B:B,),'Up Names'!Q11)</f>
        <v>Gust</v>
      </c>
      <c r="C12" s="37" t="str">
        <f t="array" ref="C12">_xlfn.XLOOKUP(B12,'Up Desc'!A:A,'Up Desc'!B:B,)</f>
        <v>Push nearby targets in the direction of your air dash.</v>
      </c>
      <c r="D12" s="37" t="str">
        <f t="array" ref="D12">_xlfn.XLOOKUP(B12,'Up Turbo'!A:A,'Up Turbo'!B:B,)</f>
        <v>n/a</v>
      </c>
      <c r="E12" s="39" t="str">
        <f t="array" ref="E12">_xlfn.XLOOKUP(B12,'Up Stats'!A:A,'Up Stats'!B:B,)</f>
        <v>Size</v>
      </c>
      <c r="F12" s="40" t="str">
        <f>IFERROR(__xludf.DUMMYFUNCTION("if(AND(G12=FALSE,H12=FALSE),,if(G12=H12,JOIN("""",""Static: "",G12),JOIN("""",""Min:  "",G12, CHAR(10),""Max: "",H12)))"),"Min:  4.5
Max: 7")</f>
        <v>Min:  4.5
Max: 7</v>
      </c>
      <c r="G12" s="69">
        <f t="array" ref="G12">_xlfn.XLOOKUP(B12,'Up Min'!A:A,'Up Min'!B:B,)</f>
        <v>4.5</v>
      </c>
      <c r="H12" s="68">
        <f t="array" ref="H12">_xlfn.XLOOKUP(B12,'Up Max'!A:A,'Up Max'!B:B,)</f>
        <v>7</v>
      </c>
      <c r="I12" s="39" t="str">
        <f t="array" ref="I12">_xlfn.XLOOKUP(B12,'Up Stats'!A:A,'Up Stats'!C:C,)</f>
        <v>Force</v>
      </c>
      <c r="J12" s="40" t="str">
        <f>IFERROR(__xludf.DUMMYFUNCTION("if(AND(K12=FALSE,L12=FALSE),,if(K12=L12,JOIN("""",""Static: "",K12),JOIN("""",""Min:  "",K12, CHAR(10),""Max: "",L12)))"),"Min:  32
Max: 37")</f>
        <v>Min:  32
Max: 37</v>
      </c>
      <c r="K12" s="42">
        <f t="array" ref="K12">_xlfn.XLOOKUP(B12,'Up Min'!A:A,'Up Min'!C:C,)</f>
        <v>32</v>
      </c>
      <c r="L12" s="42">
        <f t="array" ref="L12">_xlfn.XLOOKUP(B12,'Up Max'!A:A,'Up Max'!C:C,)</f>
        <v>37</v>
      </c>
      <c r="M12" s="48" t="str">
        <f t="array" ref="M12">_xlfn.XLOOKUP(B12,'Up Stats'!A:A,'Up Stats'!D:D,)</f>
        <v/>
      </c>
      <c r="N12" s="40" t="str">
        <f>IFERROR(__xludf.DUMMYFUNCTION("if(AND(O12=FALSE,P12=FALSE),,if(O12=P12,JOIN("""",""Static: "",O12),JOIN("""",""Min:  "",O12, CHAR(10),""Max: "",P12)))"),"")</f>
        <v/>
      </c>
      <c r="O12" s="42" t="str">
        <f t="array" ref="O12">_xlfn.XLOOKUP(B12,'Up Min'!A:A,'Up Min'!D:D,)</f>
        <v/>
      </c>
      <c r="P12" s="42" t="str">
        <f t="array" ref="P12">_xlfn.XLOOKUP(B12,'Up Max'!A:A,'Up Max'!D:D,)</f>
        <v/>
      </c>
      <c r="Q12" s="48" t="str">
        <f t="array" ref="Q12">_xlfn.XLOOKUP(B12,'Up Stats'!A:A,'Up Stats'!E:E,)</f>
        <v/>
      </c>
      <c r="R12" s="40" t="str">
        <f>IFERROR(__xludf.DUMMYFUNCTION("if(AND(S12=FALSE,T12=FALSE),,if(S12=T12,JOIN("""",""Static: "",S12),JOIN("""",""Min:  "",S12, CHAR(10),""Max: "",T12)))"),"")</f>
        <v/>
      </c>
      <c r="S12" s="42" t="str">
        <f t="array" ref="S12">_xlfn.XLOOKUP(B12,'Up Min'!A:A,'Up Min'!E:E,)</f>
        <v/>
      </c>
      <c r="T12" s="42" t="str">
        <f t="array" ref="T12">_xlfn.XLOOKUP(B12,'Up Max'!A:A,'Up Max'!E:E,)</f>
        <v/>
      </c>
      <c r="U12" s="48" t="str">
        <f t="array" ref="U12">_xlfn.XLOOKUP(B12,'Up Stats'!A:A,'Up Stats'!F:F,)</f>
        <v/>
      </c>
      <c r="V12" s="40" t="str">
        <f>IFERROR(__xludf.DUMMYFUNCTION("if(AND(W12=FALSE,X12=FALSE),,if(W12=X12,JOIN("""",""Static: "",W12),JOIN("""",""Min:  "",W12, CHAR(10),""Max: "",X12)))"),"")</f>
        <v/>
      </c>
      <c r="W12" s="42" t="str">
        <f t="array" ref="W12">_xlfn.XLOOKUP(B12,'Up Min'!A:A,'Up Min'!F:F,)</f>
        <v/>
      </c>
      <c r="X12" s="42" t="str">
        <f t="array" ref="X12">_xlfn.XLOOKUP(B12,'Up Max'!A:A,'Up Max'!F:F,)</f>
        <v/>
      </c>
      <c r="Y12" s="48" t="str">
        <f t="array" ref="Y12">_xlfn.XLOOKUP(B12,'Up Stats'!A:A,'Up Stats'!G:G,)</f>
        <v/>
      </c>
      <c r="Z12" s="40" t="str">
        <f>IFERROR(__xludf.DUMMYFUNCTION("if(AND(AA12=FALSE,AB12=FALSE),,if(AA12=AB12,JOIN("""",""Static: "",AA12),JOIN("""",""Min:  "",AA12, CHAR(10),""Max: "",AB12)))"),"")</f>
        <v/>
      </c>
      <c r="AA12" s="42" t="str">
        <f t="array" ref="AA12">_xlfn.XLOOKUP(B12,'Up Min'!A:A,'Up Min'!G:G,)</f>
        <v/>
      </c>
      <c r="AB12" s="42" t="str">
        <f t="array" ref="AB12">_xlfn.XLOOKUP(B12,'Up Max'!A:A,'Up Max'!G:G,)</f>
        <v/>
      </c>
      <c r="AC12" s="48" t="str">
        <f t="array" ref="AC12">_xlfn.XLOOKUP(B12,'Up Stats'!A:A,'Up Stats'!H:H,)</f>
        <v/>
      </c>
      <c r="AD12" s="40" t="str">
        <f>IFERROR(__xludf.DUMMYFUNCTION("if(AND(AE12=FALSE,AF12=FALSE),,if(AE12=AF12,JOIN("""",""Static: "",AE12),JOIN("""",""Min:  "",AE12, CHAR(10),""Max: "",AF12)))"),"")</f>
        <v/>
      </c>
      <c r="AE12" s="42" t="str">
        <f t="array" ref="AE12">_xlfn.XLOOKUP(B12,'Up Min'!A:A,'Up Min'!H:H,)</f>
        <v/>
      </c>
      <c r="AF12" s="42" t="str">
        <f t="array" ref="AF12">_xlfn.XLOOKUP(B12,'Up Max'!A:A,'Up Max'!H:H,)</f>
        <v/>
      </c>
      <c r="AG12" s="48" t="str">
        <f t="array" ref="AG12">_xlfn.XLOOKUP(B12,'Up Stats'!A:A,'Up Stats'!I:I,)</f>
        <v/>
      </c>
      <c r="AH12" s="40" t="str">
        <f>IFERROR(__xludf.DUMMYFUNCTION("if(AND(AI12=FALSE,AJ12=FALSE),,if(AI12=AJ12,JOIN("""",""Static: "",AI12),JOIN("""",""Min:  "",AI12, CHAR(10),""Max: "",AJ12)))"),"")</f>
        <v/>
      </c>
      <c r="AI12" s="42" t="str">
        <f t="array" ref="AI12">_xlfn.XLOOKUP(B12,'Up Min'!A:A,'Up Min'!I:I,)</f>
        <v/>
      </c>
      <c r="AJ12" s="42" t="str">
        <f t="array" ref="AJ12">_xlfn.XLOOKUP(B12,'Up Max'!A:A,'Up Max'!I:I,)</f>
        <v/>
      </c>
      <c r="AK12" s="48" t="str">
        <f t="array" ref="AK12">_xlfn.XLOOKUP(B12,'Up Stats'!A:A,'Up Stats'!J:J,)</f>
        <v/>
      </c>
      <c r="AL12" s="40" t="str">
        <f>IFERROR(__xludf.DUMMYFUNCTION("if(AND(AM12=FALSE,AN12=FALSE),,if(AM12=AN12,JOIN("""",""Static: "",AM12),JOIN("""",""Min:  "",AM12, CHAR(10),""Max: "",AN12)))"),"")</f>
        <v/>
      </c>
      <c r="AM12" s="42" t="str">
        <f t="array" ref="AM12">_xlfn.XLOOKUP(B12,'Up Min'!A:A,'Up Min'!J:J,)</f>
        <v/>
      </c>
      <c r="AN12" s="42" t="str">
        <f t="array" ref="AN12">_xlfn.XLOOKUP(B12,'Up Max'!A:A,'Up Max'!J:J,)</f>
        <v/>
      </c>
      <c r="AO12" s="34" t="str">
        <f t="array" ref="AO12">CONCATENATE(_xlfn.XLOOKUP(B12,'Up Cells'!A:A,'Up Cells'!B:B,))</f>
        <v>4</v>
      </c>
      <c r="AP12" s="34" t="str">
        <f t="array" ref="AP12">CONCATENATE(_xlfn.XLOOKUP(B12,'Up Rarity'!A:A,'Up Rarity'!B:B,),CHAR(10),"-")</f>
        <v>Epic
-</v>
      </c>
    </row>
    <row r="13">
      <c r="A13" s="75" t="str">
        <f t="array" ref="A13">_xlfn.XLOOKUP(B13,'Up Icon'!A:A,'Up Icon'!B:B,)</f>
        <v/>
      </c>
      <c r="B13" s="63" t="str">
        <f t="array" ref="B13">HYPERLINK(_xlfn.XLOOKUP('Up Names'!Q12,'Up Wiki'!A:A,'Up Wiki'!B:B,),'Up Names'!Q12)</f>
        <v>Hold Onto Your Hats</v>
      </c>
      <c r="C13" s="52" t="str">
        <f t="array" ref="C13">_xlfn.XLOOKUP(B13,'Up Desc'!A:A,'Up Desc'!B:B,)</f>
        <v>Slide speed is briefly increased after using your Air Dash.</v>
      </c>
      <c r="D13" s="52" t="str">
        <f t="array" ref="D13">_xlfn.XLOOKUP(B13,'Up Turbo'!A:A,'Up Turbo'!B:B,)</f>
        <v>n/a</v>
      </c>
      <c r="E13" s="53" t="str">
        <f t="array" ref="E13">_xlfn.XLOOKUP(B13,'Up Stats'!A:A,'Up Stats'!B:B,)</f>
        <v>Slide Speed</v>
      </c>
      <c r="F13" s="54" t="str">
        <f>IFERROR(__xludf.DUMMYFUNCTION("if(AND(G13=FALSE,H13=FALSE),,if(G13=H13,JOIN("""",""Static: "",G13),JOIN("""",""Min:  "",G13, CHAR(10),""Max: "",H13)))"),"Min:  675%
Max: 1185%")</f>
        <v>Min:  675%
Max: 1185%</v>
      </c>
      <c r="G13" s="59">
        <f t="array" ref="G13">_xlfn.XLOOKUP(B13,'Up Min'!A:A,'Up Min'!B:B,)</f>
        <v>6.75</v>
      </c>
      <c r="H13" s="59">
        <f t="array" ref="H13">_xlfn.XLOOKUP(B13,'Up Max'!A:A,'Up Max'!B:B,)</f>
        <v>11.85</v>
      </c>
      <c r="I13" s="53" t="str">
        <f t="array" ref="I13">_xlfn.XLOOKUP(B13,'Up Stats'!A:A,'Up Stats'!C:C,)</f>
        <v/>
      </c>
      <c r="J13" s="54" t="str">
        <f>IFERROR(__xludf.DUMMYFUNCTION("if(AND(K13=FALSE,L13=FALSE),,if(K13=L13,JOIN("""",""Static: "",K13),JOIN("""",""Min:  "",K13, CHAR(10),""Max: "",L13)))"),"")</f>
        <v/>
      </c>
      <c r="K13" s="72" t="str">
        <f t="array" ref="K13">_xlfn.XLOOKUP(B13,'Up Min'!A:A,'Up Min'!C:C,)</f>
        <v/>
      </c>
      <c r="L13" s="72" t="str">
        <f t="array" ref="L13">_xlfn.XLOOKUP(B13,'Up Max'!A:A,'Up Max'!C:C,)</f>
        <v/>
      </c>
      <c r="M13" s="57" t="str">
        <f t="array" ref="M13">_xlfn.XLOOKUP(B13,'Up Stats'!A:A,'Up Stats'!D:D,)</f>
        <v/>
      </c>
      <c r="N13" s="54" t="str">
        <f>IFERROR(__xludf.DUMMYFUNCTION("if(AND(O13=FALSE,P13=FALSE),,if(O13=P13,JOIN("""",""Static: "",O13),JOIN("""",""Min:  "",O13, CHAR(10),""Max: "",P13)))"),"")</f>
        <v/>
      </c>
      <c r="O13" s="55" t="str">
        <f t="array" ref="O13">_xlfn.XLOOKUP(B13,'Up Min'!A:A,'Up Min'!D:D,)</f>
        <v/>
      </c>
      <c r="P13" s="55" t="str">
        <f t="array" ref="P13">_xlfn.XLOOKUP(B13,'Up Max'!A:A,'Up Max'!D:D,)</f>
        <v/>
      </c>
      <c r="Q13" s="57" t="str">
        <f t="array" ref="Q13">_xlfn.XLOOKUP(B13,'Up Stats'!A:A,'Up Stats'!E:E,)</f>
        <v/>
      </c>
      <c r="R13" s="54" t="str">
        <f>IFERROR(__xludf.DUMMYFUNCTION("if(AND(S13=FALSE,T13=FALSE),,if(S13=T13,JOIN("""",""Static: "",S13),JOIN("""",""Min:  "",S13, CHAR(10),""Max: "",T13)))"),"")</f>
        <v/>
      </c>
      <c r="S13" s="55" t="str">
        <f t="array" ref="S13">_xlfn.XLOOKUP(B13,'Up Min'!A:A,'Up Min'!E:E,)</f>
        <v/>
      </c>
      <c r="T13" s="55" t="str">
        <f t="array" ref="T13">_xlfn.XLOOKUP(B13,'Up Max'!A:A,'Up Max'!E:E,)</f>
        <v/>
      </c>
      <c r="U13" s="57" t="str">
        <f t="array" ref="U13">_xlfn.XLOOKUP(B13,'Up Stats'!A:A,'Up Stats'!F:F,)</f>
        <v/>
      </c>
      <c r="V13" s="54" t="str">
        <f>IFERROR(__xludf.DUMMYFUNCTION("if(AND(W13=FALSE,X13=FALSE),,if(W13=X13,JOIN("""",""Static: "",W13),JOIN("""",""Min:  "",W13, CHAR(10),""Max: "",X13)))"),"")</f>
        <v/>
      </c>
      <c r="W13" s="55" t="str">
        <f t="array" ref="W13">_xlfn.XLOOKUP(B13,'Up Min'!A:A,'Up Min'!F:F,)</f>
        <v/>
      </c>
      <c r="X13" s="55" t="str">
        <f t="array" ref="X13">_xlfn.XLOOKUP(B13,'Up Max'!A:A,'Up Max'!F:F,)</f>
        <v/>
      </c>
      <c r="Y13" s="57" t="str">
        <f t="array" ref="Y13">_xlfn.XLOOKUP(B13,'Up Stats'!A:A,'Up Stats'!G:G,)</f>
        <v/>
      </c>
      <c r="Z13" s="54" t="str">
        <f>IFERROR(__xludf.DUMMYFUNCTION("if(AND(AA13=FALSE,AB13=FALSE),,if(AA13=AB13,JOIN("""",""Static: "",AA13),JOIN("""",""Min:  "",AA13, CHAR(10),""Max: "",AB13)))"),"")</f>
        <v/>
      </c>
      <c r="AA13" s="55" t="str">
        <f t="array" ref="AA13">_xlfn.XLOOKUP(B13,'Up Min'!A:A,'Up Min'!G:G,)</f>
        <v/>
      </c>
      <c r="AB13" s="55" t="str">
        <f t="array" ref="AB13">_xlfn.XLOOKUP(B13,'Up Max'!A:A,'Up Max'!G:G,)</f>
        <v/>
      </c>
      <c r="AC13" s="57" t="str">
        <f t="array" ref="AC13">_xlfn.XLOOKUP(B13,'Up Stats'!A:A,'Up Stats'!H:H,)</f>
        <v/>
      </c>
      <c r="AD13" s="54" t="str">
        <f>IFERROR(__xludf.DUMMYFUNCTION("if(AND(AE13=FALSE,AF13=FALSE),,if(AE13=AF13,JOIN("""",""Static: "",AE13),JOIN("""",""Min:  "",AE13, CHAR(10),""Max: "",AF13)))"),"")</f>
        <v/>
      </c>
      <c r="AE13" s="55" t="str">
        <f t="array" ref="AE13">_xlfn.XLOOKUP(B13,'Up Min'!A:A,'Up Min'!H:H,)</f>
        <v/>
      </c>
      <c r="AF13" s="55" t="str">
        <f t="array" ref="AF13">_xlfn.XLOOKUP(B13,'Up Max'!A:A,'Up Max'!H:H,)</f>
        <v/>
      </c>
      <c r="AG13" s="57" t="str">
        <f t="array" ref="AG13">_xlfn.XLOOKUP(B13,'Up Stats'!A:A,'Up Stats'!I:I,)</f>
        <v/>
      </c>
      <c r="AH13" s="54" t="str">
        <f>IFERROR(__xludf.DUMMYFUNCTION("if(AND(AI13=FALSE,AJ13=FALSE),,if(AI13=AJ13,JOIN("""",""Static: "",AI13),JOIN("""",""Min:  "",AI13, CHAR(10),""Max: "",AJ13)))"),"")</f>
        <v/>
      </c>
      <c r="AI13" s="55" t="str">
        <f t="array" ref="AI13">_xlfn.XLOOKUP(B13,'Up Min'!A:A,'Up Min'!I:I,)</f>
        <v/>
      </c>
      <c r="AJ13" s="55" t="str">
        <f t="array" ref="AJ13">_xlfn.XLOOKUP(B13,'Up Max'!A:A,'Up Max'!I:I,)</f>
        <v/>
      </c>
      <c r="AK13" s="57" t="str">
        <f t="array" ref="AK13">_xlfn.XLOOKUP(B13,'Up Stats'!A:A,'Up Stats'!J:J,)</f>
        <v/>
      </c>
      <c r="AL13" s="54" t="str">
        <f>IFERROR(__xludf.DUMMYFUNCTION("if(AND(AM13=FALSE,AN13=FALSE),,if(AM13=AN13,JOIN("""",""Static: "",AM13),JOIN("""",""Min:  "",AM13, CHAR(10),""Max: "",AN13)))"),"")</f>
        <v/>
      </c>
      <c r="AM13" s="55" t="str">
        <f t="array" ref="AM13">_xlfn.XLOOKUP(B13,'Up Min'!A:A,'Up Min'!J:J,)</f>
        <v/>
      </c>
      <c r="AN13" s="55" t="str">
        <f t="array" ref="AN13">_xlfn.XLOOKUP(B13,'Up Max'!A:A,'Up Max'!J:J,)</f>
        <v/>
      </c>
      <c r="AO13" s="51" t="str">
        <f t="array" ref="AO13">CONCATENATE(_xlfn.XLOOKUP(B13,'Up Cells'!A:A,'Up Cells'!B:B,))</f>
        <v>4</v>
      </c>
      <c r="AP13" s="51" t="str">
        <f t="array" ref="AP13">CONCATENATE(_xlfn.XLOOKUP(B13,'Up Rarity'!A:A,'Up Rarity'!B:B,),CHAR(10),"-")</f>
        <v>Epic
-</v>
      </c>
    </row>
    <row r="14">
      <c r="A14" s="75" t="str">
        <f t="array" ref="A14">_xlfn.XLOOKUP(B14,'Up Icon'!A:A,'Up Icon'!B:B,)</f>
        <v/>
      </c>
      <c r="B14" s="66" t="str">
        <f t="array" ref="B14">HYPERLINK(_xlfn.XLOOKUP('Up Names'!Q13,'Up Wiki'!A:A,'Up Wiki'!B:B,),'Up Names'!Q13)</f>
        <v>Momentum Transfer</v>
      </c>
      <c r="C14" s="37" t="str">
        <f t="array" ref="C14">_xlfn.XLOOKUP(B14,'Up Desc'!A:A,'Up Desc'!B:B,)</f>
        <v>When landing with enough force. some of your vertical momentum is converted to horizontal speed.</v>
      </c>
      <c r="D14" s="37" t="str">
        <f t="array" ref="D14">_xlfn.XLOOKUP(B14,'Up Turbo'!A:A,'Up Turbo'!B:B,)</f>
        <v>n/a</v>
      </c>
      <c r="E14" s="48" t="str">
        <f t="array" ref="E14">_xlfn.XLOOKUP(B14,'Up Stats'!A:A,'Up Stats'!B:B,)</f>
        <v>Efficiency</v>
      </c>
      <c r="F14" s="40" t="str">
        <f>IFERROR(__xludf.DUMMYFUNCTION("if(AND(G14=FALSE,H14=FALSE),,if(G14=H14,JOIN("""",""Static: "",G14),JOIN("""",""Min:  "",G14, CHAR(10),""Max: "",H14)))"),"Min:  88%
Max: 112%")</f>
        <v>Min:  88%
Max: 112%</v>
      </c>
      <c r="G14" s="74">
        <f t="array" ref="G14">_xlfn.XLOOKUP(B14,'Up Min'!A:A,'Up Min'!B:B,)</f>
        <v>0.88</v>
      </c>
      <c r="H14" s="74">
        <f t="array" ref="H14">_xlfn.XLOOKUP(B14,'Up Max'!A:A,'Up Max'!B:B,)</f>
        <v>1.12</v>
      </c>
      <c r="I14" s="48" t="str">
        <f t="array" ref="I14">_xlfn.XLOOKUP(B14,'Up Stats'!A:A,'Up Stats'!C:C,)</f>
        <v/>
      </c>
      <c r="J14" s="40" t="str">
        <f>IFERROR(__xludf.DUMMYFUNCTION("if(AND(K14=FALSE,L14=FALSE),,if(K14=L14,JOIN("""",""Static: "",K14),JOIN("""",""Min:  "",K14, CHAR(10),""Max: "",L14)))"),"")</f>
        <v/>
      </c>
      <c r="K14" s="74" t="str">
        <f t="array" ref="K14">_xlfn.XLOOKUP(B14,'Up Min'!A:A,'Up Min'!C:C,)</f>
        <v/>
      </c>
      <c r="L14" s="74" t="str">
        <f t="array" ref="L14">_xlfn.XLOOKUP(B14,'Up Max'!A:A,'Up Max'!C:C,)</f>
        <v/>
      </c>
      <c r="M14" s="48" t="str">
        <f t="array" ref="M14">_xlfn.XLOOKUP(B14,'Up Stats'!A:A,'Up Stats'!D:D,)</f>
        <v/>
      </c>
      <c r="N14" s="40" t="str">
        <f>IFERROR(__xludf.DUMMYFUNCTION("if(AND(O14=FALSE,P14=FALSE),,if(O14=P14,JOIN("""",""Static: "",O14),JOIN("""",""Min:  "",O14, CHAR(10),""Max: "",P14)))"),"")</f>
        <v/>
      </c>
      <c r="O14" s="42" t="str">
        <f t="array" ref="O14">_xlfn.XLOOKUP(B14,'Up Min'!A:A,'Up Min'!D:D,)</f>
        <v/>
      </c>
      <c r="P14" s="42" t="str">
        <f t="array" ref="P14">_xlfn.XLOOKUP(B14,'Up Max'!A:A,'Up Max'!D:D,)</f>
        <v/>
      </c>
      <c r="Q14" s="48" t="str">
        <f t="array" ref="Q14">_xlfn.XLOOKUP(B14,'Up Stats'!A:A,'Up Stats'!E:E,)</f>
        <v/>
      </c>
      <c r="R14" s="40" t="str">
        <f>IFERROR(__xludf.DUMMYFUNCTION("if(AND(S14=FALSE,T14=FALSE),,if(S14=T14,JOIN("""",""Static: "",S14),JOIN("""",""Min:  "",S14, CHAR(10),""Max: "",T14)))"),"")</f>
        <v/>
      </c>
      <c r="S14" s="42" t="str">
        <f t="array" ref="S14">_xlfn.XLOOKUP(B14,'Up Min'!A:A,'Up Min'!E:E,)</f>
        <v/>
      </c>
      <c r="T14" s="42" t="str">
        <f t="array" ref="T14">_xlfn.XLOOKUP(B14,'Up Max'!A:A,'Up Max'!E:E,)</f>
        <v/>
      </c>
      <c r="U14" s="48" t="str">
        <f t="array" ref="U14">_xlfn.XLOOKUP(B14,'Up Stats'!A:A,'Up Stats'!F:F,)</f>
        <v/>
      </c>
      <c r="V14" s="40" t="str">
        <f>IFERROR(__xludf.DUMMYFUNCTION("if(AND(W14=FALSE,X14=FALSE),,if(W14=X14,JOIN("""",""Static: "",W14),JOIN("""",""Min:  "",W14, CHAR(10),""Max: "",X14)))"),"")</f>
        <v/>
      </c>
      <c r="W14" s="42" t="str">
        <f t="array" ref="W14">_xlfn.XLOOKUP(B14,'Up Min'!A:A,'Up Min'!F:F,)</f>
        <v/>
      </c>
      <c r="X14" s="42" t="str">
        <f t="array" ref="X14">_xlfn.XLOOKUP(B14,'Up Max'!A:A,'Up Max'!F:F,)</f>
        <v/>
      </c>
      <c r="Y14" s="48" t="str">
        <f t="array" ref="Y14">_xlfn.XLOOKUP(B14,'Up Stats'!A:A,'Up Stats'!G:G,)</f>
        <v/>
      </c>
      <c r="Z14" s="40" t="str">
        <f>IFERROR(__xludf.DUMMYFUNCTION("if(AND(AA14=FALSE,AB14=FALSE),,if(AA14=AB14,JOIN("""",""Static: "",AA14),JOIN("""",""Min:  "",AA14, CHAR(10),""Max: "",AB14)))"),"")</f>
        <v/>
      </c>
      <c r="AA14" s="42" t="str">
        <f t="array" ref="AA14">_xlfn.XLOOKUP(B14,'Up Min'!A:A,'Up Min'!G:G,)</f>
        <v/>
      </c>
      <c r="AB14" s="42" t="str">
        <f t="array" ref="AB14">_xlfn.XLOOKUP(B14,'Up Max'!A:A,'Up Max'!G:G,)</f>
        <v/>
      </c>
      <c r="AC14" s="48" t="str">
        <f t="array" ref="AC14">_xlfn.XLOOKUP(B14,'Up Stats'!A:A,'Up Stats'!H:H,)</f>
        <v/>
      </c>
      <c r="AD14" s="40" t="str">
        <f>IFERROR(__xludf.DUMMYFUNCTION("if(AND(AE14=FALSE,AF14=FALSE),,if(AE14=AF14,JOIN("""",""Static: "",AE14),JOIN("""",""Min:  "",AE14, CHAR(10),""Max: "",AF14)))"),"")</f>
        <v/>
      </c>
      <c r="AE14" s="42" t="str">
        <f t="array" ref="AE14">_xlfn.XLOOKUP(B14,'Up Min'!A:A,'Up Min'!H:H,)</f>
        <v/>
      </c>
      <c r="AF14" s="42" t="str">
        <f t="array" ref="AF14">_xlfn.XLOOKUP(B14,'Up Max'!A:A,'Up Max'!H:H,)</f>
        <v/>
      </c>
      <c r="AG14" s="48" t="str">
        <f t="array" ref="AG14">_xlfn.XLOOKUP(B14,'Up Stats'!A:A,'Up Stats'!I:I,)</f>
        <v/>
      </c>
      <c r="AH14" s="40" t="str">
        <f>IFERROR(__xludf.DUMMYFUNCTION("if(AND(AI14=FALSE,AJ14=FALSE),,if(AI14=AJ14,JOIN("""",""Static: "",AI14),JOIN("""",""Min:  "",AI14, CHAR(10),""Max: "",AJ14)))"),"")</f>
        <v/>
      </c>
      <c r="AI14" s="42" t="str">
        <f t="array" ref="AI14">_xlfn.XLOOKUP(B14,'Up Min'!A:A,'Up Min'!I:I,)</f>
        <v/>
      </c>
      <c r="AJ14" s="42" t="str">
        <f t="array" ref="AJ14">_xlfn.XLOOKUP(B14,'Up Max'!A:A,'Up Max'!I:I,)</f>
        <v/>
      </c>
      <c r="AK14" s="48" t="str">
        <f t="array" ref="AK14">_xlfn.XLOOKUP(B14,'Up Stats'!A:A,'Up Stats'!J:J,)</f>
        <v/>
      </c>
      <c r="AL14" s="40" t="str">
        <f>IFERROR(__xludf.DUMMYFUNCTION("if(AND(AM14=FALSE,AN14=FALSE),,if(AM14=AN14,JOIN("""",""Static: "",AM14),JOIN("""",""Min:  "",AM14, CHAR(10),""Max: "",AN14)))"),"")</f>
        <v/>
      </c>
      <c r="AM14" s="42" t="str">
        <f t="array" ref="AM14">_xlfn.XLOOKUP(B14,'Up Min'!A:A,'Up Min'!J:J,)</f>
        <v/>
      </c>
      <c r="AN14" s="42" t="str">
        <f t="array" ref="AN14">_xlfn.XLOOKUP(B14,'Up Max'!A:A,'Up Max'!J:J,)</f>
        <v/>
      </c>
      <c r="AO14" s="34" t="str">
        <f t="array" ref="AO14">CONCATENATE(_xlfn.XLOOKUP(B14,'Up Cells'!A:A,'Up Cells'!B:B,))</f>
        <v>4</v>
      </c>
      <c r="AP14" s="34" t="str">
        <f t="array" ref="AP14">CONCATENATE(_xlfn.XLOOKUP(B14,'Up Rarity'!A:A,'Up Rarity'!B:B,),CHAR(10),"-")</f>
        <v>Epic
-</v>
      </c>
    </row>
    <row r="15">
      <c r="A15" s="75" t="str">
        <f t="array" ref="A15">_xlfn.XLOOKUP(B15,'Up Icon'!A:A,'Up Icon'!B:B,)</f>
        <v/>
      </c>
      <c r="B15" s="63" t="str">
        <f t="array" ref="B15">HYPERLINK(_xlfn.XLOOKUP('Up Names'!Q14,'Up Wiki'!A:A,'Up Wiki'!B:B,),'Up Names'!Q14)</f>
        <v>One-Liner</v>
      </c>
      <c r="C15" s="52" t="str">
        <f t="array" ref="C15">_xlfn.XLOOKUP(B15,'Up Desc'!A:A,'Up Desc'!B:B,)</f>
        <v>Using a quip gives you a burst of speed.</v>
      </c>
      <c r="D15" s="52" t="str">
        <f t="array" ref="D15">_xlfn.XLOOKUP(B15,'Up Turbo'!A:A,'Up Turbo'!B:B,)</f>
        <v>n/a</v>
      </c>
      <c r="E15" s="53" t="str">
        <f t="array" ref="E15">_xlfn.XLOOKUP(B15,'Up Stats'!A:A,'Up Stats'!B:B,)</f>
        <v/>
      </c>
      <c r="F15" s="54" t="str">
        <f>IFERROR(__xludf.DUMMYFUNCTION("if(AND(G15=FALSE,H15=FALSE),,if(G15=H15,JOIN("""",""Static: "",G15),JOIN("""",""Min:  "",G15, CHAR(10),""Max: "",H15)))"),"")</f>
        <v/>
      </c>
      <c r="G15" s="64" t="str">
        <f t="array" ref="G15">_xlfn.XLOOKUP(B15,'Up Min'!A:A,'Up Min'!B:B,)</f>
        <v/>
      </c>
      <c r="H15" s="65" t="str">
        <f t="array" ref="H15">_xlfn.XLOOKUP(B15,'Up Max'!A:A,'Up Max'!B:B,)</f>
        <v/>
      </c>
      <c r="I15" s="53" t="str">
        <f t="array" ref="I15">_xlfn.XLOOKUP(B15,'Up Stats'!A:A,'Up Stats'!C:C,)</f>
        <v/>
      </c>
      <c r="J15" s="54" t="str">
        <f>IFERROR(__xludf.DUMMYFUNCTION("if(AND(K15=FALSE,L15=FALSE),,if(K15=L15,JOIN("""",""Static: "",K15),JOIN("""",""Min:  "",K15, CHAR(10),""Max: "",L15)))"),"")</f>
        <v/>
      </c>
      <c r="K15" s="59" t="str">
        <f t="array" ref="K15">_xlfn.XLOOKUP(B15,'Up Min'!A:A,'Up Min'!C:C,)</f>
        <v/>
      </c>
      <c r="L15" s="59" t="str">
        <f t="array" ref="L15">_xlfn.XLOOKUP(B15,'Up Max'!A:A,'Up Max'!C:C,)</f>
        <v/>
      </c>
      <c r="M15" s="53" t="str">
        <f t="array" ref="M15">_xlfn.XLOOKUP(B15,'Up Stats'!A:A,'Up Stats'!D:D,)</f>
        <v/>
      </c>
      <c r="N15" s="54" t="str">
        <f>IFERROR(__xludf.DUMMYFUNCTION("if(AND(O15=FALSE,P15=FALSE),,if(O15=P15,JOIN("""",""Static: "",O15),JOIN("""",""Min:  "",O15, CHAR(10),""Max: "",P15)))"),"")</f>
        <v/>
      </c>
      <c r="O15" s="64" t="str">
        <f t="array" ref="O15">_xlfn.XLOOKUP(B15,'Up Min'!A:A,'Up Min'!D:D,)</f>
        <v/>
      </c>
      <c r="P15" s="64" t="str">
        <f t="array" ref="P15">_xlfn.XLOOKUP(B15,'Up Max'!A:A,'Up Max'!D:D,)</f>
        <v/>
      </c>
      <c r="Q15" s="57" t="str">
        <f t="array" ref="Q15">_xlfn.XLOOKUP(B15,'Up Stats'!A:A,'Up Stats'!E:E,)</f>
        <v/>
      </c>
      <c r="R15" s="54" t="str">
        <f>IFERROR(__xludf.DUMMYFUNCTION("if(AND(S15=FALSE,T15=FALSE),,if(S15=T15,JOIN("""",""Static: "",S15),JOIN("""",""Min:  "",S15, CHAR(10),""Max: "",T15)))"),"")</f>
        <v/>
      </c>
      <c r="S15" s="56" t="str">
        <f t="array" ref="S15">_xlfn.XLOOKUP(B15,'Up Min'!A:A,'Up Min'!E:E,)</f>
        <v/>
      </c>
      <c r="T15" s="56" t="str">
        <f t="array" ref="T15">_xlfn.XLOOKUP(B15,'Up Max'!A:A,'Up Max'!E:E,)</f>
        <v/>
      </c>
      <c r="U15" s="53" t="str">
        <f t="array" ref="U15">_xlfn.XLOOKUP(B15,'Up Stats'!A:A,'Up Stats'!F:F,)</f>
        <v/>
      </c>
      <c r="V15" s="54" t="str">
        <f>IFERROR(__xludf.DUMMYFUNCTION("if(AND(W15=FALSE,X15=FALSE),,if(W15=X15,JOIN("""",""Static: "",W15),JOIN("""",""Min:  "",W15, CHAR(10),""Max: "",X15)))"),"")</f>
        <v/>
      </c>
      <c r="W15" s="56" t="str">
        <f t="array" ref="W15">_xlfn.XLOOKUP(B15,'Up Min'!A:A,'Up Min'!F:F,)</f>
        <v/>
      </c>
      <c r="X15" s="56" t="str">
        <f t="array" ref="X15">_xlfn.XLOOKUP(B15,'Up Max'!A:A,'Up Max'!F:F,)</f>
        <v/>
      </c>
      <c r="Y15" s="53" t="str">
        <f t="array" ref="Y15">_xlfn.XLOOKUP(B15,'Up Stats'!A:A,'Up Stats'!G:G,)</f>
        <v/>
      </c>
      <c r="Z15" s="54" t="str">
        <f>IFERROR(__xludf.DUMMYFUNCTION("if(AND(AA15=FALSE,AB15=FALSE),,if(AA15=AB15,JOIN("""",""Static: "",AA15),JOIN("""",""Min:  "",AA15, CHAR(10),""Max: "",AB15)))"),"")</f>
        <v/>
      </c>
      <c r="AA15" s="56" t="str">
        <f t="array" ref="AA15">_xlfn.XLOOKUP(B15,'Up Min'!A:A,'Up Min'!G:G,)</f>
        <v/>
      </c>
      <c r="AB15" s="56" t="str">
        <f t="array" ref="AB15">_xlfn.XLOOKUP(B15,'Up Max'!A:A,'Up Max'!G:G,)</f>
        <v/>
      </c>
      <c r="AC15" s="53" t="str">
        <f t="array" ref="AC15">_xlfn.XLOOKUP(B15,'Up Stats'!A:A,'Up Stats'!H:H,)</f>
        <v/>
      </c>
      <c r="AD15" s="54" t="str">
        <f>IFERROR(__xludf.DUMMYFUNCTION("if(AND(AE15=FALSE,AF15=FALSE),,if(AE15=AF15,JOIN("""",""Static: "",AE15),JOIN("""",""Min:  "",AE15, CHAR(10),""Max: "",AF15)))"),"")</f>
        <v/>
      </c>
      <c r="AE15" s="56" t="str">
        <f t="array" ref="AE15">_xlfn.XLOOKUP(B15,'Up Min'!A:A,'Up Min'!H:H,)</f>
        <v/>
      </c>
      <c r="AF15" s="56" t="str">
        <f t="array" ref="AF15">_xlfn.XLOOKUP(B15,'Up Max'!A:A,'Up Max'!H:H,)</f>
        <v/>
      </c>
      <c r="AG15" s="53" t="str">
        <f t="array" ref="AG15">_xlfn.XLOOKUP(B15,'Up Stats'!A:A,'Up Stats'!I:I,)</f>
        <v/>
      </c>
      <c r="AH15" s="54" t="str">
        <f>IFERROR(__xludf.DUMMYFUNCTION("if(AND(AI15=FALSE,AJ15=FALSE),,if(AI15=AJ15,JOIN("""",""Static: "",AI15),JOIN("""",""Min:  "",AI15, CHAR(10),""Max: "",AJ15)))"),"")</f>
        <v/>
      </c>
      <c r="AI15" s="56" t="str">
        <f t="array" ref="AI15">_xlfn.XLOOKUP(B15,'Up Min'!A:A,'Up Min'!I:I,)</f>
        <v/>
      </c>
      <c r="AJ15" s="56" t="str">
        <f t="array" ref="AJ15">_xlfn.XLOOKUP(B15,'Up Max'!A:A,'Up Max'!I:I,)</f>
        <v/>
      </c>
      <c r="AK15" s="53" t="str">
        <f t="array" ref="AK15">_xlfn.XLOOKUP(B15,'Up Stats'!A:A,'Up Stats'!J:J,)</f>
        <v/>
      </c>
      <c r="AL15" s="54" t="str">
        <f>IFERROR(__xludf.DUMMYFUNCTION("if(AND(AM15=FALSE,AN15=FALSE),,if(AM15=AN15,JOIN("""",""Static: "",AM15),JOIN("""",""Min:  "",AM15, CHAR(10),""Max: "",AN15)))"),"")</f>
        <v/>
      </c>
      <c r="AM15" s="56" t="str">
        <f t="array" ref="AM15">_xlfn.XLOOKUP(B15,'Up Min'!A:A,'Up Min'!J:J,)</f>
        <v/>
      </c>
      <c r="AN15" s="56" t="str">
        <f t="array" ref="AN15">_xlfn.XLOOKUP(B15,'Up Max'!A:A,'Up Max'!J:J,)</f>
        <v/>
      </c>
      <c r="AO15" s="51" t="str">
        <f t="array" ref="AO15">CONCATENATE(_xlfn.XLOOKUP(B15,'Up Cells'!A:A,'Up Cells'!B:B,))</f>
        <v>5</v>
      </c>
      <c r="AP15" s="51" t="str">
        <f t="array" ref="AP15">CONCATENATE(_xlfn.XLOOKUP(B15,'Up Rarity'!A:A,'Up Rarity'!B:B,),CHAR(10),"-")</f>
        <v>Epic
-</v>
      </c>
    </row>
    <row r="16">
      <c r="A16" s="75" t="str">
        <f t="array" ref="A16">_xlfn.XLOOKUP(B16,'Up Icon'!A:A,'Up Icon'!B:B,)</f>
        <v/>
      </c>
      <c r="B16" s="66" t="str">
        <f t="array" ref="B16">HYPERLINK(_xlfn.XLOOKUP('Up Names'!Q15,'Up Wiki'!A:A,'Up Wiki'!B:B,),'Up Names'!Q15)</f>
        <v>Powder Player</v>
      </c>
      <c r="C16" s="37" t="str">
        <f t="array" ref="C16">_xlfn.XLOOKUP(B16,'Up Desc'!A:A,'Up Desc'!B:B,)</f>
        <v>Creates an explosion at your current position when you use your Rocket Lasso.</v>
      </c>
      <c r="D16" s="37" t="str">
        <f t="array" ref="D16">_xlfn.XLOOKUP(B16,'Up Turbo'!A:A,'Up Turbo'!B:B,)</f>
        <v>n/a</v>
      </c>
      <c r="E16" s="39" t="str">
        <f t="array" ref="E16">_xlfn.XLOOKUP(B16,'Up Stats'!A:A,'Up Stats'!B:B,)</f>
        <v>Size</v>
      </c>
      <c r="F16" s="40" t="str">
        <f>IFERROR(__xludf.DUMMYFUNCTION("if(AND(G16=FALSE,H16=FALSE),,if(G16=H16,JOIN("""",""Static: "",G16),JOIN("""",""Min:  "",G16, CHAR(10),""Max: "",H16)))"),"Min:  550%
Max: 800%")</f>
        <v>Min:  550%
Max: 800%</v>
      </c>
      <c r="G16" s="41">
        <f t="array" ref="G16">_xlfn.XLOOKUP(B16,'Up Min'!A:A,'Up Min'!B:B,)</f>
        <v>5.5</v>
      </c>
      <c r="H16" s="41">
        <f t="array" ref="H16">_xlfn.XLOOKUP(B16,'Up Max'!A:A,'Up Max'!B:B,)</f>
        <v>8</v>
      </c>
      <c r="I16" s="39" t="str">
        <f t="array" ref="I16">_xlfn.XLOOKUP(B16,'Up Stats'!A:A,'Up Stats'!C:C,)</f>
        <v>Damage</v>
      </c>
      <c r="J16" s="40" t="str">
        <f>IFERROR(__xludf.DUMMYFUNCTION("if(AND(K16=FALSE,L16=FALSE),,if(K16=L16,JOIN("""",""Static: "",K16),JOIN("""",""Min:  "",K16, CHAR(10),""Max: "",L16)))"),"Min:  20
Max: 40")</f>
        <v>Min:  20
Max: 40</v>
      </c>
      <c r="K16" s="69">
        <f t="array" ref="K16">_xlfn.XLOOKUP(B16,'Up Min'!A:A,'Up Min'!C:C,)</f>
        <v>20</v>
      </c>
      <c r="L16" s="69">
        <f t="array" ref="L16">_xlfn.XLOOKUP(B16,'Up Max'!A:A,'Up Max'!C:C,)</f>
        <v>40</v>
      </c>
      <c r="M16" s="39" t="str">
        <f t="array" ref="M16">_xlfn.XLOOKUP(B16,'Up Stats'!A:A,'Up Stats'!D:D,)</f>
        <v>Element</v>
      </c>
      <c r="N16" s="40" t="str">
        <f>IFERROR(__xludf.DUMMYFUNCTION("if(AND(O16=FALSE,P16=FALSE),,if(O16=P16,JOIN("""",""Static: "",O16),JOIN("""",""Min:  "",O16, CHAR(10),""Max: "",P16)))"),"Static: element")</f>
        <v>Static: element</v>
      </c>
      <c r="O16" s="69" t="str">
        <f t="array" ref="O16">_xlfn.XLOOKUP(B16,'Up Min'!A:A,'Up Min'!D:D,)</f>
        <v>element</v>
      </c>
      <c r="P16" s="69" t="str">
        <f t="array" ref="P16">_xlfn.XLOOKUP(B16,'Up Max'!A:A,'Up Max'!D:D,)</f>
        <v>element</v>
      </c>
      <c r="Q16" s="48" t="str">
        <f t="array" ref="Q16">_xlfn.XLOOKUP(B16,'Up Stats'!A:A,'Up Stats'!E:E,)</f>
        <v/>
      </c>
      <c r="R16" s="40" t="str">
        <f>IFERROR(__xludf.DUMMYFUNCTION("if(AND(S16=FALSE,T16=FALSE),,if(S16=T16,JOIN("""",""Static: "",S16),JOIN("""",""Min:  "",S16, CHAR(10),""Max: "",T16)))"),"")</f>
        <v/>
      </c>
      <c r="S16" s="45" t="str">
        <f t="array" ref="S16">_xlfn.XLOOKUP(B16,'Up Min'!A:A,'Up Min'!E:E,)</f>
        <v/>
      </c>
      <c r="T16" s="45" t="str">
        <f t="array" ref="T16">_xlfn.XLOOKUP(B16,'Up Max'!A:A,'Up Max'!E:E,)</f>
        <v/>
      </c>
      <c r="U16" s="39" t="str">
        <f t="array" ref="U16">_xlfn.XLOOKUP(B16,'Up Stats'!A:A,'Up Stats'!F:F,)</f>
        <v/>
      </c>
      <c r="V16" s="40" t="str">
        <f>IFERROR(__xludf.DUMMYFUNCTION("if(AND(W16=FALSE,X16=FALSE),,if(W16=X16,JOIN("""",""Static: "",W16),JOIN("""",""Min:  "",W16, CHAR(10),""Max: "",X16)))"),"")</f>
        <v/>
      </c>
      <c r="W16" s="45" t="str">
        <f t="array" ref="W16">_xlfn.XLOOKUP(B16,'Up Min'!A:A,'Up Min'!F:F,)</f>
        <v/>
      </c>
      <c r="X16" s="45" t="str">
        <f t="array" ref="X16">_xlfn.XLOOKUP(B16,'Up Max'!A:A,'Up Max'!F:F,)</f>
        <v/>
      </c>
      <c r="Y16" s="39" t="str">
        <f t="array" ref="Y16">_xlfn.XLOOKUP(B16,'Up Stats'!A:A,'Up Stats'!G:G,)</f>
        <v/>
      </c>
      <c r="Z16" s="40" t="str">
        <f>IFERROR(__xludf.DUMMYFUNCTION("if(AND(AA16=FALSE,AB16=FALSE),,if(AA16=AB16,JOIN("""",""Static: "",AA16),JOIN("""",""Min:  "",AA16, CHAR(10),""Max: "",AB16)))"),"")</f>
        <v/>
      </c>
      <c r="AA16" s="45" t="str">
        <f t="array" ref="AA16">_xlfn.XLOOKUP(B16,'Up Min'!A:A,'Up Min'!G:G,)</f>
        <v/>
      </c>
      <c r="AB16" s="45" t="str">
        <f t="array" ref="AB16">_xlfn.XLOOKUP(B16,'Up Max'!A:A,'Up Max'!G:G,)</f>
        <v/>
      </c>
      <c r="AC16" s="39" t="str">
        <f t="array" ref="AC16">_xlfn.XLOOKUP(B16,'Up Stats'!A:A,'Up Stats'!H:H,)</f>
        <v/>
      </c>
      <c r="AD16" s="40" t="str">
        <f>IFERROR(__xludf.DUMMYFUNCTION("if(AND(AE16=FALSE,AF16=FALSE),,if(AE16=AF16,JOIN("""",""Static: "",AE16),JOIN("""",""Min:  "",AE16, CHAR(10),""Max: "",AF16)))"),"")</f>
        <v/>
      </c>
      <c r="AE16" s="45" t="str">
        <f t="array" ref="AE16">_xlfn.XLOOKUP(B16,'Up Min'!A:A,'Up Min'!H:H,)</f>
        <v/>
      </c>
      <c r="AF16" s="45" t="str">
        <f t="array" ref="AF16">_xlfn.XLOOKUP(B16,'Up Max'!A:A,'Up Max'!H:H,)</f>
        <v/>
      </c>
      <c r="AG16" s="39" t="str">
        <f t="array" ref="AG16">_xlfn.XLOOKUP(B16,'Up Stats'!A:A,'Up Stats'!I:I,)</f>
        <v/>
      </c>
      <c r="AH16" s="40" t="str">
        <f>IFERROR(__xludf.DUMMYFUNCTION("if(AND(AI16=FALSE,AJ16=FALSE),,if(AI16=AJ16,JOIN("""",""Static: "",AI16),JOIN("""",""Min:  "",AI16, CHAR(10),""Max: "",AJ16)))"),"")</f>
        <v/>
      </c>
      <c r="AI16" s="45" t="str">
        <f t="array" ref="AI16">_xlfn.XLOOKUP(B16,'Up Min'!A:A,'Up Min'!I:I,)</f>
        <v/>
      </c>
      <c r="AJ16" s="45" t="str">
        <f t="array" ref="AJ16">_xlfn.XLOOKUP(B16,'Up Max'!A:A,'Up Max'!I:I,)</f>
        <v/>
      </c>
      <c r="AK16" s="39" t="str">
        <f t="array" ref="AK16">_xlfn.XLOOKUP(B16,'Up Stats'!A:A,'Up Stats'!J:J,)</f>
        <v/>
      </c>
      <c r="AL16" s="40" t="str">
        <f>IFERROR(__xludf.DUMMYFUNCTION("if(AND(AM16=FALSE,AN16=FALSE),,if(AM16=AN16,JOIN("""",""Static: "",AM16),JOIN("""",""Min:  "",AM16, CHAR(10),""Max: "",AN16)))"),"")</f>
        <v/>
      </c>
      <c r="AM16" s="45" t="str">
        <f t="array" ref="AM16">_xlfn.XLOOKUP(B16,'Up Min'!A:A,'Up Min'!J:J,)</f>
        <v/>
      </c>
      <c r="AN16" s="45" t="str">
        <f t="array" ref="AN16">_xlfn.XLOOKUP(B16,'Up Max'!A:A,'Up Max'!J:J,)</f>
        <v/>
      </c>
      <c r="AO16" s="34" t="str">
        <f t="array" ref="AO16">CONCATENATE(_xlfn.XLOOKUP(B16,'Up Cells'!A:A,'Up Cells'!B:B,))</f>
        <v>5</v>
      </c>
      <c r="AP16" s="34" t="str">
        <f t="array" ref="AP16">CONCATENATE(_xlfn.XLOOKUP(B16,'Up Rarity'!A:A,'Up Rarity'!B:B,),CHAR(10),"-")</f>
        <v>Epic
-</v>
      </c>
    </row>
    <row r="17">
      <c r="A17" s="75" t="str">
        <f t="array" ref="A17">_xlfn.XLOOKUP(B17,'Up Icon'!A:A,'Up Icon'!B:B,)</f>
        <v/>
      </c>
      <c r="B17" s="63" t="str">
        <f t="array" ref="B17">HYPERLINK(_xlfn.XLOOKUP('Up Names'!Q16,'Up Wiki'!A:A,'Up Wiki'!B:B,),'Up Names'!Q16)</f>
        <v>Pseudo Science</v>
      </c>
      <c r="C17" s="52" t="str">
        <f t="array" ref="C17">_xlfn.XLOOKUP(B17,'Up Desc'!A:A,'Up Desc'!B:B,)</f>
        <v>Your Rocket Lasso has a chance to partially recharge when you fully apply the given element to a target.</v>
      </c>
      <c r="D17" s="52" t="str">
        <f t="array" ref="D17">_xlfn.XLOOKUP(B17,'Up Turbo'!A:A,'Up Turbo'!B:B,)</f>
        <v>n/a</v>
      </c>
      <c r="E17" s="53" t="str">
        <f t="array" ref="E17">_xlfn.XLOOKUP(B17,'Up Stats'!A:A,'Up Stats'!B:B,)</f>
        <v>Chance</v>
      </c>
      <c r="F17" s="54" t="str">
        <f>IFERROR(__xludf.DUMMYFUNCTION("if(AND(G17=FALSE,H17=FALSE),,if(G17=H17,JOIN("""",""Static: "",G17),JOIN("""",""Min:  "",G17, CHAR(10),""Max: "",H17)))"),"Min:  25%
Max: 32%")</f>
        <v>Min:  25%
Max: 32%</v>
      </c>
      <c r="G17" s="59">
        <f t="array" ref="G17">_xlfn.XLOOKUP(B17,'Up Min'!A:A,'Up Min'!B:B,)</f>
        <v>0.25</v>
      </c>
      <c r="H17" s="59">
        <f t="array" ref="H17">_xlfn.XLOOKUP(B17,'Up Max'!A:A,'Up Max'!B:B,)</f>
        <v>0.32</v>
      </c>
      <c r="I17" s="53" t="str">
        <f t="array" ref="I17">_xlfn.XLOOKUP(B17,'Up Stats'!A:A,'Up Stats'!C:C,)</f>
        <v>Charge</v>
      </c>
      <c r="J17" s="54" t="str">
        <f>IFERROR(__xludf.DUMMYFUNCTION("if(AND(K17=FALSE,L17=FALSE),,if(K17=L17,JOIN("""",""Static: "",K17),JOIN("""",""Min:  "",K17, CHAR(10),""Max: "",L17)))"),"Min:  0.12
Max: 0.2")</f>
        <v>Min:  0.12
Max: 0.2</v>
      </c>
      <c r="K17" s="64">
        <f t="array" ref="K17">_xlfn.XLOOKUP(B17,'Up Min'!A:A,'Up Min'!C:C,)</f>
        <v>0.12</v>
      </c>
      <c r="L17" s="64">
        <f t="array" ref="L17">_xlfn.XLOOKUP(B17,'Up Max'!A:A,'Up Max'!C:C,)</f>
        <v>0.2</v>
      </c>
      <c r="M17" s="57" t="str">
        <f t="array" ref="M17">_xlfn.XLOOKUP(B17,'Up Stats'!A:A,'Up Stats'!D:D,)</f>
        <v>Element</v>
      </c>
      <c r="N17" s="54" t="str">
        <f>IFERROR(__xludf.DUMMYFUNCTION("if(AND(O17=FALSE,P17=FALSE),,if(O17=P17,JOIN("""",""Static: "",O17),JOIN("""",""Min:  "",O17, CHAR(10),""Max: "",P17)))"),"Static: element")</f>
        <v>Static: element</v>
      </c>
      <c r="O17" s="55" t="str">
        <f t="array" ref="O17">_xlfn.XLOOKUP(B17,'Up Min'!A:A,'Up Min'!D:D,)</f>
        <v>element</v>
      </c>
      <c r="P17" s="55" t="str">
        <f t="array" ref="P17">_xlfn.XLOOKUP(B17,'Up Max'!A:A,'Up Max'!D:D,)</f>
        <v>element</v>
      </c>
      <c r="Q17" s="57" t="str">
        <f t="array" ref="Q17">_xlfn.XLOOKUP(B17,'Up Stats'!A:A,'Up Stats'!E:E,)</f>
        <v/>
      </c>
      <c r="R17" s="54" t="str">
        <f>IFERROR(__xludf.DUMMYFUNCTION("if(AND(S17=FALSE,T17=FALSE),,if(S17=T17,JOIN("""",""Static: "",S17),JOIN("""",""Min:  "",S17, CHAR(10),""Max: "",T17)))"),"")</f>
        <v/>
      </c>
      <c r="S17" s="55" t="str">
        <f t="array" ref="S17">_xlfn.XLOOKUP(B17,'Up Min'!A:A,'Up Min'!E:E,)</f>
        <v/>
      </c>
      <c r="T17" s="55" t="str">
        <f t="array" ref="T17">_xlfn.XLOOKUP(B17,'Up Max'!A:A,'Up Max'!E:E,)</f>
        <v/>
      </c>
      <c r="U17" s="57" t="str">
        <f t="array" ref="U17">_xlfn.XLOOKUP(B17,'Up Stats'!A:A,'Up Stats'!F:F,)</f>
        <v/>
      </c>
      <c r="V17" s="54" t="str">
        <f>IFERROR(__xludf.DUMMYFUNCTION("if(AND(W17=FALSE,X17=FALSE),,if(W17=X17,JOIN("""",""Static: "",W17),JOIN("""",""Min:  "",W17, CHAR(10),""Max: "",X17)))"),"")</f>
        <v/>
      </c>
      <c r="W17" s="55" t="str">
        <f t="array" ref="W17">_xlfn.XLOOKUP(B17,'Up Min'!A:A,'Up Min'!F:F,)</f>
        <v/>
      </c>
      <c r="X17" s="55" t="str">
        <f t="array" ref="X17">_xlfn.XLOOKUP(B17,'Up Max'!A:A,'Up Max'!F:F,)</f>
        <v/>
      </c>
      <c r="Y17" s="57" t="str">
        <f t="array" ref="Y17">_xlfn.XLOOKUP(B17,'Up Stats'!A:A,'Up Stats'!G:G,)</f>
        <v/>
      </c>
      <c r="Z17" s="54" t="str">
        <f>IFERROR(__xludf.DUMMYFUNCTION("if(AND(AA17=FALSE,AB17=FALSE),,if(AA17=AB17,JOIN("""",""Static: "",AA17),JOIN("""",""Min:  "",AA17, CHAR(10),""Max: "",AB17)))"),"")</f>
        <v/>
      </c>
      <c r="AA17" s="55" t="str">
        <f t="array" ref="AA17">_xlfn.XLOOKUP(B17,'Up Min'!A:A,'Up Min'!G:G,)</f>
        <v/>
      </c>
      <c r="AB17" s="55" t="str">
        <f t="array" ref="AB17">_xlfn.XLOOKUP(B17,'Up Max'!A:A,'Up Max'!G:G,)</f>
        <v/>
      </c>
      <c r="AC17" s="57" t="str">
        <f t="array" ref="AC17">_xlfn.XLOOKUP(B17,'Up Stats'!A:A,'Up Stats'!H:H,)</f>
        <v/>
      </c>
      <c r="AD17" s="54" t="str">
        <f>IFERROR(__xludf.DUMMYFUNCTION("if(AND(AE17=FALSE,AF17=FALSE),,if(AE17=AF17,JOIN("""",""Static: "",AE17),JOIN("""",""Min:  "",AE17, CHAR(10),""Max: "",AF17)))"),"")</f>
        <v/>
      </c>
      <c r="AE17" s="55" t="str">
        <f t="array" ref="AE17">_xlfn.XLOOKUP(B17,'Up Min'!A:A,'Up Min'!H:H,)</f>
        <v/>
      </c>
      <c r="AF17" s="55" t="str">
        <f t="array" ref="AF17">_xlfn.XLOOKUP(B17,'Up Max'!A:A,'Up Max'!H:H,)</f>
        <v/>
      </c>
      <c r="AG17" s="57" t="str">
        <f t="array" ref="AG17">_xlfn.XLOOKUP(B17,'Up Stats'!A:A,'Up Stats'!I:I,)</f>
        <v/>
      </c>
      <c r="AH17" s="54" t="str">
        <f>IFERROR(__xludf.DUMMYFUNCTION("if(AND(AI17=FALSE,AJ17=FALSE),,if(AI17=AJ17,JOIN("""",""Static: "",AI17),JOIN("""",""Min:  "",AI17, CHAR(10),""Max: "",AJ17)))"),"")</f>
        <v/>
      </c>
      <c r="AI17" s="55" t="str">
        <f t="array" ref="AI17">_xlfn.XLOOKUP(B17,'Up Min'!A:A,'Up Min'!I:I,)</f>
        <v/>
      </c>
      <c r="AJ17" s="55" t="str">
        <f t="array" ref="AJ17">_xlfn.XLOOKUP(B17,'Up Max'!A:A,'Up Max'!I:I,)</f>
        <v/>
      </c>
      <c r="AK17" s="57" t="str">
        <f t="array" ref="AK17">_xlfn.XLOOKUP(B17,'Up Stats'!A:A,'Up Stats'!J:J,)</f>
        <v/>
      </c>
      <c r="AL17" s="54" t="str">
        <f>IFERROR(__xludf.DUMMYFUNCTION("if(AND(AM17=FALSE,AN17=FALSE),,if(AM17=AN17,JOIN("""",""Static: "",AM17),JOIN("""",""Min:  "",AM17, CHAR(10),""Max: "",AN17)))"),"")</f>
        <v/>
      </c>
      <c r="AM17" s="55" t="str">
        <f t="array" ref="AM17">_xlfn.XLOOKUP(B17,'Up Min'!A:A,'Up Min'!J:J,)</f>
        <v/>
      </c>
      <c r="AN17" s="55" t="str">
        <f t="array" ref="AN17">_xlfn.XLOOKUP(B17,'Up Max'!A:A,'Up Max'!J:J,)</f>
        <v/>
      </c>
      <c r="AO17" s="51" t="str">
        <f t="array" ref="AO17">CONCATENATE(_xlfn.XLOOKUP(B17,'Up Cells'!A:A,'Up Cells'!B:B,))</f>
        <v>5</v>
      </c>
      <c r="AP17" s="51" t="str">
        <f t="array" ref="AP17">CONCATENATE(_xlfn.XLOOKUP(B17,'Up Rarity'!A:A,'Up Rarity'!B:B,),CHAR(10),"-")</f>
        <v>Epic
-</v>
      </c>
    </row>
    <row r="18">
      <c r="A18" s="75" t="str">
        <f t="array" ref="A18">_xlfn.XLOOKUP(B18,'Up Icon'!A:A,'Up Icon'!B:B,)</f>
        <v/>
      </c>
      <c r="B18" s="66" t="str">
        <f t="array" ref="B18">HYPERLINK(_xlfn.XLOOKUP('Up Names'!Q17,'Up Wiki'!A:A,'Up Wiki'!B:B,),'Up Names'!Q17)</f>
        <v>Second WInd</v>
      </c>
      <c r="C18" s="37" t="str">
        <f t="array" ref="C18">_xlfn.XLOOKUP(B18,'Up Desc'!A:A,'Up Desc'!B:B,)</f>
        <v>Recharges your Air Dash when the given element is fully applied to you.</v>
      </c>
      <c r="D18" s="37" t="str">
        <f t="array" ref="D18">_xlfn.XLOOKUP(B18,'Up Turbo'!A:A,'Up Turbo'!B:B,)</f>
        <v>n/a</v>
      </c>
      <c r="E18" s="39" t="str">
        <f t="array" ref="E18">_xlfn.XLOOKUP(B18,'Up Stats'!A:A,'Up Stats'!B:B,)</f>
        <v>Charge</v>
      </c>
      <c r="F18" s="40" t="str">
        <f>IFERROR(__xludf.DUMMYFUNCTION("if(AND(G18=FALSE,H18=FALSE),,if(G18=H18,JOIN("""",""Static: "",G18),JOIN("""",""Min:  "",G18, CHAR(10),""Max: "",H18)))"),"Min:  0.35
Max: 0.61")</f>
        <v>Min:  0.35
Max: 0.61</v>
      </c>
      <c r="G18" s="69">
        <f t="array" ref="G18">_xlfn.XLOOKUP(B18,'Up Min'!A:A,'Up Min'!B:B,)</f>
        <v>0.35</v>
      </c>
      <c r="H18" s="68">
        <f t="array" ref="H18">_xlfn.XLOOKUP(B18,'Up Max'!A:A,'Up Max'!B:B,)</f>
        <v>0.61</v>
      </c>
      <c r="I18" s="39" t="str">
        <f t="array" ref="I18">_xlfn.XLOOKUP(B18,'Up Stats'!A:A,'Up Stats'!C:C,)</f>
        <v>Element</v>
      </c>
      <c r="J18" s="40" t="str">
        <f>IFERROR(__xludf.DUMMYFUNCTION("if(AND(K18=FALSE,L18=FALSE),,if(K18=L18,JOIN("""",""Static: "",K18),JOIN("""",""Min:  "",K18, CHAR(10),""Max: "",L18)))"),"Static: element")</f>
        <v>Static: element</v>
      </c>
      <c r="K18" s="74" t="str">
        <f t="array" ref="K18">_xlfn.XLOOKUP(B18,'Up Min'!A:A,'Up Min'!C:C,)</f>
        <v>element</v>
      </c>
      <c r="L18" s="74" t="str">
        <f t="array" ref="L18">_xlfn.XLOOKUP(B18,'Up Max'!A:A,'Up Max'!C:C,)</f>
        <v>element</v>
      </c>
      <c r="M18" s="48" t="str">
        <f t="array" ref="M18">_xlfn.XLOOKUP(B18,'Up Stats'!A:A,'Up Stats'!D:D,)</f>
        <v/>
      </c>
      <c r="N18" s="40" t="str">
        <f>IFERROR(__xludf.DUMMYFUNCTION("if(AND(O18=FALSE,P18=FALSE),,if(O18=P18,JOIN("""",""Static: "",O18),JOIN("""",""Min:  "",O18, CHAR(10),""Max: "",P18)))"),"")</f>
        <v/>
      </c>
      <c r="O18" s="42" t="str">
        <f t="array" ref="O18">_xlfn.XLOOKUP(B18,'Up Min'!A:A,'Up Min'!D:D,)</f>
        <v/>
      </c>
      <c r="P18" s="42" t="str">
        <f t="array" ref="P18">_xlfn.XLOOKUP(B18,'Up Max'!A:A,'Up Max'!D:D,)</f>
        <v/>
      </c>
      <c r="Q18" s="48" t="str">
        <f t="array" ref="Q18">_xlfn.XLOOKUP(B18,'Up Stats'!A:A,'Up Stats'!E:E,)</f>
        <v/>
      </c>
      <c r="R18" s="40" t="str">
        <f>IFERROR(__xludf.DUMMYFUNCTION("if(AND(S18=FALSE,T18=FALSE),,if(S18=T18,JOIN("""",""Static: "",S18),JOIN("""",""Min:  "",S18, CHAR(10),""Max: "",T18)))"),"")</f>
        <v/>
      </c>
      <c r="S18" s="42" t="str">
        <f t="array" ref="S18">_xlfn.XLOOKUP(B18,'Up Min'!A:A,'Up Min'!E:E,)</f>
        <v/>
      </c>
      <c r="T18" s="42" t="str">
        <f t="array" ref="T18">_xlfn.XLOOKUP(B18,'Up Max'!A:A,'Up Max'!E:E,)</f>
        <v/>
      </c>
      <c r="U18" s="48" t="str">
        <f t="array" ref="U18">_xlfn.XLOOKUP(B18,'Up Stats'!A:A,'Up Stats'!F:F,)</f>
        <v/>
      </c>
      <c r="V18" s="40" t="str">
        <f>IFERROR(__xludf.DUMMYFUNCTION("if(AND(W18=FALSE,X18=FALSE),,if(W18=X18,JOIN("""",""Static: "",W18),JOIN("""",""Min:  "",W18, CHAR(10),""Max: "",X18)))"),"")</f>
        <v/>
      </c>
      <c r="W18" s="42" t="str">
        <f t="array" ref="W18">_xlfn.XLOOKUP(B18,'Up Min'!A:A,'Up Min'!F:F,)</f>
        <v/>
      </c>
      <c r="X18" s="42" t="str">
        <f t="array" ref="X18">_xlfn.XLOOKUP(B18,'Up Max'!A:A,'Up Max'!F:F,)</f>
        <v/>
      </c>
      <c r="Y18" s="48" t="str">
        <f t="array" ref="Y18">_xlfn.XLOOKUP(B18,'Up Stats'!A:A,'Up Stats'!G:G,)</f>
        <v/>
      </c>
      <c r="Z18" s="40" t="str">
        <f>IFERROR(__xludf.DUMMYFUNCTION("if(AND(AA18=FALSE,AB18=FALSE),,if(AA18=AB18,JOIN("""",""Static: "",AA18),JOIN("""",""Min:  "",AA18, CHAR(10),""Max: "",AB18)))"),"")</f>
        <v/>
      </c>
      <c r="AA18" s="42" t="str">
        <f t="array" ref="AA18">_xlfn.XLOOKUP(B18,'Up Min'!A:A,'Up Min'!G:G,)</f>
        <v/>
      </c>
      <c r="AB18" s="42" t="str">
        <f t="array" ref="AB18">_xlfn.XLOOKUP(B18,'Up Max'!A:A,'Up Max'!G:G,)</f>
        <v/>
      </c>
      <c r="AC18" s="48" t="str">
        <f t="array" ref="AC18">_xlfn.XLOOKUP(B18,'Up Stats'!A:A,'Up Stats'!H:H,)</f>
        <v/>
      </c>
      <c r="AD18" s="40" t="str">
        <f>IFERROR(__xludf.DUMMYFUNCTION("if(AND(AE18=FALSE,AF18=FALSE),,if(AE18=AF18,JOIN("""",""Static: "",AE18),JOIN("""",""Min:  "",AE18, CHAR(10),""Max: "",AF18)))"),"")</f>
        <v/>
      </c>
      <c r="AE18" s="42" t="str">
        <f t="array" ref="AE18">_xlfn.XLOOKUP(B18,'Up Min'!A:A,'Up Min'!H:H,)</f>
        <v/>
      </c>
      <c r="AF18" s="42" t="str">
        <f t="array" ref="AF18">_xlfn.XLOOKUP(B18,'Up Max'!A:A,'Up Max'!H:H,)</f>
        <v/>
      </c>
      <c r="AG18" s="48" t="str">
        <f t="array" ref="AG18">_xlfn.XLOOKUP(B18,'Up Stats'!A:A,'Up Stats'!I:I,)</f>
        <v/>
      </c>
      <c r="AH18" s="40" t="str">
        <f>IFERROR(__xludf.DUMMYFUNCTION("if(AND(AI18=FALSE,AJ18=FALSE),,if(AI18=AJ18,JOIN("""",""Static: "",AI18),JOIN("""",""Min:  "",AI18, CHAR(10),""Max: "",AJ18)))"),"")</f>
        <v/>
      </c>
      <c r="AI18" s="42" t="str">
        <f t="array" ref="AI18">_xlfn.XLOOKUP(B18,'Up Min'!A:A,'Up Min'!I:I,)</f>
        <v/>
      </c>
      <c r="AJ18" s="42" t="str">
        <f t="array" ref="AJ18">_xlfn.XLOOKUP(B18,'Up Max'!A:A,'Up Max'!I:I,)</f>
        <v/>
      </c>
      <c r="AK18" s="48" t="str">
        <f t="array" ref="AK18">_xlfn.XLOOKUP(B18,'Up Stats'!A:A,'Up Stats'!J:J,)</f>
        <v/>
      </c>
      <c r="AL18" s="40" t="str">
        <f>IFERROR(__xludf.DUMMYFUNCTION("if(AND(AM18=FALSE,AN18=FALSE),,if(AM18=AN18,JOIN("""",""Static: "",AM18),JOIN("""",""Min:  "",AM18, CHAR(10),""Max: "",AN18)))"),"")</f>
        <v/>
      </c>
      <c r="AM18" s="42" t="str">
        <f t="array" ref="AM18">_xlfn.XLOOKUP(B18,'Up Min'!A:A,'Up Min'!J:J,)</f>
        <v/>
      </c>
      <c r="AN18" s="42" t="str">
        <f t="array" ref="AN18">_xlfn.XLOOKUP(B18,'Up Max'!A:A,'Up Max'!J:J,)</f>
        <v/>
      </c>
      <c r="AO18" s="34" t="str">
        <f t="array" ref="AO18">CONCATENATE(_xlfn.XLOOKUP(B18,'Up Cells'!A:A,'Up Cells'!B:B,))</f>
        <v>5</v>
      </c>
      <c r="AP18" s="34" t="str">
        <f t="array" ref="AP18">CONCATENATE(_xlfn.XLOOKUP(B18,'Up Rarity'!A:A,'Up Rarity'!B:B,),CHAR(10),"-")</f>
        <v>Epic
-</v>
      </c>
    </row>
    <row r="19">
      <c r="A19" s="75" t="str">
        <f t="array" ref="A19">_xlfn.XLOOKUP(B19,'Up Icon'!A:A,'Up Icon'!B:B,)</f>
        <v/>
      </c>
      <c r="B19" s="51" t="str">
        <f t="array" ref="B19">HYPERLINK(_xlfn.XLOOKUP('Up Names'!Q37,'Up Wiki'!A:A,'Up Wiki'!B:B,),'Up Names'!Q37)</f>
        <v>Synthetic Adrenaline</v>
      </c>
      <c r="C19" s="52" t="str">
        <f t="array" ref="C19">_xlfn.XLOOKUP(B19,'Up Desc'!A:A,'Up Desc'!B:B,)</f>
        <v>Gain increased fire rate and reload speed when under full health.</v>
      </c>
      <c r="D19" s="52" t="str">
        <f t="array" ref="D19">_xlfn.XLOOKUP(B19,'Up Turbo'!A:A,'Up Turbo'!B:B,)</f>
        <v>n/a</v>
      </c>
      <c r="E19" s="53" t="str">
        <f t="array" ref="E19">_xlfn.XLOOKUP(B19,'Up Stats'!A:A,'Up Stats'!B:B,)</f>
        <v/>
      </c>
      <c r="F19" s="54" t="str">
        <f>IFERROR(__xludf.DUMMYFUNCTION("if(AND(G19=FALSE,H19=FALSE),,if(G19=H19,JOIN("""",""Static: "",G19),JOIN("""",""Min:  "",G19, CHAR(10),""Max: "",H19)))"),"")</f>
        <v/>
      </c>
      <c r="G19" s="55" t="str">
        <f t="array" ref="G19">_xlfn.XLOOKUP(B19,'Up Min'!A:A,'Up Min'!B:B,)</f>
        <v/>
      </c>
      <c r="H19" s="56" t="str">
        <f t="array" ref="H19">_xlfn.XLOOKUP(B19,'Up Max'!A:A,'Up Max'!B:B,)</f>
        <v/>
      </c>
      <c r="I19" s="53" t="str">
        <f t="array" ref="I19">_xlfn.XLOOKUP(B19,'Up Stats'!A:A,'Up Stats'!C:C,)</f>
        <v/>
      </c>
      <c r="J19" s="54" t="str">
        <f>IFERROR(__xludf.DUMMYFUNCTION("if(AND(K19=FALSE,L19=FALSE),,if(K19=L19,JOIN("""",""Static: "",K19),JOIN("""",""Min:  "",K19, CHAR(10),""Max: "",L19)))"),"")</f>
        <v/>
      </c>
      <c r="K19" s="72" t="str">
        <f t="array" ref="K19">_xlfn.XLOOKUP(B19,'Up Min'!A:A,'Up Min'!C:C,)</f>
        <v/>
      </c>
      <c r="L19" s="72" t="str">
        <f t="array" ref="L19">_xlfn.XLOOKUP(B19,'Up Max'!A:A,'Up Max'!C:C,)</f>
        <v/>
      </c>
      <c r="M19" s="57" t="str">
        <f t="array" ref="M19">_xlfn.XLOOKUP(B19,'Up Stats'!A:A,'Up Stats'!D:D,)</f>
        <v/>
      </c>
      <c r="N19" s="54" t="str">
        <f>IFERROR(__xludf.DUMMYFUNCTION("if(AND(O19=FALSE,P19=FALSE),,if(O19=P19,JOIN("""",""Static: "",O19),JOIN("""",""Min:  "",O19, CHAR(10),""Max: "",P19)))"),"")</f>
        <v/>
      </c>
      <c r="O19" s="55" t="str">
        <f t="array" ref="O19">_xlfn.XLOOKUP(B19,'Up Min'!A:A,'Up Min'!D:D,)</f>
        <v/>
      </c>
      <c r="P19" s="55" t="str">
        <f t="array" ref="P19">_xlfn.XLOOKUP(B19,'Up Max'!A:A,'Up Max'!D:D,)</f>
        <v/>
      </c>
      <c r="Q19" s="57" t="str">
        <f t="array" ref="Q19">_xlfn.XLOOKUP(B19,'Up Stats'!A:A,'Up Stats'!E:E,)</f>
        <v/>
      </c>
      <c r="R19" s="54" t="str">
        <f>IFERROR(__xludf.DUMMYFUNCTION("if(AND(S19=FALSE,T19=FALSE),,if(S19=T19,JOIN("""",""Static: "",S19),JOIN("""",""Min:  "",S19, CHAR(10),""Max: "",T19)))"),"")</f>
        <v/>
      </c>
      <c r="S19" s="55" t="str">
        <f t="array" ref="S19">_xlfn.XLOOKUP(B19,'Up Min'!A:A,'Up Min'!E:E,)</f>
        <v/>
      </c>
      <c r="T19" s="55" t="str">
        <f t="array" ref="T19">_xlfn.XLOOKUP(B19,'Up Max'!A:A,'Up Max'!E:E,)</f>
        <v/>
      </c>
      <c r="U19" s="57" t="str">
        <f t="array" ref="U19">_xlfn.XLOOKUP(B19,'Up Stats'!A:A,'Up Stats'!F:F,)</f>
        <v/>
      </c>
      <c r="V19" s="54" t="str">
        <f>IFERROR(__xludf.DUMMYFUNCTION("if(AND(W19=FALSE,X19=FALSE),,if(W19=X19,JOIN("""",""Static: "",W19),JOIN("""",""Min:  "",W19, CHAR(10),""Max: "",X19)))"),"")</f>
        <v/>
      </c>
      <c r="W19" s="55" t="str">
        <f t="array" ref="W19">_xlfn.XLOOKUP(B19,'Up Min'!A:A,'Up Min'!F:F,)</f>
        <v/>
      </c>
      <c r="X19" s="55" t="str">
        <f t="array" ref="X19">_xlfn.XLOOKUP(B19,'Up Max'!A:A,'Up Max'!F:F,)</f>
        <v/>
      </c>
      <c r="Y19" s="57" t="str">
        <f t="array" ref="Y19">_xlfn.XLOOKUP(B19,'Up Stats'!A:A,'Up Stats'!G:G,)</f>
        <v/>
      </c>
      <c r="Z19" s="54" t="str">
        <f>IFERROR(__xludf.DUMMYFUNCTION("if(AND(AA19=FALSE,AB19=FALSE),,if(AA19=AB19,JOIN("""",""Static: "",AA19),JOIN("""",""Min:  "",AA19, CHAR(10),""Max: "",AB19)))"),"")</f>
        <v/>
      </c>
      <c r="AA19" s="55" t="str">
        <f t="array" ref="AA19">_xlfn.XLOOKUP(B19,'Up Min'!A:A,'Up Min'!G:G,)</f>
        <v/>
      </c>
      <c r="AB19" s="55" t="str">
        <f t="array" ref="AB19">_xlfn.XLOOKUP(B19,'Up Max'!A:A,'Up Max'!G:G,)</f>
        <v/>
      </c>
      <c r="AC19" s="57" t="str">
        <f t="array" ref="AC19">_xlfn.XLOOKUP(B19,'Up Stats'!A:A,'Up Stats'!H:H,)</f>
        <v/>
      </c>
      <c r="AD19" s="54" t="str">
        <f>IFERROR(__xludf.DUMMYFUNCTION("if(AND(AE19=FALSE,AF19=FALSE),,if(AE19=AF19,JOIN("""",""Static: "",AE19),JOIN("""",""Min:  "",AE19, CHAR(10),""Max: "",AF19)))"),"")</f>
        <v/>
      </c>
      <c r="AE19" s="55" t="str">
        <f t="array" ref="AE19">_xlfn.XLOOKUP(B19,'Up Min'!A:A,'Up Min'!H:H,)</f>
        <v/>
      </c>
      <c r="AF19" s="55" t="str">
        <f t="array" ref="AF19">_xlfn.XLOOKUP(B19,'Up Max'!A:A,'Up Max'!H:H,)</f>
        <v/>
      </c>
      <c r="AG19" s="57" t="str">
        <f t="array" ref="AG19">_xlfn.XLOOKUP(B19,'Up Stats'!A:A,'Up Stats'!I:I,)</f>
        <v/>
      </c>
      <c r="AH19" s="54" t="str">
        <f>IFERROR(__xludf.DUMMYFUNCTION("if(AND(AI19=FALSE,AJ19=FALSE),,if(AI19=AJ19,JOIN("""",""Static: "",AI19),JOIN("""",""Min:  "",AI19, CHAR(10),""Max: "",AJ19)))"),"")</f>
        <v/>
      </c>
      <c r="AI19" s="55" t="str">
        <f t="array" ref="AI19">_xlfn.XLOOKUP(B19,'Up Min'!A:A,'Up Min'!I:I,)</f>
        <v/>
      </c>
      <c r="AJ19" s="55" t="str">
        <f t="array" ref="AJ19">_xlfn.XLOOKUP(B19,'Up Max'!A:A,'Up Max'!I:I,)</f>
        <v/>
      </c>
      <c r="AK19" s="57" t="str">
        <f t="array" ref="AK19">_xlfn.XLOOKUP(B19,'Up Stats'!A:A,'Up Stats'!J:J,)</f>
        <v/>
      </c>
      <c r="AL19" s="54" t="str">
        <f>IFERROR(__xludf.DUMMYFUNCTION("if(AND(AM19=FALSE,AN19=FALSE),,if(AM19=AN19,JOIN("""",""Static: "",AM19),JOIN("""",""Min:  "",AM19, CHAR(10),""Max: "",AN19)))"),"")</f>
        <v/>
      </c>
      <c r="AM19" s="55" t="str">
        <f t="array" ref="AM19">_xlfn.XLOOKUP(B19,'Up Min'!A:A,'Up Min'!J:J,)</f>
        <v/>
      </c>
      <c r="AN19" s="55" t="str">
        <f t="array" ref="AN19">_xlfn.XLOOKUP(B19,'Up Max'!A:A,'Up Max'!J:J,)</f>
        <v/>
      </c>
      <c r="AO19" s="51" t="str">
        <f t="array" ref="AO19">CONCATENATE(_xlfn.XLOOKUP(B19,'Up Cells'!A:A,'Up Cells'!B:B,))</f>
        <v>4</v>
      </c>
      <c r="AP19" s="51" t="str">
        <f t="array" ref="AP19">CONCATENATE(_xlfn.XLOOKUP(B19,'Up Rarity'!A:A,'Up Rarity'!B:B,),CHAR(10),"-")</f>
        <v>Epic
-</v>
      </c>
    </row>
    <row r="20">
      <c r="A20" s="83" t="str">
        <f t="array" ref="A20">_xlfn.XLOOKUP(B20,'Up Icon'!A:A,'Up Icon'!B:B,)</f>
        <v/>
      </c>
      <c r="B20" s="66" t="str">
        <f t="array" ref="B20">HYPERLINK(_xlfn.XLOOKUP('Up Names'!Q18,'Up Wiki'!A:A,'Up Wiki'!B:B,),'Up Names'!Q18)</f>
        <v>Ammo Continuity</v>
      </c>
      <c r="C20" s="37" t="str">
        <f t="array" ref="C20">_xlfn.XLOOKUP(B20,'Up Desc'!A:A,'Up Desc'!B:B,)</f>
        <v>Your equipped weapon is partially reloaded when you throw your lasso.</v>
      </c>
      <c r="D20" s="37" t="str">
        <f t="array" ref="D20">_xlfn.XLOOKUP(B20,'Up Turbo'!A:A,'Up Turbo'!B:B,)</f>
        <v>n/a</v>
      </c>
      <c r="E20" s="39" t="str">
        <f t="array" ref="E20">_xlfn.XLOOKUP(B20,'Up Stats'!A:A,'Up Stats'!B:B,)</f>
        <v>Ammo Efficiency</v>
      </c>
      <c r="F20" s="40" t="str">
        <f>IFERROR(__xludf.DUMMYFUNCTION("if(AND(G20=FALSE,H20=FALSE),,if(G20=H20,JOIN("""",""Static: "",G20),JOIN("""",""Min:  "",G20, CHAR(10),""Max: "",H20)))"),"Min:  10
Max: 18")</f>
        <v>Min:  10
Max: 18</v>
      </c>
      <c r="G20" s="69">
        <f t="array" ref="G20">_xlfn.XLOOKUP(B20,'Up Min'!A:A,'Up Min'!B:B,)</f>
        <v>10</v>
      </c>
      <c r="H20" s="68">
        <f t="array" ref="H20">_xlfn.XLOOKUP(B20,'Up Max'!A:A,'Up Max'!B:B,)</f>
        <v>18</v>
      </c>
      <c r="I20" s="39" t="str">
        <f t="array" ref="I20">_xlfn.XLOOKUP(B20,'Up Stats'!A:A,'Up Stats'!C:C,)</f>
        <v/>
      </c>
      <c r="J20" s="40" t="str">
        <f>IFERROR(__xludf.DUMMYFUNCTION("if(AND(K20=FALSE,L20=FALSE),,if(K20=L20,JOIN("""",""Static: "",K20),JOIN("""",""Min:  "",K20, CHAR(10),""Max: "",L20)))"),"")</f>
        <v/>
      </c>
      <c r="K20" s="74" t="str">
        <f t="array" ref="K20">_xlfn.XLOOKUP(B20,'Up Min'!A:A,'Up Min'!C:C,)</f>
        <v/>
      </c>
      <c r="L20" s="74" t="str">
        <f t="array" ref="L20">_xlfn.XLOOKUP(B20,'Up Max'!A:A,'Up Max'!C:C,)</f>
        <v/>
      </c>
      <c r="M20" s="48" t="str">
        <f t="array" ref="M20">_xlfn.XLOOKUP(B20,'Up Stats'!A:A,'Up Stats'!D:D,)</f>
        <v/>
      </c>
      <c r="N20" s="40" t="str">
        <f>IFERROR(__xludf.DUMMYFUNCTION("if(AND(O20=FALSE,P20=FALSE),,if(O20=P20,JOIN("""",""Static: "",O20),JOIN("""",""Min:  "",O20, CHAR(10),""Max: "",P20)))"),"")</f>
        <v/>
      </c>
      <c r="O20" s="42" t="str">
        <f t="array" ref="O20">_xlfn.XLOOKUP(B20,'Up Min'!A:A,'Up Min'!D:D,)</f>
        <v/>
      </c>
      <c r="P20" s="42" t="str">
        <f t="array" ref="P20">_xlfn.XLOOKUP(B20,'Up Max'!A:A,'Up Max'!D:D,)</f>
        <v/>
      </c>
      <c r="Q20" s="48" t="str">
        <f t="array" ref="Q20">_xlfn.XLOOKUP(B20,'Up Stats'!A:A,'Up Stats'!E:E,)</f>
        <v/>
      </c>
      <c r="R20" s="40" t="str">
        <f>IFERROR(__xludf.DUMMYFUNCTION("if(AND(S20=FALSE,T20=FALSE),,if(S20=T20,JOIN("""",""Static: "",S20),JOIN("""",""Min:  "",S20, CHAR(10),""Max: "",T20)))"),"")</f>
        <v/>
      </c>
      <c r="S20" s="42" t="str">
        <f t="array" ref="S20">_xlfn.XLOOKUP(B20,'Up Min'!A:A,'Up Min'!E:E,)</f>
        <v/>
      </c>
      <c r="T20" s="42" t="str">
        <f t="array" ref="T20">_xlfn.XLOOKUP(B20,'Up Max'!A:A,'Up Max'!E:E,)</f>
        <v/>
      </c>
      <c r="U20" s="48" t="str">
        <f t="array" ref="U20">_xlfn.XLOOKUP(B20,'Up Stats'!A:A,'Up Stats'!F:F,)</f>
        <v/>
      </c>
      <c r="V20" s="40" t="str">
        <f>IFERROR(__xludf.DUMMYFUNCTION("if(AND(W20=FALSE,X20=FALSE),,if(W20=X20,JOIN("""",""Static: "",W20),JOIN("""",""Min:  "",W20, CHAR(10),""Max: "",X20)))"),"")</f>
        <v/>
      </c>
      <c r="W20" s="42" t="str">
        <f t="array" ref="W20">_xlfn.XLOOKUP(B20,'Up Min'!A:A,'Up Min'!F:F,)</f>
        <v/>
      </c>
      <c r="X20" s="42" t="str">
        <f t="array" ref="X20">_xlfn.XLOOKUP(B20,'Up Max'!A:A,'Up Max'!F:F,)</f>
        <v/>
      </c>
      <c r="Y20" s="48" t="str">
        <f t="array" ref="Y20">_xlfn.XLOOKUP(B20,'Up Stats'!A:A,'Up Stats'!G:G,)</f>
        <v/>
      </c>
      <c r="Z20" s="40" t="str">
        <f>IFERROR(__xludf.DUMMYFUNCTION("if(AND(AA20=FALSE,AB20=FALSE),,if(AA20=AB20,JOIN("""",""Static: "",AA20),JOIN("""",""Min:  "",AA20, CHAR(10),""Max: "",AB20)))"),"")</f>
        <v/>
      </c>
      <c r="AA20" s="42" t="str">
        <f t="array" ref="AA20">_xlfn.XLOOKUP(B20,'Up Min'!A:A,'Up Min'!G:G,)</f>
        <v/>
      </c>
      <c r="AB20" s="42" t="str">
        <f t="array" ref="AB20">_xlfn.XLOOKUP(B20,'Up Max'!A:A,'Up Max'!G:G,)</f>
        <v/>
      </c>
      <c r="AC20" s="48" t="str">
        <f t="array" ref="AC20">_xlfn.XLOOKUP(B20,'Up Stats'!A:A,'Up Stats'!H:H,)</f>
        <v/>
      </c>
      <c r="AD20" s="40" t="str">
        <f>IFERROR(__xludf.DUMMYFUNCTION("if(AND(AE20=FALSE,AF20=FALSE),,if(AE20=AF20,JOIN("""",""Static: "",AE20),JOIN("""",""Min:  "",AE20, CHAR(10),""Max: "",AF20)))"),"")</f>
        <v/>
      </c>
      <c r="AE20" s="42" t="str">
        <f t="array" ref="AE20">_xlfn.XLOOKUP(B20,'Up Min'!A:A,'Up Min'!H:H,)</f>
        <v/>
      </c>
      <c r="AF20" s="42" t="str">
        <f t="array" ref="AF20">_xlfn.XLOOKUP(B20,'Up Max'!A:A,'Up Max'!H:H,)</f>
        <v/>
      </c>
      <c r="AG20" s="48" t="str">
        <f t="array" ref="AG20">_xlfn.XLOOKUP(B20,'Up Stats'!A:A,'Up Stats'!I:I,)</f>
        <v/>
      </c>
      <c r="AH20" s="40" t="str">
        <f>IFERROR(__xludf.DUMMYFUNCTION("if(AND(AI20=FALSE,AJ20=FALSE),,if(AI20=AJ20,JOIN("""",""Static: "",AI20),JOIN("""",""Min:  "",AI20, CHAR(10),""Max: "",AJ20)))"),"")</f>
        <v/>
      </c>
      <c r="AI20" s="42" t="str">
        <f t="array" ref="AI20">_xlfn.XLOOKUP(B20,'Up Min'!A:A,'Up Min'!I:I,)</f>
        <v/>
      </c>
      <c r="AJ20" s="42" t="str">
        <f t="array" ref="AJ20">_xlfn.XLOOKUP(B20,'Up Max'!A:A,'Up Max'!I:I,)</f>
        <v/>
      </c>
      <c r="AK20" s="48" t="str">
        <f t="array" ref="AK20">_xlfn.XLOOKUP(B20,'Up Stats'!A:A,'Up Stats'!J:J,)</f>
        <v/>
      </c>
      <c r="AL20" s="40" t="str">
        <f>IFERROR(__xludf.DUMMYFUNCTION("if(AND(AM20=FALSE,AN20=FALSE),,if(AM20=AN20,JOIN("""",""Static: "",AM20),JOIN("""",""Min:  "",AM20, CHAR(10),""Max: "",AN20)))"),"")</f>
        <v/>
      </c>
      <c r="AM20" s="42" t="str">
        <f t="array" ref="AM20">_xlfn.XLOOKUP(B20,'Up Min'!A:A,'Up Min'!J:J,)</f>
        <v/>
      </c>
      <c r="AN20" s="42" t="str">
        <f t="array" ref="AN20">_xlfn.XLOOKUP(B20,'Up Max'!A:A,'Up Max'!J:J,)</f>
        <v/>
      </c>
      <c r="AO20" s="34" t="str">
        <f t="array" ref="AO20">CONCATENATE(_xlfn.XLOOKUP(B20,'Up Cells'!A:A,'Up Cells'!B:B,))</f>
        <v>3</v>
      </c>
      <c r="AP20" s="34" t="str">
        <f t="array" ref="AP20">CONCATENATE(_xlfn.XLOOKUP(B20,'Up Rarity'!A:A,'Up Rarity'!B:B,),CHAR(10),"-")</f>
        <v>Rare
-</v>
      </c>
    </row>
    <row r="21">
      <c r="A21" s="83" t="str">
        <f t="array" ref="A21">_xlfn.XLOOKUP(B21,'Up Icon'!A:A,'Up Icon'!B:B,)</f>
        <v/>
      </c>
      <c r="B21" s="63" t="str">
        <f t="array" ref="B21">HYPERLINK(_xlfn.XLOOKUP('Up Names'!Q19,'Up Wiki'!A:A,'Up Wiki'!B:B,),'Up Names'!Q19)</f>
        <v>Charge Thief</v>
      </c>
      <c r="C21" s="52" t="str">
        <f t="array" ref="C21">_xlfn.XLOOKUP(B21,'Up Desc'!A:A,'Up Desc'!B:B,)</f>
        <v>Lassoing a broken player part refunds some Rocket Lasso charge.</v>
      </c>
      <c r="D21" s="52" t="str">
        <f t="array" ref="D21">_xlfn.XLOOKUP(B21,'Up Turbo'!A:A,'Up Turbo'!B:B,)</f>
        <v>n/a</v>
      </c>
      <c r="E21" s="53" t="str">
        <f t="array" ref="E21">_xlfn.XLOOKUP(B21,'Up Stats'!A:A,'Up Stats'!B:B,)</f>
        <v>Charge</v>
      </c>
      <c r="F21" s="54" t="str">
        <f>IFERROR(__xludf.DUMMYFUNCTION("if(AND(G21=FALSE,H21=FALSE),,if(G21=H21,JOIN("""",""Static: "",G21),JOIN("""",""Min:  "",G21, CHAR(10),""Max: "",H21)))"),"Min:  0.7
Max: 1.1")</f>
        <v>Min:  0.7
Max: 1.1</v>
      </c>
      <c r="G21" s="64">
        <f t="array" ref="G21">_xlfn.XLOOKUP(B21,'Up Min'!A:A,'Up Min'!B:B,)</f>
        <v>0.7</v>
      </c>
      <c r="H21" s="65">
        <f t="array" ref="H21">_xlfn.XLOOKUP(B21,'Up Max'!A:A,'Up Max'!B:B,)</f>
        <v>1.1</v>
      </c>
      <c r="I21" s="53" t="str">
        <f t="array" ref="I21">_xlfn.XLOOKUP(B21,'Up Stats'!A:A,'Up Stats'!C:C,)</f>
        <v/>
      </c>
      <c r="J21" s="54" t="str">
        <f>IFERROR(__xludf.DUMMYFUNCTION("if(AND(K21=FALSE,L21=FALSE),,if(K21=L21,JOIN("""",""Static: "",K21),JOIN("""",""Min:  "",K21, CHAR(10),""Max: "",L21)))"),"")</f>
        <v/>
      </c>
      <c r="K21" s="72" t="str">
        <f t="array" ref="K21">_xlfn.XLOOKUP(B21,'Up Min'!A:A,'Up Min'!C:C,)</f>
        <v/>
      </c>
      <c r="L21" s="72" t="str">
        <f t="array" ref="L21">_xlfn.XLOOKUP(B21,'Up Max'!A:A,'Up Max'!C:C,)</f>
        <v/>
      </c>
      <c r="M21" s="53" t="str">
        <f t="array" ref="M21">_xlfn.XLOOKUP(B21,'Up Stats'!A:A,'Up Stats'!D:D,)</f>
        <v/>
      </c>
      <c r="N21" s="54" t="str">
        <f>IFERROR(__xludf.DUMMYFUNCTION("if(AND(O21=FALSE,P21=FALSE),,if(O21=P21,JOIN("""",""Static: "",O21),JOIN("""",""Min:  "",O21, CHAR(10),""Max: "",P21)))"),"")</f>
        <v/>
      </c>
      <c r="O21" s="55" t="str">
        <f t="array" ref="O21">_xlfn.XLOOKUP(B21,'Up Min'!A:A,'Up Min'!D:D,)</f>
        <v/>
      </c>
      <c r="P21" s="55" t="str">
        <f t="array" ref="P21">_xlfn.XLOOKUP(B21,'Up Max'!A:A,'Up Max'!D:D,)</f>
        <v/>
      </c>
      <c r="Q21" s="57" t="str">
        <f t="array" ref="Q21">_xlfn.XLOOKUP(B21,'Up Stats'!A:A,'Up Stats'!E:E,)</f>
        <v/>
      </c>
      <c r="R21" s="54" t="str">
        <f>IFERROR(__xludf.DUMMYFUNCTION("if(AND(S21=FALSE,T21=FALSE),,if(S21=T21,JOIN("""",""Static: "",S21),JOIN("""",""Min:  "",S21, CHAR(10),""Max: "",T21)))"),"")</f>
        <v/>
      </c>
      <c r="S21" s="55" t="str">
        <f t="array" ref="S21">_xlfn.XLOOKUP(B21,'Up Min'!A:A,'Up Min'!E:E,)</f>
        <v/>
      </c>
      <c r="T21" s="55" t="str">
        <f t="array" ref="T21">_xlfn.XLOOKUP(B21,'Up Max'!A:A,'Up Max'!E:E,)</f>
        <v/>
      </c>
      <c r="U21" s="57" t="str">
        <f t="array" ref="U21">_xlfn.XLOOKUP(B21,'Up Stats'!A:A,'Up Stats'!F:F,)</f>
        <v/>
      </c>
      <c r="V21" s="54" t="str">
        <f>IFERROR(__xludf.DUMMYFUNCTION("if(AND(W21=FALSE,X21=FALSE),,if(W21=X21,JOIN("""",""Static: "",W21),JOIN("""",""Min:  "",W21, CHAR(10),""Max: "",X21)))"),"")</f>
        <v/>
      </c>
      <c r="W21" s="55" t="str">
        <f t="array" ref="W21">_xlfn.XLOOKUP(B21,'Up Min'!A:A,'Up Min'!F:F,)</f>
        <v/>
      </c>
      <c r="X21" s="55" t="str">
        <f t="array" ref="X21">_xlfn.XLOOKUP(B21,'Up Max'!A:A,'Up Max'!F:F,)</f>
        <v/>
      </c>
      <c r="Y21" s="57" t="str">
        <f t="array" ref="Y21">_xlfn.XLOOKUP(B21,'Up Stats'!A:A,'Up Stats'!G:G,)</f>
        <v/>
      </c>
      <c r="Z21" s="54" t="str">
        <f>IFERROR(__xludf.DUMMYFUNCTION("if(AND(AA21=FALSE,AB21=FALSE),,if(AA21=AB21,JOIN("""",""Static: "",AA21),JOIN("""",""Min:  "",AA21, CHAR(10),""Max: "",AB21)))"),"")</f>
        <v/>
      </c>
      <c r="AA21" s="55" t="str">
        <f t="array" ref="AA21">_xlfn.XLOOKUP(B21,'Up Min'!A:A,'Up Min'!G:G,)</f>
        <v/>
      </c>
      <c r="AB21" s="55" t="str">
        <f t="array" ref="AB21">_xlfn.XLOOKUP(B21,'Up Max'!A:A,'Up Max'!G:G,)</f>
        <v/>
      </c>
      <c r="AC21" s="57" t="str">
        <f t="array" ref="AC21">_xlfn.XLOOKUP(B21,'Up Stats'!A:A,'Up Stats'!H:H,)</f>
        <v/>
      </c>
      <c r="AD21" s="54" t="str">
        <f>IFERROR(__xludf.DUMMYFUNCTION("if(AND(AE21=FALSE,AF21=FALSE),,if(AE21=AF21,JOIN("""",""Static: "",AE21),JOIN("""",""Min:  "",AE21, CHAR(10),""Max: "",AF21)))"),"")</f>
        <v/>
      </c>
      <c r="AE21" s="55" t="str">
        <f t="array" ref="AE21">_xlfn.XLOOKUP(B21,'Up Min'!A:A,'Up Min'!H:H,)</f>
        <v/>
      </c>
      <c r="AF21" s="55" t="str">
        <f t="array" ref="AF21">_xlfn.XLOOKUP(B21,'Up Max'!A:A,'Up Max'!H:H,)</f>
        <v/>
      </c>
      <c r="AG21" s="57" t="str">
        <f t="array" ref="AG21">_xlfn.XLOOKUP(B21,'Up Stats'!A:A,'Up Stats'!I:I,)</f>
        <v/>
      </c>
      <c r="AH21" s="54" t="str">
        <f>IFERROR(__xludf.DUMMYFUNCTION("if(AND(AI21=FALSE,AJ21=FALSE),,if(AI21=AJ21,JOIN("""",""Static: "",AI21),JOIN("""",""Min:  "",AI21, CHAR(10),""Max: "",AJ21)))"),"")</f>
        <v/>
      </c>
      <c r="AI21" s="55" t="str">
        <f t="array" ref="AI21">_xlfn.XLOOKUP(B21,'Up Min'!A:A,'Up Min'!I:I,)</f>
        <v/>
      </c>
      <c r="AJ21" s="55" t="str">
        <f t="array" ref="AJ21">_xlfn.XLOOKUP(B21,'Up Max'!A:A,'Up Max'!I:I,)</f>
        <v/>
      </c>
      <c r="AK21" s="57" t="str">
        <f t="array" ref="AK21">_xlfn.XLOOKUP(B21,'Up Stats'!A:A,'Up Stats'!J:J,)</f>
        <v/>
      </c>
      <c r="AL21" s="54" t="str">
        <f>IFERROR(__xludf.DUMMYFUNCTION("if(AND(AM21=FALSE,AN21=FALSE),,if(AM21=AN21,JOIN("""",""Static: "",AM21),JOIN("""",""Min:  "",AM21, CHAR(10),""Max: "",AN21)))"),"")</f>
        <v/>
      </c>
      <c r="AM21" s="55" t="str">
        <f t="array" ref="AM21">_xlfn.XLOOKUP(B21,'Up Min'!A:A,'Up Min'!J:J,)</f>
        <v/>
      </c>
      <c r="AN21" s="55" t="str">
        <f t="array" ref="AN21">_xlfn.XLOOKUP(B21,'Up Max'!A:A,'Up Max'!J:J,)</f>
        <v/>
      </c>
      <c r="AO21" s="51" t="str">
        <f t="array" ref="AO21">CONCATENATE(_xlfn.XLOOKUP(B21,'Up Cells'!A:A,'Up Cells'!B:B,))</f>
        <v>3</v>
      </c>
      <c r="AP21" s="51" t="str">
        <f t="array" ref="AP21">CONCATENATE(_xlfn.XLOOKUP(B21,'Up Rarity'!A:A,'Up Rarity'!B:B,),CHAR(10),"-")</f>
        <v>Rare
-</v>
      </c>
    </row>
    <row r="22">
      <c r="A22" s="83" t="str">
        <f t="array" ref="A22">_xlfn.XLOOKUP(B22,'Up Icon'!A:A,'Up Icon'!B:B,)</f>
        <v/>
      </c>
      <c r="B22" s="66" t="str">
        <f t="array" ref="B22">HYPERLINK(_xlfn.XLOOKUP('Up Names'!Q20,'Up Wiki'!A:A,'Up Wiki'!B:B,),'Up Names'!Q20)</f>
        <v>Dust Kick</v>
      </c>
      <c r="C22" s="37" t="str">
        <f t="array" ref="C22">_xlfn.XLOOKUP(B22,'Up Desc'!A:A,'Up Desc'!B:B,)</f>
        <v>Jump out of a slide to gain a burst of upward speed.</v>
      </c>
      <c r="D22" s="37" t="str">
        <f t="array" ref="D22">_xlfn.XLOOKUP(B22,'Up Turbo'!A:A,'Up Turbo'!B:B,)</f>
        <v>n/a</v>
      </c>
      <c r="E22" s="39" t="str">
        <f t="array" ref="E22">_xlfn.XLOOKUP(B22,'Up Stats'!A:A,'Up Stats'!B:B,)</f>
        <v>Upward Speed</v>
      </c>
      <c r="F22" s="40" t="str">
        <f>IFERROR(__xludf.DUMMYFUNCTION("if(AND(G22=FALSE,H22=FALSE),,if(G22=H22,JOIN("""",""Static: "",G22),JOIN("""",""Min:  "",G22, CHAR(10),""Max: "",H22)))"),"Min:  10
Max: 20")</f>
        <v>Min:  10
Max: 20</v>
      </c>
      <c r="G22" s="69">
        <f t="array" ref="G22">_xlfn.XLOOKUP(B22,'Up Min'!A:A,'Up Min'!B:B,)</f>
        <v>10</v>
      </c>
      <c r="H22" s="68">
        <f t="array" ref="H22">_xlfn.XLOOKUP(B22,'Up Max'!A:A,'Up Max'!B:B,)</f>
        <v>20</v>
      </c>
      <c r="I22" s="39" t="str">
        <f t="array" ref="I22">_xlfn.XLOOKUP(B22,'Up Stats'!A:A,'Up Stats'!C:C,)</f>
        <v/>
      </c>
      <c r="J22" s="40" t="str">
        <f>IFERROR(__xludf.DUMMYFUNCTION("if(AND(K22=FALSE,L22=FALSE),,if(K22=L22,JOIN("""",""Static: "",K22),JOIN("""",""Min:  "",K22, CHAR(10),""Max: "",L22)))"),"")</f>
        <v/>
      </c>
      <c r="K22" s="74" t="str">
        <f t="array" ref="K22">_xlfn.XLOOKUP(B22,'Up Min'!A:A,'Up Min'!C:C,)</f>
        <v/>
      </c>
      <c r="L22" s="74" t="str">
        <f t="array" ref="L22">_xlfn.XLOOKUP(B22,'Up Max'!A:A,'Up Max'!C:C,)</f>
        <v/>
      </c>
      <c r="M22" s="48" t="str">
        <f t="array" ref="M22">_xlfn.XLOOKUP(B22,'Up Stats'!A:A,'Up Stats'!D:D,)</f>
        <v/>
      </c>
      <c r="N22" s="40" t="str">
        <f>IFERROR(__xludf.DUMMYFUNCTION("if(AND(O22=FALSE,P22=FALSE),,if(O22=P22,JOIN("""",""Static: "",O22),JOIN("""",""Min:  "",O22, CHAR(10),""Max: "",P22)))"),"")</f>
        <v/>
      </c>
      <c r="O22" s="42" t="str">
        <f t="array" ref="O22">_xlfn.XLOOKUP(B22,'Up Min'!A:A,'Up Min'!D:D,)</f>
        <v/>
      </c>
      <c r="P22" s="42" t="str">
        <f t="array" ref="P22">_xlfn.XLOOKUP(B22,'Up Max'!A:A,'Up Max'!D:D,)</f>
        <v/>
      </c>
      <c r="Q22" s="48" t="str">
        <f t="array" ref="Q22">_xlfn.XLOOKUP(B22,'Up Stats'!A:A,'Up Stats'!E:E,)</f>
        <v/>
      </c>
      <c r="R22" s="40" t="str">
        <f>IFERROR(__xludf.DUMMYFUNCTION("if(AND(S22=FALSE,T22=FALSE),,if(S22=T22,JOIN("""",""Static: "",S22),JOIN("""",""Min:  "",S22, CHAR(10),""Max: "",T22)))"),"")</f>
        <v/>
      </c>
      <c r="S22" s="42" t="str">
        <f t="array" ref="S22">_xlfn.XLOOKUP(B22,'Up Min'!A:A,'Up Min'!E:E,)</f>
        <v/>
      </c>
      <c r="T22" s="42" t="str">
        <f t="array" ref="T22">_xlfn.XLOOKUP(B22,'Up Max'!A:A,'Up Max'!E:E,)</f>
        <v/>
      </c>
      <c r="U22" s="48" t="str">
        <f t="array" ref="U22">_xlfn.XLOOKUP(B22,'Up Stats'!A:A,'Up Stats'!F:F,)</f>
        <v/>
      </c>
      <c r="V22" s="40" t="str">
        <f>IFERROR(__xludf.DUMMYFUNCTION("if(AND(W22=FALSE,X22=FALSE),,if(W22=X22,JOIN("""",""Static: "",W22),JOIN("""",""Min:  "",W22, CHAR(10),""Max: "",X22)))"),"")</f>
        <v/>
      </c>
      <c r="W22" s="42" t="str">
        <f t="array" ref="W22">_xlfn.XLOOKUP(B22,'Up Min'!A:A,'Up Min'!F:F,)</f>
        <v/>
      </c>
      <c r="X22" s="42" t="str">
        <f t="array" ref="X22">_xlfn.XLOOKUP(B22,'Up Max'!A:A,'Up Max'!F:F,)</f>
        <v/>
      </c>
      <c r="Y22" s="48" t="str">
        <f t="array" ref="Y22">_xlfn.XLOOKUP(B22,'Up Stats'!A:A,'Up Stats'!G:G,)</f>
        <v/>
      </c>
      <c r="Z22" s="40" t="str">
        <f>IFERROR(__xludf.DUMMYFUNCTION("if(AND(AA22=FALSE,AB22=FALSE),,if(AA22=AB22,JOIN("""",""Static: "",AA22),JOIN("""",""Min:  "",AA22, CHAR(10),""Max: "",AB22)))"),"")</f>
        <v/>
      </c>
      <c r="AA22" s="42" t="str">
        <f t="array" ref="AA22">_xlfn.XLOOKUP(B22,'Up Min'!A:A,'Up Min'!G:G,)</f>
        <v/>
      </c>
      <c r="AB22" s="42" t="str">
        <f t="array" ref="AB22">_xlfn.XLOOKUP(B22,'Up Max'!A:A,'Up Max'!G:G,)</f>
        <v/>
      </c>
      <c r="AC22" s="48" t="str">
        <f t="array" ref="AC22">_xlfn.XLOOKUP(B22,'Up Stats'!A:A,'Up Stats'!H:H,)</f>
        <v/>
      </c>
      <c r="AD22" s="40" t="str">
        <f>IFERROR(__xludf.DUMMYFUNCTION("if(AND(AE22=FALSE,AF22=FALSE),,if(AE22=AF22,JOIN("""",""Static: "",AE22),JOIN("""",""Min:  "",AE22, CHAR(10),""Max: "",AF22)))"),"")</f>
        <v/>
      </c>
      <c r="AE22" s="42" t="str">
        <f t="array" ref="AE22">_xlfn.XLOOKUP(B22,'Up Min'!A:A,'Up Min'!H:H,)</f>
        <v/>
      </c>
      <c r="AF22" s="42" t="str">
        <f t="array" ref="AF22">_xlfn.XLOOKUP(B22,'Up Max'!A:A,'Up Max'!H:H,)</f>
        <v/>
      </c>
      <c r="AG22" s="48" t="str">
        <f t="array" ref="AG22">_xlfn.XLOOKUP(B22,'Up Stats'!A:A,'Up Stats'!I:I,)</f>
        <v/>
      </c>
      <c r="AH22" s="40" t="str">
        <f>IFERROR(__xludf.DUMMYFUNCTION("if(AND(AI22=FALSE,AJ22=FALSE),,if(AI22=AJ22,JOIN("""",""Static: "",AI22),JOIN("""",""Min:  "",AI22, CHAR(10),""Max: "",AJ22)))"),"")</f>
        <v/>
      </c>
      <c r="AI22" s="42" t="str">
        <f t="array" ref="AI22">_xlfn.XLOOKUP(B22,'Up Min'!A:A,'Up Min'!I:I,)</f>
        <v/>
      </c>
      <c r="AJ22" s="42" t="str">
        <f t="array" ref="AJ22">_xlfn.XLOOKUP(B22,'Up Max'!A:A,'Up Max'!I:I,)</f>
        <v/>
      </c>
      <c r="AK22" s="48" t="str">
        <f t="array" ref="AK22">_xlfn.XLOOKUP(B22,'Up Stats'!A:A,'Up Stats'!J:J,)</f>
        <v/>
      </c>
      <c r="AL22" s="40" t="str">
        <f>IFERROR(__xludf.DUMMYFUNCTION("if(AND(AM22=FALSE,AN22=FALSE),,if(AM22=AN22,JOIN("""",""Static: "",AM22),JOIN("""",""Min:  "",AM22, CHAR(10),""Max: "",AN22)))"),"")</f>
        <v/>
      </c>
      <c r="AM22" s="42" t="str">
        <f t="array" ref="AM22">_xlfn.XLOOKUP(B22,'Up Min'!A:A,'Up Min'!J:J,)</f>
        <v/>
      </c>
      <c r="AN22" s="42" t="str">
        <f t="array" ref="AN22">_xlfn.XLOOKUP(B22,'Up Max'!A:A,'Up Max'!J:J,)</f>
        <v/>
      </c>
      <c r="AO22" s="34" t="str">
        <f t="array" ref="AO22">CONCATENATE(_xlfn.XLOOKUP(B22,'Up Cells'!A:A,'Up Cells'!B:B,))</f>
        <v>5</v>
      </c>
      <c r="AP22" s="34" t="str">
        <f t="array" ref="AP22">CONCATENATE(_xlfn.XLOOKUP(B22,'Up Rarity'!A:A,'Up Rarity'!B:B,),CHAR(10),"-")</f>
        <v>Rare
-</v>
      </c>
    </row>
    <row r="23">
      <c r="A23" s="83" t="str">
        <f t="array" ref="A23">_xlfn.XLOOKUP(B23,'Up Icon'!A:A,'Up Icon'!B:B,)</f>
        <v/>
      </c>
      <c r="B23" s="63" t="str">
        <f t="array" ref="B23">HYPERLINK(_xlfn.XLOOKUP('Up Names'!Q21,'Up Wiki'!A:A,'Up Wiki'!B:B,),'Up Names'!Q21)</f>
        <v>Extra Rope</v>
      </c>
      <c r="C23" s="52" t="str">
        <f t="array" ref="C23">_xlfn.XLOOKUP(B23,'Up Desc'!A:A,'Up Desc'!B:B,)</f>
        <v>Rocket Lasso range is increased for each cell that touches this upgrade.</v>
      </c>
      <c r="D23" s="52" t="str">
        <f t="array" ref="D23">_xlfn.XLOOKUP(B23,'Up Turbo'!A:A,'Up Turbo'!B:B,)</f>
        <v>n/a</v>
      </c>
      <c r="E23" s="53" t="str">
        <f t="array" ref="E23">_xlfn.XLOOKUP(B23,'Up Stats'!A:A,'Up Stats'!B:B,)</f>
        <v>Range per Cell</v>
      </c>
      <c r="F23" s="54" t="str">
        <f>IFERROR(__xludf.DUMMYFUNCTION("if(AND(G23=FALSE,H23=FALSE),,if(G23=H23,JOIN("""",""Static: "",G23),JOIN("""",""Min:  "",G23, CHAR(10),""Max: "",H23)))"),"Min:  2.8
Max: 4.1")</f>
        <v>Min:  2.8
Max: 4.1</v>
      </c>
      <c r="G23" s="64">
        <f t="array" ref="G23">_xlfn.XLOOKUP(B23,'Up Min'!A:A,'Up Min'!B:B,)</f>
        <v>2.8</v>
      </c>
      <c r="H23" s="65">
        <f t="array" ref="H23">_xlfn.XLOOKUP(B23,'Up Max'!A:A,'Up Max'!B:B,)</f>
        <v>4.1</v>
      </c>
      <c r="I23" s="53" t="str">
        <f t="array" ref="I23">_xlfn.XLOOKUP(B23,'Up Stats'!A:A,'Up Stats'!C:C,)</f>
        <v/>
      </c>
      <c r="J23" s="54" t="str">
        <f>IFERROR(__xludf.DUMMYFUNCTION("if(AND(K23=FALSE,L23=FALSE),,if(K23=L23,JOIN("""",""Static: "",K23),JOIN("""",""Min:  "",K23, CHAR(10),""Max: "",L23)))"),"")</f>
        <v/>
      </c>
      <c r="K23" s="72" t="str">
        <f t="array" ref="K23">_xlfn.XLOOKUP(B23,'Up Min'!A:A,'Up Min'!C:C,)</f>
        <v/>
      </c>
      <c r="L23" s="72" t="str">
        <f t="array" ref="L23">_xlfn.XLOOKUP(B23,'Up Max'!A:A,'Up Max'!C:C,)</f>
        <v/>
      </c>
      <c r="M23" s="57" t="str">
        <f t="array" ref="M23">_xlfn.XLOOKUP(B23,'Up Stats'!A:A,'Up Stats'!D:D,)</f>
        <v/>
      </c>
      <c r="N23" s="54" t="str">
        <f>IFERROR(__xludf.DUMMYFUNCTION("if(AND(O23=FALSE,P23=FALSE),,if(O23=P23,JOIN("""",""Static: "",O23),JOIN("""",""Min:  "",O23, CHAR(10),""Max: "",P23)))"),"")</f>
        <v/>
      </c>
      <c r="O23" s="55" t="str">
        <f t="array" ref="O23">_xlfn.XLOOKUP(B23,'Up Min'!A:A,'Up Min'!D:D,)</f>
        <v/>
      </c>
      <c r="P23" s="55" t="str">
        <f t="array" ref="P23">_xlfn.XLOOKUP(B23,'Up Max'!A:A,'Up Max'!D:D,)</f>
        <v/>
      </c>
      <c r="Q23" s="57" t="str">
        <f t="array" ref="Q23">_xlfn.XLOOKUP(B23,'Up Stats'!A:A,'Up Stats'!E:E,)</f>
        <v/>
      </c>
      <c r="R23" s="54" t="str">
        <f>IFERROR(__xludf.DUMMYFUNCTION("if(AND(S23=FALSE,T23=FALSE),,if(S23=T23,JOIN("""",""Static: "",S23),JOIN("""",""Min:  "",S23, CHAR(10),""Max: "",T23)))"),"")</f>
        <v/>
      </c>
      <c r="S23" s="55" t="str">
        <f t="array" ref="S23">_xlfn.XLOOKUP(B23,'Up Min'!A:A,'Up Min'!E:E,)</f>
        <v/>
      </c>
      <c r="T23" s="55" t="str">
        <f t="array" ref="T23">_xlfn.XLOOKUP(B23,'Up Max'!A:A,'Up Max'!E:E,)</f>
        <v/>
      </c>
      <c r="U23" s="57" t="str">
        <f t="array" ref="U23">_xlfn.XLOOKUP(B23,'Up Stats'!A:A,'Up Stats'!F:F,)</f>
        <v/>
      </c>
      <c r="V23" s="54" t="str">
        <f>IFERROR(__xludf.DUMMYFUNCTION("if(AND(W23=FALSE,X23=FALSE),,if(W23=X23,JOIN("""",""Static: "",W23),JOIN("""",""Min:  "",W23, CHAR(10),""Max: "",X23)))"),"")</f>
        <v/>
      </c>
      <c r="W23" s="55" t="str">
        <f t="array" ref="W23">_xlfn.XLOOKUP(B23,'Up Min'!A:A,'Up Min'!F:F,)</f>
        <v/>
      </c>
      <c r="X23" s="55" t="str">
        <f t="array" ref="X23">_xlfn.XLOOKUP(B23,'Up Max'!A:A,'Up Max'!F:F,)</f>
        <v/>
      </c>
      <c r="Y23" s="57" t="str">
        <f t="array" ref="Y23">_xlfn.XLOOKUP(B23,'Up Stats'!A:A,'Up Stats'!G:G,)</f>
        <v/>
      </c>
      <c r="Z23" s="54" t="str">
        <f>IFERROR(__xludf.DUMMYFUNCTION("if(AND(AA23=FALSE,AB23=FALSE),,if(AA23=AB23,JOIN("""",""Static: "",AA23),JOIN("""",""Min:  "",AA23, CHAR(10),""Max: "",AB23)))"),"")</f>
        <v/>
      </c>
      <c r="AA23" s="55" t="str">
        <f t="array" ref="AA23">_xlfn.XLOOKUP(B23,'Up Min'!A:A,'Up Min'!G:G,)</f>
        <v/>
      </c>
      <c r="AB23" s="55" t="str">
        <f t="array" ref="AB23">_xlfn.XLOOKUP(B23,'Up Max'!A:A,'Up Max'!G:G,)</f>
        <v/>
      </c>
      <c r="AC23" s="57" t="str">
        <f t="array" ref="AC23">_xlfn.XLOOKUP(B23,'Up Stats'!A:A,'Up Stats'!H:H,)</f>
        <v/>
      </c>
      <c r="AD23" s="54" t="str">
        <f>IFERROR(__xludf.DUMMYFUNCTION("if(AND(AE23=FALSE,AF23=FALSE),,if(AE23=AF23,JOIN("""",""Static: "",AE23),JOIN("""",""Min:  "",AE23, CHAR(10),""Max: "",AF23)))"),"")</f>
        <v/>
      </c>
      <c r="AE23" s="55" t="str">
        <f t="array" ref="AE23">_xlfn.XLOOKUP(B23,'Up Min'!A:A,'Up Min'!H:H,)</f>
        <v/>
      </c>
      <c r="AF23" s="55" t="str">
        <f t="array" ref="AF23">_xlfn.XLOOKUP(B23,'Up Max'!A:A,'Up Max'!H:H,)</f>
        <v/>
      </c>
      <c r="AG23" s="57" t="str">
        <f t="array" ref="AG23">_xlfn.XLOOKUP(B23,'Up Stats'!A:A,'Up Stats'!I:I,)</f>
        <v/>
      </c>
      <c r="AH23" s="54" t="str">
        <f>IFERROR(__xludf.DUMMYFUNCTION("if(AND(AI23=FALSE,AJ23=FALSE),,if(AI23=AJ23,JOIN("""",""Static: "",AI23),JOIN("""",""Min:  "",AI23, CHAR(10),""Max: "",AJ23)))"),"")</f>
        <v/>
      </c>
      <c r="AI23" s="55" t="str">
        <f t="array" ref="AI23">_xlfn.XLOOKUP(B23,'Up Min'!A:A,'Up Min'!I:I,)</f>
        <v/>
      </c>
      <c r="AJ23" s="55" t="str">
        <f t="array" ref="AJ23">_xlfn.XLOOKUP(B23,'Up Max'!A:A,'Up Max'!I:I,)</f>
        <v/>
      </c>
      <c r="AK23" s="57" t="str">
        <f t="array" ref="AK23">_xlfn.XLOOKUP(B23,'Up Stats'!A:A,'Up Stats'!J:J,)</f>
        <v/>
      </c>
      <c r="AL23" s="54" t="str">
        <f>IFERROR(__xludf.DUMMYFUNCTION("if(AND(AM23=FALSE,AN23=FALSE),,if(AM23=AN23,JOIN("""",""Static: "",AM23),JOIN("""",""Min:  "",AM23, CHAR(10),""Max: "",AN23)))"),"")</f>
        <v/>
      </c>
      <c r="AM23" s="55" t="str">
        <f t="array" ref="AM23">_xlfn.XLOOKUP(B23,'Up Min'!A:A,'Up Min'!J:J,)</f>
        <v/>
      </c>
      <c r="AN23" s="55" t="str">
        <f t="array" ref="AN23">_xlfn.XLOOKUP(B23,'Up Max'!A:A,'Up Max'!J:J,)</f>
        <v/>
      </c>
      <c r="AO23" s="51" t="str">
        <f t="array" ref="AO23">CONCATENATE(_xlfn.XLOOKUP(B23,'Up Cells'!A:A,'Up Cells'!B:B,))</f>
        <v>3</v>
      </c>
      <c r="AP23" s="51" t="str">
        <f t="array" ref="AP23">CONCATENATE(_xlfn.XLOOKUP(B23,'Up Rarity'!A:A,'Up Rarity'!B:B,),CHAR(10),"-")</f>
        <v>Rare
-</v>
      </c>
    </row>
    <row r="24">
      <c r="A24" s="83" t="str">
        <f t="array" ref="A24">_xlfn.XLOOKUP(B24,'Up Icon'!A:A,'Up Icon'!B:B,)</f>
        <v/>
      </c>
      <c r="B24" s="66" t="str">
        <f t="array" ref="B24">HYPERLINK(_xlfn.XLOOKUP('Up Names'!Q22,'Up Wiki'!A:A,'Up Wiki'!B:B,),'Up Names'!Q22)</f>
        <v>Hometown Hero</v>
      </c>
      <c r="C24" s="37" t="str">
        <f t="array" ref="C24">_xlfn.XLOOKUP(B24,'Up Desc'!A:A,'Up Desc'!B:B,)</f>
        <v>Pulling a health chunk with your lasso equips it. Throw the chunk to create a healing explosion.</v>
      </c>
      <c r="D24" s="37" t="str">
        <f t="array" ref="D24">_xlfn.XLOOKUP(B24,'Up Turbo'!A:A,'Up Turbo'!B:B,)</f>
        <v>n/a</v>
      </c>
      <c r="E24" s="48" t="str">
        <f t="array" ref="E24">_xlfn.XLOOKUP(B24,'Up Stats'!A:A,'Up Stats'!B:B,)</f>
        <v>Explosion Size</v>
      </c>
      <c r="F24" s="40" t="str">
        <f>IFERROR(__xludf.DUMMYFUNCTION("if(AND(G24=FALSE,H24=FALSE),,if(G24=H24,JOIN("""",""Static: "",G24),JOIN("""",""Min:  "",G24, CHAR(10),""Max: "",H24)))"),"Min:  4
Max: 7.5")</f>
        <v>Min:  4
Max: 7.5</v>
      </c>
      <c r="G24" s="42">
        <f t="array" ref="G24">_xlfn.XLOOKUP(B24,'Up Min'!A:A,'Up Min'!B:B,)</f>
        <v>4</v>
      </c>
      <c r="H24" s="42">
        <f t="array" ref="H24">_xlfn.XLOOKUP(B24,'Up Max'!A:A,'Up Max'!B:B,)</f>
        <v>7.5</v>
      </c>
      <c r="I24" s="48" t="str">
        <f t="array" ref="I24">_xlfn.XLOOKUP(B24,'Up Stats'!A:A,'Up Stats'!C:C,)</f>
        <v/>
      </c>
      <c r="J24" s="40" t="str">
        <f>IFERROR(__xludf.DUMMYFUNCTION("if(AND(K24=FALSE,L24=FALSE),,if(K24=L24,JOIN("""",""Static: "",K24),JOIN("""",""Min:  "",K24, CHAR(10),""Max: "",L24)))"),"")</f>
        <v/>
      </c>
      <c r="K24" s="74" t="str">
        <f t="array" ref="K24">_xlfn.XLOOKUP(B24,'Up Min'!A:A,'Up Min'!C:C,)</f>
        <v/>
      </c>
      <c r="L24" s="74" t="str">
        <f t="array" ref="L24">_xlfn.XLOOKUP(B24,'Up Max'!A:A,'Up Max'!C:C,)</f>
        <v/>
      </c>
      <c r="M24" s="48" t="str">
        <f t="array" ref="M24">_xlfn.XLOOKUP(B24,'Up Stats'!A:A,'Up Stats'!D:D,)</f>
        <v/>
      </c>
      <c r="N24" s="40" t="str">
        <f>IFERROR(__xludf.DUMMYFUNCTION("if(AND(O24=FALSE,P24=FALSE),,if(O24=P24,JOIN("""",""Static: "",O24),JOIN("""",""Min:  "",O24, CHAR(10),""Max: "",P24)))"),"")</f>
        <v/>
      </c>
      <c r="O24" s="42" t="str">
        <f t="array" ref="O24">_xlfn.XLOOKUP(B24,'Up Min'!A:A,'Up Min'!D:D,)</f>
        <v/>
      </c>
      <c r="P24" s="42" t="str">
        <f t="array" ref="P24">_xlfn.XLOOKUP(B24,'Up Max'!A:A,'Up Max'!D:D,)</f>
        <v/>
      </c>
      <c r="Q24" s="48" t="str">
        <f t="array" ref="Q24">_xlfn.XLOOKUP(B24,'Up Stats'!A:A,'Up Stats'!E:E,)</f>
        <v/>
      </c>
      <c r="R24" s="40" t="str">
        <f>IFERROR(__xludf.DUMMYFUNCTION("if(AND(S24=FALSE,T24=FALSE),,if(S24=T24,JOIN("""",""Static: "",S24),JOIN("""",""Min:  "",S24, CHAR(10),""Max: "",T24)))"),"")</f>
        <v/>
      </c>
      <c r="S24" s="42" t="str">
        <f t="array" ref="S24">_xlfn.XLOOKUP(B24,'Up Min'!A:A,'Up Min'!E:E,)</f>
        <v/>
      </c>
      <c r="T24" s="42" t="str">
        <f t="array" ref="T24">_xlfn.XLOOKUP(B24,'Up Max'!A:A,'Up Max'!E:E,)</f>
        <v/>
      </c>
      <c r="U24" s="48" t="str">
        <f t="array" ref="U24">_xlfn.XLOOKUP(B24,'Up Stats'!A:A,'Up Stats'!F:F,)</f>
        <v/>
      </c>
      <c r="V24" s="40" t="str">
        <f>IFERROR(__xludf.DUMMYFUNCTION("if(AND(W24=FALSE,X24=FALSE),,if(W24=X24,JOIN("""",""Static: "",W24),JOIN("""",""Min:  "",W24, CHAR(10),""Max: "",X24)))"),"")</f>
        <v/>
      </c>
      <c r="W24" s="42" t="str">
        <f t="array" ref="W24">_xlfn.XLOOKUP(B24,'Up Min'!A:A,'Up Min'!F:F,)</f>
        <v/>
      </c>
      <c r="X24" s="42" t="str">
        <f t="array" ref="X24">_xlfn.XLOOKUP(B24,'Up Max'!A:A,'Up Max'!F:F,)</f>
        <v/>
      </c>
      <c r="Y24" s="48" t="str">
        <f t="array" ref="Y24">_xlfn.XLOOKUP(B24,'Up Stats'!A:A,'Up Stats'!G:G,)</f>
        <v/>
      </c>
      <c r="Z24" s="40" t="str">
        <f>IFERROR(__xludf.DUMMYFUNCTION("if(AND(AA24=FALSE,AB24=FALSE),,if(AA24=AB24,JOIN("""",""Static: "",AA24),JOIN("""",""Min:  "",AA24, CHAR(10),""Max: "",AB24)))"),"")</f>
        <v/>
      </c>
      <c r="AA24" s="42" t="str">
        <f t="array" ref="AA24">_xlfn.XLOOKUP(B24,'Up Min'!A:A,'Up Min'!G:G,)</f>
        <v/>
      </c>
      <c r="AB24" s="42" t="str">
        <f t="array" ref="AB24">_xlfn.XLOOKUP(B24,'Up Max'!A:A,'Up Max'!G:G,)</f>
        <v/>
      </c>
      <c r="AC24" s="48" t="str">
        <f t="array" ref="AC24">_xlfn.XLOOKUP(B24,'Up Stats'!A:A,'Up Stats'!H:H,)</f>
        <v/>
      </c>
      <c r="AD24" s="40" t="str">
        <f>IFERROR(__xludf.DUMMYFUNCTION("if(AND(AE24=FALSE,AF24=FALSE),,if(AE24=AF24,JOIN("""",""Static: "",AE24),JOIN("""",""Min:  "",AE24, CHAR(10),""Max: "",AF24)))"),"")</f>
        <v/>
      </c>
      <c r="AE24" s="42" t="str">
        <f t="array" ref="AE24">_xlfn.XLOOKUP(B24,'Up Min'!A:A,'Up Min'!H:H,)</f>
        <v/>
      </c>
      <c r="AF24" s="42" t="str">
        <f t="array" ref="AF24">_xlfn.XLOOKUP(B24,'Up Max'!A:A,'Up Max'!H:H,)</f>
        <v/>
      </c>
      <c r="AG24" s="48" t="str">
        <f t="array" ref="AG24">_xlfn.XLOOKUP(B24,'Up Stats'!A:A,'Up Stats'!I:I,)</f>
        <v/>
      </c>
      <c r="AH24" s="40" t="str">
        <f>IFERROR(__xludf.DUMMYFUNCTION("if(AND(AI24=FALSE,AJ24=FALSE),,if(AI24=AJ24,JOIN("""",""Static: "",AI24),JOIN("""",""Min:  "",AI24, CHAR(10),""Max: "",AJ24)))"),"")</f>
        <v/>
      </c>
      <c r="AI24" s="42" t="str">
        <f t="array" ref="AI24">_xlfn.XLOOKUP(B24,'Up Min'!A:A,'Up Min'!I:I,)</f>
        <v/>
      </c>
      <c r="AJ24" s="42" t="str">
        <f t="array" ref="AJ24">_xlfn.XLOOKUP(B24,'Up Max'!A:A,'Up Max'!I:I,)</f>
        <v/>
      </c>
      <c r="AK24" s="48" t="str">
        <f t="array" ref="AK24">_xlfn.XLOOKUP(B24,'Up Stats'!A:A,'Up Stats'!J:J,)</f>
        <v/>
      </c>
      <c r="AL24" s="40" t="str">
        <f>IFERROR(__xludf.DUMMYFUNCTION("if(AND(AM24=FALSE,AN24=FALSE),,if(AM24=AN24,JOIN("""",""Static: "",AM24),JOIN("""",""Min:  "",AM24, CHAR(10),""Max: "",AN24)))"),"")</f>
        <v/>
      </c>
      <c r="AM24" s="42" t="str">
        <f t="array" ref="AM24">_xlfn.XLOOKUP(B24,'Up Min'!A:A,'Up Min'!J:J,)</f>
        <v/>
      </c>
      <c r="AN24" s="42" t="str">
        <f t="array" ref="AN24">_xlfn.XLOOKUP(B24,'Up Max'!A:A,'Up Max'!J:J,)</f>
        <v/>
      </c>
      <c r="AO24" s="34" t="str">
        <f t="array" ref="AO24">CONCATENATE(_xlfn.XLOOKUP(B24,'Up Cells'!A:A,'Up Cells'!B:B,))</f>
        <v>3</v>
      </c>
      <c r="AP24" s="34" t="str">
        <f t="array" ref="AP24">CONCATENATE(_xlfn.XLOOKUP(B24,'Up Rarity'!A:A,'Up Rarity'!B:B,),CHAR(10),"-")</f>
        <v>Rare
-</v>
      </c>
    </row>
    <row r="25">
      <c r="A25" s="83" t="str">
        <f t="array" ref="A25">_xlfn.XLOOKUP(B25,'Up Icon'!A:A,'Up Icon'!B:B,)</f>
        <v/>
      </c>
      <c r="B25" s="63" t="str">
        <f t="array" ref="B25">HYPERLINK(_xlfn.XLOOKUP('Up Names'!Q23,'Up Wiki'!A:A,'Up Wiki'!B:B,),'Up Names'!Q23)</f>
        <v>Hornet Interference</v>
      </c>
      <c r="C25" s="52" t="str">
        <f t="array" ref="C25">_xlfn.XLOOKUP(B25,'Up Desc'!A:A,'Up Desc'!B:B,)</f>
        <v>Lasso a Hornet to push it away.</v>
      </c>
      <c r="D25" s="52" t="str">
        <f t="array" ref="D25">_xlfn.XLOOKUP(B25,'Up Turbo'!A:A,'Up Turbo'!B:B,)</f>
        <v>n/a</v>
      </c>
      <c r="E25" s="53" t="str">
        <f t="array" ref="E25">_xlfn.XLOOKUP(B25,'Up Stats'!A:A,'Up Stats'!B:B,)</f>
        <v/>
      </c>
      <c r="F25" s="54" t="str">
        <f>IFERROR(__xludf.DUMMYFUNCTION("if(AND(G25=FALSE,H25=FALSE),,if(G25=H25,JOIN("""",""Static: "",G25),JOIN("""",""Min:  "",G25, CHAR(10),""Max: "",H25)))"),"")</f>
        <v/>
      </c>
      <c r="G25" s="71" t="str">
        <f t="array" ref="G25">_xlfn.XLOOKUP(B25,'Up Min'!A:A,'Up Min'!B:B,)</f>
        <v/>
      </c>
      <c r="H25" s="71" t="str">
        <f t="array" ref="H25">_xlfn.XLOOKUP(B25,'Up Max'!A:A,'Up Max'!B:B,)</f>
        <v/>
      </c>
      <c r="I25" s="53" t="str">
        <f t="array" ref="I25">_xlfn.XLOOKUP(B25,'Up Stats'!A:A,'Up Stats'!C:C,)</f>
        <v/>
      </c>
      <c r="J25" s="54" t="str">
        <f>IFERROR(__xludf.DUMMYFUNCTION("if(AND(K25=FALSE,L25=FALSE),,if(K25=L25,JOIN("""",""Static: "",K25),JOIN("""",""Min:  "",K25, CHAR(10),""Max: "",L25)))"),"")</f>
        <v/>
      </c>
      <c r="K25" s="72" t="str">
        <f t="array" ref="K25">_xlfn.XLOOKUP(B25,'Up Min'!A:A,'Up Min'!C:C,)</f>
        <v/>
      </c>
      <c r="L25" s="72" t="str">
        <f t="array" ref="L25">_xlfn.XLOOKUP(B25,'Up Max'!A:A,'Up Max'!C:C,)</f>
        <v/>
      </c>
      <c r="M25" s="57" t="str">
        <f t="array" ref="M25">_xlfn.XLOOKUP(B25,'Up Stats'!A:A,'Up Stats'!D:D,)</f>
        <v/>
      </c>
      <c r="N25" s="54" t="str">
        <f>IFERROR(__xludf.DUMMYFUNCTION("if(AND(O25=FALSE,P25=FALSE),,if(O25=P25,JOIN("""",""Static: "",O25),JOIN("""",""Min:  "",O25, CHAR(10),""Max: "",P25)))"),"")</f>
        <v/>
      </c>
      <c r="O25" s="55" t="str">
        <f t="array" ref="O25">_xlfn.XLOOKUP(B25,'Up Min'!A:A,'Up Min'!D:D,)</f>
        <v/>
      </c>
      <c r="P25" s="55" t="str">
        <f t="array" ref="P25">_xlfn.XLOOKUP(B25,'Up Max'!A:A,'Up Max'!D:D,)</f>
        <v/>
      </c>
      <c r="Q25" s="57" t="str">
        <f t="array" ref="Q25">_xlfn.XLOOKUP(B25,'Up Stats'!A:A,'Up Stats'!E:E,)</f>
        <v/>
      </c>
      <c r="R25" s="54" t="str">
        <f>IFERROR(__xludf.DUMMYFUNCTION("if(AND(S25=FALSE,T25=FALSE),,if(S25=T25,JOIN("""",""Static: "",S25),JOIN("""",""Min:  "",S25, CHAR(10),""Max: "",T25)))"),"")</f>
        <v/>
      </c>
      <c r="S25" s="55" t="str">
        <f t="array" ref="S25">_xlfn.XLOOKUP(B25,'Up Min'!A:A,'Up Min'!E:E,)</f>
        <v/>
      </c>
      <c r="T25" s="55" t="str">
        <f t="array" ref="T25">_xlfn.XLOOKUP(B25,'Up Max'!A:A,'Up Max'!E:E,)</f>
        <v/>
      </c>
      <c r="U25" s="57" t="str">
        <f t="array" ref="U25">_xlfn.XLOOKUP(B25,'Up Stats'!A:A,'Up Stats'!F:F,)</f>
        <v/>
      </c>
      <c r="V25" s="54" t="str">
        <f>IFERROR(__xludf.DUMMYFUNCTION("if(AND(W25=FALSE,X25=FALSE),,if(W25=X25,JOIN("""",""Static: "",W25),JOIN("""",""Min:  "",W25, CHAR(10),""Max: "",X25)))"),"")</f>
        <v/>
      </c>
      <c r="W25" s="55" t="str">
        <f t="array" ref="W25">_xlfn.XLOOKUP(B25,'Up Min'!A:A,'Up Min'!F:F,)</f>
        <v/>
      </c>
      <c r="X25" s="55" t="str">
        <f t="array" ref="X25">_xlfn.XLOOKUP(B25,'Up Max'!A:A,'Up Max'!F:F,)</f>
        <v/>
      </c>
      <c r="Y25" s="57" t="str">
        <f t="array" ref="Y25">_xlfn.XLOOKUP(B25,'Up Stats'!A:A,'Up Stats'!G:G,)</f>
        <v/>
      </c>
      <c r="Z25" s="54" t="str">
        <f>IFERROR(__xludf.DUMMYFUNCTION("if(AND(AA25=FALSE,AB25=FALSE),,if(AA25=AB25,JOIN("""",""Static: "",AA25),JOIN("""",""Min:  "",AA25, CHAR(10),""Max: "",AB25)))"),"")</f>
        <v/>
      </c>
      <c r="AA25" s="55" t="str">
        <f t="array" ref="AA25">_xlfn.XLOOKUP(B25,'Up Min'!A:A,'Up Min'!G:G,)</f>
        <v/>
      </c>
      <c r="AB25" s="55" t="str">
        <f t="array" ref="AB25">_xlfn.XLOOKUP(B25,'Up Max'!A:A,'Up Max'!G:G,)</f>
        <v/>
      </c>
      <c r="AC25" s="57" t="str">
        <f t="array" ref="AC25">_xlfn.XLOOKUP(B25,'Up Stats'!A:A,'Up Stats'!H:H,)</f>
        <v/>
      </c>
      <c r="AD25" s="54" t="str">
        <f>IFERROR(__xludf.DUMMYFUNCTION("if(AND(AE25=FALSE,AF25=FALSE),,if(AE25=AF25,JOIN("""",""Static: "",AE25),JOIN("""",""Min:  "",AE25, CHAR(10),""Max: "",AF25)))"),"")</f>
        <v/>
      </c>
      <c r="AE25" s="55" t="str">
        <f t="array" ref="AE25">_xlfn.XLOOKUP(B25,'Up Min'!A:A,'Up Min'!H:H,)</f>
        <v/>
      </c>
      <c r="AF25" s="55" t="str">
        <f t="array" ref="AF25">_xlfn.XLOOKUP(B25,'Up Max'!A:A,'Up Max'!H:H,)</f>
        <v/>
      </c>
      <c r="AG25" s="57" t="str">
        <f t="array" ref="AG25">_xlfn.XLOOKUP(B25,'Up Stats'!A:A,'Up Stats'!I:I,)</f>
        <v/>
      </c>
      <c r="AH25" s="54" t="str">
        <f>IFERROR(__xludf.DUMMYFUNCTION("if(AND(AI25=FALSE,AJ25=FALSE),,if(AI25=AJ25,JOIN("""",""Static: "",AI25),JOIN("""",""Min:  "",AI25, CHAR(10),""Max: "",AJ25)))"),"")</f>
        <v/>
      </c>
      <c r="AI25" s="55" t="str">
        <f t="array" ref="AI25">_xlfn.XLOOKUP(B25,'Up Min'!A:A,'Up Min'!I:I,)</f>
        <v/>
      </c>
      <c r="AJ25" s="55" t="str">
        <f t="array" ref="AJ25">_xlfn.XLOOKUP(B25,'Up Max'!A:A,'Up Max'!I:I,)</f>
        <v/>
      </c>
      <c r="AK25" s="57" t="str">
        <f t="array" ref="AK25">_xlfn.XLOOKUP(B25,'Up Stats'!A:A,'Up Stats'!J:J,)</f>
        <v/>
      </c>
      <c r="AL25" s="54" t="str">
        <f>IFERROR(__xludf.DUMMYFUNCTION("if(AND(AM25=FALSE,AN25=FALSE),,if(AM25=AN25,JOIN("""",""Static: "",AM25),JOIN("""",""Min:  "",AM25, CHAR(10),""Max: "",AN25)))"),"")</f>
        <v/>
      </c>
      <c r="AM25" s="55" t="str">
        <f t="array" ref="AM25">_xlfn.XLOOKUP(B25,'Up Min'!A:A,'Up Min'!J:J,)</f>
        <v/>
      </c>
      <c r="AN25" s="55" t="str">
        <f t="array" ref="AN25">_xlfn.XLOOKUP(B25,'Up Max'!A:A,'Up Max'!J:J,)</f>
        <v/>
      </c>
      <c r="AO25" s="51" t="str">
        <f t="array" ref="AO25">CONCATENATE(_xlfn.XLOOKUP(B25,'Up Cells'!A:A,'Up Cells'!B:B,))</f>
        <v>2</v>
      </c>
      <c r="AP25" s="51" t="str">
        <f t="array" ref="AP25">CONCATENATE(_xlfn.XLOOKUP(B25,'Up Rarity'!A:A,'Up Rarity'!B:B,),CHAR(10),"-")</f>
        <v>Rare
-</v>
      </c>
    </row>
    <row r="26">
      <c r="A26" s="83" t="str">
        <f t="array" ref="A26">_xlfn.XLOOKUP(B26,'Up Icon'!A:A,'Up Icon'!B:B,)</f>
        <v/>
      </c>
      <c r="B26" s="66" t="str">
        <f t="array" ref="B26">HYPERLINK(_xlfn.XLOOKUP('Up Names'!Q24,'Up Wiki'!A:A,'Up Wiki'!B:B,),'Up Names'!Q24)</f>
        <v>Quick Knot</v>
      </c>
      <c r="C26" s="37" t="str">
        <f t="array" ref="C26">_xlfn.XLOOKUP(B26,'Up Desc'!A:A,'Up Desc'!B:B,)</f>
        <v>Rocket Lasso cooldown is reduced.</v>
      </c>
      <c r="D26" s="37" t="str">
        <f t="array" ref="D26">_xlfn.XLOOKUP(B26,'Up Turbo'!A:A,'Up Turbo'!B:B,)</f>
        <v>n/a</v>
      </c>
      <c r="E26" s="39" t="str">
        <f t="array" ref="E26">_xlfn.XLOOKUP(B26,'Up Stats'!A:A,'Up Stats'!B:B,)</f>
        <v>Recharge Speed</v>
      </c>
      <c r="F26" s="40" t="str">
        <f>IFERROR(__xludf.DUMMYFUNCTION("if(AND(G26=FALSE,H26=FALSE),,if(G26=H26,JOIN("""",""Static: "",G26),JOIN("""",""Min:  "",G26, CHAR(10),""Max: "",H26)))"),"Min:  23.46%
Max: 9.89%")</f>
        <v>Min:  23.46%
Max: 9.89%</v>
      </c>
      <c r="G26" s="78">
        <f t="array" ref="G26">_xlfn.XLOOKUP(B26,'Up Min'!A:A,'Up Min'!B:B,)</f>
        <v>0.2346</v>
      </c>
      <c r="H26" s="78">
        <f t="array" ref="H26">_xlfn.XLOOKUP(B26,'Up Max'!A:A,'Up Max'!B:B,)</f>
        <v>0.0989</v>
      </c>
      <c r="I26" s="39" t="str">
        <f t="array" ref="I26">_xlfn.XLOOKUP(B26,'Up Stats'!A:A,'Up Stats'!C:C,)</f>
        <v/>
      </c>
      <c r="J26" s="40" t="str">
        <f>IFERROR(__xludf.DUMMYFUNCTION("if(AND(K26=FALSE,L26=FALSE),,if(K26=L26,JOIN("""",""Static: "",K26),JOIN("""",""Min:  "",K26, CHAR(10),""Max: "",L26)))"),"")</f>
        <v/>
      </c>
      <c r="K26" s="74" t="str">
        <f t="array" ref="K26">_xlfn.XLOOKUP(B26,'Up Min'!A:A,'Up Min'!C:C,)</f>
        <v/>
      </c>
      <c r="L26" s="74" t="str">
        <f t="array" ref="L26">_xlfn.XLOOKUP(B26,'Up Max'!A:A,'Up Max'!C:C,)</f>
        <v/>
      </c>
      <c r="M26" s="48" t="str">
        <f t="array" ref="M26">_xlfn.XLOOKUP(B26,'Up Stats'!A:A,'Up Stats'!D:D,)</f>
        <v/>
      </c>
      <c r="N26" s="40" t="str">
        <f>IFERROR(__xludf.DUMMYFUNCTION("if(AND(O26=FALSE,P26=FALSE),,if(O26=P26,JOIN("""",""Static: "",O26),JOIN("""",""Min:  "",O26, CHAR(10),""Max: "",P26)))"),"")</f>
        <v/>
      </c>
      <c r="O26" s="42" t="str">
        <f t="array" ref="O26">_xlfn.XLOOKUP(B26,'Up Min'!A:A,'Up Min'!D:D,)</f>
        <v/>
      </c>
      <c r="P26" s="42" t="str">
        <f t="array" ref="P26">_xlfn.XLOOKUP(B26,'Up Max'!A:A,'Up Max'!D:D,)</f>
        <v/>
      </c>
      <c r="Q26" s="48" t="str">
        <f t="array" ref="Q26">_xlfn.XLOOKUP(B26,'Up Stats'!A:A,'Up Stats'!E:E,)</f>
        <v/>
      </c>
      <c r="R26" s="40" t="str">
        <f>IFERROR(__xludf.DUMMYFUNCTION("if(AND(S26=FALSE,T26=FALSE),,if(S26=T26,JOIN("""",""Static: "",S26),JOIN("""",""Min:  "",S26, CHAR(10),""Max: "",T26)))"),"")</f>
        <v/>
      </c>
      <c r="S26" s="42" t="str">
        <f t="array" ref="S26">_xlfn.XLOOKUP(B26,'Up Min'!A:A,'Up Min'!E:E,)</f>
        <v/>
      </c>
      <c r="T26" s="42" t="str">
        <f t="array" ref="T26">_xlfn.XLOOKUP(B26,'Up Max'!A:A,'Up Max'!E:E,)</f>
        <v/>
      </c>
      <c r="U26" s="48" t="str">
        <f t="array" ref="U26">_xlfn.XLOOKUP(B26,'Up Stats'!A:A,'Up Stats'!F:F,)</f>
        <v/>
      </c>
      <c r="V26" s="40" t="str">
        <f>IFERROR(__xludf.DUMMYFUNCTION("if(AND(W26=FALSE,X26=FALSE),,if(W26=X26,JOIN("""",""Static: "",W26),JOIN("""",""Min:  "",W26, CHAR(10),""Max: "",X26)))"),"")</f>
        <v/>
      </c>
      <c r="W26" s="42" t="str">
        <f t="array" ref="W26">_xlfn.XLOOKUP(B26,'Up Min'!A:A,'Up Min'!F:F,)</f>
        <v/>
      </c>
      <c r="X26" s="42" t="str">
        <f t="array" ref="X26">_xlfn.XLOOKUP(B26,'Up Max'!A:A,'Up Max'!F:F,)</f>
        <v/>
      </c>
      <c r="Y26" s="48" t="str">
        <f t="array" ref="Y26">_xlfn.XLOOKUP(B26,'Up Stats'!A:A,'Up Stats'!G:G,)</f>
        <v/>
      </c>
      <c r="Z26" s="40" t="str">
        <f>IFERROR(__xludf.DUMMYFUNCTION("if(AND(AA26=FALSE,AB26=FALSE),,if(AA26=AB26,JOIN("""",""Static: "",AA26),JOIN("""",""Min:  "",AA26, CHAR(10),""Max: "",AB26)))"),"")</f>
        <v/>
      </c>
      <c r="AA26" s="42" t="str">
        <f t="array" ref="AA26">_xlfn.XLOOKUP(B26,'Up Min'!A:A,'Up Min'!G:G,)</f>
        <v/>
      </c>
      <c r="AB26" s="42" t="str">
        <f t="array" ref="AB26">_xlfn.XLOOKUP(B26,'Up Max'!A:A,'Up Max'!G:G,)</f>
        <v/>
      </c>
      <c r="AC26" s="48" t="str">
        <f t="array" ref="AC26">_xlfn.XLOOKUP(B26,'Up Stats'!A:A,'Up Stats'!H:H,)</f>
        <v/>
      </c>
      <c r="AD26" s="40" t="str">
        <f>IFERROR(__xludf.DUMMYFUNCTION("if(AND(AE26=FALSE,AF26=FALSE),,if(AE26=AF26,JOIN("""",""Static: "",AE26),JOIN("""",""Min:  "",AE26, CHAR(10),""Max: "",AF26)))"),"")</f>
        <v/>
      </c>
      <c r="AE26" s="42" t="str">
        <f t="array" ref="AE26">_xlfn.XLOOKUP(B26,'Up Min'!A:A,'Up Min'!H:H,)</f>
        <v/>
      </c>
      <c r="AF26" s="42" t="str">
        <f t="array" ref="AF26">_xlfn.XLOOKUP(B26,'Up Max'!A:A,'Up Max'!H:H,)</f>
        <v/>
      </c>
      <c r="AG26" s="48" t="str">
        <f t="array" ref="AG26">_xlfn.XLOOKUP(B26,'Up Stats'!A:A,'Up Stats'!I:I,)</f>
        <v/>
      </c>
      <c r="AH26" s="40" t="str">
        <f>IFERROR(__xludf.DUMMYFUNCTION("if(AND(AI26=FALSE,AJ26=FALSE),,if(AI26=AJ26,JOIN("""",""Static: "",AI26),JOIN("""",""Min:  "",AI26, CHAR(10),""Max: "",AJ26)))"),"")</f>
        <v/>
      </c>
      <c r="AI26" s="42" t="str">
        <f t="array" ref="AI26">_xlfn.XLOOKUP(B26,'Up Min'!A:A,'Up Min'!I:I,)</f>
        <v/>
      </c>
      <c r="AJ26" s="42" t="str">
        <f t="array" ref="AJ26">_xlfn.XLOOKUP(B26,'Up Max'!A:A,'Up Max'!I:I,)</f>
        <v/>
      </c>
      <c r="AK26" s="48" t="str">
        <f t="array" ref="AK26">_xlfn.XLOOKUP(B26,'Up Stats'!A:A,'Up Stats'!J:J,)</f>
        <v/>
      </c>
      <c r="AL26" s="40" t="str">
        <f>IFERROR(__xludf.DUMMYFUNCTION("if(AND(AM26=FALSE,AN26=FALSE),,if(AM26=AN26,JOIN("""",""Static: "",AM26),JOIN("""",""Min:  "",AM26, CHAR(10),""Max: "",AN26)))"),"")</f>
        <v/>
      </c>
      <c r="AM26" s="42" t="str">
        <f t="array" ref="AM26">_xlfn.XLOOKUP(B26,'Up Min'!A:A,'Up Min'!J:J,)</f>
        <v/>
      </c>
      <c r="AN26" s="42" t="str">
        <f t="array" ref="AN26">_xlfn.XLOOKUP(B26,'Up Max'!A:A,'Up Max'!J:J,)</f>
        <v/>
      </c>
      <c r="AO26" s="34" t="str">
        <f t="array" ref="AO26">CONCATENATE(_xlfn.XLOOKUP(B26,'Up Cells'!A:A,'Up Cells'!B:B,))</f>
        <v>4</v>
      </c>
      <c r="AP26" s="34" t="str">
        <f t="array" ref="AP26">CONCATENATE(_xlfn.XLOOKUP(B26,'Up Rarity'!A:A,'Up Rarity'!B:B,),CHAR(10),"-")</f>
        <v>Rare
-</v>
      </c>
    </row>
    <row r="27">
      <c r="A27" s="83" t="str">
        <f t="array" ref="A27">_xlfn.XLOOKUP(B27,'Up Icon'!A:A,'Up Icon'!B:B,)</f>
        <v/>
      </c>
      <c r="B27" s="63" t="str">
        <f t="array" ref="B27">HYPERLINK(_xlfn.XLOOKUP('Up Names'!Q25,'Up Wiki'!A:A,'Up Wiki'!B:B,),'Up Names'!Q25)</f>
        <v>Rocket Jump</v>
      </c>
      <c r="C27" s="52" t="str">
        <f t="array" ref="C27">_xlfn.XLOOKUP(B27,'Up Desc'!A:A,'Up Desc'!B:B,)</f>
        <v>Lasso a surface directly in front of you to launch yourself away from it.</v>
      </c>
      <c r="D27" s="52" t="str">
        <f t="array" ref="D27">_xlfn.XLOOKUP(B27,'Up Turbo'!A:A,'Up Turbo'!B:B,)</f>
        <v>n/a</v>
      </c>
      <c r="E27" s="53" t="str">
        <f t="array" ref="E27">_xlfn.XLOOKUP(B27,'Up Stats'!A:A,'Up Stats'!B:B,)</f>
        <v>Force</v>
      </c>
      <c r="F27" s="54" t="str">
        <f>IFERROR(__xludf.DUMMYFUNCTION("if(AND(G27=FALSE,H27=FALSE),,if(G27=H27,JOIN("""",""Static: "",G27),JOIN("""",""Min:  "",G27, CHAR(10),""Max: "",H27)))"),"Min:  34
Max: 47")</f>
        <v>Min:  34
Max: 47</v>
      </c>
      <c r="G27" s="64">
        <f t="array" ref="G27">_xlfn.XLOOKUP(B27,'Up Min'!A:A,'Up Min'!B:B,)</f>
        <v>34</v>
      </c>
      <c r="H27" s="65">
        <f t="array" ref="H27">_xlfn.XLOOKUP(B27,'Up Max'!A:A,'Up Max'!B:B,)</f>
        <v>47</v>
      </c>
      <c r="I27" s="53" t="str">
        <f t="array" ref="I27">_xlfn.XLOOKUP(B27,'Up Stats'!A:A,'Up Stats'!C:C,)</f>
        <v/>
      </c>
      <c r="J27" s="54" t="str">
        <f>IFERROR(__xludf.DUMMYFUNCTION("if(AND(K27=FALSE,L27=FALSE),,if(K27=L27,JOIN("""",""Static: "",K27),JOIN("""",""Min:  "",K27, CHAR(10),""Max: "",L27)))"),"")</f>
        <v/>
      </c>
      <c r="K27" s="72" t="str">
        <f t="array" ref="K27">_xlfn.XLOOKUP(B27,'Up Min'!A:A,'Up Min'!C:C,)</f>
        <v/>
      </c>
      <c r="L27" s="72" t="str">
        <f t="array" ref="L27">_xlfn.XLOOKUP(B27,'Up Max'!A:A,'Up Max'!C:C,)</f>
        <v/>
      </c>
      <c r="M27" s="57" t="str">
        <f t="array" ref="M27">_xlfn.XLOOKUP(B27,'Up Stats'!A:A,'Up Stats'!D:D,)</f>
        <v/>
      </c>
      <c r="N27" s="54" t="str">
        <f>IFERROR(__xludf.DUMMYFUNCTION("if(AND(O27=FALSE,P27=FALSE),,if(O27=P27,JOIN("""",""Static: "",O27),JOIN("""",""Min:  "",O27, CHAR(10),""Max: "",P27)))"),"")</f>
        <v/>
      </c>
      <c r="O27" s="55" t="str">
        <f t="array" ref="O27">_xlfn.XLOOKUP(B27,'Up Min'!A:A,'Up Min'!D:D,)</f>
        <v/>
      </c>
      <c r="P27" s="55" t="str">
        <f t="array" ref="P27">_xlfn.XLOOKUP(B27,'Up Max'!A:A,'Up Max'!D:D,)</f>
        <v/>
      </c>
      <c r="Q27" s="57" t="str">
        <f t="array" ref="Q27">_xlfn.XLOOKUP(B27,'Up Stats'!A:A,'Up Stats'!E:E,)</f>
        <v/>
      </c>
      <c r="R27" s="54" t="str">
        <f>IFERROR(__xludf.DUMMYFUNCTION("if(AND(S27=FALSE,T27=FALSE),,if(S27=T27,JOIN("""",""Static: "",S27),JOIN("""",""Min:  "",S27, CHAR(10),""Max: "",T27)))"),"")</f>
        <v/>
      </c>
      <c r="S27" s="55" t="str">
        <f t="array" ref="S27">_xlfn.XLOOKUP(B27,'Up Min'!A:A,'Up Min'!E:E,)</f>
        <v/>
      </c>
      <c r="T27" s="55" t="str">
        <f t="array" ref="T27">_xlfn.XLOOKUP(B27,'Up Max'!A:A,'Up Max'!E:E,)</f>
        <v/>
      </c>
      <c r="U27" s="57" t="str">
        <f t="array" ref="U27">_xlfn.XLOOKUP(B27,'Up Stats'!A:A,'Up Stats'!F:F,)</f>
        <v/>
      </c>
      <c r="V27" s="54" t="str">
        <f>IFERROR(__xludf.DUMMYFUNCTION("if(AND(W27=FALSE,X27=FALSE),,if(W27=X27,JOIN("""",""Static: "",W27),JOIN("""",""Min:  "",W27, CHAR(10),""Max: "",X27)))"),"")</f>
        <v/>
      </c>
      <c r="W27" s="55" t="str">
        <f t="array" ref="W27">_xlfn.XLOOKUP(B27,'Up Min'!A:A,'Up Min'!F:F,)</f>
        <v/>
      </c>
      <c r="X27" s="55" t="str">
        <f t="array" ref="X27">_xlfn.XLOOKUP(B27,'Up Max'!A:A,'Up Max'!F:F,)</f>
        <v/>
      </c>
      <c r="Y27" s="57" t="str">
        <f t="array" ref="Y27">_xlfn.XLOOKUP(B27,'Up Stats'!A:A,'Up Stats'!G:G,)</f>
        <v/>
      </c>
      <c r="Z27" s="54" t="str">
        <f>IFERROR(__xludf.DUMMYFUNCTION("if(AND(AA27=FALSE,AB27=FALSE),,if(AA27=AB27,JOIN("""",""Static: "",AA27),JOIN("""",""Min:  "",AA27, CHAR(10),""Max: "",AB27)))"),"")</f>
        <v/>
      </c>
      <c r="AA27" s="55" t="str">
        <f t="array" ref="AA27">_xlfn.XLOOKUP(B27,'Up Min'!A:A,'Up Min'!G:G,)</f>
        <v/>
      </c>
      <c r="AB27" s="55" t="str">
        <f t="array" ref="AB27">_xlfn.XLOOKUP(B27,'Up Max'!A:A,'Up Max'!G:G,)</f>
        <v/>
      </c>
      <c r="AC27" s="57" t="str">
        <f t="array" ref="AC27">_xlfn.XLOOKUP(B27,'Up Stats'!A:A,'Up Stats'!H:H,)</f>
        <v/>
      </c>
      <c r="AD27" s="54" t="str">
        <f>IFERROR(__xludf.DUMMYFUNCTION("if(AND(AE27=FALSE,AF27=FALSE),,if(AE27=AF27,JOIN("""",""Static: "",AE27),JOIN("""",""Min:  "",AE27, CHAR(10),""Max: "",AF27)))"),"")</f>
        <v/>
      </c>
      <c r="AE27" s="55" t="str">
        <f t="array" ref="AE27">_xlfn.XLOOKUP(B27,'Up Min'!A:A,'Up Min'!H:H,)</f>
        <v/>
      </c>
      <c r="AF27" s="55" t="str">
        <f t="array" ref="AF27">_xlfn.XLOOKUP(B27,'Up Max'!A:A,'Up Max'!H:H,)</f>
        <v/>
      </c>
      <c r="AG27" s="57" t="str">
        <f t="array" ref="AG27">_xlfn.XLOOKUP(B27,'Up Stats'!A:A,'Up Stats'!I:I,)</f>
        <v/>
      </c>
      <c r="AH27" s="54" t="str">
        <f>IFERROR(__xludf.DUMMYFUNCTION("if(AND(AI27=FALSE,AJ27=FALSE),,if(AI27=AJ27,JOIN("""",""Static: "",AI27),JOIN("""",""Min:  "",AI27, CHAR(10),""Max: "",AJ27)))"),"")</f>
        <v/>
      </c>
      <c r="AI27" s="55" t="str">
        <f t="array" ref="AI27">_xlfn.XLOOKUP(B27,'Up Min'!A:A,'Up Min'!I:I,)</f>
        <v/>
      </c>
      <c r="AJ27" s="55" t="str">
        <f t="array" ref="AJ27">_xlfn.XLOOKUP(B27,'Up Max'!A:A,'Up Max'!I:I,)</f>
        <v/>
      </c>
      <c r="AK27" s="57" t="str">
        <f t="array" ref="AK27">_xlfn.XLOOKUP(B27,'Up Stats'!A:A,'Up Stats'!J:J,)</f>
        <v/>
      </c>
      <c r="AL27" s="54" t="str">
        <f>IFERROR(__xludf.DUMMYFUNCTION("if(AND(AM27=FALSE,AN27=FALSE),,if(AM27=AN27,JOIN("""",""Static: "",AM27),JOIN("""",""Min:  "",AM27, CHAR(10),""Max: "",AN27)))"),"")</f>
        <v/>
      </c>
      <c r="AM27" s="55" t="str">
        <f t="array" ref="AM27">_xlfn.XLOOKUP(B27,'Up Min'!A:A,'Up Min'!J:J,)</f>
        <v/>
      </c>
      <c r="AN27" s="55" t="str">
        <f t="array" ref="AN27">_xlfn.XLOOKUP(B27,'Up Max'!A:A,'Up Max'!J:J,)</f>
        <v/>
      </c>
      <c r="AO27" s="51" t="str">
        <f t="array" ref="AO27">CONCATENATE(_xlfn.XLOOKUP(B27,'Up Cells'!A:A,'Up Cells'!B:B,))</f>
        <v>4</v>
      </c>
      <c r="AP27" s="51" t="str">
        <f t="array" ref="AP27">CONCATENATE(_xlfn.XLOOKUP(B27,'Up Rarity'!A:A,'Up Rarity'!B:B,),CHAR(10),"-")</f>
        <v>Rare
-</v>
      </c>
    </row>
    <row r="28">
      <c r="A28" s="83" t="str">
        <f t="array" ref="A28">_xlfn.XLOOKUP(B28,'Up Icon'!A:A,'Up Icon'!B:B,)</f>
        <v/>
      </c>
      <c r="B28" s="66" t="str">
        <f t="array" ref="B28">HYPERLINK(_xlfn.XLOOKUP('Up Names'!Q26,'Up Wiki'!A:A,'Up Wiki'!B:B,),'Up Names'!Q26)</f>
        <v>Slingshot</v>
      </c>
      <c r="C28" s="37" t="str">
        <f t="array" ref="C28">_xlfn.XLOOKUP(B28,'Up Desc'!A:A,'Up Desc'!B:B,)</f>
        <v>Slide speed is briefly increased after using your Rocket Lasso.</v>
      </c>
      <c r="D28" s="37" t="str">
        <f t="array" ref="D28">_xlfn.XLOOKUP(B28,'Up Turbo'!A:A,'Up Turbo'!B:B,)</f>
        <v>n/a</v>
      </c>
      <c r="E28" s="39" t="str">
        <f t="array" ref="E28">_xlfn.XLOOKUP(B28,'Up Stats'!A:A,'Up Stats'!B:B,)</f>
        <v>Slide Speed</v>
      </c>
      <c r="F28" s="40" t="str">
        <f>IFERROR(__xludf.DUMMYFUNCTION("if(AND(G28=FALSE,H28=FALSE),,if(G28=H28,JOIN("""",""Static: "",G28),JOIN("""",""Min:  "",G28, CHAR(10),""Max: "",H28)))"),"Min:  13
Max: 19")</f>
        <v>Min:  13
Max: 19</v>
      </c>
      <c r="G28" s="69">
        <f t="array" ref="G28">_xlfn.XLOOKUP(B28,'Up Min'!A:A,'Up Min'!B:B,)</f>
        <v>13</v>
      </c>
      <c r="H28" s="68">
        <f t="array" ref="H28">_xlfn.XLOOKUP(B28,'Up Max'!A:A,'Up Max'!B:B,)</f>
        <v>19</v>
      </c>
      <c r="I28" s="39" t="str">
        <f t="array" ref="I28">_xlfn.XLOOKUP(B28,'Up Stats'!A:A,'Up Stats'!C:C,)</f>
        <v/>
      </c>
      <c r="J28" s="40" t="str">
        <f>IFERROR(__xludf.DUMMYFUNCTION("if(AND(K28=FALSE,L28=FALSE),,if(K28=L28,JOIN("""",""Static: "",K28),JOIN("""",""Min:  "",K28, CHAR(10),""Max: "",L28)))"),"")</f>
        <v/>
      </c>
      <c r="K28" s="41" t="str">
        <f t="array" ref="K28">_xlfn.XLOOKUP(B28,'Up Min'!A:A,'Up Min'!C:C,)</f>
        <v/>
      </c>
      <c r="L28" s="41" t="str">
        <f t="array" ref="L28">_xlfn.XLOOKUP(B28,'Up Max'!A:A,'Up Max'!C:C,)</f>
        <v/>
      </c>
      <c r="M28" s="39" t="str">
        <f t="array" ref="M28">_xlfn.XLOOKUP(B28,'Up Stats'!A:A,'Up Stats'!D:D,)</f>
        <v/>
      </c>
      <c r="N28" s="40" t="str">
        <f>IFERROR(__xludf.DUMMYFUNCTION("if(AND(O28=FALSE,P28=FALSE),,if(O28=P28,JOIN("""",""Static: "",O28),JOIN("""",""Min:  "",O28, CHAR(10),""Max: "",P28)))"),"")</f>
        <v/>
      </c>
      <c r="O28" s="42" t="str">
        <f t="array" ref="O28">_xlfn.XLOOKUP(B28,'Up Min'!A:A,'Up Min'!D:D,)</f>
        <v/>
      </c>
      <c r="P28" s="42" t="str">
        <f t="array" ref="P28">_xlfn.XLOOKUP(B28,'Up Max'!A:A,'Up Max'!D:D,)</f>
        <v/>
      </c>
      <c r="Q28" s="48" t="str">
        <f t="array" ref="Q28">_xlfn.XLOOKUP(B28,'Up Stats'!A:A,'Up Stats'!E:E,)</f>
        <v/>
      </c>
      <c r="R28" s="40" t="str">
        <f>IFERROR(__xludf.DUMMYFUNCTION("if(AND(S28=FALSE,T28=FALSE),,if(S28=T28,JOIN("""",""Static: "",S28),JOIN("""",""Min:  "",S28, CHAR(10),""Max: "",T28)))"),"")</f>
        <v/>
      </c>
      <c r="S28" s="42" t="str">
        <f t="array" ref="S28">_xlfn.XLOOKUP(B28,'Up Min'!A:A,'Up Min'!E:E,)</f>
        <v/>
      </c>
      <c r="T28" s="42" t="str">
        <f t="array" ref="T28">_xlfn.XLOOKUP(B28,'Up Max'!A:A,'Up Max'!E:E,)</f>
        <v/>
      </c>
      <c r="U28" s="48" t="str">
        <f t="array" ref="U28">_xlfn.XLOOKUP(B28,'Up Stats'!A:A,'Up Stats'!F:F,)</f>
        <v/>
      </c>
      <c r="V28" s="40" t="str">
        <f>IFERROR(__xludf.DUMMYFUNCTION("if(AND(W28=FALSE,X28=FALSE),,if(W28=X28,JOIN("""",""Static: "",W28),JOIN("""",""Min:  "",W28, CHAR(10),""Max: "",X28)))"),"")</f>
        <v/>
      </c>
      <c r="W28" s="42" t="str">
        <f t="array" ref="W28">_xlfn.XLOOKUP(B28,'Up Min'!A:A,'Up Min'!F:F,)</f>
        <v/>
      </c>
      <c r="X28" s="42" t="str">
        <f t="array" ref="X28">_xlfn.XLOOKUP(B28,'Up Max'!A:A,'Up Max'!F:F,)</f>
        <v/>
      </c>
      <c r="Y28" s="48" t="str">
        <f t="array" ref="Y28">_xlfn.XLOOKUP(B28,'Up Stats'!A:A,'Up Stats'!G:G,)</f>
        <v/>
      </c>
      <c r="Z28" s="40" t="str">
        <f>IFERROR(__xludf.DUMMYFUNCTION("if(AND(AA28=FALSE,AB28=FALSE),,if(AA28=AB28,JOIN("""",""Static: "",AA28),JOIN("""",""Min:  "",AA28, CHAR(10),""Max: "",AB28)))"),"")</f>
        <v/>
      </c>
      <c r="AA28" s="42" t="str">
        <f t="array" ref="AA28">_xlfn.XLOOKUP(B28,'Up Min'!A:A,'Up Min'!G:G,)</f>
        <v/>
      </c>
      <c r="AB28" s="42" t="str">
        <f t="array" ref="AB28">_xlfn.XLOOKUP(B28,'Up Max'!A:A,'Up Max'!G:G,)</f>
        <v/>
      </c>
      <c r="AC28" s="48" t="str">
        <f t="array" ref="AC28">_xlfn.XLOOKUP(B28,'Up Stats'!A:A,'Up Stats'!H:H,)</f>
        <v/>
      </c>
      <c r="AD28" s="40" t="str">
        <f>IFERROR(__xludf.DUMMYFUNCTION("if(AND(AE28=FALSE,AF28=FALSE),,if(AE28=AF28,JOIN("""",""Static: "",AE28),JOIN("""",""Min:  "",AE28, CHAR(10),""Max: "",AF28)))"),"")</f>
        <v/>
      </c>
      <c r="AE28" s="42" t="str">
        <f t="array" ref="AE28">_xlfn.XLOOKUP(B28,'Up Min'!A:A,'Up Min'!H:H,)</f>
        <v/>
      </c>
      <c r="AF28" s="42" t="str">
        <f t="array" ref="AF28">_xlfn.XLOOKUP(B28,'Up Max'!A:A,'Up Max'!H:H,)</f>
        <v/>
      </c>
      <c r="AG28" s="48" t="str">
        <f t="array" ref="AG28">_xlfn.XLOOKUP(B28,'Up Stats'!A:A,'Up Stats'!I:I,)</f>
        <v/>
      </c>
      <c r="AH28" s="40" t="str">
        <f>IFERROR(__xludf.DUMMYFUNCTION("if(AND(AI28=FALSE,AJ28=FALSE),,if(AI28=AJ28,JOIN("""",""Static: "",AI28),JOIN("""",""Min:  "",AI28, CHAR(10),""Max: "",AJ28)))"),"")</f>
        <v/>
      </c>
      <c r="AI28" s="42" t="str">
        <f t="array" ref="AI28">_xlfn.XLOOKUP(B28,'Up Min'!A:A,'Up Min'!I:I,)</f>
        <v/>
      </c>
      <c r="AJ28" s="42" t="str">
        <f t="array" ref="AJ28">_xlfn.XLOOKUP(B28,'Up Max'!A:A,'Up Max'!I:I,)</f>
        <v/>
      </c>
      <c r="AK28" s="48" t="str">
        <f t="array" ref="AK28">_xlfn.XLOOKUP(B28,'Up Stats'!A:A,'Up Stats'!J:J,)</f>
        <v/>
      </c>
      <c r="AL28" s="40" t="str">
        <f>IFERROR(__xludf.DUMMYFUNCTION("if(AND(AM28=FALSE,AN28=FALSE),,if(AM28=AN28,JOIN("""",""Static: "",AM28),JOIN("""",""Min:  "",AM28, CHAR(10),""Max: "",AN28)))"),"")</f>
        <v/>
      </c>
      <c r="AM28" s="42" t="str">
        <f t="array" ref="AM28">_xlfn.XLOOKUP(B28,'Up Min'!A:A,'Up Min'!J:J,)</f>
        <v/>
      </c>
      <c r="AN28" s="42" t="str">
        <f t="array" ref="AN28">_xlfn.XLOOKUP(B28,'Up Max'!A:A,'Up Max'!J:J,)</f>
        <v/>
      </c>
      <c r="AO28" s="34" t="str">
        <f t="array" ref="AO28">CONCATENATE(_xlfn.XLOOKUP(B28,'Up Cells'!A:A,'Up Cells'!B:B,))</f>
        <v>4</v>
      </c>
      <c r="AP28" s="34" t="str">
        <f t="array" ref="AP28">CONCATENATE(_xlfn.XLOOKUP(B28,'Up Rarity'!A:A,'Up Rarity'!B:B,),CHAR(10),"-")</f>
        <v>Rare
-</v>
      </c>
    </row>
    <row r="29">
      <c r="A29" s="83" t="str">
        <f t="array" ref="A29">_xlfn.XLOOKUP(B29,'Up Icon'!A:A,'Up Icon'!B:B,)</f>
        <v/>
      </c>
      <c r="B29" s="63" t="str">
        <f t="array" ref="B29">HYPERLINK(_xlfn.XLOOKUP('Up Names'!Q27,'Up Wiki'!A:A,'Up Wiki'!B:B,),'Up Names'!Q27)</f>
        <v>The Ole One-Two</v>
      </c>
      <c r="C29" s="52" t="str">
        <f t="array" ref="C29">_xlfn.XLOOKUP(B29,'Up Desc'!A:A,'Up Desc'!B:B,)</f>
        <v>Your melee damage and size is increased for a short time after using your Rocket Lasso.</v>
      </c>
      <c r="D29" s="52" t="str">
        <f t="array" ref="D29">_xlfn.XLOOKUP(B29,'Up Turbo'!A:A,'Up Turbo'!B:B,)</f>
        <v>n/a</v>
      </c>
      <c r="E29" s="53" t="str">
        <f t="array" ref="E29">_xlfn.XLOOKUP(B29,'Up Stats'!A:A,'Up Stats'!B:B,)</f>
        <v>Damage</v>
      </c>
      <c r="F29" s="54" t="str">
        <f>IFERROR(__xludf.DUMMYFUNCTION("if(AND(G29=FALSE,H29=FALSE),,if(G29=H29,JOIN("""",""Static: "",G29),JOIN("""",""Min:  "",G29, CHAR(10),""Max: "",H29)))"),"Min:  20
Max: 34")</f>
        <v>Min:  20
Max: 34</v>
      </c>
      <c r="G29" s="64">
        <f t="array" ref="G29">_xlfn.XLOOKUP(B29,'Up Min'!A:A,'Up Min'!B:B,)</f>
        <v>20</v>
      </c>
      <c r="H29" s="65">
        <f t="array" ref="H29">_xlfn.XLOOKUP(B29,'Up Max'!A:A,'Up Max'!B:B,)</f>
        <v>34</v>
      </c>
      <c r="I29" s="53" t="str">
        <f t="array" ref="I29">_xlfn.XLOOKUP(B29,'Up Stats'!A:A,'Up Stats'!C:C,)</f>
        <v>Size</v>
      </c>
      <c r="J29" s="54" t="str">
        <f>IFERROR(__xludf.DUMMYFUNCTION("if(AND(K29=FALSE,L29=FALSE),,if(K29=L29,JOIN("""",""Static: "",K29),JOIN("""",""Min:  "",K29, CHAR(10),""Max: "",L29)))"),"Min:  3.5
Max: 4.5")</f>
        <v>Min:  3.5
Max: 4.5</v>
      </c>
      <c r="K29" s="56">
        <f t="array" ref="K29">_xlfn.XLOOKUP(B29,'Up Min'!A:A,'Up Min'!C:C,)</f>
        <v>3.5</v>
      </c>
      <c r="L29" s="55">
        <f t="array" ref="L29">_xlfn.XLOOKUP(B29,'Up Max'!A:A,'Up Max'!C:C,)</f>
        <v>4.5</v>
      </c>
      <c r="M29" s="53" t="str">
        <f t="array" ref="M29">_xlfn.XLOOKUP(B29,'Up Stats'!A:A,'Up Stats'!D:D,)</f>
        <v/>
      </c>
      <c r="N29" s="54" t="str">
        <f>IFERROR(__xludf.DUMMYFUNCTION("if(AND(O29=FALSE,P29=FALSE),,if(O29=P29,JOIN("""",""Static: "",O29),JOIN("""",""Min:  "",O29, CHAR(10),""Max: "",P29)))"),"")</f>
        <v/>
      </c>
      <c r="O29" s="55" t="str">
        <f t="array" ref="O29">_xlfn.XLOOKUP(B29,'Up Min'!A:A,'Up Min'!D:D,)</f>
        <v/>
      </c>
      <c r="P29" s="55" t="str">
        <f t="array" ref="P29">_xlfn.XLOOKUP(B29,'Up Max'!A:A,'Up Max'!D:D,)</f>
        <v/>
      </c>
      <c r="Q29" s="57" t="str">
        <f t="array" ref="Q29">_xlfn.XLOOKUP(B29,'Up Stats'!A:A,'Up Stats'!E:E,)</f>
        <v/>
      </c>
      <c r="R29" s="54" t="str">
        <f>IFERROR(__xludf.DUMMYFUNCTION("if(AND(S29=FALSE,T29=FALSE),,if(S29=T29,JOIN("""",""Static: "",S29),JOIN("""",""Min:  "",S29, CHAR(10),""Max: "",T29)))"),"")</f>
        <v/>
      </c>
      <c r="S29" s="55" t="str">
        <f t="array" ref="S29">_xlfn.XLOOKUP(B29,'Up Min'!A:A,'Up Min'!E:E,)</f>
        <v/>
      </c>
      <c r="T29" s="55" t="str">
        <f t="array" ref="T29">_xlfn.XLOOKUP(B29,'Up Max'!A:A,'Up Max'!E:E,)</f>
        <v/>
      </c>
      <c r="U29" s="57" t="str">
        <f t="array" ref="U29">_xlfn.XLOOKUP(B29,'Up Stats'!A:A,'Up Stats'!F:F,)</f>
        <v/>
      </c>
      <c r="V29" s="54" t="str">
        <f>IFERROR(__xludf.DUMMYFUNCTION("if(AND(W29=FALSE,X29=FALSE),,if(W29=X29,JOIN("""",""Static: "",W29),JOIN("""",""Min:  "",W29, CHAR(10),""Max: "",X29)))"),"")</f>
        <v/>
      </c>
      <c r="W29" s="55" t="str">
        <f t="array" ref="W29">_xlfn.XLOOKUP(B29,'Up Min'!A:A,'Up Min'!F:F,)</f>
        <v/>
      </c>
      <c r="X29" s="55" t="str">
        <f t="array" ref="X29">_xlfn.XLOOKUP(B29,'Up Max'!A:A,'Up Max'!F:F,)</f>
        <v/>
      </c>
      <c r="Y29" s="57" t="str">
        <f t="array" ref="Y29">_xlfn.XLOOKUP(B29,'Up Stats'!A:A,'Up Stats'!G:G,)</f>
        <v/>
      </c>
      <c r="Z29" s="54" t="str">
        <f>IFERROR(__xludf.DUMMYFUNCTION("if(AND(AA29=FALSE,AB29=FALSE),,if(AA29=AB29,JOIN("""",""Static: "",AA29),JOIN("""",""Min:  "",AA29, CHAR(10),""Max: "",AB29)))"),"")</f>
        <v/>
      </c>
      <c r="AA29" s="55" t="str">
        <f t="array" ref="AA29">_xlfn.XLOOKUP(B29,'Up Min'!A:A,'Up Min'!G:G,)</f>
        <v/>
      </c>
      <c r="AB29" s="55" t="str">
        <f t="array" ref="AB29">_xlfn.XLOOKUP(B29,'Up Max'!A:A,'Up Max'!G:G,)</f>
        <v/>
      </c>
      <c r="AC29" s="57" t="str">
        <f t="array" ref="AC29">_xlfn.XLOOKUP(B29,'Up Stats'!A:A,'Up Stats'!H:H,)</f>
        <v/>
      </c>
      <c r="AD29" s="54" t="str">
        <f>IFERROR(__xludf.DUMMYFUNCTION("if(AND(AE29=FALSE,AF29=FALSE),,if(AE29=AF29,JOIN("""",""Static: "",AE29),JOIN("""",""Min:  "",AE29, CHAR(10),""Max: "",AF29)))"),"")</f>
        <v/>
      </c>
      <c r="AE29" s="55" t="str">
        <f t="array" ref="AE29">_xlfn.XLOOKUP(B29,'Up Min'!A:A,'Up Min'!H:H,)</f>
        <v/>
      </c>
      <c r="AF29" s="55" t="str">
        <f t="array" ref="AF29">_xlfn.XLOOKUP(B29,'Up Max'!A:A,'Up Max'!H:H,)</f>
        <v/>
      </c>
      <c r="AG29" s="57" t="str">
        <f t="array" ref="AG29">_xlfn.XLOOKUP(B29,'Up Stats'!A:A,'Up Stats'!I:I,)</f>
        <v/>
      </c>
      <c r="AH29" s="54" t="str">
        <f>IFERROR(__xludf.DUMMYFUNCTION("if(AND(AI29=FALSE,AJ29=FALSE),,if(AI29=AJ29,JOIN("""",""Static: "",AI29),JOIN("""",""Min:  "",AI29, CHAR(10),""Max: "",AJ29)))"),"")</f>
        <v/>
      </c>
      <c r="AI29" s="55" t="str">
        <f t="array" ref="AI29">_xlfn.XLOOKUP(B29,'Up Min'!A:A,'Up Min'!I:I,)</f>
        <v/>
      </c>
      <c r="AJ29" s="55" t="str">
        <f t="array" ref="AJ29">_xlfn.XLOOKUP(B29,'Up Max'!A:A,'Up Max'!I:I,)</f>
        <v/>
      </c>
      <c r="AK29" s="57" t="str">
        <f t="array" ref="AK29">_xlfn.XLOOKUP(B29,'Up Stats'!A:A,'Up Stats'!J:J,)</f>
        <v/>
      </c>
      <c r="AL29" s="54" t="str">
        <f>IFERROR(__xludf.DUMMYFUNCTION("if(AND(AM29=FALSE,AN29=FALSE),,if(AM29=AN29,JOIN("""",""Static: "",AM29),JOIN("""",""Min:  "",AM29, CHAR(10),""Max: "",AN29)))"),"")</f>
        <v/>
      </c>
      <c r="AM29" s="55" t="str">
        <f t="array" ref="AM29">_xlfn.XLOOKUP(B29,'Up Min'!A:A,'Up Min'!J:J,)</f>
        <v/>
      </c>
      <c r="AN29" s="55" t="str">
        <f t="array" ref="AN29">_xlfn.XLOOKUP(B29,'Up Max'!A:A,'Up Max'!J:J,)</f>
        <v/>
      </c>
      <c r="AO29" s="51" t="str">
        <f t="array" ref="AO29">CONCATENATE(_xlfn.XLOOKUP(B29,'Up Cells'!A:A,'Up Cells'!B:B,))</f>
        <v>4</v>
      </c>
      <c r="AP29" s="51" t="str">
        <f t="array" ref="AP29">CONCATENATE(_xlfn.XLOOKUP(B29,'Up Rarity'!A:A,'Up Rarity'!B:B,),CHAR(10),"-")</f>
        <v>Rare
-</v>
      </c>
    </row>
    <row r="30">
      <c r="A30" s="83" t="str">
        <f t="array" ref="A30">_xlfn.XLOOKUP(B30,'Up Icon'!A:A,'Up Icon'!B:B,)</f>
        <v/>
      </c>
      <c r="B30" s="66" t="str">
        <f t="array" ref="B30">HYPERLINK(_xlfn.XLOOKUP('Up Names'!Q28,'Up Wiki'!A:A,'Up Wiki'!B:B,),'Up Names'!Q28)</f>
        <v>Tuck 'n' Roll</v>
      </c>
      <c r="C30" s="37" t="str">
        <f t="array" ref="C30">_xlfn.XLOOKUP(B30,'Up Desc'!A:A,'Up Desc'!B:B,)</f>
        <v>Jump out of a slide to gain a burst of forward speed.</v>
      </c>
      <c r="D30" s="37" t="str">
        <f t="array" ref="D30">_xlfn.XLOOKUP(B30,'Up Turbo'!A:A,'Up Turbo'!B:B,)</f>
        <v>n/a</v>
      </c>
      <c r="E30" s="48" t="str">
        <f t="array" ref="E30">_xlfn.XLOOKUP(B30,'Up Stats'!A:A,'Up Stats'!B:B,)</f>
        <v>Forward Speed</v>
      </c>
      <c r="F30" s="40" t="str">
        <f>IFERROR(__xludf.DUMMYFUNCTION("if(AND(G30=FALSE,H30=FALSE),,if(G30=H30,JOIN("""",""Static: "",G30),JOIN("""",""Min:  "",G30, CHAR(10),""Max: "",H30)))"),"Min:  10
Max: 20")</f>
        <v>Min:  10
Max: 20</v>
      </c>
      <c r="G30" s="42">
        <f t="array" ref="G30">_xlfn.XLOOKUP(B30,'Up Min'!A:A,'Up Min'!B:B,)</f>
        <v>10</v>
      </c>
      <c r="H30" s="42">
        <f t="array" ref="H30">_xlfn.XLOOKUP(B30,'Up Max'!A:A,'Up Max'!B:B,)</f>
        <v>20</v>
      </c>
      <c r="I30" s="48" t="str">
        <f t="array" ref="I30">_xlfn.XLOOKUP(B30,'Up Stats'!A:A,'Up Stats'!C:C,)</f>
        <v/>
      </c>
      <c r="J30" s="40" t="str">
        <f>IFERROR(__xludf.DUMMYFUNCTION("if(AND(K30=FALSE,L30=FALSE),,if(K30=L30,JOIN("""",""Static: "",K30),JOIN("""",""Min:  "",K30, CHAR(10),""Max: "",L30)))"),"")</f>
        <v/>
      </c>
      <c r="K30" s="74" t="str">
        <f t="array" ref="K30">_xlfn.XLOOKUP(B30,'Up Min'!A:A,'Up Min'!C:C,)</f>
        <v/>
      </c>
      <c r="L30" s="74" t="str">
        <f t="array" ref="L30">_xlfn.XLOOKUP(B30,'Up Max'!A:A,'Up Max'!C:C,)</f>
        <v/>
      </c>
      <c r="M30" s="48" t="str">
        <f t="array" ref="M30">_xlfn.XLOOKUP(B30,'Up Stats'!A:A,'Up Stats'!D:D,)</f>
        <v/>
      </c>
      <c r="N30" s="40" t="str">
        <f>IFERROR(__xludf.DUMMYFUNCTION("if(AND(O30=FALSE,P30=FALSE),,if(O30=P30,JOIN("""",""Static: "",O30),JOIN("""",""Min:  "",O30, CHAR(10),""Max: "",P30)))"),"")</f>
        <v/>
      </c>
      <c r="O30" s="42" t="str">
        <f t="array" ref="O30">_xlfn.XLOOKUP(B30,'Up Min'!A:A,'Up Min'!D:D,)</f>
        <v/>
      </c>
      <c r="P30" s="42" t="str">
        <f t="array" ref="P30">_xlfn.XLOOKUP(B30,'Up Max'!A:A,'Up Max'!D:D,)</f>
        <v/>
      </c>
      <c r="Q30" s="48" t="str">
        <f t="array" ref="Q30">_xlfn.XLOOKUP(B30,'Up Stats'!A:A,'Up Stats'!E:E,)</f>
        <v/>
      </c>
      <c r="R30" s="40" t="str">
        <f>IFERROR(__xludf.DUMMYFUNCTION("if(AND(S30=FALSE,T30=FALSE),,if(S30=T30,JOIN("""",""Static: "",S30),JOIN("""",""Min:  "",S30, CHAR(10),""Max: "",T30)))"),"")</f>
        <v/>
      </c>
      <c r="S30" s="42" t="str">
        <f t="array" ref="S30">_xlfn.XLOOKUP(B30,'Up Min'!A:A,'Up Min'!E:E,)</f>
        <v/>
      </c>
      <c r="T30" s="42" t="str">
        <f t="array" ref="T30">_xlfn.XLOOKUP(B30,'Up Max'!A:A,'Up Max'!E:E,)</f>
        <v/>
      </c>
      <c r="U30" s="48" t="str">
        <f t="array" ref="U30">_xlfn.XLOOKUP(B30,'Up Stats'!A:A,'Up Stats'!F:F,)</f>
        <v/>
      </c>
      <c r="V30" s="40" t="str">
        <f>IFERROR(__xludf.DUMMYFUNCTION("if(AND(W30=FALSE,X30=FALSE),,if(W30=X30,JOIN("""",""Static: "",W30),JOIN("""",""Min:  "",W30, CHAR(10),""Max: "",X30)))"),"")</f>
        <v/>
      </c>
      <c r="W30" s="42" t="str">
        <f t="array" ref="W30">_xlfn.XLOOKUP(B30,'Up Min'!A:A,'Up Min'!F:F,)</f>
        <v/>
      </c>
      <c r="X30" s="42" t="str">
        <f t="array" ref="X30">_xlfn.XLOOKUP(B30,'Up Max'!A:A,'Up Max'!F:F,)</f>
        <v/>
      </c>
      <c r="Y30" s="48" t="str">
        <f t="array" ref="Y30">_xlfn.XLOOKUP(B30,'Up Stats'!A:A,'Up Stats'!G:G,)</f>
        <v/>
      </c>
      <c r="Z30" s="40" t="str">
        <f>IFERROR(__xludf.DUMMYFUNCTION("if(AND(AA30=FALSE,AB30=FALSE),,if(AA30=AB30,JOIN("""",""Static: "",AA30),JOIN("""",""Min:  "",AA30, CHAR(10),""Max: "",AB30)))"),"")</f>
        <v/>
      </c>
      <c r="AA30" s="42" t="str">
        <f t="array" ref="AA30">_xlfn.XLOOKUP(B30,'Up Min'!A:A,'Up Min'!G:G,)</f>
        <v/>
      </c>
      <c r="AB30" s="42" t="str">
        <f t="array" ref="AB30">_xlfn.XLOOKUP(B30,'Up Max'!A:A,'Up Max'!G:G,)</f>
        <v/>
      </c>
      <c r="AC30" s="48" t="str">
        <f t="array" ref="AC30">_xlfn.XLOOKUP(B30,'Up Stats'!A:A,'Up Stats'!H:H,)</f>
        <v/>
      </c>
      <c r="AD30" s="40" t="str">
        <f>IFERROR(__xludf.DUMMYFUNCTION("if(AND(AE30=FALSE,AF30=FALSE),,if(AE30=AF30,JOIN("""",""Static: "",AE30),JOIN("""",""Min:  "",AE30, CHAR(10),""Max: "",AF30)))"),"")</f>
        <v/>
      </c>
      <c r="AE30" s="42" t="str">
        <f t="array" ref="AE30">_xlfn.XLOOKUP(B30,'Up Min'!A:A,'Up Min'!H:H,)</f>
        <v/>
      </c>
      <c r="AF30" s="42" t="str">
        <f t="array" ref="AF30">_xlfn.XLOOKUP(B30,'Up Max'!A:A,'Up Max'!H:H,)</f>
        <v/>
      </c>
      <c r="AG30" s="48" t="str">
        <f t="array" ref="AG30">_xlfn.XLOOKUP(B30,'Up Stats'!A:A,'Up Stats'!I:I,)</f>
        <v/>
      </c>
      <c r="AH30" s="40" t="str">
        <f>IFERROR(__xludf.DUMMYFUNCTION("if(AND(AI30=FALSE,AJ30=FALSE),,if(AI30=AJ30,JOIN("""",""Static: "",AI30),JOIN("""",""Min:  "",AI30, CHAR(10),""Max: "",AJ30)))"),"")</f>
        <v/>
      </c>
      <c r="AI30" s="42" t="str">
        <f t="array" ref="AI30">_xlfn.XLOOKUP(B30,'Up Min'!A:A,'Up Min'!I:I,)</f>
        <v/>
      </c>
      <c r="AJ30" s="42" t="str">
        <f t="array" ref="AJ30">_xlfn.XLOOKUP(B30,'Up Max'!A:A,'Up Max'!I:I,)</f>
        <v/>
      </c>
      <c r="AK30" s="48" t="str">
        <f t="array" ref="AK30">_xlfn.XLOOKUP(B30,'Up Stats'!A:A,'Up Stats'!J:J,)</f>
        <v/>
      </c>
      <c r="AL30" s="40" t="str">
        <f>IFERROR(__xludf.DUMMYFUNCTION("if(AND(AM30=FALSE,AN30=FALSE),,if(AM30=AN30,JOIN("""",""Static: "",AM30),JOIN("""",""Min:  "",AM30, CHAR(10),""Max: "",AN30)))"),"")</f>
        <v/>
      </c>
      <c r="AM30" s="42" t="str">
        <f t="array" ref="AM30">_xlfn.XLOOKUP(B30,'Up Min'!A:A,'Up Min'!J:J,)</f>
        <v/>
      </c>
      <c r="AN30" s="42" t="str">
        <f t="array" ref="AN30">_xlfn.XLOOKUP(B30,'Up Max'!A:A,'Up Max'!J:J,)</f>
        <v/>
      </c>
      <c r="AO30" s="34" t="str">
        <f t="array" ref="AO30">CONCATENATE(_xlfn.XLOOKUP(B30,'Up Cells'!A:A,'Up Cells'!B:B,))</f>
        <v>5</v>
      </c>
      <c r="AP30" s="34" t="str">
        <f t="array" ref="AP30">CONCATENATE(_xlfn.XLOOKUP(B30,'Up Rarity'!A:A,'Up Rarity'!B:B,),CHAR(10),"-")</f>
        <v>Rare
-</v>
      </c>
    </row>
    <row r="31">
      <c r="A31" s="98" t="str">
        <f t="array" ref="A31">_xlfn.XLOOKUP(B31,'Up Icon'!A:A,'Up Icon'!B:B,)</f>
        <v/>
      </c>
      <c r="B31" s="63" t="str">
        <f t="array" ref="B31">HYPERLINK(_xlfn.XLOOKUP('Up Names'!Q29,'Up Wiki'!A:A,'Up Wiki'!B:B,),'Up Names'!Q29)</f>
        <v>Unchained</v>
      </c>
      <c r="C31" s="52" t="str">
        <f t="array" ref="C31">_xlfn.XLOOKUP(B31,'Up Desc'!A:A,'Up Desc'!B:B,)</f>
        <v>Air Dash now sends you in whatever direction you are facing, without restrictions.</v>
      </c>
      <c r="D31" s="52" t="str">
        <f t="array" ref="D31">_xlfn.XLOOKUP(B31,'Up Turbo'!A:A,'Up Turbo'!B:B,)</f>
        <v>n/a</v>
      </c>
      <c r="E31" s="57" t="str">
        <f t="array" ref="E31">_xlfn.XLOOKUP(B31,'Up Stats'!A:A,'Up Stats'!B:B,)</f>
        <v/>
      </c>
      <c r="F31" s="54" t="str">
        <f>IFERROR(__xludf.DUMMYFUNCTION("if(AND(G31=FALSE,H31=FALSE),,if(G31=H31,JOIN("""",""Static: "",G31),JOIN("""",""Min:  "",G31, CHAR(10),""Max: "",H31)))"),"")</f>
        <v/>
      </c>
      <c r="G31" s="55" t="str">
        <f t="array" ref="G31">_xlfn.XLOOKUP(B31,'Up Min'!A:A,'Up Min'!B:B,)</f>
        <v/>
      </c>
      <c r="H31" s="55" t="str">
        <f t="array" ref="H31">_xlfn.XLOOKUP(B31,'Up Max'!A:A,'Up Max'!B:B,)</f>
        <v/>
      </c>
      <c r="I31" s="57" t="str">
        <f t="array" ref="I31">_xlfn.XLOOKUP(B31,'Up Stats'!A:A,'Up Stats'!C:C,)</f>
        <v/>
      </c>
      <c r="J31" s="54" t="str">
        <f>IFERROR(__xludf.DUMMYFUNCTION("if(AND(K31=FALSE,L31=FALSE),,if(K31=L31,JOIN("""",""Static: "",K31),JOIN("""",""Min:  "",K31, CHAR(10),""Max: "",L31)))"),"")</f>
        <v/>
      </c>
      <c r="K31" s="72" t="str">
        <f t="array" ref="K31">_xlfn.XLOOKUP(B31,'Up Min'!A:A,'Up Min'!C:C,)</f>
        <v/>
      </c>
      <c r="L31" s="72" t="str">
        <f t="array" ref="L31">_xlfn.XLOOKUP(B31,'Up Max'!A:A,'Up Max'!C:C,)</f>
        <v/>
      </c>
      <c r="M31" s="57" t="str">
        <f t="array" ref="M31">_xlfn.XLOOKUP(B31,'Up Stats'!A:A,'Up Stats'!D:D,)</f>
        <v/>
      </c>
      <c r="N31" s="54" t="str">
        <f>IFERROR(__xludf.DUMMYFUNCTION("if(AND(O31=FALSE,P31=FALSE),,if(O31=P31,JOIN("""",""Static: "",O31),JOIN("""",""Min:  "",O31, CHAR(10),""Max: "",P31)))"),"")</f>
        <v/>
      </c>
      <c r="O31" s="55" t="str">
        <f t="array" ref="O31">_xlfn.XLOOKUP(B31,'Up Min'!A:A,'Up Min'!D:D,)</f>
        <v/>
      </c>
      <c r="P31" s="55" t="str">
        <f t="array" ref="P31">_xlfn.XLOOKUP(B31,'Up Max'!A:A,'Up Max'!D:D,)</f>
        <v/>
      </c>
      <c r="Q31" s="57" t="str">
        <f t="array" ref="Q31">_xlfn.XLOOKUP(B31,'Up Stats'!A:A,'Up Stats'!E:E,)</f>
        <v/>
      </c>
      <c r="R31" s="54" t="str">
        <f>IFERROR(__xludf.DUMMYFUNCTION("if(AND(S31=FALSE,T31=FALSE),,if(S31=T31,JOIN("""",""Static: "",S31),JOIN("""",""Min:  "",S31, CHAR(10),""Max: "",T31)))"),"")</f>
        <v/>
      </c>
      <c r="S31" s="55" t="str">
        <f t="array" ref="S31">_xlfn.XLOOKUP(B31,'Up Min'!A:A,'Up Min'!E:E,)</f>
        <v/>
      </c>
      <c r="T31" s="55" t="str">
        <f t="array" ref="T31">_xlfn.XLOOKUP(B31,'Up Max'!A:A,'Up Max'!E:E,)</f>
        <v/>
      </c>
      <c r="U31" s="57" t="str">
        <f t="array" ref="U31">_xlfn.XLOOKUP(B31,'Up Stats'!A:A,'Up Stats'!F:F,)</f>
        <v/>
      </c>
      <c r="V31" s="54" t="str">
        <f>IFERROR(__xludf.DUMMYFUNCTION("if(AND(W31=FALSE,X31=FALSE),,if(W31=X31,JOIN("""",""Static: "",W31),JOIN("""",""Min:  "",W31, CHAR(10),""Max: "",X31)))"),"")</f>
        <v/>
      </c>
      <c r="W31" s="55" t="str">
        <f t="array" ref="W31">_xlfn.XLOOKUP(B31,'Up Min'!A:A,'Up Min'!F:F,)</f>
        <v/>
      </c>
      <c r="X31" s="55" t="str">
        <f t="array" ref="X31">_xlfn.XLOOKUP(B31,'Up Max'!A:A,'Up Max'!F:F,)</f>
        <v/>
      </c>
      <c r="Y31" s="57" t="str">
        <f t="array" ref="Y31">_xlfn.XLOOKUP(B31,'Up Stats'!A:A,'Up Stats'!G:G,)</f>
        <v/>
      </c>
      <c r="Z31" s="54" t="str">
        <f>IFERROR(__xludf.DUMMYFUNCTION("if(AND(AA31=FALSE,AB31=FALSE),,if(AA31=AB31,JOIN("""",""Static: "",AA31),JOIN("""",""Min:  "",AA31, CHAR(10),""Max: "",AB31)))"),"")</f>
        <v/>
      </c>
      <c r="AA31" s="55" t="str">
        <f t="array" ref="AA31">_xlfn.XLOOKUP(B31,'Up Min'!A:A,'Up Min'!G:G,)</f>
        <v/>
      </c>
      <c r="AB31" s="55" t="str">
        <f t="array" ref="AB31">_xlfn.XLOOKUP(B31,'Up Max'!A:A,'Up Max'!G:G,)</f>
        <v/>
      </c>
      <c r="AC31" s="57" t="str">
        <f t="array" ref="AC31">_xlfn.XLOOKUP(B31,'Up Stats'!A:A,'Up Stats'!H:H,)</f>
        <v/>
      </c>
      <c r="AD31" s="54" t="str">
        <f>IFERROR(__xludf.DUMMYFUNCTION("if(AND(AE31=FALSE,AF31=FALSE),,if(AE31=AF31,JOIN("""",""Static: "",AE31),JOIN("""",""Min:  "",AE31, CHAR(10),""Max: "",AF31)))"),"")</f>
        <v/>
      </c>
      <c r="AE31" s="55" t="str">
        <f t="array" ref="AE31">_xlfn.XLOOKUP(B31,'Up Min'!A:A,'Up Min'!H:H,)</f>
        <v/>
      </c>
      <c r="AF31" s="55" t="str">
        <f t="array" ref="AF31">_xlfn.XLOOKUP(B31,'Up Max'!A:A,'Up Max'!H:H,)</f>
        <v/>
      </c>
      <c r="AG31" s="57" t="str">
        <f t="array" ref="AG31">_xlfn.XLOOKUP(B31,'Up Stats'!A:A,'Up Stats'!I:I,)</f>
        <v/>
      </c>
      <c r="AH31" s="54" t="str">
        <f>IFERROR(__xludf.DUMMYFUNCTION("if(AND(AI31=FALSE,AJ31=FALSE),,if(AI31=AJ31,JOIN("""",""Static: "",AI31),JOIN("""",""Min:  "",AI31, CHAR(10),""Max: "",AJ31)))"),"")</f>
        <v/>
      </c>
      <c r="AI31" s="55" t="str">
        <f t="array" ref="AI31">_xlfn.XLOOKUP(B31,'Up Min'!A:A,'Up Min'!I:I,)</f>
        <v/>
      </c>
      <c r="AJ31" s="55" t="str">
        <f t="array" ref="AJ31">_xlfn.XLOOKUP(B31,'Up Max'!A:A,'Up Max'!I:I,)</f>
        <v/>
      </c>
      <c r="AK31" s="57" t="str">
        <f t="array" ref="AK31">_xlfn.XLOOKUP(B31,'Up Stats'!A:A,'Up Stats'!J:J,)</f>
        <v/>
      </c>
      <c r="AL31" s="54" t="str">
        <f>IFERROR(__xludf.DUMMYFUNCTION("if(AND(AM31=FALSE,AN31=FALSE),,if(AM31=AN31,JOIN("""",""Static: "",AM31),JOIN("""",""Min:  "",AM31, CHAR(10),""Max: "",AN31)))"),"")</f>
        <v/>
      </c>
      <c r="AM31" s="55" t="str">
        <f t="array" ref="AM31">_xlfn.XLOOKUP(B31,'Up Min'!A:A,'Up Min'!J:J,)</f>
        <v/>
      </c>
      <c r="AN31" s="55" t="str">
        <f t="array" ref="AN31">_xlfn.XLOOKUP(B31,'Up Max'!A:A,'Up Max'!J:J,)</f>
        <v/>
      </c>
      <c r="AO31" s="51" t="str">
        <f t="array" ref="AO31">CONCATENATE(_xlfn.XLOOKUP(B31,'Up Cells'!A:A,'Up Cells'!B:B,))</f>
        <v>4</v>
      </c>
      <c r="AP31" s="51" t="str">
        <f t="array" ref="AP31">CONCATENATE(_xlfn.XLOOKUP(B31,'Up Rarity'!A:A,'Up Rarity'!B:B,),CHAR(10),"-")</f>
        <v>Rare
-</v>
      </c>
    </row>
    <row r="32">
      <c r="A32" s="84" t="str">
        <f t="array" ref="A32">_xlfn.XLOOKUP(B32,'Up Icon'!A:A,'Up Icon'!B:B,)</f>
        <v/>
      </c>
      <c r="B32" s="66" t="str">
        <f t="array" ref="B32">HYPERLINK(_xlfn.XLOOKUP('Up Names'!Q30,'Up Wiki'!A:A,'Up Wiki'!B:B,),'Up Names'!Q30)</f>
        <v>Deadeye</v>
      </c>
      <c r="C32" s="37" t="str">
        <f t="array" ref="C32">_xlfn.XLOOKUP(B32,'Up Desc'!A:A,'Up Desc'!B:B,)</f>
        <v>You can aim while sliding.</v>
      </c>
      <c r="D32" s="37" t="str">
        <f t="array" ref="D32">_xlfn.XLOOKUP(B32,'Up Turbo'!A:A,'Up Turbo'!B:B,)</f>
        <v>n/a</v>
      </c>
      <c r="E32" s="39" t="str">
        <f t="array" ref="E32">_xlfn.XLOOKUP(B32,'Up Stats'!A:A,'Up Stats'!B:B,)</f>
        <v/>
      </c>
      <c r="F32" s="40" t="str">
        <f>IFERROR(__xludf.DUMMYFUNCTION("if(AND(G32=FALSE,H32=FALSE),,if(G32=H32,JOIN("""",""Static: "",G32),JOIN("""",""Min:  "",G32, CHAR(10),""Max: "",H32)))"),"")</f>
        <v/>
      </c>
      <c r="G32" s="69" t="str">
        <f t="array" ref="G32">_xlfn.XLOOKUP(B32,'Up Min'!A:A,'Up Min'!B:B,)</f>
        <v/>
      </c>
      <c r="H32" s="68" t="str">
        <f t="array" ref="H32">_xlfn.XLOOKUP(B32,'Up Max'!A:A,'Up Max'!B:B,)</f>
        <v/>
      </c>
      <c r="I32" s="39" t="str">
        <f t="array" ref="I32">_xlfn.XLOOKUP(B32,'Up Stats'!A:A,'Up Stats'!C:C,)</f>
        <v/>
      </c>
      <c r="J32" s="40" t="str">
        <f>IFERROR(__xludf.DUMMYFUNCTION("if(AND(K32=FALSE,L32=FALSE),,if(K32=L32,JOIN("""",""Static: "",K32),JOIN("""",""Min:  "",K32, CHAR(10),""Max: "",L32)))"),"")</f>
        <v/>
      </c>
      <c r="K32" s="74" t="str">
        <f t="array" ref="K32">_xlfn.XLOOKUP(B32,'Up Min'!A:A,'Up Min'!C:C,)</f>
        <v/>
      </c>
      <c r="L32" s="74" t="str">
        <f t="array" ref="L32">_xlfn.XLOOKUP(B32,'Up Max'!A:A,'Up Max'!C:C,)</f>
        <v/>
      </c>
      <c r="M32" s="48" t="str">
        <f t="array" ref="M32">_xlfn.XLOOKUP(B32,'Up Stats'!A:A,'Up Stats'!D:D,)</f>
        <v/>
      </c>
      <c r="N32" s="40" t="str">
        <f>IFERROR(__xludf.DUMMYFUNCTION("if(AND(O32=FALSE,P32=FALSE),,if(O32=P32,JOIN("""",""Static: "",O32),JOIN("""",""Min:  "",O32, CHAR(10),""Max: "",P32)))"),"")</f>
        <v/>
      </c>
      <c r="O32" s="42" t="str">
        <f t="array" ref="O32">_xlfn.XLOOKUP(B32,'Up Min'!A:A,'Up Min'!D:D,)</f>
        <v/>
      </c>
      <c r="P32" s="42" t="str">
        <f t="array" ref="P32">_xlfn.XLOOKUP(B32,'Up Max'!A:A,'Up Max'!D:D,)</f>
        <v/>
      </c>
      <c r="Q32" s="48" t="str">
        <f t="array" ref="Q32">_xlfn.XLOOKUP(B32,'Up Stats'!A:A,'Up Stats'!E:E,)</f>
        <v/>
      </c>
      <c r="R32" s="40" t="str">
        <f>IFERROR(__xludf.DUMMYFUNCTION("if(AND(S32=FALSE,T32=FALSE),,if(S32=T32,JOIN("""",""Static: "",S32),JOIN("""",""Min:  "",S32, CHAR(10),""Max: "",T32)))"),"")</f>
        <v/>
      </c>
      <c r="S32" s="42" t="str">
        <f t="array" ref="S32">_xlfn.XLOOKUP(B32,'Up Min'!A:A,'Up Min'!E:E,)</f>
        <v/>
      </c>
      <c r="T32" s="42" t="str">
        <f t="array" ref="T32">_xlfn.XLOOKUP(B32,'Up Max'!A:A,'Up Max'!E:E,)</f>
        <v/>
      </c>
      <c r="U32" s="48" t="str">
        <f t="array" ref="U32">_xlfn.XLOOKUP(B32,'Up Stats'!A:A,'Up Stats'!F:F,)</f>
        <v/>
      </c>
      <c r="V32" s="40" t="str">
        <f>IFERROR(__xludf.DUMMYFUNCTION("if(AND(W32=FALSE,X32=FALSE),,if(W32=X32,JOIN("""",""Static: "",W32),JOIN("""",""Min:  "",W32, CHAR(10),""Max: "",X32)))"),"")</f>
        <v/>
      </c>
      <c r="W32" s="42" t="str">
        <f t="array" ref="W32">_xlfn.XLOOKUP(B32,'Up Min'!A:A,'Up Min'!F:F,)</f>
        <v/>
      </c>
      <c r="X32" s="42" t="str">
        <f t="array" ref="X32">_xlfn.XLOOKUP(B32,'Up Max'!A:A,'Up Max'!F:F,)</f>
        <v/>
      </c>
      <c r="Y32" s="48" t="str">
        <f t="array" ref="Y32">_xlfn.XLOOKUP(B32,'Up Stats'!A:A,'Up Stats'!G:G,)</f>
        <v/>
      </c>
      <c r="Z32" s="40" t="str">
        <f>IFERROR(__xludf.DUMMYFUNCTION("if(AND(AA32=FALSE,AB32=FALSE),,if(AA32=AB32,JOIN("""",""Static: "",AA32),JOIN("""",""Min:  "",AA32, CHAR(10),""Max: "",AB32)))"),"")</f>
        <v/>
      </c>
      <c r="AA32" s="42" t="str">
        <f t="array" ref="AA32">_xlfn.XLOOKUP(B32,'Up Min'!A:A,'Up Min'!G:G,)</f>
        <v/>
      </c>
      <c r="AB32" s="42" t="str">
        <f t="array" ref="AB32">_xlfn.XLOOKUP(B32,'Up Max'!A:A,'Up Max'!G:G,)</f>
        <v/>
      </c>
      <c r="AC32" s="48" t="str">
        <f t="array" ref="AC32">_xlfn.XLOOKUP(B32,'Up Stats'!A:A,'Up Stats'!H:H,)</f>
        <v/>
      </c>
      <c r="AD32" s="40" t="str">
        <f>IFERROR(__xludf.DUMMYFUNCTION("if(AND(AE32=FALSE,AF32=FALSE),,if(AE32=AF32,JOIN("""",""Static: "",AE32),JOIN("""",""Min:  "",AE32, CHAR(10),""Max: "",AF32)))"),"")</f>
        <v/>
      </c>
      <c r="AE32" s="42" t="str">
        <f t="array" ref="AE32">_xlfn.XLOOKUP(B32,'Up Min'!A:A,'Up Min'!H:H,)</f>
        <v/>
      </c>
      <c r="AF32" s="42" t="str">
        <f t="array" ref="AF32">_xlfn.XLOOKUP(B32,'Up Max'!A:A,'Up Max'!H:H,)</f>
        <v/>
      </c>
      <c r="AG32" s="48" t="str">
        <f t="array" ref="AG32">_xlfn.XLOOKUP(B32,'Up Stats'!A:A,'Up Stats'!I:I,)</f>
        <v/>
      </c>
      <c r="AH32" s="40" t="str">
        <f>IFERROR(__xludf.DUMMYFUNCTION("if(AND(AI32=FALSE,AJ32=FALSE),,if(AI32=AJ32,JOIN("""",""Static: "",AI32),JOIN("""",""Min:  "",AI32, CHAR(10),""Max: "",AJ32)))"),"")</f>
        <v/>
      </c>
      <c r="AI32" s="42" t="str">
        <f t="array" ref="AI32">_xlfn.XLOOKUP(B32,'Up Min'!A:A,'Up Min'!I:I,)</f>
        <v/>
      </c>
      <c r="AJ32" s="42" t="str">
        <f t="array" ref="AJ32">_xlfn.XLOOKUP(B32,'Up Max'!A:A,'Up Max'!I:I,)</f>
        <v/>
      </c>
      <c r="AK32" s="48" t="str">
        <f t="array" ref="AK32">_xlfn.XLOOKUP(B32,'Up Stats'!A:A,'Up Stats'!J:J,)</f>
        <v/>
      </c>
      <c r="AL32" s="40" t="str">
        <f>IFERROR(__xludf.DUMMYFUNCTION("if(AND(AM32=FALSE,AN32=FALSE),,if(AM32=AN32,JOIN("""",""Static: "",AM32),JOIN("""",""Min:  "",AM32, CHAR(10),""Max: "",AN32)))"),"")</f>
        <v/>
      </c>
      <c r="AM32" s="42" t="str">
        <f t="array" ref="AM32">_xlfn.XLOOKUP(B32,'Up Min'!A:A,'Up Min'!J:J,)</f>
        <v/>
      </c>
      <c r="AN32" s="42" t="str">
        <f t="array" ref="AN32">_xlfn.XLOOKUP(B32,'Up Max'!A:A,'Up Max'!J:J,)</f>
        <v/>
      </c>
      <c r="AO32" s="34" t="str">
        <f t="array" ref="AO32">CONCATENATE(_xlfn.XLOOKUP(B32,'Up Cells'!A:A,'Up Cells'!B:B,))</f>
        <v>4</v>
      </c>
      <c r="AP32" s="34" t="str">
        <f t="array" ref="AP32">CONCATENATE(_xlfn.XLOOKUP(B32,'Up Rarity'!A:A,'Up Rarity'!B:B,),CHAR(10),"-")</f>
        <v>Standard
-</v>
      </c>
    </row>
    <row r="33">
      <c r="A33" s="84" t="str">
        <f t="array" ref="A33">_xlfn.XLOOKUP(B33,'Up Icon'!A:A,'Up Icon'!B:B,)</f>
        <v/>
      </c>
      <c r="B33" s="63" t="str">
        <f t="array" ref="B33">HYPERLINK(_xlfn.XLOOKUP('Up Names'!Q31,'Up Wiki'!A:A,'Up Wiki'!B:B,),'Up Names'!Q31)</f>
        <v>Landing Roll</v>
      </c>
      <c r="C33" s="52" t="str">
        <f t="array" ref="C33">_xlfn.XLOOKUP(B33,'Up Desc'!A:A,'Up Desc'!B:B,)</f>
        <v>Slide when landing to roll and gain a burst of speed.</v>
      </c>
      <c r="D33" s="52" t="str">
        <f t="array" ref="D33">_xlfn.XLOOKUP(B33,'Up Turbo'!A:A,'Up Turbo'!B:B,)</f>
        <v>n/a</v>
      </c>
      <c r="E33" s="53" t="str">
        <f t="array" ref="E33">_xlfn.XLOOKUP(B33,'Up Stats'!A:A,'Up Stats'!B:B,)</f>
        <v>Speed</v>
      </c>
      <c r="F33" s="54" t="str">
        <f>IFERROR(__xludf.DUMMYFUNCTION("if(AND(G33=FALSE,H33=FALSE),,if(G33=H33,JOIN("""",""Static: "",G33),JOIN("""",""Min:  "",G33, CHAR(10),""Max: "",H33)))"),"Min:  3000%
Max: 4000%")</f>
        <v>Min:  3000%
Max: 4000%</v>
      </c>
      <c r="G33" s="59">
        <f t="array" ref="G33">_xlfn.XLOOKUP(B33,'Up Min'!A:A,'Up Min'!B:B,)</f>
        <v>30</v>
      </c>
      <c r="H33" s="59">
        <f t="array" ref="H33">_xlfn.XLOOKUP(B33,'Up Max'!A:A,'Up Max'!B:B,)</f>
        <v>40</v>
      </c>
      <c r="I33" s="53" t="str">
        <f t="array" ref="I33">_xlfn.XLOOKUP(B33,'Up Stats'!A:A,'Up Stats'!C:C,)</f>
        <v/>
      </c>
      <c r="J33" s="54" t="str">
        <f>IFERROR(__xludf.DUMMYFUNCTION("if(AND(K33=FALSE,L33=FALSE),,if(K33=L33,JOIN("""",""Static: "",K33),JOIN("""",""Min:  "",K33, CHAR(10),""Max: "",L33)))"),"")</f>
        <v/>
      </c>
      <c r="K33" s="72" t="str">
        <f t="array" ref="K33">_xlfn.XLOOKUP(B33,'Up Min'!A:A,'Up Min'!C:C,)</f>
        <v/>
      </c>
      <c r="L33" s="72" t="str">
        <f t="array" ref="L33">_xlfn.XLOOKUP(B33,'Up Max'!A:A,'Up Max'!C:C,)</f>
        <v/>
      </c>
      <c r="M33" s="57" t="str">
        <f t="array" ref="M33">_xlfn.XLOOKUP(B33,'Up Stats'!A:A,'Up Stats'!D:D,)</f>
        <v/>
      </c>
      <c r="N33" s="54" t="str">
        <f>IFERROR(__xludf.DUMMYFUNCTION("if(AND(O33=FALSE,P33=FALSE),,if(O33=P33,JOIN("""",""Static: "",O33),JOIN("""",""Min:  "",O33, CHAR(10),""Max: "",P33)))"),"")</f>
        <v/>
      </c>
      <c r="O33" s="55" t="str">
        <f t="array" ref="O33">_xlfn.XLOOKUP(B33,'Up Min'!A:A,'Up Min'!D:D,)</f>
        <v/>
      </c>
      <c r="P33" s="55" t="str">
        <f t="array" ref="P33">_xlfn.XLOOKUP(B33,'Up Max'!A:A,'Up Max'!D:D,)</f>
        <v/>
      </c>
      <c r="Q33" s="57" t="str">
        <f t="array" ref="Q33">_xlfn.XLOOKUP(B33,'Up Stats'!A:A,'Up Stats'!E:E,)</f>
        <v/>
      </c>
      <c r="R33" s="54" t="str">
        <f>IFERROR(__xludf.DUMMYFUNCTION("if(AND(S33=FALSE,T33=FALSE),,if(S33=T33,JOIN("""",""Static: "",S33),JOIN("""",""Min:  "",S33, CHAR(10),""Max: "",T33)))"),"")</f>
        <v/>
      </c>
      <c r="S33" s="55" t="str">
        <f t="array" ref="S33">_xlfn.XLOOKUP(B33,'Up Min'!A:A,'Up Min'!E:E,)</f>
        <v/>
      </c>
      <c r="T33" s="55" t="str">
        <f t="array" ref="T33">_xlfn.XLOOKUP(B33,'Up Max'!A:A,'Up Max'!E:E,)</f>
        <v/>
      </c>
      <c r="U33" s="57" t="str">
        <f t="array" ref="U33">_xlfn.XLOOKUP(B33,'Up Stats'!A:A,'Up Stats'!F:F,)</f>
        <v/>
      </c>
      <c r="V33" s="54" t="str">
        <f>IFERROR(__xludf.DUMMYFUNCTION("if(AND(W33=FALSE,X33=FALSE),,if(W33=X33,JOIN("""",""Static: "",W33),JOIN("""",""Min:  "",W33, CHAR(10),""Max: "",X33)))"),"")</f>
        <v/>
      </c>
      <c r="W33" s="55" t="str">
        <f t="array" ref="W33">_xlfn.XLOOKUP(B33,'Up Min'!A:A,'Up Min'!F:F,)</f>
        <v/>
      </c>
      <c r="X33" s="55" t="str">
        <f t="array" ref="X33">_xlfn.XLOOKUP(B33,'Up Max'!A:A,'Up Max'!F:F,)</f>
        <v/>
      </c>
      <c r="Y33" s="57" t="str">
        <f t="array" ref="Y33">_xlfn.XLOOKUP(B33,'Up Stats'!A:A,'Up Stats'!G:G,)</f>
        <v/>
      </c>
      <c r="Z33" s="54" t="str">
        <f>IFERROR(__xludf.DUMMYFUNCTION("if(AND(AA33=FALSE,AB33=FALSE),,if(AA33=AB33,JOIN("""",""Static: "",AA33),JOIN("""",""Min:  "",AA33, CHAR(10),""Max: "",AB33)))"),"")</f>
        <v/>
      </c>
      <c r="AA33" s="55" t="str">
        <f t="array" ref="AA33">_xlfn.XLOOKUP(B33,'Up Min'!A:A,'Up Min'!G:G,)</f>
        <v/>
      </c>
      <c r="AB33" s="55" t="str">
        <f t="array" ref="AB33">_xlfn.XLOOKUP(B33,'Up Max'!A:A,'Up Max'!G:G,)</f>
        <v/>
      </c>
      <c r="AC33" s="57" t="str">
        <f t="array" ref="AC33">_xlfn.XLOOKUP(B33,'Up Stats'!A:A,'Up Stats'!H:H,)</f>
        <v/>
      </c>
      <c r="AD33" s="54" t="str">
        <f>IFERROR(__xludf.DUMMYFUNCTION("if(AND(AE33=FALSE,AF33=FALSE),,if(AE33=AF33,JOIN("""",""Static: "",AE33),JOIN("""",""Min:  "",AE33, CHAR(10),""Max: "",AF33)))"),"")</f>
        <v/>
      </c>
      <c r="AE33" s="55" t="str">
        <f t="array" ref="AE33">_xlfn.XLOOKUP(B33,'Up Min'!A:A,'Up Min'!H:H,)</f>
        <v/>
      </c>
      <c r="AF33" s="55" t="str">
        <f t="array" ref="AF33">_xlfn.XLOOKUP(B33,'Up Max'!A:A,'Up Max'!H:H,)</f>
        <v/>
      </c>
      <c r="AG33" s="57" t="str">
        <f t="array" ref="AG33">_xlfn.XLOOKUP(B33,'Up Stats'!A:A,'Up Stats'!I:I,)</f>
        <v/>
      </c>
      <c r="AH33" s="54" t="str">
        <f>IFERROR(__xludf.DUMMYFUNCTION("if(AND(AI33=FALSE,AJ33=FALSE),,if(AI33=AJ33,JOIN("""",""Static: "",AI33),JOIN("""",""Min:  "",AI33, CHAR(10),""Max: "",AJ33)))"),"")</f>
        <v/>
      </c>
      <c r="AI33" s="55" t="str">
        <f t="array" ref="AI33">_xlfn.XLOOKUP(B33,'Up Min'!A:A,'Up Min'!I:I,)</f>
        <v/>
      </c>
      <c r="AJ33" s="55" t="str">
        <f t="array" ref="AJ33">_xlfn.XLOOKUP(B33,'Up Max'!A:A,'Up Max'!I:I,)</f>
        <v/>
      </c>
      <c r="AK33" s="57" t="str">
        <f t="array" ref="AK33">_xlfn.XLOOKUP(B33,'Up Stats'!A:A,'Up Stats'!J:J,)</f>
        <v/>
      </c>
      <c r="AL33" s="54" t="str">
        <f>IFERROR(__xludf.DUMMYFUNCTION("if(AND(AM33=FALSE,AN33=FALSE),,if(AM33=AN33,JOIN("""",""Static: "",AM33),JOIN("""",""Min:  "",AM33, CHAR(10),""Max: "",AN33)))"),"")</f>
        <v/>
      </c>
      <c r="AM33" s="55" t="str">
        <f t="array" ref="AM33">_xlfn.XLOOKUP(B33,'Up Min'!A:A,'Up Min'!J:J,)</f>
        <v/>
      </c>
      <c r="AN33" s="55" t="str">
        <f t="array" ref="AN33">_xlfn.XLOOKUP(B33,'Up Max'!A:A,'Up Max'!J:J,)</f>
        <v/>
      </c>
      <c r="AO33" s="51" t="str">
        <f t="array" ref="AO33">CONCATENATE(_xlfn.XLOOKUP(B33,'Up Cells'!A:A,'Up Cells'!B:B,))</f>
        <v>5</v>
      </c>
      <c r="AP33" s="51" t="str">
        <f t="array" ref="AP33">CONCATENATE(_xlfn.XLOOKUP(B33,'Up Rarity'!A:A,'Up Rarity'!B:B,),CHAR(10),"-")</f>
        <v>Standard
-</v>
      </c>
    </row>
    <row r="34">
      <c r="A34" s="84" t="str">
        <f t="array" ref="A34">_xlfn.XLOOKUP(B34,'Up Icon'!A:A,'Up Icon'!B:B,)</f>
        <v/>
      </c>
      <c r="B34" s="66" t="str">
        <f t="array" ref="B34">HYPERLINK(_xlfn.XLOOKUP('Up Names'!Q32,'Up Wiki'!A:A,'Up Wiki'!B:B,),'Up Names'!Q32)</f>
        <v>Leap the Gap</v>
      </c>
      <c r="C34" s="37" t="str">
        <f t="array" ref="C34">_xlfn.XLOOKUP(B34,'Up Desc'!A:A,'Up Desc'!B:B,)</f>
        <v>Air Dash duration is increased.</v>
      </c>
      <c r="D34" s="37" t="str">
        <f t="array" ref="D34">_xlfn.XLOOKUP(B34,'Up Turbo'!A:A,'Up Turbo'!B:B,)</f>
        <v>n/a</v>
      </c>
      <c r="E34" s="39" t="str">
        <f t="array" ref="E34">_xlfn.XLOOKUP(B34,'Up Stats'!A:A,'Up Stats'!B:B,)</f>
        <v>Duration</v>
      </c>
      <c r="F34" s="40" t="str">
        <f>IFERROR(__xludf.DUMMYFUNCTION("if(AND(G34=FALSE,H34=FALSE),,if(G34=H34,JOIN("""",""Static: "",G34),JOIN("""",""Min:  "",G34, CHAR(10),""Max: "",H34)))"),"Min:  20%
Max: 85%")</f>
        <v>Min:  20%
Max: 85%</v>
      </c>
      <c r="G34" s="41">
        <f t="array" ref="G34">_xlfn.XLOOKUP(B34,'Up Min'!A:A,'Up Min'!B:B,)</f>
        <v>0.2</v>
      </c>
      <c r="H34" s="41">
        <f t="array" ref="H34">_xlfn.XLOOKUP(B34,'Up Max'!A:A,'Up Max'!B:B,)</f>
        <v>0.85</v>
      </c>
      <c r="I34" s="39" t="str">
        <f t="array" ref="I34">_xlfn.XLOOKUP(B34,'Up Stats'!A:A,'Up Stats'!C:C,)</f>
        <v/>
      </c>
      <c r="J34" s="40" t="str">
        <f>IFERROR(__xludf.DUMMYFUNCTION("if(AND(K34=FALSE,L34=FALSE),,if(K34=L34,JOIN("""",""Static: "",K34),JOIN("""",""Min:  "",K34, CHAR(10),""Max: "",L34)))"),"")</f>
        <v/>
      </c>
      <c r="K34" s="41" t="str">
        <f t="array" ref="K34">_xlfn.XLOOKUP(B34,'Up Min'!A:A,'Up Min'!C:C,)</f>
        <v/>
      </c>
      <c r="L34" s="41" t="str">
        <f t="array" ref="L34">_xlfn.XLOOKUP(B34,'Up Max'!A:A,'Up Max'!C:C,)</f>
        <v/>
      </c>
      <c r="M34" s="39" t="str">
        <f t="array" ref="M34">_xlfn.XLOOKUP(B34,'Up Stats'!A:A,'Up Stats'!D:D,)</f>
        <v/>
      </c>
      <c r="N34" s="40" t="str">
        <f>IFERROR(__xludf.DUMMYFUNCTION("if(AND(O34=FALSE,P34=FALSE),,if(O34=P34,JOIN("""",""Static: "",O34),JOIN("""",""Min:  "",O34, CHAR(10),""Max: "",P34)))"),"")</f>
        <v/>
      </c>
      <c r="O34" s="42" t="str">
        <f t="array" ref="O34">_xlfn.XLOOKUP(B34,'Up Min'!A:A,'Up Min'!D:D,)</f>
        <v/>
      </c>
      <c r="P34" s="42" t="str">
        <f t="array" ref="P34">_xlfn.XLOOKUP(B34,'Up Max'!A:A,'Up Max'!D:D,)</f>
        <v/>
      </c>
      <c r="Q34" s="48" t="str">
        <f t="array" ref="Q34">_xlfn.XLOOKUP(B34,'Up Stats'!A:A,'Up Stats'!E:E,)</f>
        <v/>
      </c>
      <c r="R34" s="40" t="str">
        <f>IFERROR(__xludf.DUMMYFUNCTION("if(AND(S34=FALSE,T34=FALSE),,if(S34=T34,JOIN("""",""Static: "",S34),JOIN("""",""Min:  "",S34, CHAR(10),""Max: "",T34)))"),"")</f>
        <v/>
      </c>
      <c r="S34" s="42" t="str">
        <f t="array" ref="S34">_xlfn.XLOOKUP(B34,'Up Min'!A:A,'Up Min'!E:E,)</f>
        <v/>
      </c>
      <c r="T34" s="42" t="str">
        <f t="array" ref="T34">_xlfn.XLOOKUP(B34,'Up Max'!A:A,'Up Max'!E:E,)</f>
        <v/>
      </c>
      <c r="U34" s="48" t="str">
        <f t="array" ref="U34">_xlfn.XLOOKUP(B34,'Up Stats'!A:A,'Up Stats'!F:F,)</f>
        <v/>
      </c>
      <c r="V34" s="40" t="str">
        <f>IFERROR(__xludf.DUMMYFUNCTION("if(AND(W34=FALSE,X34=FALSE),,if(W34=X34,JOIN("""",""Static: "",W34),JOIN("""",""Min:  "",W34, CHAR(10),""Max: "",X34)))"),"")</f>
        <v/>
      </c>
      <c r="W34" s="42" t="str">
        <f t="array" ref="W34">_xlfn.XLOOKUP(B34,'Up Min'!A:A,'Up Min'!F:F,)</f>
        <v/>
      </c>
      <c r="X34" s="42" t="str">
        <f t="array" ref="X34">_xlfn.XLOOKUP(B34,'Up Max'!A:A,'Up Max'!F:F,)</f>
        <v/>
      </c>
      <c r="Y34" s="48" t="str">
        <f t="array" ref="Y34">_xlfn.XLOOKUP(B34,'Up Stats'!A:A,'Up Stats'!G:G,)</f>
        <v/>
      </c>
      <c r="Z34" s="40" t="str">
        <f>IFERROR(__xludf.DUMMYFUNCTION("if(AND(AA34=FALSE,AB34=FALSE),,if(AA34=AB34,JOIN("""",""Static: "",AA34),JOIN("""",""Min:  "",AA34, CHAR(10),""Max: "",AB34)))"),"")</f>
        <v/>
      </c>
      <c r="AA34" s="42" t="str">
        <f t="array" ref="AA34">_xlfn.XLOOKUP(B34,'Up Min'!A:A,'Up Min'!G:G,)</f>
        <v/>
      </c>
      <c r="AB34" s="42" t="str">
        <f t="array" ref="AB34">_xlfn.XLOOKUP(B34,'Up Max'!A:A,'Up Max'!G:G,)</f>
        <v/>
      </c>
      <c r="AC34" s="48" t="str">
        <f t="array" ref="AC34">_xlfn.XLOOKUP(B34,'Up Stats'!A:A,'Up Stats'!H:H,)</f>
        <v/>
      </c>
      <c r="AD34" s="40" t="str">
        <f>IFERROR(__xludf.DUMMYFUNCTION("if(AND(AE34=FALSE,AF34=FALSE),,if(AE34=AF34,JOIN("""",""Static: "",AE34),JOIN("""",""Min:  "",AE34, CHAR(10),""Max: "",AF34)))"),"")</f>
        <v/>
      </c>
      <c r="AE34" s="42" t="str">
        <f t="array" ref="AE34">_xlfn.XLOOKUP(B34,'Up Min'!A:A,'Up Min'!H:H,)</f>
        <v/>
      </c>
      <c r="AF34" s="42" t="str">
        <f t="array" ref="AF34">_xlfn.XLOOKUP(B34,'Up Max'!A:A,'Up Max'!H:H,)</f>
        <v/>
      </c>
      <c r="AG34" s="48" t="str">
        <f t="array" ref="AG34">_xlfn.XLOOKUP(B34,'Up Stats'!A:A,'Up Stats'!I:I,)</f>
        <v/>
      </c>
      <c r="AH34" s="40" t="str">
        <f>IFERROR(__xludf.DUMMYFUNCTION("if(AND(AI34=FALSE,AJ34=FALSE),,if(AI34=AJ34,JOIN("""",""Static: "",AI34),JOIN("""",""Min:  "",AI34, CHAR(10),""Max: "",AJ34)))"),"")</f>
        <v/>
      </c>
      <c r="AI34" s="42" t="str">
        <f t="array" ref="AI34">_xlfn.XLOOKUP(B34,'Up Min'!A:A,'Up Min'!I:I,)</f>
        <v/>
      </c>
      <c r="AJ34" s="42" t="str">
        <f t="array" ref="AJ34">_xlfn.XLOOKUP(B34,'Up Max'!A:A,'Up Max'!I:I,)</f>
        <v/>
      </c>
      <c r="AK34" s="48" t="str">
        <f t="array" ref="AK34">_xlfn.XLOOKUP(B34,'Up Stats'!A:A,'Up Stats'!J:J,)</f>
        <v/>
      </c>
      <c r="AL34" s="40" t="str">
        <f>IFERROR(__xludf.DUMMYFUNCTION("if(AND(AM34=FALSE,AN34=FALSE),,if(AM34=AN34,JOIN("""",""Static: "",AM34),JOIN("""",""Min:  "",AM34, CHAR(10),""Max: "",AN34)))"),"")</f>
        <v/>
      </c>
      <c r="AM34" s="42" t="str">
        <f t="array" ref="AM34">_xlfn.XLOOKUP(B34,'Up Min'!A:A,'Up Min'!J:J,)</f>
        <v/>
      </c>
      <c r="AN34" s="42" t="str">
        <f t="array" ref="AN34">_xlfn.XLOOKUP(B34,'Up Max'!A:A,'Up Max'!J:J,)</f>
        <v/>
      </c>
      <c r="AO34" s="34" t="str">
        <f t="array" ref="AO34">CONCATENATE(_xlfn.XLOOKUP(B34,'Up Cells'!A:A,'Up Cells'!B:B,))</f>
        <v>3</v>
      </c>
      <c r="AP34" s="34" t="str">
        <f t="array" ref="AP34">CONCATENATE(_xlfn.XLOOKUP(B34,'Up Rarity'!A:A,'Up Rarity'!B:B,),CHAR(10),"-")</f>
        <v>Standard
-</v>
      </c>
    </row>
    <row r="35">
      <c r="A35" s="84" t="str">
        <f t="array" ref="A35">_xlfn.XLOOKUP(B35,'Up Icon'!A:A,'Up Icon'!B:B,)</f>
        <v/>
      </c>
      <c r="B35" s="63" t="str">
        <f t="array" ref="B35">HYPERLINK(_xlfn.XLOOKUP('Up Names'!Q33,'Up Wiki'!A:A,'Up Wiki'!B:B,),'Up Names'!Q33)</f>
        <v>Loose Rope</v>
      </c>
      <c r="C35" s="52" t="str">
        <f t="array" ref="C35">_xlfn.XLOOKUP(B35,'Up Desc'!A:A,'Up Desc'!B:B,)</f>
        <v>Rocket Lasso range and force are increased.</v>
      </c>
      <c r="D35" s="52" t="str">
        <f t="array" ref="D35">_xlfn.XLOOKUP(B35,'Up Turbo'!A:A,'Up Turbo'!B:B,)</f>
        <v>n/a</v>
      </c>
      <c r="E35" s="53" t="str">
        <f t="array" ref="E35">_xlfn.XLOOKUP(B35,'Up Stats'!A:A,'Up Stats'!B:B,)</f>
        <v>Range</v>
      </c>
      <c r="F35" s="54" t="str">
        <f>IFERROR(__xludf.DUMMYFUNCTION("if(AND(G35=FALSE,H35=FALSE),,if(G35=H35,JOIN("""",""Static: "",G35),JOIN("""",""Min:  "",G35, CHAR(10),""Max: "",H35)))"),"Min:  10%
Max: 22%")</f>
        <v>Min:  10%
Max: 22%</v>
      </c>
      <c r="G35" s="59">
        <f t="array" ref="G35">_xlfn.XLOOKUP(B35,'Up Min'!A:A,'Up Min'!B:B,)</f>
        <v>0.1</v>
      </c>
      <c r="H35" s="59">
        <f t="array" ref="H35">_xlfn.XLOOKUP(B35,'Up Max'!A:A,'Up Max'!B:B,)</f>
        <v>0.22</v>
      </c>
      <c r="I35" s="53" t="str">
        <f t="array" ref="I35">_xlfn.XLOOKUP(B35,'Up Stats'!A:A,'Up Stats'!C:C,)</f>
        <v>Rocket Force</v>
      </c>
      <c r="J35" s="54" t="str">
        <f>IFERROR(__xludf.DUMMYFUNCTION("if(AND(K35=FALSE,L35=FALSE),,if(K35=L35,JOIN("""",""Static: "",K35),JOIN("""",""Min:  "",K35, CHAR(10),""Max: "",L35)))"),"Min:  10%
Max: 20%")</f>
        <v>Min:  10%
Max: 20%</v>
      </c>
      <c r="K35" s="72">
        <f t="array" ref="K35">_xlfn.XLOOKUP(B35,'Up Min'!A:A,'Up Min'!C:C,)</f>
        <v>0.1</v>
      </c>
      <c r="L35" s="72">
        <f t="array" ref="L35">_xlfn.XLOOKUP(B35,'Up Max'!A:A,'Up Max'!C:C,)</f>
        <v>0.2</v>
      </c>
      <c r="M35" s="53" t="str">
        <f t="array" ref="M35">_xlfn.XLOOKUP(B35,'Up Stats'!A:A,'Up Stats'!D:D,)</f>
        <v/>
      </c>
      <c r="N35" s="54" t="str">
        <f>IFERROR(__xludf.DUMMYFUNCTION("if(AND(O35=FALSE,P35=FALSE),,if(O35=P35,JOIN("""",""Static: "",O35),JOIN("""",""Min:  "",O35, CHAR(10),""Max: "",P35)))"),"")</f>
        <v/>
      </c>
      <c r="O35" s="55" t="str">
        <f t="array" ref="O35">_xlfn.XLOOKUP(B35,'Up Min'!A:A,'Up Min'!D:D,)</f>
        <v/>
      </c>
      <c r="P35" s="55" t="str">
        <f t="array" ref="P35">_xlfn.XLOOKUP(B35,'Up Max'!A:A,'Up Max'!D:D,)</f>
        <v/>
      </c>
      <c r="Q35" s="57" t="str">
        <f t="array" ref="Q35">_xlfn.XLOOKUP(B35,'Up Stats'!A:A,'Up Stats'!E:E,)</f>
        <v/>
      </c>
      <c r="R35" s="54" t="str">
        <f>IFERROR(__xludf.DUMMYFUNCTION("if(AND(S35=FALSE,T35=FALSE),,if(S35=T35,JOIN("""",""Static: "",S35),JOIN("""",""Min:  "",S35, CHAR(10),""Max: "",T35)))"),"")</f>
        <v/>
      </c>
      <c r="S35" s="55" t="str">
        <f t="array" ref="S35">_xlfn.XLOOKUP(B35,'Up Min'!A:A,'Up Min'!E:E,)</f>
        <v/>
      </c>
      <c r="T35" s="55" t="str">
        <f t="array" ref="T35">_xlfn.XLOOKUP(B35,'Up Max'!A:A,'Up Max'!E:E,)</f>
        <v/>
      </c>
      <c r="U35" s="57" t="str">
        <f t="array" ref="U35">_xlfn.XLOOKUP(B35,'Up Stats'!A:A,'Up Stats'!F:F,)</f>
        <v/>
      </c>
      <c r="V35" s="54" t="str">
        <f>IFERROR(__xludf.DUMMYFUNCTION("if(AND(W35=FALSE,X35=FALSE),,if(W35=X35,JOIN("""",""Static: "",W35),JOIN("""",""Min:  "",W35, CHAR(10),""Max: "",X35)))"),"")</f>
        <v/>
      </c>
      <c r="W35" s="55" t="str">
        <f t="array" ref="W35">_xlfn.XLOOKUP(B35,'Up Min'!A:A,'Up Min'!F:F,)</f>
        <v/>
      </c>
      <c r="X35" s="55" t="str">
        <f t="array" ref="X35">_xlfn.XLOOKUP(B35,'Up Max'!A:A,'Up Max'!F:F,)</f>
        <v/>
      </c>
      <c r="Y35" s="57" t="str">
        <f t="array" ref="Y35">_xlfn.XLOOKUP(B35,'Up Stats'!A:A,'Up Stats'!G:G,)</f>
        <v/>
      </c>
      <c r="Z35" s="54" t="str">
        <f>IFERROR(__xludf.DUMMYFUNCTION("if(AND(AA35=FALSE,AB35=FALSE),,if(AA35=AB35,JOIN("""",""Static: "",AA35),JOIN("""",""Min:  "",AA35, CHAR(10),""Max: "",AB35)))"),"")</f>
        <v/>
      </c>
      <c r="AA35" s="55" t="str">
        <f t="array" ref="AA35">_xlfn.XLOOKUP(B35,'Up Min'!A:A,'Up Min'!G:G,)</f>
        <v/>
      </c>
      <c r="AB35" s="55" t="str">
        <f t="array" ref="AB35">_xlfn.XLOOKUP(B35,'Up Max'!A:A,'Up Max'!G:G,)</f>
        <v/>
      </c>
      <c r="AC35" s="57" t="str">
        <f t="array" ref="AC35">_xlfn.XLOOKUP(B35,'Up Stats'!A:A,'Up Stats'!H:H,)</f>
        <v/>
      </c>
      <c r="AD35" s="54" t="str">
        <f>IFERROR(__xludf.DUMMYFUNCTION("if(AND(AE35=FALSE,AF35=FALSE),,if(AE35=AF35,JOIN("""",""Static: "",AE35),JOIN("""",""Min:  "",AE35, CHAR(10),""Max: "",AF35)))"),"")</f>
        <v/>
      </c>
      <c r="AE35" s="55" t="str">
        <f t="array" ref="AE35">_xlfn.XLOOKUP(B35,'Up Min'!A:A,'Up Min'!H:H,)</f>
        <v/>
      </c>
      <c r="AF35" s="55" t="str">
        <f t="array" ref="AF35">_xlfn.XLOOKUP(B35,'Up Max'!A:A,'Up Max'!H:H,)</f>
        <v/>
      </c>
      <c r="AG35" s="57" t="str">
        <f t="array" ref="AG35">_xlfn.XLOOKUP(B35,'Up Stats'!A:A,'Up Stats'!I:I,)</f>
        <v/>
      </c>
      <c r="AH35" s="54" t="str">
        <f>IFERROR(__xludf.DUMMYFUNCTION("if(AND(AI35=FALSE,AJ35=FALSE),,if(AI35=AJ35,JOIN("""",""Static: "",AI35),JOIN("""",""Min:  "",AI35, CHAR(10),""Max: "",AJ35)))"),"")</f>
        <v/>
      </c>
      <c r="AI35" s="55" t="str">
        <f t="array" ref="AI35">_xlfn.XLOOKUP(B35,'Up Min'!A:A,'Up Min'!I:I,)</f>
        <v/>
      </c>
      <c r="AJ35" s="55" t="str">
        <f t="array" ref="AJ35">_xlfn.XLOOKUP(B35,'Up Max'!A:A,'Up Max'!I:I,)</f>
        <v/>
      </c>
      <c r="AK35" s="57" t="str">
        <f t="array" ref="AK35">_xlfn.XLOOKUP(B35,'Up Stats'!A:A,'Up Stats'!J:J,)</f>
        <v/>
      </c>
      <c r="AL35" s="54" t="str">
        <f>IFERROR(__xludf.DUMMYFUNCTION("if(AND(AM35=FALSE,AN35=FALSE),,if(AM35=AN35,JOIN("""",""Static: "",AM35),JOIN("""",""Min:  "",AM35, CHAR(10),""Max: "",AN35)))"),"")</f>
        <v/>
      </c>
      <c r="AM35" s="55" t="str">
        <f t="array" ref="AM35">_xlfn.XLOOKUP(B35,'Up Min'!A:A,'Up Min'!J:J,)</f>
        <v/>
      </c>
      <c r="AN35" s="55" t="str">
        <f t="array" ref="AN35">_xlfn.XLOOKUP(B35,'Up Max'!A:A,'Up Max'!J:J,)</f>
        <v/>
      </c>
      <c r="AO35" s="51" t="str">
        <f t="array" ref="AO35">CONCATENATE(_xlfn.XLOOKUP(B35,'Up Cells'!A:A,'Up Cells'!B:B,))</f>
        <v>3</v>
      </c>
      <c r="AP35" s="51" t="str">
        <f t="array" ref="AP35">CONCATENATE(_xlfn.XLOOKUP(B35,'Up Rarity'!A:A,'Up Rarity'!B:B,),CHAR(10),"-")</f>
        <v>Standard
-</v>
      </c>
    </row>
    <row r="36">
      <c r="A36" s="84" t="str">
        <f t="array" ref="A36">_xlfn.XLOOKUP(B36,'Up Icon'!A:A,'Up Icon'!B:B,)</f>
        <v/>
      </c>
      <c r="B36" s="66" t="str">
        <f t="array" ref="B36">HYPERLINK(_xlfn.XLOOKUP('Up Names'!Q34,'Up Wiki'!A:A,'Up Wiki'!B:B,),'Up Names'!Q34)</f>
        <v>Tumbleweed</v>
      </c>
      <c r="C36" s="37" t="str">
        <f t="array" ref="C36">_xlfn.XLOOKUP(B36,'Up Desc'!A:A,'Up Desc'!B:B,)</f>
        <v>Dealing damage extends your slide and increases reload speed.</v>
      </c>
      <c r="D36" s="37" t="str">
        <f t="array" ref="D36">_xlfn.XLOOKUP(B36,'Up Turbo'!A:A,'Up Turbo'!B:B,)</f>
        <v>n/a</v>
      </c>
      <c r="E36" s="39" t="str">
        <f t="array" ref="E36">_xlfn.XLOOKUP(B36,'Up Stats'!A:A,'Up Stats'!B:B,)</f>
        <v>Duration</v>
      </c>
      <c r="F36" s="40" t="str">
        <f>IFERROR(__xludf.DUMMYFUNCTION("if(AND(G36=FALSE,H36=FALSE),,if(G36=H36,JOIN("""",""Static: "",G36),JOIN("""",""Min:  "",G36, CHAR(10),""Max: "",H36)))"),"Min:  50%
Max: 92%")</f>
        <v>Min:  50%
Max: 92%</v>
      </c>
      <c r="G36" s="41">
        <f t="array" ref="G36">_xlfn.XLOOKUP(B36,'Up Min'!A:A,'Up Min'!B:B,)</f>
        <v>0.5</v>
      </c>
      <c r="H36" s="41">
        <f t="array" ref="H36">_xlfn.XLOOKUP(B36,'Up Max'!A:A,'Up Max'!B:B,)</f>
        <v>0.92</v>
      </c>
      <c r="I36" s="39" t="str">
        <f t="array" ref="I36">_xlfn.XLOOKUP(B36,'Up Stats'!A:A,'Up Stats'!C:C,)</f>
        <v/>
      </c>
      <c r="J36" s="40" t="str">
        <f>IFERROR(__xludf.DUMMYFUNCTION("if(AND(K36=FALSE,L36=FALSE),,if(K36=L36,JOIN("""",""Static: "",K36),JOIN("""",""Min:  "",K36, CHAR(10),""Max: "",L36)))"),"")</f>
        <v/>
      </c>
      <c r="K36" s="74" t="str">
        <f t="array" ref="K36">_xlfn.XLOOKUP(B36,'Up Min'!A:A,'Up Min'!C:C,)</f>
        <v/>
      </c>
      <c r="L36" s="74" t="str">
        <f t="array" ref="L36">_xlfn.XLOOKUP(B36,'Up Max'!A:A,'Up Max'!C:C,)</f>
        <v/>
      </c>
      <c r="M36" s="48" t="str">
        <f t="array" ref="M36">_xlfn.XLOOKUP(B36,'Up Stats'!A:A,'Up Stats'!D:D,)</f>
        <v/>
      </c>
      <c r="N36" s="40" t="str">
        <f>IFERROR(__xludf.DUMMYFUNCTION("if(AND(O36=FALSE,P36=FALSE),,if(O36=P36,JOIN("""",""Static: "",O36),JOIN("""",""Min:  "",O36, CHAR(10),""Max: "",P36)))"),"")</f>
        <v/>
      </c>
      <c r="O36" s="42" t="str">
        <f t="array" ref="O36">_xlfn.XLOOKUP(B36,'Up Min'!A:A,'Up Min'!D:D,)</f>
        <v/>
      </c>
      <c r="P36" s="42" t="str">
        <f t="array" ref="P36">_xlfn.XLOOKUP(B36,'Up Max'!A:A,'Up Max'!D:D,)</f>
        <v/>
      </c>
      <c r="Q36" s="48" t="str">
        <f t="array" ref="Q36">_xlfn.XLOOKUP(B36,'Up Stats'!A:A,'Up Stats'!E:E,)</f>
        <v/>
      </c>
      <c r="R36" s="40" t="str">
        <f>IFERROR(__xludf.DUMMYFUNCTION("if(AND(S36=FALSE,T36=FALSE),,if(S36=T36,JOIN("""",""Static: "",S36),JOIN("""",""Min:  "",S36, CHAR(10),""Max: "",T36)))"),"")</f>
        <v/>
      </c>
      <c r="S36" s="42" t="str">
        <f t="array" ref="S36">_xlfn.XLOOKUP(B36,'Up Min'!A:A,'Up Min'!E:E,)</f>
        <v/>
      </c>
      <c r="T36" s="42" t="str">
        <f t="array" ref="T36">_xlfn.XLOOKUP(B36,'Up Max'!A:A,'Up Max'!E:E,)</f>
        <v/>
      </c>
      <c r="U36" s="48" t="str">
        <f t="array" ref="U36">_xlfn.XLOOKUP(B36,'Up Stats'!A:A,'Up Stats'!F:F,)</f>
        <v/>
      </c>
      <c r="V36" s="40" t="str">
        <f>IFERROR(__xludf.DUMMYFUNCTION("if(AND(W36=FALSE,X36=FALSE),,if(W36=X36,JOIN("""",""Static: "",W36),JOIN("""",""Min:  "",W36, CHAR(10),""Max: "",X36)))"),"")</f>
        <v/>
      </c>
      <c r="W36" s="42" t="str">
        <f t="array" ref="W36">_xlfn.XLOOKUP(B36,'Up Min'!A:A,'Up Min'!F:F,)</f>
        <v/>
      </c>
      <c r="X36" s="42" t="str">
        <f t="array" ref="X36">_xlfn.XLOOKUP(B36,'Up Max'!A:A,'Up Max'!F:F,)</f>
        <v/>
      </c>
      <c r="Y36" s="48" t="str">
        <f t="array" ref="Y36">_xlfn.XLOOKUP(B36,'Up Stats'!A:A,'Up Stats'!G:G,)</f>
        <v/>
      </c>
      <c r="Z36" s="40" t="str">
        <f>IFERROR(__xludf.DUMMYFUNCTION("if(AND(AA36=FALSE,AB36=FALSE),,if(AA36=AB36,JOIN("""",""Static: "",AA36),JOIN("""",""Min:  "",AA36, CHAR(10),""Max: "",AB36)))"),"")</f>
        <v/>
      </c>
      <c r="AA36" s="42" t="str">
        <f t="array" ref="AA36">_xlfn.XLOOKUP(B36,'Up Min'!A:A,'Up Min'!G:G,)</f>
        <v/>
      </c>
      <c r="AB36" s="42" t="str">
        <f t="array" ref="AB36">_xlfn.XLOOKUP(B36,'Up Max'!A:A,'Up Max'!G:G,)</f>
        <v/>
      </c>
      <c r="AC36" s="48" t="str">
        <f t="array" ref="AC36">_xlfn.XLOOKUP(B36,'Up Stats'!A:A,'Up Stats'!H:H,)</f>
        <v/>
      </c>
      <c r="AD36" s="40" t="str">
        <f>IFERROR(__xludf.DUMMYFUNCTION("if(AND(AE36=FALSE,AF36=FALSE),,if(AE36=AF36,JOIN("""",""Static: "",AE36),JOIN("""",""Min:  "",AE36, CHAR(10),""Max: "",AF36)))"),"")</f>
        <v/>
      </c>
      <c r="AE36" s="42" t="str">
        <f t="array" ref="AE36">_xlfn.XLOOKUP(B36,'Up Min'!A:A,'Up Min'!H:H,)</f>
        <v/>
      </c>
      <c r="AF36" s="42" t="str">
        <f t="array" ref="AF36">_xlfn.XLOOKUP(B36,'Up Max'!A:A,'Up Max'!H:H,)</f>
        <v/>
      </c>
      <c r="AG36" s="48" t="str">
        <f t="array" ref="AG36">_xlfn.XLOOKUP(B36,'Up Stats'!A:A,'Up Stats'!I:I,)</f>
        <v/>
      </c>
      <c r="AH36" s="40" t="str">
        <f>IFERROR(__xludf.DUMMYFUNCTION("if(AND(AI36=FALSE,AJ36=FALSE),,if(AI36=AJ36,JOIN("""",""Static: "",AI36),JOIN("""",""Min:  "",AI36, CHAR(10),""Max: "",AJ36)))"),"")</f>
        <v/>
      </c>
      <c r="AI36" s="42" t="str">
        <f t="array" ref="AI36">_xlfn.XLOOKUP(B36,'Up Min'!A:A,'Up Min'!I:I,)</f>
        <v/>
      </c>
      <c r="AJ36" s="42" t="str">
        <f t="array" ref="AJ36">_xlfn.XLOOKUP(B36,'Up Max'!A:A,'Up Max'!I:I,)</f>
        <v/>
      </c>
      <c r="AK36" s="48" t="str">
        <f t="array" ref="AK36">_xlfn.XLOOKUP(B36,'Up Stats'!A:A,'Up Stats'!J:J,)</f>
        <v/>
      </c>
      <c r="AL36" s="40" t="str">
        <f>IFERROR(__xludf.DUMMYFUNCTION("if(AND(AM36=FALSE,AN36=FALSE),,if(AM36=AN36,JOIN("""",""Static: "",AM36),JOIN("""",""Min:  "",AM36, CHAR(10),""Max: "",AN36)))"),"")</f>
        <v/>
      </c>
      <c r="AM36" s="42" t="str">
        <f t="array" ref="AM36">_xlfn.XLOOKUP(B36,'Up Min'!A:A,'Up Min'!J:J,)</f>
        <v/>
      </c>
      <c r="AN36" s="42" t="str">
        <f t="array" ref="AN36">_xlfn.XLOOKUP(B36,'Up Max'!A:A,'Up Max'!J:J,)</f>
        <v/>
      </c>
      <c r="AO36" s="34" t="str">
        <f t="array" ref="AO36">CONCATENATE(_xlfn.XLOOKUP(B36,'Up Cells'!A:A,'Up Cells'!B:B,))</f>
        <v>4</v>
      </c>
      <c r="AP36" s="34" t="str">
        <f t="array" ref="AP36">CONCATENATE(_xlfn.XLOOKUP(B36,'Up Rarity'!A:A,'Up Rarity'!B:B,),CHAR(10),"-")</f>
        <v>Standard
-</v>
      </c>
    </row>
    <row r="37">
      <c r="A37" s="84" t="str">
        <f t="array" ref="A37">_xlfn.XLOOKUP(B37,'Up Icon'!A:A,'Up Icon'!B:B,)</f>
        <v/>
      </c>
      <c r="B37" s="63" t="str">
        <f t="array" ref="B37">HYPERLINK(_xlfn.XLOOKUP('Up Names'!Q35,'Up Wiki'!A:A,'Up Wiki'!B:B,),'Up Names'!Q35)</f>
        <v>Yank Em!</v>
      </c>
      <c r="C37" s="52" t="str">
        <f t="array" ref="C37">_xlfn.XLOOKUP(B37,'Up Desc'!A:A,'Up Desc'!B:B,)</f>
        <v>Rocket Lasso force is increased.</v>
      </c>
      <c r="D37" s="52" t="str">
        <f t="array" ref="D37">_xlfn.XLOOKUP(B37,'Up Turbo'!A:A,'Up Turbo'!B:B,)</f>
        <v>n/a</v>
      </c>
      <c r="E37" s="53" t="str">
        <f t="array" ref="E37">_xlfn.XLOOKUP(B37,'Up Stats'!A:A,'Up Stats'!B:B,)</f>
        <v>Rocket Force</v>
      </c>
      <c r="F37" s="54" t="str">
        <f>IFERROR(__xludf.DUMMYFUNCTION("if(AND(G37=FALSE,H37=FALSE),,if(G37=H37,JOIN("""",""Static: "",G37),JOIN("""",""Min:  "",G37, CHAR(10),""Max: "",H37)))"),"Min:  20%
Max: 35%")</f>
        <v>Min:  20%
Max: 35%</v>
      </c>
      <c r="G37" s="72">
        <f t="array" ref="G37">_xlfn.XLOOKUP(B37,'Up Min'!A:A,'Up Min'!B:B,)</f>
        <v>0.2</v>
      </c>
      <c r="H37" s="72">
        <f t="array" ref="H37">_xlfn.XLOOKUP(B37,'Up Max'!A:A,'Up Max'!B:B,)</f>
        <v>0.35</v>
      </c>
      <c r="I37" s="53" t="str">
        <f t="array" ref="I37">_xlfn.XLOOKUP(B37,'Up Stats'!A:A,'Up Stats'!C:C,)</f>
        <v/>
      </c>
      <c r="J37" s="54" t="str">
        <f>IFERROR(__xludf.DUMMYFUNCTION("if(AND(K37=FALSE,L37=FALSE),,if(K37=L37,JOIN("""",""Static: "",K37),JOIN("""",""Min:  "",K37, CHAR(10),""Max: "",L37)))"),"")</f>
        <v/>
      </c>
      <c r="K37" s="72" t="str">
        <f t="array" ref="K37">_xlfn.XLOOKUP(B37,'Up Min'!A:A,'Up Min'!C:C,)</f>
        <v/>
      </c>
      <c r="L37" s="72" t="str">
        <f t="array" ref="L37">_xlfn.XLOOKUP(B37,'Up Max'!A:A,'Up Max'!C:C,)</f>
        <v/>
      </c>
      <c r="M37" s="57" t="str">
        <f t="array" ref="M37">_xlfn.XLOOKUP(B37,'Up Stats'!A:A,'Up Stats'!D:D,)</f>
        <v/>
      </c>
      <c r="N37" s="54" t="str">
        <f>IFERROR(__xludf.DUMMYFUNCTION("if(AND(O37=FALSE,P37=FALSE),,if(O37=P37,JOIN("""",""Static: "",O37),JOIN("""",""Min:  "",O37, CHAR(10),""Max: "",P37)))"),"")</f>
        <v/>
      </c>
      <c r="O37" s="55" t="str">
        <f t="array" ref="O37">_xlfn.XLOOKUP(B37,'Up Min'!A:A,'Up Min'!D:D,)</f>
        <v/>
      </c>
      <c r="P37" s="55" t="str">
        <f t="array" ref="P37">_xlfn.XLOOKUP(B37,'Up Max'!A:A,'Up Max'!D:D,)</f>
        <v/>
      </c>
      <c r="Q37" s="57" t="str">
        <f t="array" ref="Q37">_xlfn.XLOOKUP(B37,'Up Stats'!A:A,'Up Stats'!E:E,)</f>
        <v/>
      </c>
      <c r="R37" s="54" t="str">
        <f>IFERROR(__xludf.DUMMYFUNCTION("if(AND(S37=FALSE,T37=FALSE),,if(S37=T37,JOIN("""",""Static: "",S37),JOIN("""",""Min:  "",S37, CHAR(10),""Max: "",T37)))"),"")</f>
        <v/>
      </c>
      <c r="S37" s="55" t="str">
        <f t="array" ref="S37">_xlfn.XLOOKUP(B37,'Up Min'!A:A,'Up Min'!E:E,)</f>
        <v/>
      </c>
      <c r="T37" s="55" t="str">
        <f t="array" ref="T37">_xlfn.XLOOKUP(B37,'Up Max'!A:A,'Up Max'!E:E,)</f>
        <v/>
      </c>
      <c r="U37" s="57" t="str">
        <f t="array" ref="U37">_xlfn.XLOOKUP(B37,'Up Stats'!A:A,'Up Stats'!F:F,)</f>
        <v/>
      </c>
      <c r="V37" s="54" t="str">
        <f>IFERROR(__xludf.DUMMYFUNCTION("if(AND(W37=FALSE,X37=FALSE),,if(W37=X37,JOIN("""",""Static: "",W37),JOIN("""",""Min:  "",W37, CHAR(10),""Max: "",X37)))"),"")</f>
        <v/>
      </c>
      <c r="W37" s="55" t="str">
        <f t="array" ref="W37">_xlfn.XLOOKUP(B37,'Up Min'!A:A,'Up Min'!F:F,)</f>
        <v/>
      </c>
      <c r="X37" s="55" t="str">
        <f t="array" ref="X37">_xlfn.XLOOKUP(B37,'Up Max'!A:A,'Up Max'!F:F,)</f>
        <v/>
      </c>
      <c r="Y37" s="57" t="str">
        <f t="array" ref="Y37">_xlfn.XLOOKUP(B37,'Up Stats'!A:A,'Up Stats'!G:G,)</f>
        <v/>
      </c>
      <c r="Z37" s="54" t="str">
        <f>IFERROR(__xludf.DUMMYFUNCTION("if(AND(AA37=FALSE,AB37=FALSE),,if(AA37=AB37,JOIN("""",""Static: "",AA37),JOIN("""",""Min:  "",AA37, CHAR(10),""Max: "",AB37)))"),"")</f>
        <v/>
      </c>
      <c r="AA37" s="55" t="str">
        <f t="array" ref="AA37">_xlfn.XLOOKUP(B37,'Up Min'!A:A,'Up Min'!G:G,)</f>
        <v/>
      </c>
      <c r="AB37" s="55" t="str">
        <f t="array" ref="AB37">_xlfn.XLOOKUP(B37,'Up Max'!A:A,'Up Max'!G:G,)</f>
        <v/>
      </c>
      <c r="AC37" s="57" t="str">
        <f t="array" ref="AC37">_xlfn.XLOOKUP(B37,'Up Stats'!A:A,'Up Stats'!H:H,)</f>
        <v/>
      </c>
      <c r="AD37" s="54" t="str">
        <f>IFERROR(__xludf.DUMMYFUNCTION("if(AND(AE37=FALSE,AF37=FALSE),,if(AE37=AF37,JOIN("""",""Static: "",AE37),JOIN("""",""Min:  "",AE37, CHAR(10),""Max: "",AF37)))"),"")</f>
        <v/>
      </c>
      <c r="AE37" s="55" t="str">
        <f t="array" ref="AE37">_xlfn.XLOOKUP(B37,'Up Min'!A:A,'Up Min'!H:H,)</f>
        <v/>
      </c>
      <c r="AF37" s="55" t="str">
        <f t="array" ref="AF37">_xlfn.XLOOKUP(B37,'Up Max'!A:A,'Up Max'!H:H,)</f>
        <v/>
      </c>
      <c r="AG37" s="57" t="str">
        <f t="array" ref="AG37">_xlfn.XLOOKUP(B37,'Up Stats'!A:A,'Up Stats'!I:I,)</f>
        <v/>
      </c>
      <c r="AH37" s="54" t="str">
        <f>IFERROR(__xludf.DUMMYFUNCTION("if(AND(AI37=FALSE,AJ37=FALSE),,if(AI37=AJ37,JOIN("""",""Static: "",AI37),JOIN("""",""Min:  "",AI37, CHAR(10),""Max: "",AJ37)))"),"")</f>
        <v/>
      </c>
      <c r="AI37" s="55" t="str">
        <f t="array" ref="AI37">_xlfn.XLOOKUP(B37,'Up Min'!A:A,'Up Min'!I:I,)</f>
        <v/>
      </c>
      <c r="AJ37" s="55" t="str">
        <f t="array" ref="AJ37">_xlfn.XLOOKUP(B37,'Up Max'!A:A,'Up Max'!I:I,)</f>
        <v/>
      </c>
      <c r="AK37" s="57" t="str">
        <f t="array" ref="AK37">_xlfn.XLOOKUP(B37,'Up Stats'!A:A,'Up Stats'!J:J,)</f>
        <v/>
      </c>
      <c r="AL37" s="54" t="str">
        <f>IFERROR(__xludf.DUMMYFUNCTION("if(AND(AM37=FALSE,AN37=FALSE),,if(AM37=AN37,JOIN("""",""Static: "",AM37),JOIN("""",""Min:  "",AM37, CHAR(10),""Max: "",AN37)))"),"")</f>
        <v/>
      </c>
      <c r="AM37" s="55" t="str">
        <f t="array" ref="AM37">_xlfn.XLOOKUP(B37,'Up Min'!A:A,'Up Min'!J:J,)</f>
        <v/>
      </c>
      <c r="AN37" s="55" t="str">
        <f t="array" ref="AN37">_xlfn.XLOOKUP(B37,'Up Max'!A:A,'Up Max'!J:J,)</f>
        <v/>
      </c>
      <c r="AO37" s="51" t="str">
        <f t="array" ref="AO37">CONCATENATE(_xlfn.XLOOKUP(B37,'Up Cells'!A:A,'Up Cells'!B:B,))</f>
        <v>3</v>
      </c>
      <c r="AP37" s="51" t="str">
        <f t="array" ref="AP37">CONCATENATE(_xlfn.XLOOKUP(B37,'Up Rarity'!A:A,'Up Rarity'!B:B,),CHAR(10),"-")</f>
        <v>Standard
-</v>
      </c>
    </row>
    <row r="38">
      <c r="A38" s="87" t="str">
        <f t="array" ref="A38">_xlfn.XLOOKUP(B38,'Up Icon'!A:A,'Up Icon'!B:B,)</f>
        <v/>
      </c>
      <c r="B38" s="34" t="str">
        <f t="array" ref="B38">HYPERLINK(_xlfn.XLOOKUP('Up Names'!Q38,'Up Wiki'!A:A,'Up Wiki'!B:B,),'Up Names'!Q38)</f>
        <v/>
      </c>
      <c r="C38" s="37" t="str">
        <f t="array" ref="C38">_xlfn.XLOOKUP(B38,'Up Desc'!A:A,'Up Desc'!B:B,)</f>
        <v/>
      </c>
      <c r="D38" s="37" t="str">
        <f t="array" ref="D38">_xlfn.XLOOKUP(B38,'Up Turbo'!A:A,'Up Turbo'!B:B,)</f>
        <v/>
      </c>
      <c r="E38" s="39" t="str">
        <f t="array" ref="E38">_xlfn.XLOOKUP(B38,'Up Stats'!A:A,'Up Stats'!B:B,)</f>
        <v/>
      </c>
      <c r="F38" s="40" t="str">
        <f>IFERROR(__xludf.DUMMYFUNCTION("if(AND(G38=FALSE,H38=FALSE),,if(G38=H38,JOIN("""",""Static: "",G38),JOIN("""",""Min:  "",G38, CHAR(10),""Max: "",H38)))"),"")</f>
        <v/>
      </c>
      <c r="G38" s="42" t="str">
        <f t="array" ref="G38">_xlfn.XLOOKUP(B38,'Up Min'!A:A,'Up Min'!B:B,)</f>
        <v/>
      </c>
      <c r="H38" s="45" t="str">
        <f t="array" ref="H38">_xlfn.XLOOKUP(B38,'Up Max'!A:A,'Up Max'!B:B,)</f>
        <v/>
      </c>
      <c r="I38" s="39" t="str">
        <f t="array" ref="I38">_xlfn.XLOOKUP(B38,'Up Stats'!A:A,'Up Stats'!C:C,)</f>
        <v/>
      </c>
      <c r="J38" s="40" t="str">
        <f>IFERROR(__xludf.DUMMYFUNCTION("if(AND(K38=FALSE,L38=FALSE),,if(K38=L38,JOIN("""",""Static: "",K38),JOIN("""",""Min:  "",K38, CHAR(10),""Max: "",L38)))"),"")</f>
        <v/>
      </c>
      <c r="K38" s="42" t="str">
        <f t="array" ref="K38">_xlfn.XLOOKUP(B38,'Up Min'!A:A,'Up Min'!C:C,)</f>
        <v/>
      </c>
      <c r="L38" s="42" t="str">
        <f t="array" ref="L38">_xlfn.XLOOKUP(B38,'Up Max'!A:A,'Up Max'!C:C,)</f>
        <v/>
      </c>
      <c r="M38" s="48" t="str">
        <f t="array" ref="M38">_xlfn.XLOOKUP(B38,'Up Stats'!A:A,'Up Stats'!D:D,)</f>
        <v/>
      </c>
      <c r="N38" s="40" t="str">
        <f>IFERROR(__xludf.DUMMYFUNCTION("if(AND(O38=FALSE,P38=FALSE),,if(O38=P38,JOIN("""",""Static: "",O38),JOIN("""",""Min:  "",O38, CHAR(10),""Max: "",P38)))"),"")</f>
        <v/>
      </c>
      <c r="O38" s="42" t="str">
        <f t="array" ref="O38">_xlfn.XLOOKUP(B38,'Up Min'!A:A,'Up Min'!D:D,)</f>
        <v/>
      </c>
      <c r="P38" s="42" t="str">
        <f t="array" ref="P38">_xlfn.XLOOKUP(B38,'Up Max'!A:A,'Up Max'!D:D,)</f>
        <v/>
      </c>
      <c r="Q38" s="48" t="str">
        <f t="array" ref="Q38">_xlfn.XLOOKUP(B38,'Up Stats'!A:A,'Up Stats'!E:E,)</f>
        <v/>
      </c>
      <c r="R38" s="40" t="str">
        <f>IFERROR(__xludf.DUMMYFUNCTION("if(AND(S38=FALSE,T38=FALSE),,if(S38=T38,JOIN("""",""Static: "",S38),JOIN("""",""Min:  "",S38, CHAR(10),""Max: "",T38)))"),"")</f>
        <v/>
      </c>
      <c r="S38" s="42" t="str">
        <f t="array" ref="S38">_xlfn.XLOOKUP(B38,'Up Min'!A:A,'Up Min'!E:E,)</f>
        <v/>
      </c>
      <c r="T38" s="42" t="str">
        <f t="array" ref="T38">_xlfn.XLOOKUP(B38,'Up Max'!A:A,'Up Max'!E:E,)</f>
        <v/>
      </c>
      <c r="U38" s="48" t="str">
        <f t="array" ref="U38">_xlfn.XLOOKUP(B38,'Up Stats'!A:A,'Up Stats'!F:F,)</f>
        <v/>
      </c>
      <c r="V38" s="40" t="str">
        <f>IFERROR(__xludf.DUMMYFUNCTION("if(AND(W38=FALSE,X38=FALSE),,if(W38=X38,JOIN("""",""Static: "",W38),JOIN("""",""Min:  "",W38, CHAR(10),""Max: "",X38)))"),"")</f>
        <v/>
      </c>
      <c r="W38" s="42" t="str">
        <f t="array" ref="W38">_xlfn.XLOOKUP(B38,'Up Min'!A:A,'Up Min'!F:F,)</f>
        <v/>
      </c>
      <c r="X38" s="42" t="str">
        <f t="array" ref="X38">_xlfn.XLOOKUP(B38,'Up Max'!A:A,'Up Max'!F:F,)</f>
        <v/>
      </c>
      <c r="Y38" s="48" t="str">
        <f t="array" ref="Y38">_xlfn.XLOOKUP(B38,'Up Stats'!A:A,'Up Stats'!G:G,)</f>
        <v/>
      </c>
      <c r="Z38" s="40" t="str">
        <f>IFERROR(__xludf.DUMMYFUNCTION("if(AND(AA38=FALSE,AB38=FALSE),,if(AA38=AB38,JOIN("""",""Static: "",AA38),JOIN("""",""Min:  "",AA38, CHAR(10),""Max: "",AB38)))"),"")</f>
        <v/>
      </c>
      <c r="AA38" s="42" t="str">
        <f t="array" ref="AA38">_xlfn.XLOOKUP(B38,'Up Min'!A:A,'Up Min'!G:G,)</f>
        <v/>
      </c>
      <c r="AB38" s="42" t="str">
        <f t="array" ref="AB38">_xlfn.XLOOKUP(B38,'Up Max'!A:A,'Up Max'!G:G,)</f>
        <v/>
      </c>
      <c r="AC38" s="48" t="str">
        <f t="array" ref="AC38">_xlfn.XLOOKUP(B38,'Up Stats'!A:A,'Up Stats'!H:H,)</f>
        <v/>
      </c>
      <c r="AD38" s="40" t="str">
        <f>IFERROR(__xludf.DUMMYFUNCTION("if(AND(AE38=FALSE,AF38=FALSE),,if(AE38=AF38,JOIN("""",""Static: "",AE38),JOIN("""",""Min:  "",AE38, CHAR(10),""Max: "",AF38)))"),"")</f>
        <v/>
      </c>
      <c r="AE38" s="42" t="str">
        <f t="array" ref="AE38">_xlfn.XLOOKUP(B38,'Up Min'!A:A,'Up Min'!H:H,)</f>
        <v/>
      </c>
      <c r="AF38" s="42" t="str">
        <f t="array" ref="AF38">_xlfn.XLOOKUP(B38,'Up Max'!A:A,'Up Max'!H:H,)</f>
        <v/>
      </c>
      <c r="AG38" s="48" t="str">
        <f t="array" ref="AG38">_xlfn.XLOOKUP(B38,'Up Stats'!A:A,'Up Stats'!I:I,)</f>
        <v/>
      </c>
      <c r="AH38" s="40" t="str">
        <f>IFERROR(__xludf.DUMMYFUNCTION("if(AND(AI38=FALSE,AJ38=FALSE),,if(AI38=AJ38,JOIN("""",""Static: "",AI38),JOIN("""",""Min:  "",AI38, CHAR(10),""Max: "",AJ38)))"),"")</f>
        <v/>
      </c>
      <c r="AI38" s="42" t="str">
        <f t="array" ref="AI38">_xlfn.XLOOKUP(B38,'Up Min'!A:A,'Up Min'!I:I,)</f>
        <v/>
      </c>
      <c r="AJ38" s="42" t="str">
        <f t="array" ref="AJ38">_xlfn.XLOOKUP(B38,'Up Max'!A:A,'Up Max'!I:I,)</f>
        <v/>
      </c>
      <c r="AK38" s="48" t="str">
        <f t="array" ref="AK38">_xlfn.XLOOKUP(B38,'Up Stats'!A:A,'Up Stats'!J:J,)</f>
        <v/>
      </c>
      <c r="AL38" s="40" t="str">
        <f>IFERROR(__xludf.DUMMYFUNCTION("if(AND(AM38=FALSE,AN38=FALSE),,if(AM38=AN38,JOIN("""",""Static: "",AM38),JOIN("""",""Min:  "",AM38, CHAR(10),""Max: "",AN38)))"),"")</f>
        <v/>
      </c>
      <c r="AM38" s="42" t="str">
        <f t="array" ref="AM38">_xlfn.XLOOKUP(B38,'Up Min'!A:A,'Up Min'!J:J,)</f>
        <v/>
      </c>
      <c r="AN38" s="42" t="str">
        <f t="array" ref="AN38">_xlfn.XLOOKUP(B38,'Up Max'!A:A,'Up Max'!J:J,)</f>
        <v/>
      </c>
      <c r="AO38" s="34" t="str">
        <f t="array" ref="AO38">CONCATENATE(_xlfn.XLOOKUP(B38,'Up Cells'!A:A,'Up Cells'!B:B,))</f>
        <v/>
      </c>
      <c r="AP38" s="34" t="str">
        <f t="array" ref="AP38">CONCATENATE(_xlfn.XLOOKUP(B38,'Up Rarity'!A:A,'Up Rarity'!B:B,),CHAR(10),"-")</f>
        <v>
-</v>
      </c>
    </row>
    <row r="39">
      <c r="A39" s="86" t="str">
        <f t="array" ref="A39">_xlfn.XLOOKUP(B39,'Up Icon'!A:A,'Up Icon'!B:B,)</f>
        <v/>
      </c>
      <c r="B39" s="51" t="str">
        <f t="array" ref="B39">HYPERLINK(_xlfn.XLOOKUP('Up Names'!Q39,'Up Wiki'!A:A,'Up Wiki'!B:B,),'Up Names'!Q39)</f>
        <v/>
      </c>
      <c r="C39" s="52" t="str">
        <f t="array" ref="C39">_xlfn.XLOOKUP(B39,'Up Desc'!A:A,'Up Desc'!B:B,)</f>
        <v/>
      </c>
      <c r="D39" s="52" t="str">
        <f t="array" ref="D39">_xlfn.XLOOKUP(B39,'Up Turbo'!A:A,'Up Turbo'!B:B,)</f>
        <v/>
      </c>
      <c r="E39" s="53" t="str">
        <f t="array" ref="E39">_xlfn.XLOOKUP(B39,'Up Stats'!A:A,'Up Stats'!B:B,)</f>
        <v/>
      </c>
      <c r="F39" s="54" t="str">
        <f>IFERROR(__xludf.DUMMYFUNCTION("if(AND(G39=FALSE,H39=FALSE),,if(G39=H39,JOIN("""",""Static: "",G39),JOIN("""",""Min:  "",G39, CHAR(10),""Max: "",H39)))"),"")</f>
        <v/>
      </c>
      <c r="G39" s="55" t="str">
        <f t="array" ref="G39">_xlfn.XLOOKUP(B39,'Up Min'!A:A,'Up Min'!B:B,)</f>
        <v/>
      </c>
      <c r="H39" s="56" t="str">
        <f t="array" ref="H39">_xlfn.XLOOKUP(B39,'Up Max'!A:A,'Up Max'!B:B,)</f>
        <v/>
      </c>
      <c r="I39" s="53" t="str">
        <f t="array" ref="I39">_xlfn.XLOOKUP(B39,'Up Stats'!A:A,'Up Stats'!C:C,)</f>
        <v/>
      </c>
      <c r="J39" s="54" t="str">
        <f>IFERROR(__xludf.DUMMYFUNCTION("if(AND(K39=FALSE,L39=FALSE),,if(K39=L39,JOIN("""",""Static: "",K39),JOIN("""",""Min:  "",K39, CHAR(10),""Max: "",L39)))"),"")</f>
        <v/>
      </c>
      <c r="K39" s="55" t="str">
        <f t="array" ref="K39">_xlfn.XLOOKUP(B39,'Up Min'!A:A,'Up Min'!C:C,)</f>
        <v/>
      </c>
      <c r="L39" s="55" t="str">
        <f t="array" ref="L39">_xlfn.XLOOKUP(B39,'Up Max'!A:A,'Up Max'!C:C,)</f>
        <v/>
      </c>
      <c r="M39" s="57" t="str">
        <f t="array" ref="M39">_xlfn.XLOOKUP(B39,'Up Stats'!A:A,'Up Stats'!D:D,)</f>
        <v/>
      </c>
      <c r="N39" s="54" t="str">
        <f>IFERROR(__xludf.DUMMYFUNCTION("if(AND(O39=FALSE,P39=FALSE),,if(O39=P39,JOIN("""",""Static: "",O39),JOIN("""",""Min:  "",O39, CHAR(10),""Max: "",P39)))"),"")</f>
        <v/>
      </c>
      <c r="O39" s="55" t="str">
        <f t="array" ref="O39">_xlfn.XLOOKUP(B39,'Up Min'!A:A,'Up Min'!D:D,)</f>
        <v/>
      </c>
      <c r="P39" s="55" t="str">
        <f t="array" ref="P39">_xlfn.XLOOKUP(B39,'Up Max'!A:A,'Up Max'!D:D,)</f>
        <v/>
      </c>
      <c r="Q39" s="57" t="str">
        <f t="array" ref="Q39">_xlfn.XLOOKUP(B39,'Up Stats'!A:A,'Up Stats'!E:E,)</f>
        <v/>
      </c>
      <c r="R39" s="54" t="str">
        <f>IFERROR(__xludf.DUMMYFUNCTION("if(AND(S39=FALSE,T39=FALSE),,if(S39=T39,JOIN("""",""Static: "",S39),JOIN("""",""Min:  "",S39, CHAR(10),""Max: "",T39)))"),"")</f>
        <v/>
      </c>
      <c r="S39" s="55" t="str">
        <f t="array" ref="S39">_xlfn.XLOOKUP(B39,'Up Min'!A:A,'Up Min'!E:E,)</f>
        <v/>
      </c>
      <c r="T39" s="55" t="str">
        <f t="array" ref="T39">_xlfn.XLOOKUP(B39,'Up Max'!A:A,'Up Max'!E:E,)</f>
        <v/>
      </c>
      <c r="U39" s="57" t="str">
        <f t="array" ref="U39">_xlfn.XLOOKUP(B39,'Up Stats'!A:A,'Up Stats'!F:F,)</f>
        <v/>
      </c>
      <c r="V39" s="54" t="str">
        <f>IFERROR(__xludf.DUMMYFUNCTION("if(AND(W39=FALSE,X39=FALSE),,if(W39=X39,JOIN("""",""Static: "",W39),JOIN("""",""Min:  "",W39, CHAR(10),""Max: "",X39)))"),"")</f>
        <v/>
      </c>
      <c r="W39" s="55" t="str">
        <f t="array" ref="W39">_xlfn.XLOOKUP(B39,'Up Min'!A:A,'Up Min'!F:F,)</f>
        <v/>
      </c>
      <c r="X39" s="55" t="str">
        <f t="array" ref="X39">_xlfn.XLOOKUP(B39,'Up Max'!A:A,'Up Max'!F:F,)</f>
        <v/>
      </c>
      <c r="Y39" s="57" t="str">
        <f t="array" ref="Y39">_xlfn.XLOOKUP(B39,'Up Stats'!A:A,'Up Stats'!G:G,)</f>
        <v/>
      </c>
      <c r="Z39" s="54" t="str">
        <f>IFERROR(__xludf.DUMMYFUNCTION("if(AND(AA39=FALSE,AB39=FALSE),,if(AA39=AB39,JOIN("""",""Static: "",AA39),JOIN("""",""Min:  "",AA39, CHAR(10),""Max: "",AB39)))"),"")</f>
        <v/>
      </c>
      <c r="AA39" s="55" t="str">
        <f t="array" ref="AA39">_xlfn.XLOOKUP(B39,'Up Min'!A:A,'Up Min'!G:G,)</f>
        <v/>
      </c>
      <c r="AB39" s="55" t="str">
        <f t="array" ref="AB39">_xlfn.XLOOKUP(B39,'Up Max'!A:A,'Up Max'!G:G,)</f>
        <v/>
      </c>
      <c r="AC39" s="57" t="str">
        <f t="array" ref="AC39">_xlfn.XLOOKUP(B39,'Up Stats'!A:A,'Up Stats'!H:H,)</f>
        <v/>
      </c>
      <c r="AD39" s="54" t="str">
        <f>IFERROR(__xludf.DUMMYFUNCTION("if(AND(AE39=FALSE,AF39=FALSE),,if(AE39=AF39,JOIN("""",""Static: "",AE39),JOIN("""",""Min:  "",AE39, CHAR(10),""Max: "",AF39)))"),"")</f>
        <v/>
      </c>
      <c r="AE39" s="55" t="str">
        <f t="array" ref="AE39">_xlfn.XLOOKUP(B39,'Up Min'!A:A,'Up Min'!H:H,)</f>
        <v/>
      </c>
      <c r="AF39" s="55" t="str">
        <f t="array" ref="AF39">_xlfn.XLOOKUP(B39,'Up Max'!A:A,'Up Max'!H:H,)</f>
        <v/>
      </c>
      <c r="AG39" s="57" t="str">
        <f t="array" ref="AG39">_xlfn.XLOOKUP(B39,'Up Stats'!A:A,'Up Stats'!I:I,)</f>
        <v/>
      </c>
      <c r="AH39" s="54" t="str">
        <f>IFERROR(__xludf.DUMMYFUNCTION("if(AND(AI39=FALSE,AJ39=FALSE),,if(AI39=AJ39,JOIN("""",""Static: "",AI39),JOIN("""",""Min:  "",AI39, CHAR(10),""Max: "",AJ39)))"),"")</f>
        <v/>
      </c>
      <c r="AI39" s="55" t="str">
        <f t="array" ref="AI39">_xlfn.XLOOKUP(B39,'Up Min'!A:A,'Up Min'!I:I,)</f>
        <v/>
      </c>
      <c r="AJ39" s="55" t="str">
        <f t="array" ref="AJ39">_xlfn.XLOOKUP(B39,'Up Max'!A:A,'Up Max'!I:I,)</f>
        <v/>
      </c>
      <c r="AK39" s="57" t="str">
        <f t="array" ref="AK39">_xlfn.XLOOKUP(B39,'Up Stats'!A:A,'Up Stats'!J:J,)</f>
        <v/>
      </c>
      <c r="AL39" s="54" t="str">
        <f>IFERROR(__xludf.DUMMYFUNCTION("if(AND(AM39=FALSE,AN39=FALSE),,if(AM39=AN39,JOIN("""",""Static: "",AM39),JOIN("""",""Min:  "",AM39, CHAR(10),""Max: "",AN39)))"),"")</f>
        <v/>
      </c>
      <c r="AM39" s="55" t="str">
        <f t="array" ref="AM39">_xlfn.XLOOKUP(B39,'Up Min'!A:A,'Up Min'!J:J,)</f>
        <v/>
      </c>
      <c r="AN39" s="55" t="str">
        <f t="array" ref="AN39">_xlfn.XLOOKUP(B39,'Up Max'!A:A,'Up Max'!J:J,)</f>
        <v/>
      </c>
      <c r="AO39" s="51" t="str">
        <f t="array" ref="AO39">CONCATENATE(_xlfn.XLOOKUP(B39,'Up Cells'!A:A,'Up Cells'!B:B,))</f>
        <v/>
      </c>
      <c r="AP39" s="51" t="str">
        <f t="array" ref="AP39">CONCATENATE(_xlfn.XLOOKUP(B39,'Up Rarity'!A:A,'Up Rarity'!B:B,),CHAR(10),"-")</f>
        <v>
-</v>
      </c>
    </row>
    <row r="40">
      <c r="A40" s="87" t="str">
        <f t="array" ref="A40">_xlfn.XLOOKUP(B40,'Up Icon'!A:A,'Up Icon'!B:B,)</f>
        <v/>
      </c>
      <c r="B40" s="34" t="str">
        <f t="array" ref="B40">HYPERLINK(_xlfn.XLOOKUP('Up Names'!Q40,'Up Wiki'!A:A,'Up Wiki'!B:B,),'Up Names'!Q40)</f>
        <v/>
      </c>
      <c r="C40" s="37" t="str">
        <f t="array" ref="C40">_xlfn.XLOOKUP(B40,'Up Desc'!A:A,'Up Desc'!B:B,)</f>
        <v/>
      </c>
      <c r="D40" s="37" t="str">
        <f t="array" ref="D40">_xlfn.XLOOKUP(B40,'Up Turbo'!A:A,'Up Turbo'!B:B,)</f>
        <v/>
      </c>
      <c r="E40" s="39" t="str">
        <f t="array" ref="E40">_xlfn.XLOOKUP(B40,'Up Stats'!A:A,'Up Stats'!B:B,)</f>
        <v/>
      </c>
      <c r="F40" s="40" t="str">
        <f>IFERROR(__xludf.DUMMYFUNCTION("if(AND(G40=FALSE,H40=FALSE),,if(G40=H40,JOIN("""",""Static: "",G40),JOIN("""",""Min:  "",G40, CHAR(10),""Max: "",H40)))"),"")</f>
        <v/>
      </c>
      <c r="G40" s="42" t="str">
        <f t="array" ref="G40">_xlfn.XLOOKUP(B40,'Up Min'!A:A,'Up Min'!B:B,)</f>
        <v/>
      </c>
      <c r="H40" s="45" t="str">
        <f t="array" ref="H40">_xlfn.XLOOKUP(B40,'Up Max'!A:A,'Up Max'!B:B,)</f>
        <v/>
      </c>
      <c r="I40" s="39" t="str">
        <f t="array" ref="I40">_xlfn.XLOOKUP(B40,'Up Stats'!A:A,'Up Stats'!C:C,)</f>
        <v/>
      </c>
      <c r="J40" s="40" t="str">
        <f>IFERROR(__xludf.DUMMYFUNCTION("if(AND(K40=FALSE,L40=FALSE),,if(K40=L40,JOIN("""",""Static: "",K40),JOIN("""",""Min:  "",K40, CHAR(10),""Max: "",L40)))"),"")</f>
        <v/>
      </c>
      <c r="K40" s="42" t="str">
        <f t="array" ref="K40">_xlfn.XLOOKUP(B40,'Up Min'!A:A,'Up Min'!C:C,)</f>
        <v/>
      </c>
      <c r="L40" s="42" t="str">
        <f t="array" ref="L40">_xlfn.XLOOKUP(B40,'Up Max'!A:A,'Up Max'!C:C,)</f>
        <v/>
      </c>
      <c r="M40" s="48" t="str">
        <f t="array" ref="M40">_xlfn.XLOOKUP(B40,'Up Stats'!A:A,'Up Stats'!D:D,)</f>
        <v/>
      </c>
      <c r="N40" s="40" t="str">
        <f>IFERROR(__xludf.DUMMYFUNCTION("if(AND(O40=FALSE,P40=FALSE),,if(O40=P40,JOIN("""",""Static: "",O40),JOIN("""",""Min:  "",O40, CHAR(10),""Max: "",P40)))"),"")</f>
        <v/>
      </c>
      <c r="O40" s="42" t="str">
        <f t="array" ref="O40">_xlfn.XLOOKUP(B40,'Up Min'!A:A,'Up Min'!D:D,)</f>
        <v/>
      </c>
      <c r="P40" s="42" t="str">
        <f t="array" ref="P40">_xlfn.XLOOKUP(B40,'Up Max'!A:A,'Up Max'!D:D,)</f>
        <v/>
      </c>
      <c r="Q40" s="48" t="str">
        <f t="array" ref="Q40">_xlfn.XLOOKUP(B40,'Up Stats'!A:A,'Up Stats'!E:E,)</f>
        <v/>
      </c>
      <c r="R40" s="40" t="str">
        <f>IFERROR(__xludf.DUMMYFUNCTION("if(AND(S40=FALSE,T40=FALSE),,if(S40=T40,JOIN("""",""Static: "",S40),JOIN("""",""Min:  "",S40, CHAR(10),""Max: "",T40)))"),"")</f>
        <v/>
      </c>
      <c r="S40" s="42" t="str">
        <f t="array" ref="S40">_xlfn.XLOOKUP(B40,'Up Min'!A:A,'Up Min'!E:E,)</f>
        <v/>
      </c>
      <c r="T40" s="42" t="str">
        <f t="array" ref="T40">_xlfn.XLOOKUP(B40,'Up Max'!A:A,'Up Max'!E:E,)</f>
        <v/>
      </c>
      <c r="U40" s="48" t="str">
        <f t="array" ref="U40">_xlfn.XLOOKUP(B40,'Up Stats'!A:A,'Up Stats'!F:F,)</f>
        <v/>
      </c>
      <c r="V40" s="40" t="str">
        <f>IFERROR(__xludf.DUMMYFUNCTION("if(AND(W40=FALSE,X40=FALSE),,if(W40=X40,JOIN("""",""Static: "",W40),JOIN("""",""Min:  "",W40, CHAR(10),""Max: "",X40)))"),"")</f>
        <v/>
      </c>
      <c r="W40" s="42" t="str">
        <f t="array" ref="W40">_xlfn.XLOOKUP(B40,'Up Min'!A:A,'Up Min'!F:F,)</f>
        <v/>
      </c>
      <c r="X40" s="42" t="str">
        <f t="array" ref="X40">_xlfn.XLOOKUP(B40,'Up Max'!A:A,'Up Max'!F:F,)</f>
        <v/>
      </c>
      <c r="Y40" s="48" t="str">
        <f t="array" ref="Y40">_xlfn.XLOOKUP(B40,'Up Stats'!A:A,'Up Stats'!G:G,)</f>
        <v/>
      </c>
      <c r="Z40" s="40" t="str">
        <f>IFERROR(__xludf.DUMMYFUNCTION("if(AND(AA40=FALSE,AB40=FALSE),,if(AA40=AB40,JOIN("""",""Static: "",AA40),JOIN("""",""Min:  "",AA40, CHAR(10),""Max: "",AB40)))"),"")</f>
        <v/>
      </c>
      <c r="AA40" s="42" t="str">
        <f t="array" ref="AA40">_xlfn.XLOOKUP(B40,'Up Min'!A:A,'Up Min'!G:G,)</f>
        <v/>
      </c>
      <c r="AB40" s="42" t="str">
        <f t="array" ref="AB40">_xlfn.XLOOKUP(B40,'Up Max'!A:A,'Up Max'!G:G,)</f>
        <v/>
      </c>
      <c r="AC40" s="48" t="str">
        <f t="array" ref="AC40">_xlfn.XLOOKUP(B40,'Up Stats'!A:A,'Up Stats'!H:H,)</f>
        <v/>
      </c>
      <c r="AD40" s="40" t="str">
        <f>IFERROR(__xludf.DUMMYFUNCTION("if(AND(AE40=FALSE,AF40=FALSE),,if(AE40=AF40,JOIN("""",""Static: "",AE40),JOIN("""",""Min:  "",AE40, CHAR(10),""Max: "",AF40)))"),"")</f>
        <v/>
      </c>
      <c r="AE40" s="42" t="str">
        <f t="array" ref="AE40">_xlfn.XLOOKUP(B40,'Up Min'!A:A,'Up Min'!H:H,)</f>
        <v/>
      </c>
      <c r="AF40" s="42" t="str">
        <f t="array" ref="AF40">_xlfn.XLOOKUP(B40,'Up Max'!A:A,'Up Max'!H:H,)</f>
        <v/>
      </c>
      <c r="AG40" s="48" t="str">
        <f t="array" ref="AG40">_xlfn.XLOOKUP(B40,'Up Stats'!A:A,'Up Stats'!I:I,)</f>
        <v/>
      </c>
      <c r="AH40" s="40" t="str">
        <f>IFERROR(__xludf.DUMMYFUNCTION("if(AND(AI40=FALSE,AJ40=FALSE),,if(AI40=AJ40,JOIN("""",""Static: "",AI40),JOIN("""",""Min:  "",AI40, CHAR(10),""Max: "",AJ40)))"),"")</f>
        <v/>
      </c>
      <c r="AI40" s="42" t="str">
        <f t="array" ref="AI40">_xlfn.XLOOKUP(B40,'Up Min'!A:A,'Up Min'!I:I,)</f>
        <v/>
      </c>
      <c r="AJ40" s="42" t="str">
        <f t="array" ref="AJ40">_xlfn.XLOOKUP(B40,'Up Max'!A:A,'Up Max'!I:I,)</f>
        <v/>
      </c>
      <c r="AK40" s="48" t="str">
        <f t="array" ref="AK40">_xlfn.XLOOKUP(B40,'Up Stats'!A:A,'Up Stats'!J:J,)</f>
        <v/>
      </c>
      <c r="AL40" s="40" t="str">
        <f>IFERROR(__xludf.DUMMYFUNCTION("if(AND(AM40=FALSE,AN40=FALSE),,if(AM40=AN40,JOIN("""",""Static: "",AM40),JOIN("""",""Min:  "",AM40, CHAR(10),""Max: "",AN40)))"),"")</f>
        <v/>
      </c>
      <c r="AM40" s="42" t="str">
        <f t="array" ref="AM40">_xlfn.XLOOKUP(B40,'Up Min'!A:A,'Up Min'!J:J,)</f>
        <v/>
      </c>
      <c r="AN40" s="42" t="str">
        <f t="array" ref="AN40">_xlfn.XLOOKUP(B40,'Up Max'!A:A,'Up Max'!J:J,)</f>
        <v/>
      </c>
      <c r="AO40" s="34" t="str">
        <f t="array" ref="AO40">CONCATENATE(_xlfn.XLOOKUP(B40,'Up Cells'!A:A,'Up Cells'!B:B,))</f>
        <v/>
      </c>
      <c r="AP40" s="34" t="str">
        <f t="array" ref="AP40">CONCATENATE(_xlfn.XLOOKUP(B40,'Up Rarity'!A:A,'Up Rarity'!B:B,),CHAR(10),"-")</f>
        <v>
-</v>
      </c>
    </row>
    <row r="41">
      <c r="A41" s="86" t="str">
        <f t="array" ref="A41">_xlfn.XLOOKUP(B41,'Up Icon'!A:A,'Up Icon'!B:B,)</f>
        <v/>
      </c>
      <c r="B41" s="51" t="str">
        <f t="array" ref="B41">HYPERLINK(_xlfn.XLOOKUP('Up Names'!Q41,'Up Wiki'!A:A,'Up Wiki'!B:B,),'Up Names'!Q41)</f>
        <v/>
      </c>
      <c r="C41" s="52" t="str">
        <f t="array" ref="C41">_xlfn.XLOOKUP(B41,'Up Desc'!A:A,'Up Desc'!B:B,)</f>
        <v/>
      </c>
      <c r="D41" s="52" t="str">
        <f t="array" ref="D41">_xlfn.XLOOKUP(B41,'Up Turbo'!A:A,'Up Turbo'!B:B,)</f>
        <v/>
      </c>
      <c r="E41" s="53" t="str">
        <f t="array" ref="E41">_xlfn.XLOOKUP(B41,'Up Stats'!A:A,'Up Stats'!B:B,)</f>
        <v/>
      </c>
      <c r="F41" s="54" t="str">
        <f>IFERROR(__xludf.DUMMYFUNCTION("if(AND(G41=FALSE,H41=FALSE),,if(G41=H41,JOIN("""",""Static: "",G41),JOIN("""",""Min:  "",G41, CHAR(10),""Max: "",H41)))"),"")</f>
        <v/>
      </c>
      <c r="G41" s="55" t="str">
        <f t="array" ref="G41">_xlfn.XLOOKUP(B41,'Up Min'!A:A,'Up Min'!B:B,)</f>
        <v/>
      </c>
      <c r="H41" s="56" t="str">
        <f t="array" ref="H41">_xlfn.XLOOKUP(B41,'Up Max'!A:A,'Up Max'!B:B,)</f>
        <v/>
      </c>
      <c r="I41" s="53" t="str">
        <f t="array" ref="I41">_xlfn.XLOOKUP(B41,'Up Stats'!A:A,'Up Stats'!C:C,)</f>
        <v/>
      </c>
      <c r="J41" s="54" t="str">
        <f>IFERROR(__xludf.DUMMYFUNCTION("if(AND(K41=FALSE,L41=FALSE),,if(K41=L41,JOIN("""",""Static: "",K41),JOIN("""",""Min:  "",K41, CHAR(10),""Max: "",L41)))"),"")</f>
        <v/>
      </c>
      <c r="K41" s="55" t="str">
        <f t="array" ref="K41">_xlfn.XLOOKUP(B41,'Up Min'!A:A,'Up Min'!C:C,)</f>
        <v/>
      </c>
      <c r="L41" s="55" t="str">
        <f t="array" ref="L41">_xlfn.XLOOKUP(B41,'Up Max'!A:A,'Up Max'!C:C,)</f>
        <v/>
      </c>
      <c r="M41" s="57" t="str">
        <f t="array" ref="M41">_xlfn.XLOOKUP(B41,'Up Stats'!A:A,'Up Stats'!D:D,)</f>
        <v/>
      </c>
      <c r="N41" s="54" t="str">
        <f>IFERROR(__xludf.DUMMYFUNCTION("if(AND(O41=FALSE,P41=FALSE),,if(O41=P41,JOIN("""",""Static: "",O41),JOIN("""",""Min:  "",O41, CHAR(10),""Max: "",P41)))"),"")</f>
        <v/>
      </c>
      <c r="O41" s="55" t="str">
        <f t="array" ref="O41">_xlfn.XLOOKUP(B41,'Up Min'!A:A,'Up Min'!D:D,)</f>
        <v/>
      </c>
      <c r="P41" s="55" t="str">
        <f t="array" ref="P41">_xlfn.XLOOKUP(B41,'Up Max'!A:A,'Up Max'!D:D,)</f>
        <v/>
      </c>
      <c r="Q41" s="57" t="str">
        <f t="array" ref="Q41">_xlfn.XLOOKUP(B41,'Up Stats'!A:A,'Up Stats'!E:E,)</f>
        <v/>
      </c>
      <c r="R41" s="54" t="str">
        <f>IFERROR(__xludf.DUMMYFUNCTION("if(AND(S41=FALSE,T41=FALSE),,if(S41=T41,JOIN("""",""Static: "",S41),JOIN("""",""Min:  "",S41, CHAR(10),""Max: "",T41)))"),"")</f>
        <v/>
      </c>
      <c r="S41" s="55" t="str">
        <f t="array" ref="S41">_xlfn.XLOOKUP(B41,'Up Min'!A:A,'Up Min'!E:E,)</f>
        <v/>
      </c>
      <c r="T41" s="55" t="str">
        <f t="array" ref="T41">_xlfn.XLOOKUP(B41,'Up Max'!A:A,'Up Max'!E:E,)</f>
        <v/>
      </c>
      <c r="U41" s="57" t="str">
        <f t="array" ref="U41">_xlfn.XLOOKUP(B41,'Up Stats'!A:A,'Up Stats'!F:F,)</f>
        <v/>
      </c>
      <c r="V41" s="54" t="str">
        <f>IFERROR(__xludf.DUMMYFUNCTION("if(AND(W41=FALSE,X41=FALSE),,if(W41=X41,JOIN("""",""Static: "",W41),JOIN("""",""Min:  "",W41, CHAR(10),""Max: "",X41)))"),"")</f>
        <v/>
      </c>
      <c r="W41" s="55" t="str">
        <f t="array" ref="W41">_xlfn.XLOOKUP(B41,'Up Min'!A:A,'Up Min'!F:F,)</f>
        <v/>
      </c>
      <c r="X41" s="55" t="str">
        <f t="array" ref="X41">_xlfn.XLOOKUP(B41,'Up Max'!A:A,'Up Max'!F:F,)</f>
        <v/>
      </c>
      <c r="Y41" s="57" t="str">
        <f t="array" ref="Y41">_xlfn.XLOOKUP(B41,'Up Stats'!A:A,'Up Stats'!G:G,)</f>
        <v/>
      </c>
      <c r="Z41" s="54" t="str">
        <f>IFERROR(__xludf.DUMMYFUNCTION("if(AND(AA41=FALSE,AB41=FALSE),,if(AA41=AB41,JOIN("""",""Static: "",AA41),JOIN("""",""Min:  "",AA41, CHAR(10),""Max: "",AB41)))"),"")</f>
        <v/>
      </c>
      <c r="AA41" s="55" t="str">
        <f t="array" ref="AA41">_xlfn.XLOOKUP(B41,'Up Min'!A:A,'Up Min'!G:G,)</f>
        <v/>
      </c>
      <c r="AB41" s="55" t="str">
        <f t="array" ref="AB41">_xlfn.XLOOKUP(B41,'Up Max'!A:A,'Up Max'!G:G,)</f>
        <v/>
      </c>
      <c r="AC41" s="57" t="str">
        <f t="array" ref="AC41">_xlfn.XLOOKUP(B41,'Up Stats'!A:A,'Up Stats'!H:H,)</f>
        <v/>
      </c>
      <c r="AD41" s="54" t="str">
        <f>IFERROR(__xludf.DUMMYFUNCTION("if(AND(AE41=FALSE,AF41=FALSE),,if(AE41=AF41,JOIN("""",""Static: "",AE41),JOIN("""",""Min:  "",AE41, CHAR(10),""Max: "",AF41)))"),"")</f>
        <v/>
      </c>
      <c r="AE41" s="55" t="str">
        <f t="array" ref="AE41">_xlfn.XLOOKUP(B41,'Up Min'!A:A,'Up Min'!H:H,)</f>
        <v/>
      </c>
      <c r="AF41" s="55" t="str">
        <f t="array" ref="AF41">_xlfn.XLOOKUP(B41,'Up Max'!A:A,'Up Max'!H:H,)</f>
        <v/>
      </c>
      <c r="AG41" s="57" t="str">
        <f t="array" ref="AG41">_xlfn.XLOOKUP(B41,'Up Stats'!A:A,'Up Stats'!I:I,)</f>
        <v/>
      </c>
      <c r="AH41" s="54" t="str">
        <f>IFERROR(__xludf.DUMMYFUNCTION("if(AND(AI41=FALSE,AJ41=FALSE),,if(AI41=AJ41,JOIN("""",""Static: "",AI41),JOIN("""",""Min:  "",AI41, CHAR(10),""Max: "",AJ41)))"),"")</f>
        <v/>
      </c>
      <c r="AI41" s="55" t="str">
        <f t="array" ref="AI41">_xlfn.XLOOKUP(B41,'Up Min'!A:A,'Up Min'!I:I,)</f>
        <v/>
      </c>
      <c r="AJ41" s="55" t="str">
        <f t="array" ref="AJ41">_xlfn.XLOOKUP(B41,'Up Max'!A:A,'Up Max'!I:I,)</f>
        <v/>
      </c>
      <c r="AK41" s="57" t="str">
        <f t="array" ref="AK41">_xlfn.XLOOKUP(B41,'Up Stats'!A:A,'Up Stats'!J:J,)</f>
        <v/>
      </c>
      <c r="AL41" s="54" t="str">
        <f>IFERROR(__xludf.DUMMYFUNCTION("if(AND(AM41=FALSE,AN41=FALSE),,if(AM41=AN41,JOIN("""",""Static: "",AM41),JOIN("""",""Min:  "",AM41, CHAR(10),""Max: "",AN41)))"),"")</f>
        <v/>
      </c>
      <c r="AM41" s="55" t="str">
        <f t="array" ref="AM41">_xlfn.XLOOKUP(B41,'Up Min'!A:A,'Up Min'!J:J,)</f>
        <v/>
      </c>
      <c r="AN41" s="55" t="str">
        <f t="array" ref="AN41">_xlfn.XLOOKUP(B41,'Up Max'!A:A,'Up Max'!J:J,)</f>
        <v/>
      </c>
      <c r="AO41" s="51" t="str">
        <f t="array" ref="AO41">CONCATENATE(_xlfn.XLOOKUP(B41,'Up Cells'!A:A,'Up Cells'!B:B,))</f>
        <v/>
      </c>
      <c r="AP41" s="51" t="str">
        <f t="array" ref="AP41">CONCATENATE(_xlfn.XLOOKUP(B41,'Up Rarity'!A:A,'Up Rarity'!B:B,),CHAR(10),"-")</f>
        <v>
-</v>
      </c>
    </row>
    <row r="42">
      <c r="A42" s="87" t="str">
        <f t="array" ref="A42">_xlfn.XLOOKUP(B42,'Up Icon'!A:A,'Up Icon'!B:B,)</f>
        <v/>
      </c>
      <c r="B42" s="34" t="str">
        <f t="array" ref="B42">HYPERLINK(_xlfn.XLOOKUP('Up Names'!Q42,'Up Wiki'!A:A,'Up Wiki'!B:B,),'Up Names'!Q42)</f>
        <v/>
      </c>
      <c r="C42" s="37" t="str">
        <f t="array" ref="C42">_xlfn.XLOOKUP(B42,'Up Desc'!A:A,'Up Desc'!B:B,)</f>
        <v/>
      </c>
      <c r="D42" s="37" t="str">
        <f t="array" ref="D42">_xlfn.XLOOKUP(B42,'Up Turbo'!A:A,'Up Turbo'!B:B,)</f>
        <v/>
      </c>
      <c r="E42" s="39" t="str">
        <f t="array" ref="E42">_xlfn.XLOOKUP(B42,'Up Stats'!A:A,'Up Stats'!B:B,)</f>
        <v/>
      </c>
      <c r="F42" s="40" t="str">
        <f>IFERROR(__xludf.DUMMYFUNCTION("if(AND(G42=FALSE,H42=FALSE),,if(G42=H42,JOIN("""",""Static: "",G42),JOIN("""",""Min:  "",G42, CHAR(10),""Max: "",H42)))"),"")</f>
        <v/>
      </c>
      <c r="G42" s="42" t="str">
        <f t="array" ref="G42">_xlfn.XLOOKUP(B42,'Up Min'!A:A,'Up Min'!B:B,)</f>
        <v/>
      </c>
      <c r="H42" s="45" t="str">
        <f t="array" ref="H42">_xlfn.XLOOKUP(B42,'Up Max'!A:A,'Up Max'!B:B,)</f>
        <v/>
      </c>
      <c r="I42" s="39" t="str">
        <f t="array" ref="I42">_xlfn.XLOOKUP(B42,'Up Stats'!A:A,'Up Stats'!C:C,)</f>
        <v/>
      </c>
      <c r="J42" s="40" t="str">
        <f>IFERROR(__xludf.DUMMYFUNCTION("if(AND(K42=FALSE,L42=FALSE),,if(K42=L42,JOIN("""",""Static: "",K42),JOIN("""",""Min:  "",K42, CHAR(10),""Max: "",L42)))"),"")</f>
        <v/>
      </c>
      <c r="K42" s="42" t="str">
        <f t="array" ref="K42">_xlfn.XLOOKUP(B42,'Up Min'!A:A,'Up Min'!C:C,)</f>
        <v/>
      </c>
      <c r="L42" s="42" t="str">
        <f t="array" ref="L42">_xlfn.XLOOKUP(B42,'Up Max'!A:A,'Up Max'!C:C,)</f>
        <v/>
      </c>
      <c r="M42" s="48" t="str">
        <f t="array" ref="M42">_xlfn.XLOOKUP(B42,'Up Stats'!A:A,'Up Stats'!D:D,)</f>
        <v/>
      </c>
      <c r="N42" s="40" t="str">
        <f>IFERROR(__xludf.DUMMYFUNCTION("if(AND(O42=FALSE,P42=FALSE),,if(O42=P42,JOIN("""",""Static: "",O42),JOIN("""",""Min:  "",O42, CHAR(10),""Max: "",P42)))"),"")</f>
        <v/>
      </c>
      <c r="O42" s="42" t="str">
        <f t="array" ref="O42">_xlfn.XLOOKUP(B42,'Up Min'!A:A,'Up Min'!D:D,)</f>
        <v/>
      </c>
      <c r="P42" s="42" t="str">
        <f t="array" ref="P42">_xlfn.XLOOKUP(B42,'Up Max'!A:A,'Up Max'!D:D,)</f>
        <v/>
      </c>
      <c r="Q42" s="48" t="str">
        <f t="array" ref="Q42">_xlfn.XLOOKUP(B42,'Up Stats'!A:A,'Up Stats'!E:E,)</f>
        <v/>
      </c>
      <c r="R42" s="40" t="str">
        <f>IFERROR(__xludf.DUMMYFUNCTION("if(AND(S42=FALSE,T42=FALSE),,if(S42=T42,JOIN("""",""Static: "",S42),JOIN("""",""Min:  "",S42, CHAR(10),""Max: "",T42)))"),"")</f>
        <v/>
      </c>
      <c r="S42" s="42" t="str">
        <f t="array" ref="S42">_xlfn.XLOOKUP(B42,'Up Min'!A:A,'Up Min'!E:E,)</f>
        <v/>
      </c>
      <c r="T42" s="42" t="str">
        <f t="array" ref="T42">_xlfn.XLOOKUP(B42,'Up Max'!A:A,'Up Max'!E:E,)</f>
        <v/>
      </c>
      <c r="U42" s="48" t="str">
        <f t="array" ref="U42">_xlfn.XLOOKUP(B42,'Up Stats'!A:A,'Up Stats'!F:F,)</f>
        <v/>
      </c>
      <c r="V42" s="40" t="str">
        <f>IFERROR(__xludf.DUMMYFUNCTION("if(AND(W42=FALSE,X42=FALSE),,if(W42=X42,JOIN("""",""Static: "",W42),JOIN("""",""Min:  "",W42, CHAR(10),""Max: "",X42)))"),"")</f>
        <v/>
      </c>
      <c r="W42" s="42" t="str">
        <f t="array" ref="W42">_xlfn.XLOOKUP(B42,'Up Min'!A:A,'Up Min'!F:F,)</f>
        <v/>
      </c>
      <c r="X42" s="42" t="str">
        <f t="array" ref="X42">_xlfn.XLOOKUP(B42,'Up Max'!A:A,'Up Max'!F:F,)</f>
        <v/>
      </c>
      <c r="Y42" s="48" t="str">
        <f t="array" ref="Y42">_xlfn.XLOOKUP(B42,'Up Stats'!A:A,'Up Stats'!G:G,)</f>
        <v/>
      </c>
      <c r="Z42" s="40" t="str">
        <f>IFERROR(__xludf.DUMMYFUNCTION("if(AND(AA42=FALSE,AB42=FALSE),,if(AA42=AB42,JOIN("""",""Static: "",AA42),JOIN("""",""Min:  "",AA42, CHAR(10),""Max: "",AB42)))"),"")</f>
        <v/>
      </c>
      <c r="AA42" s="42" t="str">
        <f t="array" ref="AA42">_xlfn.XLOOKUP(B42,'Up Min'!A:A,'Up Min'!G:G,)</f>
        <v/>
      </c>
      <c r="AB42" s="42" t="str">
        <f t="array" ref="AB42">_xlfn.XLOOKUP(B42,'Up Max'!A:A,'Up Max'!G:G,)</f>
        <v/>
      </c>
      <c r="AC42" s="48" t="str">
        <f t="array" ref="AC42">_xlfn.XLOOKUP(B42,'Up Stats'!A:A,'Up Stats'!H:H,)</f>
        <v/>
      </c>
      <c r="AD42" s="40" t="str">
        <f>IFERROR(__xludf.DUMMYFUNCTION("if(AND(AE42=FALSE,AF42=FALSE),,if(AE42=AF42,JOIN("""",""Static: "",AE42),JOIN("""",""Min:  "",AE42, CHAR(10),""Max: "",AF42)))"),"")</f>
        <v/>
      </c>
      <c r="AE42" s="42" t="str">
        <f t="array" ref="AE42">_xlfn.XLOOKUP(B42,'Up Min'!A:A,'Up Min'!H:H,)</f>
        <v/>
      </c>
      <c r="AF42" s="42" t="str">
        <f t="array" ref="AF42">_xlfn.XLOOKUP(B42,'Up Max'!A:A,'Up Max'!H:H,)</f>
        <v/>
      </c>
      <c r="AG42" s="48" t="str">
        <f t="array" ref="AG42">_xlfn.XLOOKUP(B42,'Up Stats'!A:A,'Up Stats'!I:I,)</f>
        <v/>
      </c>
      <c r="AH42" s="40" t="str">
        <f>IFERROR(__xludf.DUMMYFUNCTION("if(AND(AI42=FALSE,AJ42=FALSE),,if(AI42=AJ42,JOIN("""",""Static: "",AI42),JOIN("""",""Min:  "",AI42, CHAR(10),""Max: "",AJ42)))"),"")</f>
        <v/>
      </c>
      <c r="AI42" s="42" t="str">
        <f t="array" ref="AI42">_xlfn.XLOOKUP(B42,'Up Min'!A:A,'Up Min'!I:I,)</f>
        <v/>
      </c>
      <c r="AJ42" s="42" t="str">
        <f t="array" ref="AJ42">_xlfn.XLOOKUP(B42,'Up Max'!A:A,'Up Max'!I:I,)</f>
        <v/>
      </c>
      <c r="AK42" s="48" t="str">
        <f t="array" ref="AK42">_xlfn.XLOOKUP(B42,'Up Stats'!A:A,'Up Stats'!J:J,)</f>
        <v/>
      </c>
      <c r="AL42" s="40" t="str">
        <f>IFERROR(__xludf.DUMMYFUNCTION("if(AND(AM42=FALSE,AN42=FALSE),,if(AM42=AN42,JOIN("""",""Static: "",AM42),JOIN("""",""Min:  "",AM42, CHAR(10),""Max: "",AN42)))"),"")</f>
        <v/>
      </c>
      <c r="AM42" s="42" t="str">
        <f t="array" ref="AM42">_xlfn.XLOOKUP(B42,'Up Min'!A:A,'Up Min'!J:J,)</f>
        <v/>
      </c>
      <c r="AN42" s="42" t="str">
        <f t="array" ref="AN42">_xlfn.XLOOKUP(B42,'Up Max'!A:A,'Up Max'!J:J,)</f>
        <v/>
      </c>
      <c r="AO42" s="34" t="str">
        <f t="array" ref="AO42">CONCATENATE(_xlfn.XLOOKUP(B42,'Up Cells'!A:A,'Up Cells'!B:B,))</f>
        <v/>
      </c>
      <c r="AP42" s="34" t="str">
        <f t="array" ref="AP42">CONCATENATE(_xlfn.XLOOKUP(B42,'Up Rarity'!A:A,'Up Rarity'!B:B,),CHAR(10),"-")</f>
        <v>
-</v>
      </c>
    </row>
    <row r="43">
      <c r="A43" s="86" t="str">
        <f t="array" ref="A43">_xlfn.XLOOKUP(B43,'Up Icon'!A:A,'Up Icon'!B:B,)</f>
        <v/>
      </c>
      <c r="B43" s="51" t="str">
        <f t="array" ref="B43">HYPERLINK(_xlfn.XLOOKUP('Up Names'!Q43,'Up Wiki'!A:A,'Up Wiki'!B:B,),'Up Names'!Q43)</f>
        <v/>
      </c>
      <c r="C43" s="52" t="str">
        <f t="array" ref="C43">_xlfn.XLOOKUP(B43,'Up Desc'!A:A,'Up Desc'!B:B,)</f>
        <v/>
      </c>
      <c r="D43" s="52" t="str">
        <f t="array" ref="D43">_xlfn.XLOOKUP(B43,'Up Turbo'!A:A,'Up Turbo'!B:B,)</f>
        <v/>
      </c>
      <c r="E43" s="53" t="str">
        <f t="array" ref="E43">_xlfn.XLOOKUP(B43,'Up Stats'!A:A,'Up Stats'!B:B,)</f>
        <v/>
      </c>
      <c r="F43" s="54" t="str">
        <f>IFERROR(__xludf.DUMMYFUNCTION("if(AND(G43=FALSE,H43=FALSE),,if(G43=H43,JOIN("""",""Static: "",G43),JOIN("""",""Min:  "",G43, CHAR(10),""Max: "",H43)))"),"")</f>
        <v/>
      </c>
      <c r="G43" s="55" t="str">
        <f t="array" ref="G43">_xlfn.XLOOKUP(B43,'Up Min'!A:A,'Up Min'!B:B,)</f>
        <v/>
      </c>
      <c r="H43" s="56" t="str">
        <f t="array" ref="H43">_xlfn.XLOOKUP(B43,'Up Max'!A:A,'Up Max'!B:B,)</f>
        <v/>
      </c>
      <c r="I43" s="53" t="str">
        <f t="array" ref="I43">_xlfn.XLOOKUP(B43,'Up Stats'!A:A,'Up Stats'!C:C,)</f>
        <v/>
      </c>
      <c r="J43" s="54" t="str">
        <f>IFERROR(__xludf.DUMMYFUNCTION("if(AND(K43=FALSE,L43=FALSE),,if(K43=L43,JOIN("""",""Static: "",K43),JOIN("""",""Min:  "",K43, CHAR(10),""Max: "",L43)))"),"")</f>
        <v/>
      </c>
      <c r="K43" s="55" t="str">
        <f t="array" ref="K43">_xlfn.XLOOKUP(B43,'Up Min'!A:A,'Up Min'!C:C,)</f>
        <v/>
      </c>
      <c r="L43" s="55" t="str">
        <f t="array" ref="L43">_xlfn.XLOOKUP(B43,'Up Max'!A:A,'Up Max'!C:C,)</f>
        <v/>
      </c>
      <c r="M43" s="57" t="str">
        <f t="array" ref="M43">_xlfn.XLOOKUP(B43,'Up Stats'!A:A,'Up Stats'!D:D,)</f>
        <v/>
      </c>
      <c r="N43" s="54" t="str">
        <f>IFERROR(__xludf.DUMMYFUNCTION("if(AND(O43=FALSE,P43=FALSE),,if(O43=P43,JOIN("""",""Static: "",O43),JOIN("""",""Min:  "",O43, CHAR(10),""Max: "",P43)))"),"")</f>
        <v/>
      </c>
      <c r="O43" s="55" t="str">
        <f t="array" ref="O43">_xlfn.XLOOKUP(B43,'Up Min'!A:A,'Up Min'!D:D,)</f>
        <v/>
      </c>
      <c r="P43" s="55" t="str">
        <f t="array" ref="P43">_xlfn.XLOOKUP(B43,'Up Max'!A:A,'Up Max'!D:D,)</f>
        <v/>
      </c>
      <c r="Q43" s="57" t="str">
        <f t="array" ref="Q43">_xlfn.XLOOKUP(B43,'Up Stats'!A:A,'Up Stats'!E:E,)</f>
        <v/>
      </c>
      <c r="R43" s="54" t="str">
        <f>IFERROR(__xludf.DUMMYFUNCTION("if(AND(S43=FALSE,T43=FALSE),,if(S43=T43,JOIN("""",""Static: "",S43),JOIN("""",""Min:  "",S43, CHAR(10),""Max: "",T43)))"),"")</f>
        <v/>
      </c>
      <c r="S43" s="55" t="str">
        <f t="array" ref="S43">_xlfn.XLOOKUP(B43,'Up Min'!A:A,'Up Min'!E:E,)</f>
        <v/>
      </c>
      <c r="T43" s="55" t="str">
        <f t="array" ref="T43">_xlfn.XLOOKUP(B43,'Up Max'!A:A,'Up Max'!E:E,)</f>
        <v/>
      </c>
      <c r="U43" s="57" t="str">
        <f t="array" ref="U43">_xlfn.XLOOKUP(B43,'Up Stats'!A:A,'Up Stats'!F:F,)</f>
        <v/>
      </c>
      <c r="V43" s="54" t="str">
        <f>IFERROR(__xludf.DUMMYFUNCTION("if(AND(W43=FALSE,X43=FALSE),,if(W43=X43,JOIN("""",""Static: "",W43),JOIN("""",""Min:  "",W43, CHAR(10),""Max: "",X43)))"),"")</f>
        <v/>
      </c>
      <c r="W43" s="55" t="str">
        <f t="array" ref="W43">_xlfn.XLOOKUP(B43,'Up Min'!A:A,'Up Min'!F:F,)</f>
        <v/>
      </c>
      <c r="X43" s="55" t="str">
        <f t="array" ref="X43">_xlfn.XLOOKUP(B43,'Up Max'!A:A,'Up Max'!F:F,)</f>
        <v/>
      </c>
      <c r="Y43" s="57" t="str">
        <f t="array" ref="Y43">_xlfn.XLOOKUP(B43,'Up Stats'!A:A,'Up Stats'!G:G,)</f>
        <v/>
      </c>
      <c r="Z43" s="54" t="str">
        <f>IFERROR(__xludf.DUMMYFUNCTION("if(AND(AA43=FALSE,AB43=FALSE),,if(AA43=AB43,JOIN("""",""Static: "",AA43),JOIN("""",""Min:  "",AA43, CHAR(10),""Max: "",AB43)))"),"")</f>
        <v/>
      </c>
      <c r="AA43" s="55" t="str">
        <f t="array" ref="AA43">_xlfn.XLOOKUP(B43,'Up Min'!A:A,'Up Min'!G:G,)</f>
        <v/>
      </c>
      <c r="AB43" s="55" t="str">
        <f t="array" ref="AB43">_xlfn.XLOOKUP(B43,'Up Max'!A:A,'Up Max'!G:G,)</f>
        <v/>
      </c>
      <c r="AC43" s="57" t="str">
        <f t="array" ref="AC43">_xlfn.XLOOKUP(B43,'Up Stats'!A:A,'Up Stats'!H:H,)</f>
        <v/>
      </c>
      <c r="AD43" s="54" t="str">
        <f>IFERROR(__xludf.DUMMYFUNCTION("if(AND(AE43=FALSE,AF43=FALSE),,if(AE43=AF43,JOIN("""",""Static: "",AE43),JOIN("""",""Min:  "",AE43, CHAR(10),""Max: "",AF43)))"),"")</f>
        <v/>
      </c>
      <c r="AE43" s="55" t="str">
        <f t="array" ref="AE43">_xlfn.XLOOKUP(B43,'Up Min'!A:A,'Up Min'!H:H,)</f>
        <v/>
      </c>
      <c r="AF43" s="55" t="str">
        <f t="array" ref="AF43">_xlfn.XLOOKUP(B43,'Up Max'!A:A,'Up Max'!H:H,)</f>
        <v/>
      </c>
      <c r="AG43" s="57" t="str">
        <f t="array" ref="AG43">_xlfn.XLOOKUP(B43,'Up Stats'!A:A,'Up Stats'!I:I,)</f>
        <v/>
      </c>
      <c r="AH43" s="54" t="str">
        <f>IFERROR(__xludf.DUMMYFUNCTION("if(AND(AI43=FALSE,AJ43=FALSE),,if(AI43=AJ43,JOIN("""",""Static: "",AI43),JOIN("""",""Min:  "",AI43, CHAR(10),""Max: "",AJ43)))"),"")</f>
        <v/>
      </c>
      <c r="AI43" s="55" t="str">
        <f t="array" ref="AI43">_xlfn.XLOOKUP(B43,'Up Min'!A:A,'Up Min'!I:I,)</f>
        <v/>
      </c>
      <c r="AJ43" s="55" t="str">
        <f t="array" ref="AJ43">_xlfn.XLOOKUP(B43,'Up Max'!A:A,'Up Max'!I:I,)</f>
        <v/>
      </c>
      <c r="AK43" s="57" t="str">
        <f t="array" ref="AK43">_xlfn.XLOOKUP(B43,'Up Stats'!A:A,'Up Stats'!J:J,)</f>
        <v/>
      </c>
      <c r="AL43" s="54" t="str">
        <f>IFERROR(__xludf.DUMMYFUNCTION("if(AND(AM43=FALSE,AN43=FALSE),,if(AM43=AN43,JOIN("""",""Static: "",AM43),JOIN("""",""Min:  "",AM43, CHAR(10),""Max: "",AN43)))"),"")</f>
        <v/>
      </c>
      <c r="AM43" s="55" t="str">
        <f t="array" ref="AM43">_xlfn.XLOOKUP(B43,'Up Min'!A:A,'Up Min'!J:J,)</f>
        <v/>
      </c>
      <c r="AN43" s="55" t="str">
        <f t="array" ref="AN43">_xlfn.XLOOKUP(B43,'Up Max'!A:A,'Up Max'!J:J,)</f>
        <v/>
      </c>
      <c r="AO43" s="51" t="str">
        <f t="array" ref="AO43">CONCATENATE(_xlfn.XLOOKUP(B43,'Up Cells'!A:A,'Up Cells'!B:B,))</f>
        <v/>
      </c>
      <c r="AP43" s="51" t="str">
        <f t="array" ref="AP43">CONCATENATE(_xlfn.XLOOKUP(B43,'Up Rarity'!A:A,'Up Rarity'!B:B,),CHAR(10),"-")</f>
        <v>
-</v>
      </c>
    </row>
    <row r="44">
      <c r="A44" s="87" t="str">
        <f t="array" ref="A44">_xlfn.XLOOKUP(B44,'Up Icon'!A:A,'Up Icon'!B:B,)</f>
        <v/>
      </c>
      <c r="B44" s="34" t="str">
        <f t="array" ref="B44">HYPERLINK(_xlfn.XLOOKUP('Up Names'!Q44,'Up Wiki'!A:A,'Up Wiki'!B:B,),'Up Names'!Q44)</f>
        <v/>
      </c>
      <c r="C44" s="37" t="str">
        <f t="array" ref="C44">_xlfn.XLOOKUP(B44,'Up Desc'!A:A,'Up Desc'!B:B,)</f>
        <v/>
      </c>
      <c r="D44" s="37" t="str">
        <f t="array" ref="D44">_xlfn.XLOOKUP(B44,'Up Turbo'!A:A,'Up Turbo'!B:B,)</f>
        <v/>
      </c>
      <c r="E44" s="39" t="str">
        <f t="array" ref="E44">_xlfn.XLOOKUP(B44,'Up Stats'!A:A,'Up Stats'!B:B,)</f>
        <v/>
      </c>
      <c r="F44" s="40" t="str">
        <f>IFERROR(__xludf.DUMMYFUNCTION("if(AND(G44=FALSE,H44=FALSE),,if(G44=H44,JOIN("""",""Static: "",G44),JOIN("""",""Min:  "",G44, CHAR(10),""Max: "",H44)))"),"")</f>
        <v/>
      </c>
      <c r="G44" s="42" t="str">
        <f t="array" ref="G44">_xlfn.XLOOKUP(B44,'Up Min'!A:A,'Up Min'!B:B,)</f>
        <v/>
      </c>
      <c r="H44" s="45" t="str">
        <f t="array" ref="H44">_xlfn.XLOOKUP(B44,'Up Max'!A:A,'Up Max'!B:B,)</f>
        <v/>
      </c>
      <c r="I44" s="39" t="str">
        <f t="array" ref="I44">_xlfn.XLOOKUP(B44,'Up Stats'!A:A,'Up Stats'!C:C,)</f>
        <v/>
      </c>
      <c r="J44" s="40" t="str">
        <f>IFERROR(__xludf.DUMMYFUNCTION("if(AND(K44=FALSE,L44=FALSE),,if(K44=L44,JOIN("""",""Static: "",K44),JOIN("""",""Min:  "",K44, CHAR(10),""Max: "",L44)))"),"")</f>
        <v/>
      </c>
      <c r="K44" s="42" t="str">
        <f t="array" ref="K44">_xlfn.XLOOKUP(B44,'Up Min'!A:A,'Up Min'!C:C,)</f>
        <v/>
      </c>
      <c r="L44" s="42" t="str">
        <f t="array" ref="L44">_xlfn.XLOOKUP(B44,'Up Max'!A:A,'Up Max'!C:C,)</f>
        <v/>
      </c>
      <c r="M44" s="48" t="str">
        <f t="array" ref="M44">_xlfn.XLOOKUP(B44,'Up Stats'!A:A,'Up Stats'!D:D,)</f>
        <v/>
      </c>
      <c r="N44" s="40" t="str">
        <f>IFERROR(__xludf.DUMMYFUNCTION("if(AND(O44=FALSE,P44=FALSE),,if(O44=P44,JOIN("""",""Static: "",O44),JOIN("""",""Min:  "",O44, CHAR(10),""Max: "",P44)))"),"")</f>
        <v/>
      </c>
      <c r="O44" s="42" t="str">
        <f t="array" ref="O44">_xlfn.XLOOKUP(B44,'Up Min'!A:A,'Up Min'!D:D,)</f>
        <v/>
      </c>
      <c r="P44" s="42" t="str">
        <f t="array" ref="P44">_xlfn.XLOOKUP(B44,'Up Max'!A:A,'Up Max'!D:D,)</f>
        <v/>
      </c>
      <c r="Q44" s="48" t="str">
        <f t="array" ref="Q44">_xlfn.XLOOKUP(B44,'Up Stats'!A:A,'Up Stats'!E:E,)</f>
        <v/>
      </c>
      <c r="R44" s="40" t="str">
        <f>IFERROR(__xludf.DUMMYFUNCTION("if(AND(S44=FALSE,T44=FALSE),,if(S44=T44,JOIN("""",""Static: "",S44),JOIN("""",""Min:  "",S44, CHAR(10),""Max: "",T44)))"),"")</f>
        <v/>
      </c>
      <c r="S44" s="42" t="str">
        <f t="array" ref="S44">_xlfn.XLOOKUP(B44,'Up Min'!A:A,'Up Min'!E:E,)</f>
        <v/>
      </c>
      <c r="T44" s="42" t="str">
        <f t="array" ref="T44">_xlfn.XLOOKUP(B44,'Up Max'!A:A,'Up Max'!E:E,)</f>
        <v/>
      </c>
      <c r="U44" s="48" t="str">
        <f t="array" ref="U44">_xlfn.XLOOKUP(B44,'Up Stats'!A:A,'Up Stats'!F:F,)</f>
        <v/>
      </c>
      <c r="V44" s="40" t="str">
        <f>IFERROR(__xludf.DUMMYFUNCTION("if(AND(W44=FALSE,X44=FALSE),,if(W44=X44,JOIN("""",""Static: "",W44),JOIN("""",""Min:  "",W44, CHAR(10),""Max: "",X44)))"),"")</f>
        <v/>
      </c>
      <c r="W44" s="42" t="str">
        <f t="array" ref="W44">_xlfn.XLOOKUP(B44,'Up Min'!A:A,'Up Min'!F:F,)</f>
        <v/>
      </c>
      <c r="X44" s="42" t="str">
        <f t="array" ref="X44">_xlfn.XLOOKUP(B44,'Up Max'!A:A,'Up Max'!F:F,)</f>
        <v/>
      </c>
      <c r="Y44" s="48" t="str">
        <f t="array" ref="Y44">_xlfn.XLOOKUP(B44,'Up Stats'!A:A,'Up Stats'!G:G,)</f>
        <v/>
      </c>
      <c r="Z44" s="40" t="str">
        <f>IFERROR(__xludf.DUMMYFUNCTION("if(AND(AA44=FALSE,AB44=FALSE),,if(AA44=AB44,JOIN("""",""Static: "",AA44),JOIN("""",""Min:  "",AA44, CHAR(10),""Max: "",AB44)))"),"")</f>
        <v/>
      </c>
      <c r="AA44" s="42" t="str">
        <f t="array" ref="AA44">_xlfn.XLOOKUP(B44,'Up Min'!A:A,'Up Min'!G:G,)</f>
        <v/>
      </c>
      <c r="AB44" s="42" t="str">
        <f t="array" ref="AB44">_xlfn.XLOOKUP(B44,'Up Max'!A:A,'Up Max'!G:G,)</f>
        <v/>
      </c>
      <c r="AC44" s="48" t="str">
        <f t="array" ref="AC44">_xlfn.XLOOKUP(B44,'Up Stats'!A:A,'Up Stats'!H:H,)</f>
        <v/>
      </c>
      <c r="AD44" s="40" t="str">
        <f>IFERROR(__xludf.DUMMYFUNCTION("if(AND(AE44=FALSE,AF44=FALSE),,if(AE44=AF44,JOIN("""",""Static: "",AE44),JOIN("""",""Min:  "",AE44, CHAR(10),""Max: "",AF44)))"),"")</f>
        <v/>
      </c>
      <c r="AE44" s="42" t="str">
        <f t="array" ref="AE44">_xlfn.XLOOKUP(B44,'Up Min'!A:A,'Up Min'!H:H,)</f>
        <v/>
      </c>
      <c r="AF44" s="42" t="str">
        <f t="array" ref="AF44">_xlfn.XLOOKUP(B44,'Up Max'!A:A,'Up Max'!H:H,)</f>
        <v/>
      </c>
      <c r="AG44" s="48" t="str">
        <f t="array" ref="AG44">_xlfn.XLOOKUP(B44,'Up Stats'!A:A,'Up Stats'!I:I,)</f>
        <v/>
      </c>
      <c r="AH44" s="40" t="str">
        <f>IFERROR(__xludf.DUMMYFUNCTION("if(AND(AI44=FALSE,AJ44=FALSE),,if(AI44=AJ44,JOIN("""",""Static: "",AI44),JOIN("""",""Min:  "",AI44, CHAR(10),""Max: "",AJ44)))"),"")</f>
        <v/>
      </c>
      <c r="AI44" s="42" t="str">
        <f t="array" ref="AI44">_xlfn.XLOOKUP(B44,'Up Min'!A:A,'Up Min'!I:I,)</f>
        <v/>
      </c>
      <c r="AJ44" s="42" t="str">
        <f t="array" ref="AJ44">_xlfn.XLOOKUP(B44,'Up Max'!A:A,'Up Max'!I:I,)</f>
        <v/>
      </c>
      <c r="AK44" s="48" t="str">
        <f t="array" ref="AK44">_xlfn.XLOOKUP(B44,'Up Stats'!A:A,'Up Stats'!J:J,)</f>
        <v/>
      </c>
      <c r="AL44" s="40" t="str">
        <f>IFERROR(__xludf.DUMMYFUNCTION("if(AND(AM44=FALSE,AN44=FALSE),,if(AM44=AN44,JOIN("""",""Static: "",AM44),JOIN("""",""Min:  "",AM44, CHAR(10),""Max: "",AN44)))"),"")</f>
        <v/>
      </c>
      <c r="AM44" s="42" t="str">
        <f t="array" ref="AM44">_xlfn.XLOOKUP(B44,'Up Min'!A:A,'Up Min'!J:J,)</f>
        <v/>
      </c>
      <c r="AN44" s="42" t="str">
        <f t="array" ref="AN44">_xlfn.XLOOKUP(B44,'Up Max'!A:A,'Up Max'!J:J,)</f>
        <v/>
      </c>
      <c r="AO44" s="34" t="str">
        <f t="array" ref="AO44">CONCATENATE(_xlfn.XLOOKUP(B44,'Up Cells'!A:A,'Up Cells'!B:B,))</f>
        <v/>
      </c>
      <c r="AP44" s="34" t="str">
        <f t="array" ref="AP44">CONCATENATE(_xlfn.XLOOKUP(B44,'Up Rarity'!A:A,'Up Rarity'!B:B,),CHAR(10),"-")</f>
        <v>
-</v>
      </c>
    </row>
    <row r="45">
      <c r="A45" s="86" t="str">
        <f t="array" ref="A45">_xlfn.XLOOKUP(B45,'Up Icon'!A:A,'Up Icon'!B:B,)</f>
        <v/>
      </c>
      <c r="B45" s="51" t="str">
        <f t="array" ref="B45">HYPERLINK(_xlfn.XLOOKUP('Up Names'!Q45,'Up Wiki'!A:A,'Up Wiki'!B:B,),'Up Names'!Q45)</f>
        <v/>
      </c>
      <c r="C45" s="52" t="str">
        <f t="array" ref="C45">_xlfn.XLOOKUP(B45,'Up Desc'!A:A,'Up Desc'!B:B,)</f>
        <v/>
      </c>
      <c r="D45" s="52" t="str">
        <f t="array" ref="D45">_xlfn.XLOOKUP(B45,'Up Turbo'!A:A,'Up Turbo'!B:B,)</f>
        <v/>
      </c>
      <c r="E45" s="53" t="str">
        <f t="array" ref="E45">_xlfn.XLOOKUP(B45,'Up Stats'!A:A,'Up Stats'!B:B,)</f>
        <v/>
      </c>
      <c r="F45" s="54" t="str">
        <f>IFERROR(__xludf.DUMMYFUNCTION("if(AND(G45=FALSE,H45=FALSE),,if(G45=H45,JOIN("""",""Static: "",G45),JOIN("""",""Min:  "",G45, CHAR(10),""Max: "",H45)))"),"")</f>
        <v/>
      </c>
      <c r="G45" s="55" t="str">
        <f t="array" ref="G45">_xlfn.XLOOKUP(B45,'Up Min'!A:A,'Up Min'!B:B,)</f>
        <v/>
      </c>
      <c r="H45" s="56" t="str">
        <f t="array" ref="H45">_xlfn.XLOOKUP(B45,'Up Max'!A:A,'Up Max'!B:B,)</f>
        <v/>
      </c>
      <c r="I45" s="53" t="str">
        <f t="array" ref="I45">_xlfn.XLOOKUP(B45,'Up Stats'!A:A,'Up Stats'!C:C,)</f>
        <v/>
      </c>
      <c r="J45" s="54" t="str">
        <f>IFERROR(__xludf.DUMMYFUNCTION("if(AND(K45=FALSE,L45=FALSE),,if(K45=L45,JOIN("""",""Static: "",K45),JOIN("""",""Min:  "",K45, CHAR(10),""Max: "",L45)))"),"")</f>
        <v/>
      </c>
      <c r="K45" s="55" t="str">
        <f t="array" ref="K45">_xlfn.XLOOKUP(B45,'Up Min'!A:A,'Up Min'!C:C,)</f>
        <v/>
      </c>
      <c r="L45" s="55" t="str">
        <f t="array" ref="L45">_xlfn.XLOOKUP(B45,'Up Max'!A:A,'Up Max'!C:C,)</f>
        <v/>
      </c>
      <c r="M45" s="57" t="str">
        <f t="array" ref="M45">_xlfn.XLOOKUP(B45,'Up Stats'!A:A,'Up Stats'!D:D,)</f>
        <v/>
      </c>
      <c r="N45" s="54" t="str">
        <f>IFERROR(__xludf.DUMMYFUNCTION("if(AND(O45=FALSE,P45=FALSE),,if(O45=P45,JOIN("""",""Static: "",O45),JOIN("""",""Min:  "",O45, CHAR(10),""Max: "",P45)))"),"")</f>
        <v/>
      </c>
      <c r="O45" s="55" t="str">
        <f t="array" ref="O45">_xlfn.XLOOKUP(B45,'Up Min'!A:A,'Up Min'!D:D,)</f>
        <v/>
      </c>
      <c r="P45" s="55" t="str">
        <f t="array" ref="P45">_xlfn.XLOOKUP(B45,'Up Max'!A:A,'Up Max'!D:D,)</f>
        <v/>
      </c>
      <c r="Q45" s="57" t="str">
        <f t="array" ref="Q45">_xlfn.XLOOKUP(B45,'Up Stats'!A:A,'Up Stats'!E:E,)</f>
        <v/>
      </c>
      <c r="R45" s="54" t="str">
        <f>IFERROR(__xludf.DUMMYFUNCTION("if(AND(S45=FALSE,T45=FALSE),,if(S45=T45,JOIN("""",""Static: "",S45),JOIN("""",""Min:  "",S45, CHAR(10),""Max: "",T45)))"),"")</f>
        <v/>
      </c>
      <c r="S45" s="55" t="str">
        <f t="array" ref="S45">_xlfn.XLOOKUP(B45,'Up Min'!A:A,'Up Min'!E:E,)</f>
        <v/>
      </c>
      <c r="T45" s="55" t="str">
        <f t="array" ref="T45">_xlfn.XLOOKUP(B45,'Up Max'!A:A,'Up Max'!E:E,)</f>
        <v/>
      </c>
      <c r="U45" s="57" t="str">
        <f t="array" ref="U45">_xlfn.XLOOKUP(B45,'Up Stats'!A:A,'Up Stats'!F:F,)</f>
        <v/>
      </c>
      <c r="V45" s="54" t="str">
        <f>IFERROR(__xludf.DUMMYFUNCTION("if(AND(W45=FALSE,X45=FALSE),,if(W45=X45,JOIN("""",""Static: "",W45),JOIN("""",""Min:  "",W45, CHAR(10),""Max: "",X45)))"),"")</f>
        <v/>
      </c>
      <c r="W45" s="55" t="str">
        <f t="array" ref="W45">_xlfn.XLOOKUP(B45,'Up Min'!A:A,'Up Min'!F:F,)</f>
        <v/>
      </c>
      <c r="X45" s="55" t="str">
        <f t="array" ref="X45">_xlfn.XLOOKUP(B45,'Up Max'!A:A,'Up Max'!F:F,)</f>
        <v/>
      </c>
      <c r="Y45" s="57" t="str">
        <f t="array" ref="Y45">_xlfn.XLOOKUP(B45,'Up Stats'!A:A,'Up Stats'!G:G,)</f>
        <v/>
      </c>
      <c r="Z45" s="54" t="str">
        <f>IFERROR(__xludf.DUMMYFUNCTION("if(AND(AA45=FALSE,AB45=FALSE),,if(AA45=AB45,JOIN("""",""Static: "",AA45),JOIN("""",""Min:  "",AA45, CHAR(10),""Max: "",AB45)))"),"")</f>
        <v/>
      </c>
      <c r="AA45" s="55" t="str">
        <f t="array" ref="AA45">_xlfn.XLOOKUP(B45,'Up Min'!A:A,'Up Min'!G:G,)</f>
        <v/>
      </c>
      <c r="AB45" s="55" t="str">
        <f t="array" ref="AB45">_xlfn.XLOOKUP(B45,'Up Max'!A:A,'Up Max'!G:G,)</f>
        <v/>
      </c>
      <c r="AC45" s="57" t="str">
        <f t="array" ref="AC45">_xlfn.XLOOKUP(B45,'Up Stats'!A:A,'Up Stats'!H:H,)</f>
        <v/>
      </c>
      <c r="AD45" s="54" t="str">
        <f>IFERROR(__xludf.DUMMYFUNCTION("if(AND(AE45=FALSE,AF45=FALSE),,if(AE45=AF45,JOIN("""",""Static: "",AE45),JOIN("""",""Min:  "",AE45, CHAR(10),""Max: "",AF45)))"),"")</f>
        <v/>
      </c>
      <c r="AE45" s="55" t="str">
        <f t="array" ref="AE45">_xlfn.XLOOKUP(B45,'Up Min'!A:A,'Up Min'!H:H,)</f>
        <v/>
      </c>
      <c r="AF45" s="55" t="str">
        <f t="array" ref="AF45">_xlfn.XLOOKUP(B45,'Up Max'!A:A,'Up Max'!H:H,)</f>
        <v/>
      </c>
      <c r="AG45" s="57" t="str">
        <f t="array" ref="AG45">_xlfn.XLOOKUP(B45,'Up Stats'!A:A,'Up Stats'!I:I,)</f>
        <v/>
      </c>
      <c r="AH45" s="54" t="str">
        <f>IFERROR(__xludf.DUMMYFUNCTION("if(AND(AI45=FALSE,AJ45=FALSE),,if(AI45=AJ45,JOIN("""",""Static: "",AI45),JOIN("""",""Min:  "",AI45, CHAR(10),""Max: "",AJ45)))"),"")</f>
        <v/>
      </c>
      <c r="AI45" s="55" t="str">
        <f t="array" ref="AI45">_xlfn.XLOOKUP(B45,'Up Min'!A:A,'Up Min'!I:I,)</f>
        <v/>
      </c>
      <c r="AJ45" s="55" t="str">
        <f t="array" ref="AJ45">_xlfn.XLOOKUP(B45,'Up Max'!A:A,'Up Max'!I:I,)</f>
        <v/>
      </c>
      <c r="AK45" s="57" t="str">
        <f t="array" ref="AK45">_xlfn.XLOOKUP(B45,'Up Stats'!A:A,'Up Stats'!J:J,)</f>
        <v/>
      </c>
      <c r="AL45" s="54" t="str">
        <f>IFERROR(__xludf.DUMMYFUNCTION("if(AND(AM45=FALSE,AN45=FALSE),,if(AM45=AN45,JOIN("""",""Static: "",AM45),JOIN("""",""Min:  "",AM45, CHAR(10),""Max: "",AN45)))"),"")</f>
        <v/>
      </c>
      <c r="AM45" s="55" t="str">
        <f t="array" ref="AM45">_xlfn.XLOOKUP(B45,'Up Min'!A:A,'Up Min'!J:J,)</f>
        <v/>
      </c>
      <c r="AN45" s="55" t="str">
        <f t="array" ref="AN45">_xlfn.XLOOKUP(B45,'Up Max'!A:A,'Up Max'!J:J,)</f>
        <v/>
      </c>
      <c r="AO45" s="51" t="str">
        <f t="array" ref="AO45">CONCATENATE(_xlfn.XLOOKUP(B45,'Up Cells'!A:A,'Up Cells'!B:B,))</f>
        <v/>
      </c>
      <c r="AP45" s="51" t="str">
        <f t="array" ref="AP45">CONCATENATE(_xlfn.XLOOKUP(B45,'Up Rarity'!A:A,'Up Rarity'!B:B,),CHAR(10),"-")</f>
        <v>
-</v>
      </c>
    </row>
    <row r="46">
      <c r="A46" s="87" t="str">
        <f t="array" ref="A46">_xlfn.XLOOKUP(B46,'Up Icon'!A:A,'Up Icon'!B:B,)</f>
        <v/>
      </c>
      <c r="B46" s="34" t="str">
        <f t="array" ref="B46">HYPERLINK(_xlfn.XLOOKUP('Up Names'!Q46,'Up Wiki'!A:A,'Up Wiki'!B:B,),'Up Names'!Q46)</f>
        <v/>
      </c>
      <c r="C46" s="37" t="str">
        <f t="array" ref="C46">_xlfn.XLOOKUP(B46,'Up Desc'!A:A,'Up Desc'!B:B,)</f>
        <v/>
      </c>
      <c r="D46" s="37" t="str">
        <f t="array" ref="D46">_xlfn.XLOOKUP(B46,'Up Turbo'!A:A,'Up Turbo'!B:B,)</f>
        <v/>
      </c>
      <c r="E46" s="39" t="str">
        <f t="array" ref="E46">_xlfn.XLOOKUP(B46,'Up Stats'!A:A,'Up Stats'!B:B,)</f>
        <v/>
      </c>
      <c r="F46" s="40" t="str">
        <f>IFERROR(__xludf.DUMMYFUNCTION("if(AND(G46=FALSE,H46=FALSE),,if(G46=H46,JOIN("""",""Static: "",G46),JOIN("""",""Min:  "",G46, CHAR(10),""Max: "",H46)))"),"")</f>
        <v/>
      </c>
      <c r="G46" s="42" t="str">
        <f t="array" ref="G46">_xlfn.XLOOKUP(B46,'Up Min'!A:A,'Up Min'!B:B,)</f>
        <v/>
      </c>
      <c r="H46" s="45" t="str">
        <f t="array" ref="H46">_xlfn.XLOOKUP(B46,'Up Max'!A:A,'Up Max'!B:B,)</f>
        <v/>
      </c>
      <c r="I46" s="39" t="str">
        <f t="array" ref="I46">_xlfn.XLOOKUP(B46,'Up Stats'!A:A,'Up Stats'!C:C,)</f>
        <v/>
      </c>
      <c r="J46" s="40" t="str">
        <f>IFERROR(__xludf.DUMMYFUNCTION("if(AND(K46=FALSE,L46=FALSE),,if(K46=L46,JOIN("""",""Static: "",K46),JOIN("""",""Min:  "",K46, CHAR(10),""Max: "",L46)))"),"")</f>
        <v/>
      </c>
      <c r="K46" s="42" t="str">
        <f t="array" ref="K46">_xlfn.XLOOKUP(B46,'Up Min'!A:A,'Up Min'!C:C,)</f>
        <v/>
      </c>
      <c r="L46" s="42" t="str">
        <f t="array" ref="L46">_xlfn.XLOOKUP(B46,'Up Max'!A:A,'Up Max'!C:C,)</f>
        <v/>
      </c>
      <c r="M46" s="48" t="str">
        <f t="array" ref="M46">_xlfn.XLOOKUP(B46,'Up Stats'!A:A,'Up Stats'!D:D,)</f>
        <v/>
      </c>
      <c r="N46" s="40" t="str">
        <f>IFERROR(__xludf.DUMMYFUNCTION("if(AND(O46=FALSE,P46=FALSE),,if(O46=P46,JOIN("""",""Static: "",O46),JOIN("""",""Min:  "",O46, CHAR(10),""Max: "",P46)))"),"")</f>
        <v/>
      </c>
      <c r="O46" s="42" t="str">
        <f t="array" ref="O46">_xlfn.XLOOKUP(B46,'Up Min'!A:A,'Up Min'!D:D,)</f>
        <v/>
      </c>
      <c r="P46" s="42" t="str">
        <f t="array" ref="P46">_xlfn.XLOOKUP(B46,'Up Max'!A:A,'Up Max'!D:D,)</f>
        <v/>
      </c>
      <c r="Q46" s="48" t="str">
        <f t="array" ref="Q46">_xlfn.XLOOKUP(B46,'Up Stats'!A:A,'Up Stats'!E:E,)</f>
        <v/>
      </c>
      <c r="R46" s="40" t="str">
        <f>IFERROR(__xludf.DUMMYFUNCTION("if(AND(S46=FALSE,T46=FALSE),,if(S46=T46,JOIN("""",""Static: "",S46),JOIN("""",""Min:  "",S46, CHAR(10),""Max: "",T46)))"),"")</f>
        <v/>
      </c>
      <c r="S46" s="42" t="str">
        <f t="array" ref="S46">_xlfn.XLOOKUP(B46,'Up Min'!A:A,'Up Min'!E:E,)</f>
        <v/>
      </c>
      <c r="T46" s="42" t="str">
        <f t="array" ref="T46">_xlfn.XLOOKUP(B46,'Up Max'!A:A,'Up Max'!E:E,)</f>
        <v/>
      </c>
      <c r="U46" s="48" t="str">
        <f t="array" ref="U46">_xlfn.XLOOKUP(B46,'Up Stats'!A:A,'Up Stats'!F:F,)</f>
        <v/>
      </c>
      <c r="V46" s="40" t="str">
        <f>IFERROR(__xludf.DUMMYFUNCTION("if(AND(W46=FALSE,X46=FALSE),,if(W46=X46,JOIN("""",""Static: "",W46),JOIN("""",""Min:  "",W46, CHAR(10),""Max: "",X46)))"),"")</f>
        <v/>
      </c>
      <c r="W46" s="42" t="str">
        <f t="array" ref="W46">_xlfn.XLOOKUP(B46,'Up Min'!A:A,'Up Min'!F:F,)</f>
        <v/>
      </c>
      <c r="X46" s="42" t="str">
        <f t="array" ref="X46">_xlfn.XLOOKUP(B46,'Up Max'!A:A,'Up Max'!F:F,)</f>
        <v/>
      </c>
      <c r="Y46" s="48" t="str">
        <f t="array" ref="Y46">_xlfn.XLOOKUP(B46,'Up Stats'!A:A,'Up Stats'!G:G,)</f>
        <v/>
      </c>
      <c r="Z46" s="40" t="str">
        <f>IFERROR(__xludf.DUMMYFUNCTION("if(AND(AA46=FALSE,AB46=FALSE),,if(AA46=AB46,JOIN("""",""Static: "",AA46),JOIN("""",""Min:  "",AA46, CHAR(10),""Max: "",AB46)))"),"")</f>
        <v/>
      </c>
      <c r="AA46" s="42" t="str">
        <f t="array" ref="AA46">_xlfn.XLOOKUP(B46,'Up Min'!A:A,'Up Min'!G:G,)</f>
        <v/>
      </c>
      <c r="AB46" s="42" t="str">
        <f t="array" ref="AB46">_xlfn.XLOOKUP(B46,'Up Max'!A:A,'Up Max'!G:G,)</f>
        <v/>
      </c>
      <c r="AC46" s="48" t="str">
        <f t="array" ref="AC46">_xlfn.XLOOKUP(B46,'Up Stats'!A:A,'Up Stats'!H:H,)</f>
        <v/>
      </c>
      <c r="AD46" s="40" t="str">
        <f>IFERROR(__xludf.DUMMYFUNCTION("if(AND(AE46=FALSE,AF46=FALSE),,if(AE46=AF46,JOIN("""",""Static: "",AE46),JOIN("""",""Min:  "",AE46, CHAR(10),""Max: "",AF46)))"),"")</f>
        <v/>
      </c>
      <c r="AE46" s="42" t="str">
        <f t="array" ref="AE46">_xlfn.XLOOKUP(B46,'Up Min'!A:A,'Up Min'!H:H,)</f>
        <v/>
      </c>
      <c r="AF46" s="42" t="str">
        <f t="array" ref="AF46">_xlfn.XLOOKUP(B46,'Up Max'!A:A,'Up Max'!H:H,)</f>
        <v/>
      </c>
      <c r="AG46" s="48" t="str">
        <f t="array" ref="AG46">_xlfn.XLOOKUP(B46,'Up Stats'!A:A,'Up Stats'!I:I,)</f>
        <v/>
      </c>
      <c r="AH46" s="40" t="str">
        <f>IFERROR(__xludf.DUMMYFUNCTION("if(AND(AI46=FALSE,AJ46=FALSE),,if(AI46=AJ46,JOIN("""",""Static: "",AI46),JOIN("""",""Min:  "",AI46, CHAR(10),""Max: "",AJ46)))"),"")</f>
        <v/>
      </c>
      <c r="AI46" s="42" t="str">
        <f t="array" ref="AI46">_xlfn.XLOOKUP(B46,'Up Min'!A:A,'Up Min'!I:I,)</f>
        <v/>
      </c>
      <c r="AJ46" s="42" t="str">
        <f t="array" ref="AJ46">_xlfn.XLOOKUP(B46,'Up Max'!A:A,'Up Max'!I:I,)</f>
        <v/>
      </c>
      <c r="AK46" s="48" t="str">
        <f t="array" ref="AK46">_xlfn.XLOOKUP(B46,'Up Stats'!A:A,'Up Stats'!J:J,)</f>
        <v/>
      </c>
      <c r="AL46" s="40" t="str">
        <f>IFERROR(__xludf.DUMMYFUNCTION("if(AND(AM46=FALSE,AN46=FALSE),,if(AM46=AN46,JOIN("""",""Static: "",AM46),JOIN("""",""Min:  "",AM46, CHAR(10),""Max: "",AN46)))"),"")</f>
        <v/>
      </c>
      <c r="AM46" s="42" t="str">
        <f t="array" ref="AM46">_xlfn.XLOOKUP(B46,'Up Min'!A:A,'Up Min'!J:J,)</f>
        <v/>
      </c>
      <c r="AN46" s="42" t="str">
        <f t="array" ref="AN46">_xlfn.XLOOKUP(B46,'Up Max'!A:A,'Up Max'!J:J,)</f>
        <v/>
      </c>
      <c r="AO46" s="34" t="str">
        <f t="array" ref="AO46">CONCATENATE(_xlfn.XLOOKUP(B46,'Up Cells'!A:A,'Up Cells'!B:B,))</f>
        <v/>
      </c>
      <c r="AP46" s="34" t="str">
        <f t="array" ref="AP46">CONCATENATE(_xlfn.XLOOKUP(B46,'Up Rarity'!A:A,'Up Rarity'!B:B,),CHAR(10),"-")</f>
        <v>
-</v>
      </c>
    </row>
    <row r="47">
      <c r="A47" s="86" t="str">
        <f t="array" ref="A47">_xlfn.XLOOKUP(B47,'Up Icon'!A:A,'Up Icon'!B:B,)</f>
        <v/>
      </c>
      <c r="B47" s="51" t="str">
        <f t="array" ref="B47">HYPERLINK(_xlfn.XLOOKUP('Up Names'!Q47,'Up Wiki'!A:A,'Up Wiki'!B:B,),'Up Names'!Q47)</f>
        <v/>
      </c>
      <c r="C47" s="52" t="str">
        <f t="array" ref="C47">_xlfn.XLOOKUP(B47,'Up Desc'!A:A,'Up Desc'!B:B,)</f>
        <v/>
      </c>
      <c r="D47" s="52" t="str">
        <f t="array" ref="D47">_xlfn.XLOOKUP(B47,'Up Turbo'!A:A,'Up Turbo'!B:B,)</f>
        <v/>
      </c>
      <c r="E47" s="53" t="str">
        <f t="array" ref="E47">_xlfn.XLOOKUP(B47,'Up Stats'!A:A,'Up Stats'!B:B,)</f>
        <v/>
      </c>
      <c r="F47" s="54" t="str">
        <f>IFERROR(__xludf.DUMMYFUNCTION("if(AND(G47=FALSE,H47=FALSE),,if(G47=H47,JOIN("""",""Static: "",G47),JOIN("""",""Min:  "",G47, CHAR(10),""Max: "",H47)))"),"")</f>
        <v/>
      </c>
      <c r="G47" s="55" t="str">
        <f t="array" ref="G47">_xlfn.XLOOKUP(B47,'Up Min'!A:A,'Up Min'!B:B,)</f>
        <v/>
      </c>
      <c r="H47" s="56" t="str">
        <f t="array" ref="H47">_xlfn.XLOOKUP(B47,'Up Max'!A:A,'Up Max'!B:B,)</f>
        <v/>
      </c>
      <c r="I47" s="53" t="str">
        <f t="array" ref="I47">_xlfn.XLOOKUP(B47,'Up Stats'!A:A,'Up Stats'!C:C,)</f>
        <v/>
      </c>
      <c r="J47" s="54" t="str">
        <f>IFERROR(__xludf.DUMMYFUNCTION("if(AND(K47=FALSE,L47=FALSE),,if(K47=L47,JOIN("""",""Static: "",K47),JOIN("""",""Min:  "",K47, CHAR(10),""Max: "",L47)))"),"")</f>
        <v/>
      </c>
      <c r="K47" s="55" t="str">
        <f t="array" ref="K47">_xlfn.XLOOKUP(B47,'Up Min'!A:A,'Up Min'!C:C,)</f>
        <v/>
      </c>
      <c r="L47" s="55" t="str">
        <f t="array" ref="L47">_xlfn.XLOOKUP(B47,'Up Max'!A:A,'Up Max'!C:C,)</f>
        <v/>
      </c>
      <c r="M47" s="57" t="str">
        <f t="array" ref="M47">_xlfn.XLOOKUP(B47,'Up Stats'!A:A,'Up Stats'!D:D,)</f>
        <v/>
      </c>
      <c r="N47" s="54" t="str">
        <f>IFERROR(__xludf.DUMMYFUNCTION("if(AND(O47=FALSE,P47=FALSE),,if(O47=P47,JOIN("""",""Static: "",O47),JOIN("""",""Min:  "",O47, CHAR(10),""Max: "",P47)))"),"")</f>
        <v/>
      </c>
      <c r="O47" s="55" t="str">
        <f t="array" ref="O47">_xlfn.XLOOKUP(B47,'Up Min'!A:A,'Up Min'!D:D,)</f>
        <v/>
      </c>
      <c r="P47" s="55" t="str">
        <f t="array" ref="P47">_xlfn.XLOOKUP(B47,'Up Max'!A:A,'Up Max'!D:D,)</f>
        <v/>
      </c>
      <c r="Q47" s="57" t="str">
        <f t="array" ref="Q47">_xlfn.XLOOKUP(B47,'Up Stats'!A:A,'Up Stats'!E:E,)</f>
        <v/>
      </c>
      <c r="R47" s="54" t="str">
        <f>IFERROR(__xludf.DUMMYFUNCTION("if(AND(S47=FALSE,T47=FALSE),,if(S47=T47,JOIN("""",""Static: "",S47),JOIN("""",""Min:  "",S47, CHAR(10),""Max: "",T47)))"),"")</f>
        <v/>
      </c>
      <c r="S47" s="55" t="str">
        <f t="array" ref="S47">_xlfn.XLOOKUP(B47,'Up Min'!A:A,'Up Min'!E:E,)</f>
        <v/>
      </c>
      <c r="T47" s="55" t="str">
        <f t="array" ref="T47">_xlfn.XLOOKUP(B47,'Up Max'!A:A,'Up Max'!E:E,)</f>
        <v/>
      </c>
      <c r="U47" s="57" t="str">
        <f t="array" ref="U47">_xlfn.XLOOKUP(B47,'Up Stats'!A:A,'Up Stats'!F:F,)</f>
        <v/>
      </c>
      <c r="V47" s="54" t="str">
        <f>IFERROR(__xludf.DUMMYFUNCTION("if(AND(W47=FALSE,X47=FALSE),,if(W47=X47,JOIN("""",""Static: "",W47),JOIN("""",""Min:  "",W47, CHAR(10),""Max: "",X47)))"),"")</f>
        <v/>
      </c>
      <c r="W47" s="55" t="str">
        <f t="array" ref="W47">_xlfn.XLOOKUP(B47,'Up Min'!A:A,'Up Min'!F:F,)</f>
        <v/>
      </c>
      <c r="X47" s="55" t="str">
        <f t="array" ref="X47">_xlfn.XLOOKUP(B47,'Up Max'!A:A,'Up Max'!F:F,)</f>
        <v/>
      </c>
      <c r="Y47" s="57" t="str">
        <f t="array" ref="Y47">_xlfn.XLOOKUP(B47,'Up Stats'!A:A,'Up Stats'!G:G,)</f>
        <v/>
      </c>
      <c r="Z47" s="54" t="str">
        <f>IFERROR(__xludf.DUMMYFUNCTION("if(AND(AA47=FALSE,AB47=FALSE),,if(AA47=AB47,JOIN("""",""Static: "",AA47),JOIN("""",""Min:  "",AA47, CHAR(10),""Max: "",AB47)))"),"")</f>
        <v/>
      </c>
      <c r="AA47" s="55" t="str">
        <f t="array" ref="AA47">_xlfn.XLOOKUP(B47,'Up Min'!A:A,'Up Min'!G:G,)</f>
        <v/>
      </c>
      <c r="AB47" s="55" t="str">
        <f t="array" ref="AB47">_xlfn.XLOOKUP(B47,'Up Max'!A:A,'Up Max'!G:G,)</f>
        <v/>
      </c>
      <c r="AC47" s="57" t="str">
        <f t="array" ref="AC47">_xlfn.XLOOKUP(B47,'Up Stats'!A:A,'Up Stats'!H:H,)</f>
        <v/>
      </c>
      <c r="AD47" s="54" t="str">
        <f>IFERROR(__xludf.DUMMYFUNCTION("if(AND(AE47=FALSE,AF47=FALSE),,if(AE47=AF47,JOIN("""",""Static: "",AE47),JOIN("""",""Min:  "",AE47, CHAR(10),""Max: "",AF47)))"),"")</f>
        <v/>
      </c>
      <c r="AE47" s="55" t="str">
        <f t="array" ref="AE47">_xlfn.XLOOKUP(B47,'Up Min'!A:A,'Up Min'!H:H,)</f>
        <v/>
      </c>
      <c r="AF47" s="55" t="str">
        <f t="array" ref="AF47">_xlfn.XLOOKUP(B47,'Up Max'!A:A,'Up Max'!H:H,)</f>
        <v/>
      </c>
      <c r="AG47" s="57" t="str">
        <f t="array" ref="AG47">_xlfn.XLOOKUP(B47,'Up Stats'!A:A,'Up Stats'!I:I,)</f>
        <v/>
      </c>
      <c r="AH47" s="54" t="str">
        <f>IFERROR(__xludf.DUMMYFUNCTION("if(AND(AI47=FALSE,AJ47=FALSE),,if(AI47=AJ47,JOIN("""",""Static: "",AI47),JOIN("""",""Min:  "",AI47, CHAR(10),""Max: "",AJ47)))"),"")</f>
        <v/>
      </c>
      <c r="AI47" s="55" t="str">
        <f t="array" ref="AI47">_xlfn.XLOOKUP(B47,'Up Min'!A:A,'Up Min'!I:I,)</f>
        <v/>
      </c>
      <c r="AJ47" s="55" t="str">
        <f t="array" ref="AJ47">_xlfn.XLOOKUP(B47,'Up Max'!A:A,'Up Max'!I:I,)</f>
        <v/>
      </c>
      <c r="AK47" s="57" t="str">
        <f t="array" ref="AK47">_xlfn.XLOOKUP(B47,'Up Stats'!A:A,'Up Stats'!J:J,)</f>
        <v/>
      </c>
      <c r="AL47" s="54" t="str">
        <f>IFERROR(__xludf.DUMMYFUNCTION("if(AND(AM47=FALSE,AN47=FALSE),,if(AM47=AN47,JOIN("""",""Static: "",AM47),JOIN("""",""Min:  "",AM47, CHAR(10),""Max: "",AN47)))"),"")</f>
        <v/>
      </c>
      <c r="AM47" s="55" t="str">
        <f t="array" ref="AM47">_xlfn.XLOOKUP(B47,'Up Min'!A:A,'Up Min'!J:J,)</f>
        <v/>
      </c>
      <c r="AN47" s="55" t="str">
        <f t="array" ref="AN47">_xlfn.XLOOKUP(B47,'Up Max'!A:A,'Up Max'!J:J,)</f>
        <v/>
      </c>
      <c r="AO47" s="51" t="str">
        <f t="array" ref="AO47">CONCATENATE(_xlfn.XLOOKUP(B47,'Up Cells'!A:A,'Up Cells'!B:B,))</f>
        <v/>
      </c>
      <c r="AP47" s="51" t="str">
        <f t="array" ref="AP47">CONCATENATE(_xlfn.XLOOKUP(B47,'Up Rarity'!A:A,'Up Rarity'!B:B,),CHAR(10),"-")</f>
        <v>
-</v>
      </c>
    </row>
  </sheetData>
  <autoFilter ref="$A$1:$AP$47">
    <sortState ref="A1:AP47">
      <sortCondition descending="1" sortBy="cellColor" ref="AP1:AP47" dxfId="13"/>
      <sortCondition ref="B1:B47"/>
    </sortState>
  </autoFilter>
  <conditionalFormatting sqref="AO1:AP47">
    <cfRule type="containsText" dxfId="3" priority="1" operator="containsText" text="Oddity">
      <formula>NOT(ISERROR(SEARCH(("Oddity"),(AO1))))</formula>
    </cfRule>
  </conditionalFormatting>
  <conditionalFormatting sqref="AO1:AP47">
    <cfRule type="containsText" dxfId="4" priority="2" operator="containsText" text="Exotic">
      <formula>NOT(ISERROR(SEARCH(("Exotic"),(AO1))))</formula>
    </cfRule>
  </conditionalFormatting>
  <conditionalFormatting sqref="AO1:AP47">
    <cfRule type="containsText" dxfId="5" priority="3" operator="containsText" text="Epic">
      <formula>NOT(ISERROR(SEARCH(("Epic"),(AO1))))</formula>
    </cfRule>
  </conditionalFormatting>
  <conditionalFormatting sqref="AO1:AP47">
    <cfRule type="containsText" dxfId="6" priority="4" operator="containsText" text="Rare">
      <formula>NOT(ISERROR(SEARCH(("Rare"),(AO1))))</formula>
    </cfRule>
  </conditionalFormatting>
  <conditionalFormatting sqref="AO1:AP47">
    <cfRule type="containsText" dxfId="7" priority="5" operator="containsText" text="Standard">
      <formula>NOT(ISERROR(SEARCH(("Standard"),(AO1))))</formula>
    </cfRule>
  </conditionalFormatting>
  <conditionalFormatting sqref="AO1:AP47">
    <cfRule type="containsText" dxfId="8" priority="6" operator="containsText" text="Contraband">
      <formula>NOT(ISERROR(SEARCH(("Contraband"),(AO1))))</formula>
    </cfRule>
  </conditionalFormatting>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12.63"/>
    <col customWidth="1" min="3" max="4" width="31.38"/>
    <col customWidth="1" min="5" max="6" width="12.63"/>
    <col customWidth="1" hidden="1" min="7" max="8" width="12.63"/>
    <col customWidth="1" min="9" max="10" width="12.63"/>
    <col customWidth="1" hidden="1" min="11" max="12" width="12.63"/>
    <col customWidth="1" min="13" max="14" width="12.63"/>
    <col customWidth="1" hidden="1" min="15" max="16" width="12.63"/>
    <col customWidth="1" min="17" max="18" width="12.63"/>
    <col customWidth="1" hidden="1" min="19" max="20" width="12.63"/>
    <col customWidth="1" min="21" max="22" width="12.63"/>
    <col customWidth="1" hidden="1" min="23" max="24" width="12.63"/>
    <col customWidth="1" min="25" max="26" width="12.63"/>
    <col customWidth="1" hidden="1" min="27" max="28" width="12.63"/>
    <col customWidth="1" min="29" max="30" width="12.63"/>
    <col customWidth="1" hidden="1" min="31" max="32" width="12.63"/>
    <col customWidth="1" min="33" max="34" width="12.63"/>
    <col customWidth="1" hidden="1" min="35" max="36" width="12.63"/>
    <col customWidth="1" min="37" max="38" width="12.63"/>
    <col customWidth="1" hidden="1" min="39" max="40" width="12.63"/>
    <col customWidth="1" min="41" max="42" width="8.25"/>
  </cols>
  <sheetData>
    <row r="1">
      <c r="A1" s="28" t="s">
        <v>1</v>
      </c>
      <c r="B1" s="9" t="s">
        <v>2</v>
      </c>
      <c r="C1" s="9" t="s">
        <v>3</v>
      </c>
      <c r="D1" s="11" t="s">
        <v>4</v>
      </c>
      <c r="E1" s="16" t="s">
        <v>6</v>
      </c>
      <c r="F1" s="19" t="s">
        <v>7</v>
      </c>
      <c r="G1" s="21" t="s">
        <v>8</v>
      </c>
      <c r="H1" s="25" t="s">
        <v>9</v>
      </c>
      <c r="I1" s="29" t="s">
        <v>6</v>
      </c>
      <c r="J1" s="19" t="s">
        <v>7</v>
      </c>
      <c r="K1" s="21" t="s">
        <v>8</v>
      </c>
      <c r="L1" s="21" t="s">
        <v>9</v>
      </c>
      <c r="M1" s="29" t="s">
        <v>6</v>
      </c>
      <c r="N1" s="19" t="s">
        <v>7</v>
      </c>
      <c r="O1" s="21" t="s">
        <v>8</v>
      </c>
      <c r="P1" s="21" t="s">
        <v>9</v>
      </c>
      <c r="Q1" s="16" t="s">
        <v>6</v>
      </c>
      <c r="R1" s="19" t="s">
        <v>7</v>
      </c>
      <c r="S1" s="25" t="s">
        <v>8</v>
      </c>
      <c r="T1" s="21" t="s">
        <v>9</v>
      </c>
      <c r="U1" s="16" t="s">
        <v>6</v>
      </c>
      <c r="V1" s="19" t="s">
        <v>7</v>
      </c>
      <c r="W1" s="21" t="s">
        <v>8</v>
      </c>
      <c r="X1" s="21" t="s">
        <v>9</v>
      </c>
      <c r="Y1" s="16" t="s">
        <v>6</v>
      </c>
      <c r="Z1" s="19" t="s">
        <v>7</v>
      </c>
      <c r="AA1" s="21" t="s">
        <v>8</v>
      </c>
      <c r="AB1" s="21" t="s">
        <v>9</v>
      </c>
      <c r="AC1" s="16" t="s">
        <v>6</v>
      </c>
      <c r="AD1" s="19" t="s">
        <v>7</v>
      </c>
      <c r="AE1" s="21" t="s">
        <v>8</v>
      </c>
      <c r="AF1" s="21" t="s">
        <v>9</v>
      </c>
      <c r="AG1" s="16" t="s">
        <v>6</v>
      </c>
      <c r="AH1" s="19" t="s">
        <v>7</v>
      </c>
      <c r="AI1" s="21" t="s">
        <v>8</v>
      </c>
      <c r="AJ1" s="21" t="s">
        <v>9</v>
      </c>
      <c r="AK1" s="16" t="s">
        <v>6</v>
      </c>
      <c r="AL1" s="19" t="s">
        <v>7</v>
      </c>
      <c r="AM1" s="21" t="s">
        <v>8</v>
      </c>
      <c r="AN1" s="21" t="s">
        <v>9</v>
      </c>
      <c r="AO1" s="11" t="s">
        <v>12</v>
      </c>
      <c r="AP1" s="22" t="s">
        <v>13</v>
      </c>
    </row>
    <row r="2">
      <c r="A2" s="60" t="str">
        <f t="array" ref="A2">_xlfn.XLOOKUP(B2,'Up Icon'!A:A,'Up Icon'!B:B,)</f>
        <v/>
      </c>
      <c r="B2" s="89" t="str">
        <f t="array" ref="B2">HYPERLINK(_xlfn.XLOOKUP('Up Names'!R2,'Up Wiki'!A:A,'Up Wiki'!B:B,),'Up Names'!R2)</f>
        <v>Modular Construction</v>
      </c>
      <c r="C2" s="67" t="str">
        <f t="array" ref="C2">_xlfn.XLOOKUP(B2,'Up Desc'!A:A,'Up Desc'!B:B,)</f>
        <v>Made of harder hard-light.</v>
      </c>
      <c r="D2" s="37" t="str">
        <f t="array" ref="D2">_xlfn.XLOOKUP(B2,'Up Turbo'!A:A,'Up Turbo'!B:B,)</f>
        <v>n/a</v>
      </c>
      <c r="E2" s="39" t="str">
        <f t="array" ref="E2">_xlfn.XLOOKUP(B2,'Up Stats'!A:A,'Up Stats'!B:B,)</f>
        <v>Recharge Speed</v>
      </c>
      <c r="F2" s="40" t="str">
        <f>IFERROR(__xludf.DUMMYFUNCTION("if(AND(G2=FALSE,H2=FALSE),,if(G2=H2,JOIN("""",""Static: "",G2),JOIN("""",""Min:  "",G2, CHAR(10),""Max: "",H2)))"),"Static: 400%")</f>
        <v>Static: 400%</v>
      </c>
      <c r="G2" s="41">
        <f t="array" ref="G2">_xlfn.XLOOKUP(B2,'Up Min'!A:A,'Up Min'!B:B,)</f>
        <v>4</v>
      </c>
      <c r="H2" s="41">
        <f t="array" ref="H2">_xlfn.XLOOKUP(B2,'Up Max'!A:A,'Up Max'!B:B,)</f>
        <v>4</v>
      </c>
      <c r="I2" s="39" t="str">
        <f t="array" ref="I2">_xlfn.XLOOKUP(B2,'Up Stats'!A:A,'Up Stats'!C:C,)</f>
        <v>Charges</v>
      </c>
      <c r="J2" s="40" t="str">
        <f>IFERROR(__xludf.DUMMYFUNCTION("if(AND(K2=FALSE,L2=FALSE),,if(K2=L2,JOIN("""",""Static: "",K2),JOIN("""",""Min:  "",K2, CHAR(10),""Max: "",L2)))"),"Static: 5")</f>
        <v>Static: 5</v>
      </c>
      <c r="K2" s="68">
        <f t="array" ref="K2">_xlfn.XLOOKUP(B2,'Up Min'!A:A,'Up Min'!C:C,)</f>
        <v>5</v>
      </c>
      <c r="L2" s="69">
        <f t="array" ref="L2">_xlfn.XLOOKUP(B2,'Up Max'!A:A,'Up Max'!C:C,)</f>
        <v>5</v>
      </c>
      <c r="M2" s="39" t="str">
        <f t="array" ref="M2">_xlfn.XLOOKUP(B2,'Up Stats'!A:A,'Up Stats'!D:D,)</f>
        <v>Range</v>
      </c>
      <c r="N2" s="40" t="str">
        <f>IFERROR(__xludf.DUMMYFUNCTION("if(AND(O2=FALSE,P2=FALSE),,if(O2=P2,JOIN("""",""Static: "",O2),JOIN("""",""Min:  "",O2, CHAR(10),""Max: "",P2)))"),"Static: 9")</f>
        <v>Static: 9</v>
      </c>
      <c r="O2" s="68">
        <f t="array" ref="O2">_xlfn.XLOOKUP(B2,'Up Min'!A:A,'Up Min'!D:D,)</f>
        <v>9</v>
      </c>
      <c r="P2" s="68">
        <f t="array" ref="P2">_xlfn.XLOOKUP(B2,'Up Max'!A:A,'Up Max'!D:D,)</f>
        <v>9</v>
      </c>
      <c r="Q2" s="48" t="str">
        <f t="array" ref="Q2">_xlfn.XLOOKUP(B2,'Up Stats'!A:A,'Up Stats'!E:E,)</f>
        <v/>
      </c>
      <c r="R2" s="40" t="str">
        <f>IFERROR(__xludf.DUMMYFUNCTION("if(AND(S2=FALSE,T2=FALSE),,if(S2=T2,JOIN("""",""Static: "",S2),JOIN("""",""Min:  "",S2, CHAR(10),""Max: "",T2)))"),"")</f>
        <v/>
      </c>
      <c r="S2" s="45" t="str">
        <f t="array" ref="S2">_xlfn.XLOOKUP(B2,'Up Min'!A:A,'Up Min'!E:E,)</f>
        <v/>
      </c>
      <c r="T2" s="45" t="str">
        <f t="array" ref="T2">_xlfn.XLOOKUP(B2,'Up Max'!A:A,'Up Max'!E:E,)</f>
        <v/>
      </c>
      <c r="U2" s="39" t="str">
        <f t="array" ref="U2">_xlfn.XLOOKUP(B2,'Up Stats'!A:A,'Up Stats'!F:F,)</f>
        <v/>
      </c>
      <c r="V2" s="40" t="str">
        <f>IFERROR(__xludf.DUMMYFUNCTION("if(AND(W2=FALSE,X2=FALSE),,if(W2=X2,JOIN("""",""Static: "",W2),JOIN("""",""Min:  "",W2, CHAR(10),""Max: "",X2)))"),"")</f>
        <v/>
      </c>
      <c r="W2" s="45" t="str">
        <f t="array" ref="W2">_xlfn.XLOOKUP(B2,'Up Min'!A:A,'Up Min'!F:F,)</f>
        <v/>
      </c>
      <c r="X2" s="45" t="str">
        <f t="array" ref="X2">_xlfn.XLOOKUP(B2,'Up Max'!A:A,'Up Max'!F:F,)</f>
        <v/>
      </c>
      <c r="Y2" s="39" t="str">
        <f t="array" ref="Y2">_xlfn.XLOOKUP(B2,'Up Stats'!A:A,'Up Stats'!G:G,)</f>
        <v/>
      </c>
      <c r="Z2" s="40" t="str">
        <f>IFERROR(__xludf.DUMMYFUNCTION("if(AND(AA2=FALSE,AB2=FALSE),,if(AA2=AB2,JOIN("""",""Static: "",AA2),JOIN("""",""Min:  "",AA2, CHAR(10),""Max: "",AB2)))"),"")</f>
        <v/>
      </c>
      <c r="AA2" s="45" t="str">
        <f t="array" ref="AA2">_xlfn.XLOOKUP(B2,'Up Min'!A:A,'Up Min'!G:G,)</f>
        <v/>
      </c>
      <c r="AB2" s="45" t="str">
        <f t="array" ref="AB2">_xlfn.XLOOKUP(B2,'Up Max'!A:A,'Up Max'!G:G,)</f>
        <v/>
      </c>
      <c r="AC2" s="39" t="str">
        <f t="array" ref="AC2">_xlfn.XLOOKUP(B2,'Up Stats'!A:A,'Up Stats'!H:H,)</f>
        <v/>
      </c>
      <c r="AD2" s="40" t="str">
        <f>IFERROR(__xludf.DUMMYFUNCTION("if(AND(AE2=FALSE,AF2=FALSE),,if(AE2=AF2,JOIN("""",""Static: "",AE2),JOIN("""",""Min:  "",AE2, CHAR(10),""Max: "",AF2)))"),"")</f>
        <v/>
      </c>
      <c r="AE2" s="45" t="str">
        <f t="array" ref="AE2">_xlfn.XLOOKUP(B2,'Up Min'!A:A,'Up Min'!H:H,)</f>
        <v/>
      </c>
      <c r="AF2" s="45" t="str">
        <f t="array" ref="AF2">_xlfn.XLOOKUP(B2,'Up Max'!A:A,'Up Max'!H:H,)</f>
        <v/>
      </c>
      <c r="AG2" s="39" t="str">
        <f t="array" ref="AG2">_xlfn.XLOOKUP(B2,'Up Stats'!A:A,'Up Stats'!I:I,)</f>
        <v/>
      </c>
      <c r="AH2" s="40" t="str">
        <f>IFERROR(__xludf.DUMMYFUNCTION("if(AND(AI2=FALSE,AJ2=FALSE),,if(AI2=AJ2,JOIN("""",""Static: "",AI2),JOIN("""",""Min:  "",AI2, CHAR(10),""Max: "",AJ2)))"),"")</f>
        <v/>
      </c>
      <c r="AI2" s="45" t="str">
        <f t="array" ref="AI2">_xlfn.XLOOKUP(B2,'Up Min'!A:A,'Up Min'!I:I,)</f>
        <v/>
      </c>
      <c r="AJ2" s="45" t="str">
        <f t="array" ref="AJ2">_xlfn.XLOOKUP(B2,'Up Max'!A:A,'Up Max'!I:I,)</f>
        <v/>
      </c>
      <c r="AK2" s="39" t="str">
        <f t="array" ref="AK2">_xlfn.XLOOKUP(B2,'Up Stats'!A:A,'Up Stats'!J:J,)</f>
        <v/>
      </c>
      <c r="AL2" s="40" t="str">
        <f>IFERROR(__xludf.DUMMYFUNCTION("if(AND(AM2=FALSE,AN2=FALSE),,if(AM2=AN2,JOIN("""",""Static: "",AM2),JOIN("""",""Min:  "",AM2, CHAR(10),""Max: "",AN2)))"),"")</f>
        <v/>
      </c>
      <c r="AM2" s="45" t="str">
        <f t="array" ref="AM2">_xlfn.XLOOKUP(B2,'Up Min'!A:A,'Up Min'!J:J,)</f>
        <v/>
      </c>
      <c r="AN2" s="45" t="str">
        <f t="array" ref="AN2">_xlfn.XLOOKUP(B2,'Up Max'!A:A,'Up Max'!J:J,)</f>
        <v/>
      </c>
      <c r="AO2" s="34" t="str">
        <f t="array" ref="AO2">CONCATENATE(_xlfn.XLOOKUP(B2,'Up Cells'!A:A,'Up Cells'!B:B,))</f>
        <v>9</v>
      </c>
      <c r="AP2" s="58" t="str">
        <f t="array" ref="AP2">CONCATENATE(_xlfn.XLOOKUP(B2,'Up Rarity'!A:A,'Up Rarity'!B:B,),CHAR(10),"-")</f>
        <v>Oddity
-</v>
      </c>
    </row>
    <row r="3">
      <c r="A3" s="62" t="str">
        <f t="array" ref="A3">_xlfn.XLOOKUP(B3,'Up Icon'!A:A,'Up Icon'!B:B,)</f>
        <v/>
      </c>
      <c r="B3" s="61" t="str">
        <f t="array" ref="B3">HYPERLINK(_xlfn.XLOOKUP('Up Names'!R35,'Up Wiki'!A:A,'Up Wiki'!B:B,),'Up Names'!R35)</f>
        <v>Cannonball</v>
      </c>
      <c r="C3" s="52" t="str">
        <f t="array" ref="C3">_xlfn.XLOOKUP(B3,'Up Desc'!A:A,'Up Desc'!B:B,)</f>
        <v>Slide in the air to cannonball downwards at great speeds. Hitting the ground with enough force triggers a special Nose Dive impact that deals increased damage but has less potent effects.</v>
      </c>
      <c r="D3" s="52" t="str">
        <f t="array" ref="D3">_xlfn.XLOOKUP(B3,'Up Turbo'!A:A,'Up Turbo'!B:B,)</f>
        <v/>
      </c>
      <c r="E3" s="53" t="str">
        <f t="array" ref="E3">_xlfn.XLOOKUP(B3,'Up Stats'!A:A,'Up Stats'!B:B,)</f>
        <v/>
      </c>
      <c r="F3" s="54" t="str">
        <f>IFERROR(__xludf.DUMMYFUNCTION("if(AND(G3=FALSE,H3=FALSE),,if(G3=H3,JOIN("""",""Static: "",G3),JOIN("""",""Min:  "",G3, CHAR(10),""Max: "",H3)))"),"")</f>
        <v/>
      </c>
      <c r="G3" s="55" t="str">
        <f t="array" ref="G3">_xlfn.XLOOKUP(B3,'Up Min'!A:A,'Up Min'!B:B,)</f>
        <v/>
      </c>
      <c r="H3" s="56" t="str">
        <f t="array" ref="H3">_xlfn.XLOOKUP(B3,'Up Max'!A:A,'Up Max'!B:B,)</f>
        <v/>
      </c>
      <c r="I3" s="53" t="str">
        <f t="array" ref="I3">_xlfn.XLOOKUP(B3,'Up Stats'!A:A,'Up Stats'!C:C,)</f>
        <v/>
      </c>
      <c r="J3" s="54" t="str">
        <f>IFERROR(__xludf.DUMMYFUNCTION("if(AND(K3=FALSE,L3=FALSE),,if(K3=L3,JOIN("""",""Static: "",K3),JOIN("""",""Min:  "",K3, CHAR(10),""Max: "",L3)))"),"")</f>
        <v/>
      </c>
      <c r="K3" s="72" t="str">
        <f t="array" ref="K3">_xlfn.XLOOKUP(B3,'Up Min'!A:A,'Up Min'!C:C,)</f>
        <v/>
      </c>
      <c r="L3" s="72" t="str">
        <f t="array" ref="L3">_xlfn.XLOOKUP(B3,'Up Max'!A:A,'Up Max'!C:C,)</f>
        <v/>
      </c>
      <c r="M3" s="57" t="str">
        <f t="array" ref="M3">_xlfn.XLOOKUP(B3,'Up Stats'!A:A,'Up Stats'!D:D,)</f>
        <v/>
      </c>
      <c r="N3" s="54" t="str">
        <f>IFERROR(__xludf.DUMMYFUNCTION("if(AND(O3=FALSE,P3=FALSE),,if(O3=P3,JOIN("""",""Static: "",O3),JOIN("""",""Min:  "",O3, CHAR(10),""Max: "",P3)))"),"")</f>
        <v/>
      </c>
      <c r="O3" s="55" t="str">
        <f t="array" ref="O3">_xlfn.XLOOKUP(B3,'Up Min'!A:A,'Up Min'!D:D,)</f>
        <v/>
      </c>
      <c r="P3" s="55" t="str">
        <f t="array" ref="P3">_xlfn.XLOOKUP(B3,'Up Max'!A:A,'Up Max'!D:D,)</f>
        <v/>
      </c>
      <c r="Q3" s="57" t="str">
        <f t="array" ref="Q3">_xlfn.XLOOKUP(B3,'Up Stats'!A:A,'Up Stats'!E:E,)</f>
        <v/>
      </c>
      <c r="R3" s="54" t="str">
        <f>IFERROR(__xludf.DUMMYFUNCTION("if(AND(S3=FALSE,T3=FALSE),,if(S3=T3,JOIN("""",""Static: "",S3),JOIN("""",""Min:  "",S3, CHAR(10),""Max: "",T3)))"),"")</f>
        <v/>
      </c>
      <c r="S3" s="55" t="str">
        <f t="array" ref="S3">_xlfn.XLOOKUP(B3,'Up Min'!A:A,'Up Min'!E:E,)</f>
        <v/>
      </c>
      <c r="T3" s="55" t="str">
        <f t="array" ref="T3">_xlfn.XLOOKUP(B3,'Up Max'!A:A,'Up Max'!E:E,)</f>
        <v/>
      </c>
      <c r="U3" s="57" t="str">
        <f t="array" ref="U3">_xlfn.XLOOKUP(B3,'Up Stats'!A:A,'Up Stats'!F:F,)</f>
        <v/>
      </c>
      <c r="V3" s="54" t="str">
        <f>IFERROR(__xludf.DUMMYFUNCTION("if(AND(W3=FALSE,X3=FALSE),,if(W3=X3,JOIN("""",""Static: "",W3),JOIN("""",""Min:  "",W3, CHAR(10),""Max: "",X3)))"),"")</f>
        <v/>
      </c>
      <c r="W3" s="55" t="str">
        <f t="array" ref="W3">_xlfn.XLOOKUP(B3,'Up Min'!A:A,'Up Min'!F:F,)</f>
        <v/>
      </c>
      <c r="X3" s="55" t="str">
        <f t="array" ref="X3">_xlfn.XLOOKUP(B3,'Up Max'!A:A,'Up Max'!F:F,)</f>
        <v/>
      </c>
      <c r="Y3" s="57" t="str">
        <f t="array" ref="Y3">_xlfn.XLOOKUP(B3,'Up Stats'!A:A,'Up Stats'!G:G,)</f>
        <v/>
      </c>
      <c r="Z3" s="54" t="str">
        <f>IFERROR(__xludf.DUMMYFUNCTION("if(AND(AA3=FALSE,AB3=FALSE),,if(AA3=AB3,JOIN("""",""Static: "",AA3),JOIN("""",""Min:  "",AA3, CHAR(10),""Max: "",AB3)))"),"")</f>
        <v/>
      </c>
      <c r="AA3" s="55" t="str">
        <f t="array" ref="AA3">_xlfn.XLOOKUP(B3,'Up Min'!A:A,'Up Min'!G:G,)</f>
        <v/>
      </c>
      <c r="AB3" s="55" t="str">
        <f t="array" ref="AB3">_xlfn.XLOOKUP(B3,'Up Max'!A:A,'Up Max'!G:G,)</f>
        <v/>
      </c>
      <c r="AC3" s="57" t="str">
        <f t="array" ref="AC3">_xlfn.XLOOKUP(B3,'Up Stats'!A:A,'Up Stats'!H:H,)</f>
        <v/>
      </c>
      <c r="AD3" s="54" t="str">
        <f>IFERROR(__xludf.DUMMYFUNCTION("if(AND(AE3=FALSE,AF3=FALSE),,if(AE3=AF3,JOIN("""",""Static: "",AE3),JOIN("""",""Min:  "",AE3, CHAR(10),""Max: "",AF3)))"),"")</f>
        <v/>
      </c>
      <c r="AE3" s="55" t="str">
        <f t="array" ref="AE3">_xlfn.XLOOKUP(B3,'Up Min'!A:A,'Up Min'!H:H,)</f>
        <v/>
      </c>
      <c r="AF3" s="55" t="str">
        <f t="array" ref="AF3">_xlfn.XLOOKUP(B3,'Up Max'!A:A,'Up Max'!H:H,)</f>
        <v/>
      </c>
      <c r="AG3" s="57" t="str">
        <f t="array" ref="AG3">_xlfn.XLOOKUP(B3,'Up Stats'!A:A,'Up Stats'!I:I,)</f>
        <v/>
      </c>
      <c r="AH3" s="54" t="str">
        <f>IFERROR(__xludf.DUMMYFUNCTION("if(AND(AI3=FALSE,AJ3=FALSE),,if(AI3=AJ3,JOIN("""",""Static: "",AI3),JOIN("""",""Min:  "",AI3, CHAR(10),""Max: "",AJ3)))"),"")</f>
        <v/>
      </c>
      <c r="AI3" s="55" t="str">
        <f t="array" ref="AI3">_xlfn.XLOOKUP(B3,'Up Min'!A:A,'Up Min'!I:I,)</f>
        <v/>
      </c>
      <c r="AJ3" s="55" t="str">
        <f t="array" ref="AJ3">_xlfn.XLOOKUP(B3,'Up Max'!A:A,'Up Max'!I:I,)</f>
        <v/>
      </c>
      <c r="AK3" s="57" t="str">
        <f t="array" ref="AK3">_xlfn.XLOOKUP(B3,'Up Stats'!A:A,'Up Stats'!J:J,)</f>
        <v/>
      </c>
      <c r="AL3" s="54" t="str">
        <f>IFERROR(__xludf.DUMMYFUNCTION("if(AND(AM3=FALSE,AN3=FALSE),,if(AM3=AN3,JOIN("""",""Static: "",AM3),JOIN("""",""Min:  "",AM3, CHAR(10),""Max: "",AN3)))"),"")</f>
        <v/>
      </c>
      <c r="AM3" s="55" t="str">
        <f t="array" ref="AM3">_xlfn.XLOOKUP(B3,'Up Min'!A:A,'Up Min'!J:J,)</f>
        <v/>
      </c>
      <c r="AN3" s="55" t="str">
        <f t="array" ref="AN3">_xlfn.XLOOKUP(B3,'Up Max'!A:A,'Up Max'!J:J,)</f>
        <v/>
      </c>
      <c r="AO3" s="51" t="str">
        <f t="array" ref="AO3">CONCATENATE(_xlfn.XLOOKUP(B3,'Up Cells'!A:A,'Up Cells'!B:B,))</f>
        <v>5</v>
      </c>
      <c r="AP3" s="61" t="str">
        <f t="array" ref="AP3">CONCATENATE(_xlfn.XLOOKUP(B3,'Up Rarity'!A:A,'Up Rarity'!B:B,),CHAR(10),"-")</f>
        <v>Exotic
-</v>
      </c>
    </row>
    <row r="4">
      <c r="A4" s="62" t="str">
        <f t="array" ref="A4">_xlfn.XLOOKUP(B4,'Up Icon'!A:A,'Up Icon'!B:B,)</f>
        <v/>
      </c>
      <c r="B4" s="89" t="str">
        <f t="array" ref="B4">HYPERLINK(_xlfn.XLOOKUP('Up Names'!R3,'Up Wiki'!A:A,'Up Wiki'!B:B,),'Up Names'!R3)</f>
        <v>For Good Measure</v>
      </c>
      <c r="C4" s="37" t="str">
        <f t="array" ref="C4">_xlfn.XLOOKUP(B4,'Up Desc'!A:A,'Up Desc'!B:B,)</f>
        <v>Gain a second Nose Dive charge.</v>
      </c>
      <c r="D4" s="37" t="str">
        <f t="array" ref="D4">_xlfn.XLOOKUP(B4,'Up Turbo'!A:A,'Up Turbo'!B:B,)</f>
        <v>Recharge Speed: [+9.89% - +7.53%]</v>
      </c>
      <c r="E4" s="39" t="str">
        <f t="array" ref="E4">_xlfn.XLOOKUP(B4,'Up Stats'!A:A,'Up Stats'!B:B,)</f>
        <v>Recharge Speed</v>
      </c>
      <c r="F4" s="40" t="str">
        <f>IFERROR(__xludf.DUMMYFUNCTION("if(AND(G4=FALSE,H4=FALSE),,if(G4=H4,JOIN("""",""Static: "",G4),JOIN("""",""Min:  "",G4, CHAR(10),""Max: "",H4)))"),"Min:  1.01%
Max: -8.26%")</f>
        <v>Min:  1.01%
Max: -8.26%</v>
      </c>
      <c r="G4" s="78">
        <f t="array" ref="G4">_xlfn.XLOOKUP(B4,'Up Min'!A:A,'Up Min'!B:B,)</f>
        <v>0.0101</v>
      </c>
      <c r="H4" s="78">
        <f t="array" ref="H4">_xlfn.XLOOKUP(B4,'Up Max'!A:A,'Up Max'!B:B,)</f>
        <v>-0.0826</v>
      </c>
      <c r="I4" s="39" t="str">
        <f t="array" ref="I4">_xlfn.XLOOKUP(B4,'Up Stats'!A:A,'Up Stats'!C:C,)</f>
        <v>Charges</v>
      </c>
      <c r="J4" s="40" t="str">
        <f>IFERROR(__xludf.DUMMYFUNCTION("if(AND(K4=FALSE,L4=FALSE),,if(K4=L4,JOIN("""",""Static: "",K4),JOIN("""",""Min:  "",K4, CHAR(10),""Max: "",L4)))"),"Static: 1")</f>
        <v>Static: 1</v>
      </c>
      <c r="K4" s="68">
        <f t="array" ref="K4">_xlfn.XLOOKUP(B4,'Up Min'!A:A,'Up Min'!C:C,)</f>
        <v>1</v>
      </c>
      <c r="L4" s="69">
        <f t="array" ref="L4">_xlfn.XLOOKUP(B4,'Up Max'!A:A,'Up Max'!C:C,)</f>
        <v>1</v>
      </c>
      <c r="M4" s="39" t="str">
        <f t="array" ref="M4">_xlfn.XLOOKUP(B4,'Up Stats'!A:A,'Up Stats'!D:D,)</f>
        <v/>
      </c>
      <c r="N4" s="40" t="str">
        <f>IFERROR(__xludf.DUMMYFUNCTION("if(AND(O4=FALSE,P4=FALSE),,if(O4=P4,JOIN("""",""Static: "",O4),JOIN("""",""Min:  "",O4, CHAR(10),""Max: "",P4)))"),"")</f>
        <v/>
      </c>
      <c r="O4" s="42" t="str">
        <f t="array" ref="O4">_xlfn.XLOOKUP(B4,'Up Min'!A:A,'Up Min'!D:D,)</f>
        <v/>
      </c>
      <c r="P4" s="42" t="str">
        <f t="array" ref="P4">_xlfn.XLOOKUP(B4,'Up Max'!A:A,'Up Max'!D:D,)</f>
        <v/>
      </c>
      <c r="Q4" s="48" t="str">
        <f t="array" ref="Q4">_xlfn.XLOOKUP(B4,'Up Stats'!A:A,'Up Stats'!E:E,)</f>
        <v/>
      </c>
      <c r="R4" s="40" t="str">
        <f>IFERROR(__xludf.DUMMYFUNCTION("if(AND(S4=FALSE,T4=FALSE),,if(S4=T4,JOIN("""",""Static: "",S4),JOIN("""",""Min:  "",S4, CHAR(10),""Max: "",T4)))"),"")</f>
        <v/>
      </c>
      <c r="S4" s="42" t="str">
        <f t="array" ref="S4">_xlfn.XLOOKUP(B4,'Up Min'!A:A,'Up Min'!E:E,)</f>
        <v/>
      </c>
      <c r="T4" s="42" t="str">
        <f t="array" ref="T4">_xlfn.XLOOKUP(B4,'Up Max'!A:A,'Up Max'!E:E,)</f>
        <v/>
      </c>
      <c r="U4" s="48" t="str">
        <f t="array" ref="U4">_xlfn.XLOOKUP(B4,'Up Stats'!A:A,'Up Stats'!F:F,)</f>
        <v/>
      </c>
      <c r="V4" s="40" t="str">
        <f>IFERROR(__xludf.DUMMYFUNCTION("if(AND(W4=FALSE,X4=FALSE),,if(W4=X4,JOIN("""",""Static: "",W4),JOIN("""",""Min:  "",W4, CHAR(10),""Max: "",X4)))"),"")</f>
        <v/>
      </c>
      <c r="W4" s="42" t="str">
        <f t="array" ref="W4">_xlfn.XLOOKUP(B4,'Up Min'!A:A,'Up Min'!F:F,)</f>
        <v/>
      </c>
      <c r="X4" s="42" t="str">
        <f t="array" ref="X4">_xlfn.XLOOKUP(B4,'Up Max'!A:A,'Up Max'!F:F,)</f>
        <v/>
      </c>
      <c r="Y4" s="48" t="str">
        <f t="array" ref="Y4">_xlfn.XLOOKUP(B4,'Up Stats'!A:A,'Up Stats'!G:G,)</f>
        <v/>
      </c>
      <c r="Z4" s="40" t="str">
        <f>IFERROR(__xludf.DUMMYFUNCTION("if(AND(AA4=FALSE,AB4=FALSE),,if(AA4=AB4,JOIN("""",""Static: "",AA4),JOIN("""",""Min:  "",AA4, CHAR(10),""Max: "",AB4)))"),"")</f>
        <v/>
      </c>
      <c r="AA4" s="42" t="str">
        <f t="array" ref="AA4">_xlfn.XLOOKUP(B4,'Up Min'!A:A,'Up Min'!G:G,)</f>
        <v/>
      </c>
      <c r="AB4" s="42" t="str">
        <f t="array" ref="AB4">_xlfn.XLOOKUP(B4,'Up Max'!A:A,'Up Max'!G:G,)</f>
        <v/>
      </c>
      <c r="AC4" s="48" t="str">
        <f t="array" ref="AC4">_xlfn.XLOOKUP(B4,'Up Stats'!A:A,'Up Stats'!H:H,)</f>
        <v/>
      </c>
      <c r="AD4" s="40" t="str">
        <f>IFERROR(__xludf.DUMMYFUNCTION("if(AND(AE4=FALSE,AF4=FALSE),,if(AE4=AF4,JOIN("""",""Static: "",AE4),JOIN("""",""Min:  "",AE4, CHAR(10),""Max: "",AF4)))"),"")</f>
        <v/>
      </c>
      <c r="AE4" s="42" t="str">
        <f t="array" ref="AE4">_xlfn.XLOOKUP(B4,'Up Min'!A:A,'Up Min'!H:H,)</f>
        <v/>
      </c>
      <c r="AF4" s="42" t="str">
        <f t="array" ref="AF4">_xlfn.XLOOKUP(B4,'Up Max'!A:A,'Up Max'!H:H,)</f>
        <v/>
      </c>
      <c r="AG4" s="48" t="str">
        <f t="array" ref="AG4">_xlfn.XLOOKUP(B4,'Up Stats'!A:A,'Up Stats'!I:I,)</f>
        <v/>
      </c>
      <c r="AH4" s="40" t="str">
        <f>IFERROR(__xludf.DUMMYFUNCTION("if(AND(AI4=FALSE,AJ4=FALSE),,if(AI4=AJ4,JOIN("""",""Static: "",AI4),JOIN("""",""Min:  "",AI4, CHAR(10),""Max: "",AJ4)))"),"")</f>
        <v/>
      </c>
      <c r="AI4" s="42" t="str">
        <f t="array" ref="AI4">_xlfn.XLOOKUP(B4,'Up Min'!A:A,'Up Min'!I:I,)</f>
        <v/>
      </c>
      <c r="AJ4" s="42" t="str">
        <f t="array" ref="AJ4">_xlfn.XLOOKUP(B4,'Up Max'!A:A,'Up Max'!I:I,)</f>
        <v/>
      </c>
      <c r="AK4" s="48" t="str">
        <f t="array" ref="AK4">_xlfn.XLOOKUP(B4,'Up Stats'!A:A,'Up Stats'!J:J,)</f>
        <v/>
      </c>
      <c r="AL4" s="40" t="str">
        <f>IFERROR(__xludf.DUMMYFUNCTION("if(AND(AM4=FALSE,AN4=FALSE),,if(AM4=AN4,JOIN("""",""Static: "",AM4),JOIN("""",""Min:  "",AM4, CHAR(10),""Max: "",AN4)))"),"")</f>
        <v/>
      </c>
      <c r="AM4" s="42" t="str">
        <f t="array" ref="AM4">_xlfn.XLOOKUP(B4,'Up Min'!A:A,'Up Min'!J:J,)</f>
        <v/>
      </c>
      <c r="AN4" s="42" t="str">
        <f t="array" ref="AN4">_xlfn.XLOOKUP(B4,'Up Max'!A:A,'Up Max'!J:J,)</f>
        <v/>
      </c>
      <c r="AO4" s="34" t="str">
        <f t="array" ref="AO4">CONCATENATE(_xlfn.XLOOKUP(B4,'Up Cells'!A:A,'Up Cells'!B:B,))</f>
        <v>7</v>
      </c>
      <c r="AP4" s="58" t="str">
        <f t="array" ref="AP4">CONCATENATE(_xlfn.XLOOKUP(B4,'Up Rarity'!A:A,'Up Rarity'!B:B,),CHAR(10),"-")</f>
        <v>Exotic
-</v>
      </c>
    </row>
    <row r="5">
      <c r="A5" s="62" t="str">
        <f t="array" ref="A5">_xlfn.XLOOKUP(B5,'Up Icon'!A:A,'Up Icon'!B:B,)</f>
        <v/>
      </c>
      <c r="B5" s="88" t="str">
        <f t="array" ref="B5">HYPERLINK(_xlfn.XLOOKUP('Up Names'!R4,'Up Wiki'!A:A,'Up Wiki'!B:B,),'Up Names'!R4)</f>
        <v>Hard-Light Prison</v>
      </c>
      <c r="C5" s="52" t="str">
        <f t="array" ref="C5">_xlfn.XLOOKUP(B5,'Up Desc'!A:A,'Up Desc'!B:B,)</f>
        <v>Your Shield Projector creates a large cube that traps enemies inside. Players inside the cute heal over time. Shield duration is increased.</v>
      </c>
      <c r="D5" s="52" t="str">
        <f t="array" ref="D5">_xlfn.XLOOKUP(B5,'Up Turbo'!A:A,'Up Turbo'!B:B,)</f>
        <v>Players inside your prison deal increased damage.
Damage: [+23% - +26%]</v>
      </c>
      <c r="E5" s="53" t="str">
        <f t="array" ref="E5">_xlfn.XLOOKUP(B5,'Up Stats'!A:A,'Up Stats'!B:B,)</f>
        <v>Healing</v>
      </c>
      <c r="F5" s="54" t="str">
        <f>IFERROR(__xludf.DUMMYFUNCTION("if(AND(G5=FALSE,H5=FALSE),,if(G5=H5,JOIN("""",""Static: "",G5),JOIN("""",""Min:  "",G5, CHAR(10),""Max: "",H5)))"),"Min:  2.3
Max: 3.6")</f>
        <v>Min:  2.3
Max: 3.6</v>
      </c>
      <c r="G5" s="64">
        <f t="array" ref="G5">_xlfn.XLOOKUP(B5,'Up Min'!A:A,'Up Min'!B:B,)</f>
        <v>2.3</v>
      </c>
      <c r="H5" s="65">
        <f t="array" ref="H5">_xlfn.XLOOKUP(B5,'Up Max'!A:A,'Up Max'!B:B,)</f>
        <v>3.6</v>
      </c>
      <c r="I5" s="53" t="str">
        <f t="array" ref="I5">_xlfn.XLOOKUP(B5,'Up Stats'!A:A,'Up Stats'!C:C,)</f>
        <v>Duration</v>
      </c>
      <c r="J5" s="54" t="str">
        <f>IFERROR(__xludf.DUMMYFUNCTION("if(AND(K5=FALSE,L5=FALSE),,if(K5=L5,JOIN("""",""Static: "",K5),JOIN("""",""Min:  "",K5, CHAR(10),""Max: "",L5)))"),"Min:  4
Max: 7")</f>
        <v>Min:  4
Max: 7</v>
      </c>
      <c r="K5" s="65">
        <f t="array" ref="K5">_xlfn.XLOOKUP(B5,'Up Min'!A:A,'Up Min'!C:C,)</f>
        <v>4</v>
      </c>
      <c r="L5" s="64">
        <f t="array" ref="L5">_xlfn.XLOOKUP(B5,'Up Max'!A:A,'Up Max'!C:C,)</f>
        <v>7</v>
      </c>
      <c r="M5" s="53" t="str">
        <f t="array" ref="M5">_xlfn.XLOOKUP(B5,'Up Stats'!A:A,'Up Stats'!D:D,)</f>
        <v>Horizontal Size</v>
      </c>
      <c r="N5" s="54" t="str">
        <f>IFERROR(__xludf.DUMMYFUNCTION("if(AND(O5=FALSE,P5=FALSE),,if(O5=P5,JOIN("""",""Static: "",O5),JOIN("""",""Min:  "",O5, CHAR(10),""Max: "",P5)))"),"Min:  16
Max: 28")</f>
        <v>Min:  16
Max: 28</v>
      </c>
      <c r="O5" s="65">
        <f t="array" ref="O5">_xlfn.XLOOKUP(B5,'Up Min'!A:A,'Up Min'!D:D,)</f>
        <v>16</v>
      </c>
      <c r="P5" s="65">
        <f t="array" ref="P5">_xlfn.XLOOKUP(B5,'Up Max'!A:A,'Up Max'!D:D,)</f>
        <v>28</v>
      </c>
      <c r="Q5" s="57" t="str">
        <f t="array" ref="Q5">_xlfn.XLOOKUP(B5,'Up Stats'!A:A,'Up Stats'!E:E,)</f>
        <v/>
      </c>
      <c r="R5" s="54" t="str">
        <f>IFERROR(__xludf.DUMMYFUNCTION("if(AND(S5=FALSE,T5=FALSE),,if(S5=T5,JOIN("""",""Static: "",S5),JOIN("""",""Min:  "",S5, CHAR(10),""Max: "",T5)))"),"")</f>
        <v/>
      </c>
      <c r="S5" s="56" t="str">
        <f t="array" ref="S5">_xlfn.XLOOKUP(B5,'Up Min'!A:A,'Up Min'!E:E,)</f>
        <v/>
      </c>
      <c r="T5" s="56" t="str">
        <f t="array" ref="T5">_xlfn.XLOOKUP(B5,'Up Max'!A:A,'Up Max'!E:E,)</f>
        <v/>
      </c>
      <c r="U5" s="53" t="str">
        <f t="array" ref="U5">_xlfn.XLOOKUP(B5,'Up Stats'!A:A,'Up Stats'!F:F,)</f>
        <v/>
      </c>
      <c r="V5" s="54" t="str">
        <f>IFERROR(__xludf.DUMMYFUNCTION("if(AND(W5=FALSE,X5=FALSE),,if(W5=X5,JOIN("""",""Static: "",W5),JOIN("""",""Min:  "",W5, CHAR(10),""Max: "",X5)))"),"")</f>
        <v/>
      </c>
      <c r="W5" s="56" t="str">
        <f t="array" ref="W5">_xlfn.XLOOKUP(B5,'Up Min'!A:A,'Up Min'!F:F,)</f>
        <v/>
      </c>
      <c r="X5" s="56" t="str">
        <f t="array" ref="X5">_xlfn.XLOOKUP(B5,'Up Max'!A:A,'Up Max'!F:F,)</f>
        <v/>
      </c>
      <c r="Y5" s="53" t="str">
        <f t="array" ref="Y5">_xlfn.XLOOKUP(B5,'Up Stats'!A:A,'Up Stats'!G:G,)</f>
        <v/>
      </c>
      <c r="Z5" s="54" t="str">
        <f>IFERROR(__xludf.DUMMYFUNCTION("if(AND(AA5=FALSE,AB5=FALSE),,if(AA5=AB5,JOIN("""",""Static: "",AA5),JOIN("""",""Min:  "",AA5, CHAR(10),""Max: "",AB5)))"),"")</f>
        <v/>
      </c>
      <c r="AA5" s="56" t="str">
        <f t="array" ref="AA5">_xlfn.XLOOKUP(B5,'Up Min'!A:A,'Up Min'!G:G,)</f>
        <v/>
      </c>
      <c r="AB5" s="56" t="str">
        <f t="array" ref="AB5">_xlfn.XLOOKUP(B5,'Up Max'!A:A,'Up Max'!G:G,)</f>
        <v/>
      </c>
      <c r="AC5" s="53" t="str">
        <f t="array" ref="AC5">_xlfn.XLOOKUP(B5,'Up Stats'!A:A,'Up Stats'!H:H,)</f>
        <v/>
      </c>
      <c r="AD5" s="54" t="str">
        <f>IFERROR(__xludf.DUMMYFUNCTION("if(AND(AE5=FALSE,AF5=FALSE),,if(AE5=AF5,JOIN("""",""Static: "",AE5),JOIN("""",""Min:  "",AE5, CHAR(10),""Max: "",AF5)))"),"")</f>
        <v/>
      </c>
      <c r="AE5" s="56" t="str">
        <f t="array" ref="AE5">_xlfn.XLOOKUP(B5,'Up Min'!A:A,'Up Min'!H:H,)</f>
        <v/>
      </c>
      <c r="AF5" s="56" t="str">
        <f t="array" ref="AF5">_xlfn.XLOOKUP(B5,'Up Max'!A:A,'Up Max'!H:H,)</f>
        <v/>
      </c>
      <c r="AG5" s="53" t="str">
        <f t="array" ref="AG5">_xlfn.XLOOKUP(B5,'Up Stats'!A:A,'Up Stats'!I:I,)</f>
        <v/>
      </c>
      <c r="AH5" s="54" t="str">
        <f>IFERROR(__xludf.DUMMYFUNCTION("if(AND(AI5=FALSE,AJ5=FALSE),,if(AI5=AJ5,JOIN("""",""Static: "",AI5),JOIN("""",""Min:  "",AI5, CHAR(10),""Max: "",AJ5)))"),"")</f>
        <v/>
      </c>
      <c r="AI5" s="56" t="str">
        <f t="array" ref="AI5">_xlfn.XLOOKUP(B5,'Up Min'!A:A,'Up Min'!I:I,)</f>
        <v/>
      </c>
      <c r="AJ5" s="56" t="str">
        <f t="array" ref="AJ5">_xlfn.XLOOKUP(B5,'Up Max'!A:A,'Up Max'!I:I,)</f>
        <v/>
      </c>
      <c r="AK5" s="53" t="str">
        <f t="array" ref="AK5">_xlfn.XLOOKUP(B5,'Up Stats'!A:A,'Up Stats'!J:J,)</f>
        <v/>
      </c>
      <c r="AL5" s="54" t="str">
        <f>IFERROR(__xludf.DUMMYFUNCTION("if(AND(AM5=FALSE,AN5=FALSE),,if(AM5=AN5,JOIN("""",""Static: "",AM5),JOIN("""",""Min:  "",AM5, CHAR(10),""Max: "",AN5)))"),"")</f>
        <v/>
      </c>
      <c r="AM5" s="56" t="str">
        <f t="array" ref="AM5">_xlfn.XLOOKUP(B5,'Up Min'!A:A,'Up Min'!J:J,)</f>
        <v/>
      </c>
      <c r="AN5" s="56" t="str">
        <f t="array" ref="AN5">_xlfn.XLOOKUP(B5,'Up Max'!A:A,'Up Max'!J:J,)</f>
        <v/>
      </c>
      <c r="AO5" s="51" t="str">
        <f t="array" ref="AO5">CONCATENATE(_xlfn.XLOOKUP(B5,'Up Cells'!A:A,'Up Cells'!B:B,))</f>
        <v>15</v>
      </c>
      <c r="AP5" s="61" t="str">
        <f t="array" ref="AP5">CONCATENATE(_xlfn.XLOOKUP(B5,'Up Rarity'!A:A,'Up Rarity'!B:B,),CHAR(10),"-")</f>
        <v>Exotic
-</v>
      </c>
    </row>
    <row r="6">
      <c r="A6" s="62" t="str">
        <f t="array" ref="A6">_xlfn.XLOOKUP(B6,'Up Icon'!A:A,'Up Icon'!B:B,)</f>
        <v/>
      </c>
      <c r="B6" s="89" t="str">
        <f t="array" ref="B6">HYPERLINK(_xlfn.XLOOKUP('Up Names'!R5,'Up Wiki'!A:A,'Up Wiki'!B:B,),'Up Names'!R5)</f>
        <v>Hold the Line</v>
      </c>
      <c r="C6" s="37" t="str">
        <f t="array" ref="C6">_xlfn.XLOOKUP(B6,'Up Desc'!A:A,'Up Desc'!B:B,)</f>
        <v>Your Nose Dive impact creates a temporary bubble shield.</v>
      </c>
      <c r="D6" s="37" t="str">
        <f t="array" ref="D6">_xlfn.XLOOKUP(B6,'Up Turbo'!A:A,'Up Turbo'!B:B,)</f>
        <v>Duration: [+2 - +2.2]
Size: [+3 - +3.3]</v>
      </c>
      <c r="E6" s="39" t="str">
        <f t="array" ref="E6">_xlfn.XLOOKUP(B6,'Up Stats'!A:A,'Up Stats'!B:B,)</f>
        <v>Duration</v>
      </c>
      <c r="F6" s="40" t="str">
        <f>IFERROR(__xludf.DUMMYFUNCTION("if(AND(G6=FALSE,H6=FALSE),,if(G6=H6,JOIN("""",""Static: "",G6),JOIN("""",""Min:  "",G6, CHAR(10),""Max: "",H6)))"),"Min:  2
Max: 4")</f>
        <v>Min:  2
Max: 4</v>
      </c>
      <c r="G6" s="69">
        <f t="array" ref="G6">_xlfn.XLOOKUP(B6,'Up Min'!A:A,'Up Min'!B:B,)</f>
        <v>2</v>
      </c>
      <c r="H6" s="68">
        <f t="array" ref="H6">_xlfn.XLOOKUP(B6,'Up Max'!A:A,'Up Max'!B:B,)</f>
        <v>4</v>
      </c>
      <c r="I6" s="39" t="str">
        <f t="array" ref="I6">_xlfn.XLOOKUP(B6,'Up Stats'!A:A,'Up Stats'!C:C,)</f>
        <v>Size</v>
      </c>
      <c r="J6" s="40" t="str">
        <f>IFERROR(__xludf.DUMMYFUNCTION("if(AND(K6=FALSE,L6=FALSE),,if(K6=L6,JOIN("""",""Static: "",K6),JOIN("""",""Min:  "",K6, CHAR(10),""Max: "",L6)))"),"Min:  8
Max: 12")</f>
        <v>Min:  8
Max: 12</v>
      </c>
      <c r="K6" s="68">
        <f t="array" ref="K6">_xlfn.XLOOKUP(B6,'Up Min'!A:A,'Up Min'!C:C,)</f>
        <v>8</v>
      </c>
      <c r="L6" s="69">
        <f t="array" ref="L6">_xlfn.XLOOKUP(B6,'Up Max'!A:A,'Up Max'!C:C,)</f>
        <v>12</v>
      </c>
      <c r="M6" s="39" t="str">
        <f t="array" ref="M6">_xlfn.XLOOKUP(B6,'Up Stats'!A:A,'Up Stats'!D:D,)</f>
        <v/>
      </c>
      <c r="N6" s="40" t="str">
        <f>IFERROR(__xludf.DUMMYFUNCTION("if(AND(O6=FALSE,P6=FALSE),,if(O6=P6,JOIN("""",""Static: "",O6),JOIN("""",""Min:  "",O6, CHAR(10),""Max: "",P6)))"),"")</f>
        <v/>
      </c>
      <c r="O6" s="42" t="str">
        <f t="array" ref="O6">_xlfn.XLOOKUP(B6,'Up Min'!A:A,'Up Min'!D:D,)</f>
        <v/>
      </c>
      <c r="P6" s="42" t="str">
        <f t="array" ref="P6">_xlfn.XLOOKUP(B6,'Up Max'!A:A,'Up Max'!D:D,)</f>
        <v/>
      </c>
      <c r="Q6" s="48" t="str">
        <f t="array" ref="Q6">_xlfn.XLOOKUP(B6,'Up Stats'!A:A,'Up Stats'!E:E,)</f>
        <v/>
      </c>
      <c r="R6" s="40" t="str">
        <f>IFERROR(__xludf.DUMMYFUNCTION("if(AND(S6=FALSE,T6=FALSE),,if(S6=T6,JOIN("""",""Static: "",S6),JOIN("""",""Min:  "",S6, CHAR(10),""Max: "",T6)))"),"")</f>
        <v/>
      </c>
      <c r="S6" s="42" t="str">
        <f t="array" ref="S6">_xlfn.XLOOKUP(B6,'Up Min'!A:A,'Up Min'!E:E,)</f>
        <v/>
      </c>
      <c r="T6" s="42" t="str">
        <f t="array" ref="T6">_xlfn.XLOOKUP(B6,'Up Max'!A:A,'Up Max'!E:E,)</f>
        <v/>
      </c>
      <c r="U6" s="48" t="str">
        <f t="array" ref="U6">_xlfn.XLOOKUP(B6,'Up Stats'!A:A,'Up Stats'!F:F,)</f>
        <v/>
      </c>
      <c r="V6" s="40" t="str">
        <f>IFERROR(__xludf.DUMMYFUNCTION("if(AND(W6=FALSE,X6=FALSE),,if(W6=X6,JOIN("""",""Static: "",W6),JOIN("""",""Min:  "",W6, CHAR(10),""Max: "",X6)))"),"")</f>
        <v/>
      </c>
      <c r="W6" s="42" t="str">
        <f t="array" ref="W6">_xlfn.XLOOKUP(B6,'Up Min'!A:A,'Up Min'!F:F,)</f>
        <v/>
      </c>
      <c r="X6" s="42" t="str">
        <f t="array" ref="X6">_xlfn.XLOOKUP(B6,'Up Max'!A:A,'Up Max'!F:F,)</f>
        <v/>
      </c>
      <c r="Y6" s="48" t="str">
        <f t="array" ref="Y6">_xlfn.XLOOKUP(B6,'Up Stats'!A:A,'Up Stats'!G:G,)</f>
        <v/>
      </c>
      <c r="Z6" s="40" t="str">
        <f>IFERROR(__xludf.DUMMYFUNCTION("if(AND(AA6=FALSE,AB6=FALSE),,if(AA6=AB6,JOIN("""",""Static: "",AA6),JOIN("""",""Min:  "",AA6, CHAR(10),""Max: "",AB6)))"),"")</f>
        <v/>
      </c>
      <c r="AA6" s="42" t="str">
        <f t="array" ref="AA6">_xlfn.XLOOKUP(B6,'Up Min'!A:A,'Up Min'!G:G,)</f>
        <v/>
      </c>
      <c r="AB6" s="42" t="str">
        <f t="array" ref="AB6">_xlfn.XLOOKUP(B6,'Up Max'!A:A,'Up Max'!G:G,)</f>
        <v/>
      </c>
      <c r="AC6" s="48" t="str">
        <f t="array" ref="AC6">_xlfn.XLOOKUP(B6,'Up Stats'!A:A,'Up Stats'!H:H,)</f>
        <v/>
      </c>
      <c r="AD6" s="40" t="str">
        <f>IFERROR(__xludf.DUMMYFUNCTION("if(AND(AE6=FALSE,AF6=FALSE),,if(AE6=AF6,JOIN("""",""Static: "",AE6),JOIN("""",""Min:  "",AE6, CHAR(10),""Max: "",AF6)))"),"")</f>
        <v/>
      </c>
      <c r="AE6" s="42" t="str">
        <f t="array" ref="AE6">_xlfn.XLOOKUP(B6,'Up Min'!A:A,'Up Min'!H:H,)</f>
        <v/>
      </c>
      <c r="AF6" s="42" t="str">
        <f t="array" ref="AF6">_xlfn.XLOOKUP(B6,'Up Max'!A:A,'Up Max'!H:H,)</f>
        <v/>
      </c>
      <c r="AG6" s="48" t="str">
        <f t="array" ref="AG6">_xlfn.XLOOKUP(B6,'Up Stats'!A:A,'Up Stats'!I:I,)</f>
        <v/>
      </c>
      <c r="AH6" s="40" t="str">
        <f>IFERROR(__xludf.DUMMYFUNCTION("if(AND(AI6=FALSE,AJ6=FALSE),,if(AI6=AJ6,JOIN("""",""Static: "",AI6),JOIN("""",""Min:  "",AI6, CHAR(10),""Max: "",AJ6)))"),"")</f>
        <v/>
      </c>
      <c r="AI6" s="42" t="str">
        <f t="array" ref="AI6">_xlfn.XLOOKUP(B6,'Up Min'!A:A,'Up Min'!I:I,)</f>
        <v/>
      </c>
      <c r="AJ6" s="42" t="str">
        <f t="array" ref="AJ6">_xlfn.XLOOKUP(B6,'Up Max'!A:A,'Up Max'!I:I,)</f>
        <v/>
      </c>
      <c r="AK6" s="48" t="str">
        <f t="array" ref="AK6">_xlfn.XLOOKUP(B6,'Up Stats'!A:A,'Up Stats'!J:J,)</f>
        <v/>
      </c>
      <c r="AL6" s="40" t="str">
        <f>IFERROR(__xludf.DUMMYFUNCTION("if(AND(AM6=FALSE,AN6=FALSE),,if(AM6=AN6,JOIN("""",""Static: "",AM6),JOIN("""",""Min:  "",AM6, CHAR(10),""Max: "",AN6)))"),"")</f>
        <v/>
      </c>
      <c r="AM6" s="42" t="str">
        <f t="array" ref="AM6">_xlfn.XLOOKUP(B6,'Up Min'!A:A,'Up Min'!J:J,)</f>
        <v/>
      </c>
      <c r="AN6" s="42" t="str">
        <f t="array" ref="AN6">_xlfn.XLOOKUP(B6,'Up Max'!A:A,'Up Max'!J:J,)</f>
        <v/>
      </c>
      <c r="AO6" s="34" t="str">
        <f t="array" ref="AO6">CONCATENATE(_xlfn.XLOOKUP(B6,'Up Cells'!A:A,'Up Cells'!B:B,))</f>
        <v>5</v>
      </c>
      <c r="AP6" s="58" t="str">
        <f t="array" ref="AP6">CONCATENATE(_xlfn.XLOOKUP(B6,'Up Rarity'!A:A,'Up Rarity'!B:B,),CHAR(10),"-")</f>
        <v>Exotic
-</v>
      </c>
    </row>
    <row r="7">
      <c r="A7" s="62" t="str">
        <f t="array" ref="A7">_xlfn.XLOOKUP(B7,'Up Icon'!A:A,'Up Icon'!B:B,)</f>
        <v/>
      </c>
      <c r="B7" s="88" t="str">
        <f t="array" ref="B7">HYPERLINK(_xlfn.XLOOKUP('Up Names'!R6,'Up Wiki'!A:A,'Up Wiki'!B:B,),'Up Names'!R6)</f>
        <v>Lightning Dive</v>
      </c>
      <c r="C7" s="52" t="str">
        <f t="array" ref="C7">_xlfn.XLOOKUP(B7,'Up Desc'!A:A,'Up Desc'!B:B,)</f>
        <v>Nose Dive releases a bolt of lightning that arcs between up to 12 targets.</v>
      </c>
      <c r="D7" s="52" t="str">
        <f t="array" ref="D7">_xlfn.XLOOKUP(B7,'Up Turbo'!A:A,'Up Turbo'!B:B,)</f>
        <v>Damage: [57 - 62]</v>
      </c>
      <c r="E7" s="53" t="str">
        <f t="array" ref="E7">_xlfn.XLOOKUP(B7,'Up Stats'!A:A,'Up Stats'!B:B,)</f>
        <v>Range</v>
      </c>
      <c r="F7" s="54" t="str">
        <f>IFERROR(__xludf.DUMMYFUNCTION("if(AND(G7=FALSE,H7=FALSE),,if(G7=H7,JOIN("""",""Static: "",G7),JOIN("""",""Min:  "",G7, CHAR(10),""Max: "",H7)))"),"Min:  8
Max: 14")</f>
        <v>Min:  8
Max: 14</v>
      </c>
      <c r="G7" s="64">
        <f t="array" ref="G7">_xlfn.XLOOKUP(B7,'Up Min'!A:A,'Up Min'!B:B,)</f>
        <v>8</v>
      </c>
      <c r="H7" s="65">
        <f t="array" ref="H7">_xlfn.XLOOKUP(B7,'Up Max'!A:A,'Up Max'!B:B,)</f>
        <v>14</v>
      </c>
      <c r="I7" s="53" t="str">
        <f t="array" ref="I7">_xlfn.XLOOKUP(B7,'Up Stats'!A:A,'Up Stats'!C:C,)</f>
        <v>Max Hits</v>
      </c>
      <c r="J7" s="54" t="str">
        <f>IFERROR(__xludf.DUMMYFUNCTION("if(AND(K7=FALSE,L7=FALSE),,if(K7=L7,JOIN("""",""Static: "",K7),JOIN("""",""Min:  "",K7, CHAR(10),""Max: "",L7)))"),"Min:  8
Max: 13")</f>
        <v>Min:  8
Max: 13</v>
      </c>
      <c r="K7" s="65">
        <f t="array" ref="K7">_xlfn.XLOOKUP(B7,'Up Min'!A:A,'Up Min'!C:C,)</f>
        <v>8</v>
      </c>
      <c r="L7" s="64">
        <f t="array" ref="L7">_xlfn.XLOOKUP(B7,'Up Max'!A:A,'Up Max'!C:C,)</f>
        <v>13</v>
      </c>
      <c r="M7" s="53" t="str">
        <f t="array" ref="M7">_xlfn.XLOOKUP(B7,'Up Stats'!A:A,'Up Stats'!D:D,)</f>
        <v/>
      </c>
      <c r="N7" s="54" t="str">
        <f>IFERROR(__xludf.DUMMYFUNCTION("if(AND(O7=FALSE,P7=FALSE),,if(O7=P7,JOIN("""",""Static: "",O7),JOIN("""",""Min:  "",O7, CHAR(10),""Max: "",P7)))"),"")</f>
        <v/>
      </c>
      <c r="O7" s="55" t="str">
        <f t="array" ref="O7">_xlfn.XLOOKUP(B7,'Up Min'!A:A,'Up Min'!D:D,)</f>
        <v/>
      </c>
      <c r="P7" s="55" t="str">
        <f t="array" ref="P7">_xlfn.XLOOKUP(B7,'Up Max'!A:A,'Up Max'!D:D,)</f>
        <v/>
      </c>
      <c r="Q7" s="57" t="str">
        <f t="array" ref="Q7">_xlfn.XLOOKUP(B7,'Up Stats'!A:A,'Up Stats'!E:E,)</f>
        <v/>
      </c>
      <c r="R7" s="54" t="str">
        <f>IFERROR(__xludf.DUMMYFUNCTION("if(AND(S7=FALSE,T7=FALSE),,if(S7=T7,JOIN("""",""Static: "",S7),JOIN("""",""Min:  "",S7, CHAR(10),""Max: "",T7)))"),"")</f>
        <v/>
      </c>
      <c r="S7" s="55" t="str">
        <f t="array" ref="S7">_xlfn.XLOOKUP(B7,'Up Min'!A:A,'Up Min'!E:E,)</f>
        <v/>
      </c>
      <c r="T7" s="55" t="str">
        <f t="array" ref="T7">_xlfn.XLOOKUP(B7,'Up Max'!A:A,'Up Max'!E:E,)</f>
        <v/>
      </c>
      <c r="U7" s="57" t="str">
        <f t="array" ref="U7">_xlfn.XLOOKUP(B7,'Up Stats'!A:A,'Up Stats'!F:F,)</f>
        <v/>
      </c>
      <c r="V7" s="54" t="str">
        <f>IFERROR(__xludf.DUMMYFUNCTION("if(AND(W7=FALSE,X7=FALSE),,if(W7=X7,JOIN("""",""Static: "",W7),JOIN("""",""Min:  "",W7, CHAR(10),""Max: "",X7)))"),"")</f>
        <v/>
      </c>
      <c r="W7" s="55" t="str">
        <f t="array" ref="W7">_xlfn.XLOOKUP(B7,'Up Min'!A:A,'Up Min'!F:F,)</f>
        <v/>
      </c>
      <c r="X7" s="55" t="str">
        <f t="array" ref="X7">_xlfn.XLOOKUP(B7,'Up Max'!A:A,'Up Max'!F:F,)</f>
        <v/>
      </c>
      <c r="Y7" s="57" t="str">
        <f t="array" ref="Y7">_xlfn.XLOOKUP(B7,'Up Stats'!A:A,'Up Stats'!G:G,)</f>
        <v/>
      </c>
      <c r="Z7" s="54" t="str">
        <f>IFERROR(__xludf.DUMMYFUNCTION("if(AND(AA7=FALSE,AB7=FALSE),,if(AA7=AB7,JOIN("""",""Static: "",AA7),JOIN("""",""Min:  "",AA7, CHAR(10),""Max: "",AB7)))"),"")</f>
        <v/>
      </c>
      <c r="AA7" s="55" t="str">
        <f t="array" ref="AA7">_xlfn.XLOOKUP(B7,'Up Min'!A:A,'Up Min'!G:G,)</f>
        <v/>
      </c>
      <c r="AB7" s="55" t="str">
        <f t="array" ref="AB7">_xlfn.XLOOKUP(B7,'Up Max'!A:A,'Up Max'!G:G,)</f>
        <v/>
      </c>
      <c r="AC7" s="57" t="str">
        <f t="array" ref="AC7">_xlfn.XLOOKUP(B7,'Up Stats'!A:A,'Up Stats'!H:H,)</f>
        <v/>
      </c>
      <c r="AD7" s="54" t="str">
        <f>IFERROR(__xludf.DUMMYFUNCTION("if(AND(AE7=FALSE,AF7=FALSE),,if(AE7=AF7,JOIN("""",""Static: "",AE7),JOIN("""",""Min:  "",AE7, CHAR(10),""Max: "",AF7)))"),"")</f>
        <v/>
      </c>
      <c r="AE7" s="55" t="str">
        <f t="array" ref="AE7">_xlfn.XLOOKUP(B7,'Up Min'!A:A,'Up Min'!H:H,)</f>
        <v/>
      </c>
      <c r="AF7" s="55" t="str">
        <f t="array" ref="AF7">_xlfn.XLOOKUP(B7,'Up Max'!A:A,'Up Max'!H:H,)</f>
        <v/>
      </c>
      <c r="AG7" s="57" t="str">
        <f t="array" ref="AG7">_xlfn.XLOOKUP(B7,'Up Stats'!A:A,'Up Stats'!I:I,)</f>
        <v/>
      </c>
      <c r="AH7" s="54" t="str">
        <f>IFERROR(__xludf.DUMMYFUNCTION("if(AND(AI7=FALSE,AJ7=FALSE),,if(AI7=AJ7,JOIN("""",""Static: "",AI7),JOIN("""",""Min:  "",AI7, CHAR(10),""Max: "",AJ7)))"),"")</f>
        <v/>
      </c>
      <c r="AI7" s="55" t="str">
        <f t="array" ref="AI7">_xlfn.XLOOKUP(B7,'Up Min'!A:A,'Up Min'!I:I,)</f>
        <v/>
      </c>
      <c r="AJ7" s="55" t="str">
        <f t="array" ref="AJ7">_xlfn.XLOOKUP(B7,'Up Max'!A:A,'Up Max'!I:I,)</f>
        <v/>
      </c>
      <c r="AK7" s="57" t="str">
        <f t="array" ref="AK7">_xlfn.XLOOKUP(B7,'Up Stats'!A:A,'Up Stats'!J:J,)</f>
        <v/>
      </c>
      <c r="AL7" s="54" t="str">
        <f>IFERROR(__xludf.DUMMYFUNCTION("if(AND(AM7=FALSE,AN7=FALSE),,if(AM7=AN7,JOIN("""",""Static: "",AM7),JOIN("""",""Min:  "",AM7, CHAR(10),""Max: "",AN7)))"),"")</f>
        <v/>
      </c>
      <c r="AM7" s="55" t="str">
        <f t="array" ref="AM7">_xlfn.XLOOKUP(B7,'Up Min'!A:A,'Up Min'!J:J,)</f>
        <v/>
      </c>
      <c r="AN7" s="55" t="str">
        <f t="array" ref="AN7">_xlfn.XLOOKUP(B7,'Up Max'!A:A,'Up Max'!J:J,)</f>
        <v/>
      </c>
      <c r="AO7" s="51" t="str">
        <f t="array" ref="AO7">CONCATENATE(_xlfn.XLOOKUP(B7,'Up Cells'!A:A,'Up Cells'!B:B,))</f>
        <v>5</v>
      </c>
      <c r="AP7" s="61" t="str">
        <f t="array" ref="AP7">CONCATENATE(_xlfn.XLOOKUP(B7,'Up Rarity'!A:A,'Up Rarity'!B:B,),CHAR(10),"-")</f>
        <v>Exotic
-</v>
      </c>
    </row>
    <row r="8">
      <c r="A8" s="62" t="str">
        <f t="array" ref="A8">_xlfn.XLOOKUP(B8,'Up Icon'!A:A,'Up Icon'!B:B,)</f>
        <v/>
      </c>
      <c r="B8" s="89" t="str">
        <f t="array" ref="B8">HYPERLINK(_xlfn.XLOOKUP('Up Names'!R7,'Up Wiki'!A:A,'Up Wiki'!B:B,),'Up Names'!R7)</f>
        <v>Optical Attraction</v>
      </c>
      <c r="C8" s="67" t="str">
        <f t="array" ref="C8">_xlfn.XLOOKUP(B8,'Up Desc'!A:A,'Up Desc'!B:B,)</f>
        <v>Hold F to gain damage resistance and draw the attention of all enemies for a short time.</v>
      </c>
      <c r="D8" s="37" t="str">
        <f t="array" ref="D8">_xlfn.XLOOKUP(B8,'Up Turbo'!A:A,'Up Turbo'!B:B,)</f>
        <v>Optical Attraction heals you and nearby employees.
Healing: [+7 - +8]</v>
      </c>
      <c r="E8" s="39" t="str">
        <f t="array" ref="E8">_xlfn.XLOOKUP(B8,'Up Stats'!A:A,'Up Stats'!B:B,)</f>
        <v>Distance</v>
      </c>
      <c r="F8" s="40" t="str">
        <f>IFERROR(__xludf.DUMMYFUNCTION("if(AND(G8=FALSE,H8=FALSE),,if(G8=H8,JOIN("""",""Static: "",G8),JOIN("""",""Min:  "",G8, CHAR(10),""Max: "",H8)))"),"Min:  120
Max: 160")</f>
        <v>Min:  120
Max: 160</v>
      </c>
      <c r="G8" s="69">
        <f t="array" ref="G8">_xlfn.XLOOKUP(B8,'Up Min'!A:A,'Up Min'!B:B,)</f>
        <v>120</v>
      </c>
      <c r="H8" s="68">
        <f t="array" ref="H8">_xlfn.XLOOKUP(B8,'Up Max'!A:A,'Up Max'!B:B,)</f>
        <v>160</v>
      </c>
      <c r="I8" s="39" t="str">
        <f t="array" ref="I8">_xlfn.XLOOKUP(B8,'Up Stats'!A:A,'Up Stats'!C:C,)</f>
        <v>Duration</v>
      </c>
      <c r="J8" s="40" t="str">
        <f>IFERROR(__xludf.DUMMYFUNCTION("if(AND(K8=FALSE,L8=FALSE),,if(K8=L8,JOIN("""",""Static: "",K8),JOIN("""",""Min:  "",K8, CHAR(10),""Max: "",L8)))"),"Min:  7
Max: 9")</f>
        <v>Min:  7
Max: 9</v>
      </c>
      <c r="K8" s="68">
        <f t="array" ref="K8">_xlfn.XLOOKUP(B8,'Up Min'!A:A,'Up Min'!C:C,)</f>
        <v>7</v>
      </c>
      <c r="L8" s="69">
        <f t="array" ref="L8">_xlfn.XLOOKUP(B8,'Up Max'!A:A,'Up Max'!C:C,)</f>
        <v>9</v>
      </c>
      <c r="M8" s="39" t="str">
        <f t="array" ref="M8">_xlfn.XLOOKUP(B8,'Up Stats'!A:A,'Up Stats'!D:D,)</f>
        <v>Damage Resistance</v>
      </c>
      <c r="N8" s="40" t="str">
        <f>IFERROR(__xludf.DUMMYFUNCTION("if(AND(O8=FALSE,P8=FALSE),,if(O8=P8,JOIN("""",""Static: "",O8),JOIN("""",""Min:  "",O8, CHAR(10),""Max: "",P8)))"),"Min:  60%
Max: 80%")</f>
        <v>Min:  60%
Max: 80%</v>
      </c>
      <c r="O8" s="41">
        <f t="array" ref="O8">_xlfn.XLOOKUP(B8,'Up Min'!A:A,'Up Min'!D:D,)</f>
        <v>0.6</v>
      </c>
      <c r="P8" s="41">
        <f t="array" ref="P8">_xlfn.XLOOKUP(B8,'Up Max'!A:A,'Up Max'!D:D,)</f>
        <v>0.8</v>
      </c>
      <c r="Q8" s="48" t="str">
        <f t="array" ref="Q8">_xlfn.XLOOKUP(B8,'Up Stats'!A:A,'Up Stats'!E:E,)</f>
        <v>Cooldown</v>
      </c>
      <c r="R8" s="40" t="str">
        <f>IFERROR(__xludf.DUMMYFUNCTION("if(AND(S8=FALSE,T8=FALSE),,if(S8=T8,JOIN("""",""Static: "",S8),JOIN("""",""Min:  "",S8, CHAR(10),""Max: "",T8)))"),"Min:  19
Max: 22")</f>
        <v>Min:  19
Max: 22</v>
      </c>
      <c r="S8" s="69">
        <f t="array" ref="S8">_xlfn.XLOOKUP(B8,'Up Min'!A:A,'Up Min'!E:E,)</f>
        <v>19</v>
      </c>
      <c r="T8" s="69">
        <f t="array" ref="T8">_xlfn.XLOOKUP(B8,'Up Max'!A:A,'Up Max'!E:E,)</f>
        <v>22</v>
      </c>
      <c r="U8" s="39" t="str">
        <f t="array" ref="U8">_xlfn.XLOOKUP(B8,'Up Stats'!A:A,'Up Stats'!F:F,)</f>
        <v/>
      </c>
      <c r="V8" s="40" t="str">
        <f>IFERROR(__xludf.DUMMYFUNCTION("if(AND(W8=FALSE,X8=FALSE),,if(W8=X8,JOIN("""",""Static: "",W8),JOIN("""",""Min:  "",W8, CHAR(10),""Max: "",X8)))"),"")</f>
        <v/>
      </c>
      <c r="W8" s="42" t="str">
        <f t="array" ref="W8">_xlfn.XLOOKUP(B8,'Up Min'!A:A,'Up Min'!F:F,)</f>
        <v/>
      </c>
      <c r="X8" s="42" t="str">
        <f t="array" ref="X8">_xlfn.XLOOKUP(B8,'Up Max'!A:A,'Up Max'!F:F,)</f>
        <v/>
      </c>
      <c r="Y8" s="48" t="str">
        <f t="array" ref="Y8">_xlfn.XLOOKUP(B8,'Up Stats'!A:A,'Up Stats'!G:G,)</f>
        <v/>
      </c>
      <c r="Z8" s="40" t="str">
        <f>IFERROR(__xludf.DUMMYFUNCTION("if(AND(AA8=FALSE,AB8=FALSE),,if(AA8=AB8,JOIN("""",""Static: "",AA8),JOIN("""",""Min:  "",AA8, CHAR(10),""Max: "",AB8)))"),"")</f>
        <v/>
      </c>
      <c r="AA8" s="42" t="str">
        <f t="array" ref="AA8">_xlfn.XLOOKUP(B8,'Up Min'!A:A,'Up Min'!G:G,)</f>
        <v/>
      </c>
      <c r="AB8" s="42" t="str">
        <f t="array" ref="AB8">_xlfn.XLOOKUP(B8,'Up Max'!A:A,'Up Max'!G:G,)</f>
        <v/>
      </c>
      <c r="AC8" s="48" t="str">
        <f t="array" ref="AC8">_xlfn.XLOOKUP(B8,'Up Stats'!A:A,'Up Stats'!H:H,)</f>
        <v/>
      </c>
      <c r="AD8" s="40" t="str">
        <f>IFERROR(__xludf.DUMMYFUNCTION("if(AND(AE8=FALSE,AF8=FALSE),,if(AE8=AF8,JOIN("""",""Static: "",AE8),JOIN("""",""Min:  "",AE8, CHAR(10),""Max: "",AF8)))"),"")</f>
        <v/>
      </c>
      <c r="AE8" s="42" t="str">
        <f t="array" ref="AE8">_xlfn.XLOOKUP(B8,'Up Min'!A:A,'Up Min'!H:H,)</f>
        <v/>
      </c>
      <c r="AF8" s="42" t="str">
        <f t="array" ref="AF8">_xlfn.XLOOKUP(B8,'Up Max'!A:A,'Up Max'!H:H,)</f>
        <v/>
      </c>
      <c r="AG8" s="48" t="str">
        <f t="array" ref="AG8">_xlfn.XLOOKUP(B8,'Up Stats'!A:A,'Up Stats'!I:I,)</f>
        <v/>
      </c>
      <c r="AH8" s="40" t="str">
        <f>IFERROR(__xludf.DUMMYFUNCTION("if(AND(AI8=FALSE,AJ8=FALSE),,if(AI8=AJ8,JOIN("""",""Static: "",AI8),JOIN("""",""Min:  "",AI8, CHAR(10),""Max: "",AJ8)))"),"")</f>
        <v/>
      </c>
      <c r="AI8" s="42" t="str">
        <f t="array" ref="AI8">_xlfn.XLOOKUP(B8,'Up Min'!A:A,'Up Min'!I:I,)</f>
        <v/>
      </c>
      <c r="AJ8" s="42" t="str">
        <f t="array" ref="AJ8">_xlfn.XLOOKUP(B8,'Up Max'!A:A,'Up Max'!I:I,)</f>
        <v/>
      </c>
      <c r="AK8" s="48" t="str">
        <f t="array" ref="AK8">_xlfn.XLOOKUP(B8,'Up Stats'!A:A,'Up Stats'!J:J,)</f>
        <v/>
      </c>
      <c r="AL8" s="40" t="str">
        <f>IFERROR(__xludf.DUMMYFUNCTION("if(AND(AM8=FALSE,AN8=FALSE),,if(AM8=AN8,JOIN("""",""Static: "",AM8),JOIN("""",""Min:  "",AM8, CHAR(10),""Max: "",AN8)))"),"")</f>
        <v/>
      </c>
      <c r="AM8" s="42" t="str">
        <f t="array" ref="AM8">_xlfn.XLOOKUP(B8,'Up Min'!A:A,'Up Min'!J:J,)</f>
        <v/>
      </c>
      <c r="AN8" s="42" t="str">
        <f t="array" ref="AN8">_xlfn.XLOOKUP(B8,'Up Max'!A:A,'Up Max'!J:J,)</f>
        <v/>
      </c>
      <c r="AO8" s="34" t="str">
        <f t="array" ref="AO8">CONCATENATE(_xlfn.XLOOKUP(B8,'Up Cells'!A:A,'Up Cells'!B:B,))</f>
        <v>4</v>
      </c>
      <c r="AP8" s="58" t="str">
        <f t="array" ref="AP8">CONCATENATE(_xlfn.XLOOKUP(B8,'Up Rarity'!A:A,'Up Rarity'!B:B,),CHAR(10),"-")</f>
        <v>Exotic
-</v>
      </c>
    </row>
    <row r="9">
      <c r="A9" s="75" t="str">
        <f t="array" ref="A9">_xlfn.XLOOKUP(B9,'Up Icon'!A:A,'Up Icon'!B:B,)</f>
        <v/>
      </c>
      <c r="B9" s="88" t="str">
        <f t="array" ref="B9">HYPERLINK(_xlfn.XLOOKUP('Up Names'!R8,'Up Wiki'!A:A,'Up Wiki'!B:B,),'Up Names'!R8)</f>
        <v>Comet Splash</v>
      </c>
      <c r="C9" s="52" t="str">
        <f t="array" ref="C9">_xlfn.XLOOKUP(B9,'Up Desc'!A:A,'Up Desc'!B:B,)</f>
        <v>Nose Dive's blast radius increases based on how far you dove.</v>
      </c>
      <c r="D9" s="52" t="str">
        <f t="array" ref="D9">_xlfn.XLOOKUP(B9,'Up Turbo'!A:A,'Up Turbo'!B:B,)</f>
        <v>n/a</v>
      </c>
      <c r="E9" s="53" t="str">
        <f t="array" ref="E9">_xlfn.XLOOKUP(B9,'Up Stats'!A:A,'Up Stats'!B:B,)</f>
        <v>Size per Meter</v>
      </c>
      <c r="F9" s="54" t="str">
        <f>IFERROR(__xludf.DUMMYFUNCTION("if(AND(G9=FALSE,H9=FALSE),,if(G9=H9,JOIN("""",""Static: "",G9),JOIN("""",""Min:  "",G9, CHAR(10),""Max: "",H9)))"),"Min:  1.8
Max: 2.3")</f>
        <v>Min:  1.8
Max: 2.3</v>
      </c>
      <c r="G9" s="64">
        <f t="array" ref="G9">_xlfn.XLOOKUP(B9,'Up Min'!A:A,'Up Min'!B:B,)</f>
        <v>1.8</v>
      </c>
      <c r="H9" s="65">
        <f t="array" ref="H9">_xlfn.XLOOKUP(B9,'Up Max'!A:A,'Up Max'!B:B,)</f>
        <v>2.3</v>
      </c>
      <c r="I9" s="53" t="str">
        <f t="array" ref="I9">_xlfn.XLOOKUP(B9,'Up Stats'!A:A,'Up Stats'!C:C,)</f>
        <v/>
      </c>
      <c r="J9" s="54" t="str">
        <f>IFERROR(__xludf.DUMMYFUNCTION("if(AND(K9=FALSE,L9=FALSE),,if(K9=L9,JOIN("""",""Static: "",K9),JOIN("""",""Min:  "",K9, CHAR(10),""Max: "",L9)))"),"")</f>
        <v/>
      </c>
      <c r="K9" s="72" t="str">
        <f t="array" ref="K9">_xlfn.XLOOKUP(B9,'Up Min'!A:A,'Up Min'!C:C,)</f>
        <v/>
      </c>
      <c r="L9" s="72" t="str">
        <f t="array" ref="L9">_xlfn.XLOOKUP(B9,'Up Max'!A:A,'Up Max'!C:C,)</f>
        <v/>
      </c>
      <c r="M9" s="57" t="str">
        <f t="array" ref="M9">_xlfn.XLOOKUP(B9,'Up Stats'!A:A,'Up Stats'!D:D,)</f>
        <v/>
      </c>
      <c r="N9" s="54" t="str">
        <f>IFERROR(__xludf.DUMMYFUNCTION("if(AND(O9=FALSE,P9=FALSE),,if(O9=P9,JOIN("""",""Static: "",O9),JOIN("""",""Min:  "",O9, CHAR(10),""Max: "",P9)))"),"")</f>
        <v/>
      </c>
      <c r="O9" s="55" t="str">
        <f t="array" ref="O9">_xlfn.XLOOKUP(B9,'Up Min'!A:A,'Up Min'!D:D,)</f>
        <v/>
      </c>
      <c r="P9" s="55" t="str">
        <f t="array" ref="P9">_xlfn.XLOOKUP(B9,'Up Max'!A:A,'Up Max'!D:D,)</f>
        <v/>
      </c>
      <c r="Q9" s="57" t="str">
        <f t="array" ref="Q9">_xlfn.XLOOKUP(B9,'Up Stats'!A:A,'Up Stats'!E:E,)</f>
        <v/>
      </c>
      <c r="R9" s="54" t="str">
        <f>IFERROR(__xludf.DUMMYFUNCTION("if(AND(S9=FALSE,T9=FALSE),,if(S9=T9,JOIN("""",""Static: "",S9),JOIN("""",""Min:  "",S9, CHAR(10),""Max: "",T9)))"),"")</f>
        <v/>
      </c>
      <c r="S9" s="55" t="str">
        <f t="array" ref="S9">_xlfn.XLOOKUP(B9,'Up Min'!A:A,'Up Min'!E:E,)</f>
        <v/>
      </c>
      <c r="T9" s="55" t="str">
        <f t="array" ref="T9">_xlfn.XLOOKUP(B9,'Up Max'!A:A,'Up Max'!E:E,)</f>
        <v/>
      </c>
      <c r="U9" s="57" t="str">
        <f t="array" ref="U9">_xlfn.XLOOKUP(B9,'Up Stats'!A:A,'Up Stats'!F:F,)</f>
        <v/>
      </c>
      <c r="V9" s="54" t="str">
        <f>IFERROR(__xludf.DUMMYFUNCTION("if(AND(W9=FALSE,X9=FALSE),,if(W9=X9,JOIN("""",""Static: "",W9),JOIN("""",""Min:  "",W9, CHAR(10),""Max: "",X9)))"),"")</f>
        <v/>
      </c>
      <c r="W9" s="55" t="str">
        <f t="array" ref="W9">_xlfn.XLOOKUP(B9,'Up Min'!A:A,'Up Min'!F:F,)</f>
        <v/>
      </c>
      <c r="X9" s="55" t="str">
        <f t="array" ref="X9">_xlfn.XLOOKUP(B9,'Up Max'!A:A,'Up Max'!F:F,)</f>
        <v/>
      </c>
      <c r="Y9" s="57" t="str">
        <f t="array" ref="Y9">_xlfn.XLOOKUP(B9,'Up Stats'!A:A,'Up Stats'!G:G,)</f>
        <v/>
      </c>
      <c r="Z9" s="54" t="str">
        <f>IFERROR(__xludf.DUMMYFUNCTION("if(AND(AA9=FALSE,AB9=FALSE),,if(AA9=AB9,JOIN("""",""Static: "",AA9),JOIN("""",""Min:  "",AA9, CHAR(10),""Max: "",AB9)))"),"")</f>
        <v/>
      </c>
      <c r="AA9" s="55" t="str">
        <f t="array" ref="AA9">_xlfn.XLOOKUP(B9,'Up Min'!A:A,'Up Min'!G:G,)</f>
        <v/>
      </c>
      <c r="AB9" s="55" t="str">
        <f t="array" ref="AB9">_xlfn.XLOOKUP(B9,'Up Max'!A:A,'Up Max'!G:G,)</f>
        <v/>
      </c>
      <c r="AC9" s="57" t="str">
        <f t="array" ref="AC9">_xlfn.XLOOKUP(B9,'Up Stats'!A:A,'Up Stats'!H:H,)</f>
        <v/>
      </c>
      <c r="AD9" s="54" t="str">
        <f>IFERROR(__xludf.DUMMYFUNCTION("if(AND(AE9=FALSE,AF9=FALSE),,if(AE9=AF9,JOIN("""",""Static: "",AE9),JOIN("""",""Min:  "",AE9, CHAR(10),""Max: "",AF9)))"),"")</f>
        <v/>
      </c>
      <c r="AE9" s="55" t="str">
        <f t="array" ref="AE9">_xlfn.XLOOKUP(B9,'Up Min'!A:A,'Up Min'!H:H,)</f>
        <v/>
      </c>
      <c r="AF9" s="55" t="str">
        <f t="array" ref="AF9">_xlfn.XLOOKUP(B9,'Up Max'!A:A,'Up Max'!H:H,)</f>
        <v/>
      </c>
      <c r="AG9" s="57" t="str">
        <f t="array" ref="AG9">_xlfn.XLOOKUP(B9,'Up Stats'!A:A,'Up Stats'!I:I,)</f>
        <v/>
      </c>
      <c r="AH9" s="54" t="str">
        <f>IFERROR(__xludf.DUMMYFUNCTION("if(AND(AI9=FALSE,AJ9=FALSE),,if(AI9=AJ9,JOIN("""",""Static: "",AI9),JOIN("""",""Min:  "",AI9, CHAR(10),""Max: "",AJ9)))"),"")</f>
        <v/>
      </c>
      <c r="AI9" s="55" t="str">
        <f t="array" ref="AI9">_xlfn.XLOOKUP(B9,'Up Min'!A:A,'Up Min'!I:I,)</f>
        <v/>
      </c>
      <c r="AJ9" s="55" t="str">
        <f t="array" ref="AJ9">_xlfn.XLOOKUP(B9,'Up Max'!A:A,'Up Max'!I:I,)</f>
        <v/>
      </c>
      <c r="AK9" s="57" t="str">
        <f t="array" ref="AK9">_xlfn.XLOOKUP(B9,'Up Stats'!A:A,'Up Stats'!J:J,)</f>
        <v/>
      </c>
      <c r="AL9" s="54" t="str">
        <f>IFERROR(__xludf.DUMMYFUNCTION("if(AND(AM9=FALSE,AN9=FALSE),,if(AM9=AN9,JOIN("""",""Static: "",AM9),JOIN("""",""Min:  "",AM9, CHAR(10),""Max: "",AN9)))"),"")</f>
        <v/>
      </c>
      <c r="AM9" s="55" t="str">
        <f t="array" ref="AM9">_xlfn.XLOOKUP(B9,'Up Min'!A:A,'Up Min'!J:J,)</f>
        <v/>
      </c>
      <c r="AN9" s="55" t="str">
        <f t="array" ref="AN9">_xlfn.XLOOKUP(B9,'Up Max'!A:A,'Up Max'!J:J,)</f>
        <v/>
      </c>
      <c r="AO9" s="51" t="str">
        <f t="array" ref="AO9">CONCATENATE(_xlfn.XLOOKUP(B9,'Up Cells'!A:A,'Up Cells'!B:B,))</f>
        <v>4</v>
      </c>
      <c r="AP9" s="61" t="str">
        <f t="array" ref="AP9">CONCATENATE(_xlfn.XLOOKUP(B9,'Up Rarity'!A:A,'Up Rarity'!B:B,),CHAR(10),"-")</f>
        <v>Epic
-</v>
      </c>
    </row>
    <row r="10">
      <c r="A10" s="75" t="str">
        <f t="array" ref="A10">_xlfn.XLOOKUP(B10,'Up Icon'!A:A,'Up Icon'!B:B,)</f>
        <v/>
      </c>
      <c r="B10" s="89" t="str">
        <f t="array" ref="B10">HYPERLINK(_xlfn.XLOOKUP('Up Names'!R9,'Up Wiki'!A:A,'Up Wiki'!B:B,),'Up Names'!R9)</f>
        <v>Domed</v>
      </c>
      <c r="C10" s="37" t="str">
        <f t="array" ref="C10">_xlfn.XLOOKUP(B10,'Up Desc'!A:A,'Up Desc'!B:B,)</f>
        <v>Your Shield Projector is now a dome.</v>
      </c>
      <c r="D10" s="37" t="str">
        <f t="array" ref="D10">_xlfn.XLOOKUP(B10,'Up Turbo'!A:A,'Up Turbo'!B:B,)</f>
        <v>n/a</v>
      </c>
      <c r="E10" s="39" t="str">
        <f t="array" ref="E10">_xlfn.XLOOKUP(B10,'Up Stats'!A:A,'Up Stats'!B:B,)</f>
        <v/>
      </c>
      <c r="F10" s="40" t="str">
        <f>IFERROR(__xludf.DUMMYFUNCTION("if(AND(G10=FALSE,H10=FALSE),,if(G10=H10,JOIN("""",""Static: "",G10),JOIN("""",""Min:  "",G10, CHAR(10),""Max: "",H10)))"),"")</f>
        <v/>
      </c>
      <c r="G10" s="42" t="str">
        <f t="array" ref="G10">_xlfn.XLOOKUP(B10,'Up Min'!A:A,'Up Min'!B:B,)</f>
        <v/>
      </c>
      <c r="H10" s="45" t="str">
        <f t="array" ref="H10">_xlfn.XLOOKUP(B10,'Up Max'!A:A,'Up Max'!B:B,)</f>
        <v/>
      </c>
      <c r="I10" s="39" t="str">
        <f t="array" ref="I10">_xlfn.XLOOKUP(B10,'Up Stats'!A:A,'Up Stats'!C:C,)</f>
        <v/>
      </c>
      <c r="J10" s="40" t="str">
        <f>IFERROR(__xludf.DUMMYFUNCTION("if(AND(K10=FALSE,L10=FALSE),,if(K10=L10,JOIN("""",""Static: "",K10),JOIN("""",""Min:  "",K10, CHAR(10),""Max: "",L10)))"),"")</f>
        <v/>
      </c>
      <c r="K10" s="74" t="str">
        <f t="array" ref="K10">_xlfn.XLOOKUP(B10,'Up Min'!A:A,'Up Min'!C:C,)</f>
        <v/>
      </c>
      <c r="L10" s="74" t="str">
        <f t="array" ref="L10">_xlfn.XLOOKUP(B10,'Up Max'!A:A,'Up Max'!C:C,)</f>
        <v/>
      </c>
      <c r="M10" s="48" t="str">
        <f t="array" ref="M10">_xlfn.XLOOKUP(B10,'Up Stats'!A:A,'Up Stats'!D:D,)</f>
        <v/>
      </c>
      <c r="N10" s="40" t="str">
        <f>IFERROR(__xludf.DUMMYFUNCTION("if(AND(O10=FALSE,P10=FALSE),,if(O10=P10,JOIN("""",""Static: "",O10),JOIN("""",""Min:  "",O10, CHAR(10),""Max: "",P10)))"),"")</f>
        <v/>
      </c>
      <c r="O10" s="42" t="str">
        <f t="array" ref="O10">_xlfn.XLOOKUP(B10,'Up Min'!A:A,'Up Min'!D:D,)</f>
        <v/>
      </c>
      <c r="P10" s="42" t="str">
        <f t="array" ref="P10">_xlfn.XLOOKUP(B10,'Up Max'!A:A,'Up Max'!D:D,)</f>
        <v/>
      </c>
      <c r="Q10" s="48" t="str">
        <f t="array" ref="Q10">_xlfn.XLOOKUP(B10,'Up Stats'!A:A,'Up Stats'!E:E,)</f>
        <v/>
      </c>
      <c r="R10" s="40" t="str">
        <f>IFERROR(__xludf.DUMMYFUNCTION("if(AND(S10=FALSE,T10=FALSE),,if(S10=T10,JOIN("""",""Static: "",S10),JOIN("""",""Min:  "",S10, CHAR(10),""Max: "",T10)))"),"")</f>
        <v/>
      </c>
      <c r="S10" s="42" t="str">
        <f t="array" ref="S10">_xlfn.XLOOKUP(B10,'Up Min'!A:A,'Up Min'!E:E,)</f>
        <v/>
      </c>
      <c r="T10" s="42" t="str">
        <f t="array" ref="T10">_xlfn.XLOOKUP(B10,'Up Max'!A:A,'Up Max'!E:E,)</f>
        <v/>
      </c>
      <c r="U10" s="48" t="str">
        <f t="array" ref="U10">_xlfn.XLOOKUP(B10,'Up Stats'!A:A,'Up Stats'!F:F,)</f>
        <v/>
      </c>
      <c r="V10" s="40" t="str">
        <f>IFERROR(__xludf.DUMMYFUNCTION("if(AND(W10=FALSE,X10=FALSE),,if(W10=X10,JOIN("""",""Static: "",W10),JOIN("""",""Min:  "",W10, CHAR(10),""Max: "",X10)))"),"")</f>
        <v/>
      </c>
      <c r="W10" s="42" t="str">
        <f t="array" ref="W10">_xlfn.XLOOKUP(B10,'Up Min'!A:A,'Up Min'!F:F,)</f>
        <v/>
      </c>
      <c r="X10" s="42" t="str">
        <f t="array" ref="X10">_xlfn.XLOOKUP(B10,'Up Max'!A:A,'Up Max'!F:F,)</f>
        <v/>
      </c>
      <c r="Y10" s="48" t="str">
        <f t="array" ref="Y10">_xlfn.XLOOKUP(B10,'Up Stats'!A:A,'Up Stats'!G:G,)</f>
        <v/>
      </c>
      <c r="Z10" s="40" t="str">
        <f>IFERROR(__xludf.DUMMYFUNCTION("if(AND(AA10=FALSE,AB10=FALSE),,if(AA10=AB10,JOIN("""",""Static: "",AA10),JOIN("""",""Min:  "",AA10, CHAR(10),""Max: "",AB10)))"),"")</f>
        <v/>
      </c>
      <c r="AA10" s="42" t="str">
        <f t="array" ref="AA10">_xlfn.XLOOKUP(B10,'Up Min'!A:A,'Up Min'!G:G,)</f>
        <v/>
      </c>
      <c r="AB10" s="42" t="str">
        <f t="array" ref="AB10">_xlfn.XLOOKUP(B10,'Up Max'!A:A,'Up Max'!G:G,)</f>
        <v/>
      </c>
      <c r="AC10" s="48" t="str">
        <f t="array" ref="AC10">_xlfn.XLOOKUP(B10,'Up Stats'!A:A,'Up Stats'!H:H,)</f>
        <v/>
      </c>
      <c r="AD10" s="40" t="str">
        <f>IFERROR(__xludf.DUMMYFUNCTION("if(AND(AE10=FALSE,AF10=FALSE),,if(AE10=AF10,JOIN("""",""Static: "",AE10),JOIN("""",""Min:  "",AE10, CHAR(10),""Max: "",AF10)))"),"")</f>
        <v/>
      </c>
      <c r="AE10" s="42" t="str">
        <f t="array" ref="AE10">_xlfn.XLOOKUP(B10,'Up Min'!A:A,'Up Min'!H:H,)</f>
        <v/>
      </c>
      <c r="AF10" s="42" t="str">
        <f t="array" ref="AF10">_xlfn.XLOOKUP(B10,'Up Max'!A:A,'Up Max'!H:H,)</f>
        <v/>
      </c>
      <c r="AG10" s="48" t="str">
        <f t="array" ref="AG10">_xlfn.XLOOKUP(B10,'Up Stats'!A:A,'Up Stats'!I:I,)</f>
        <v/>
      </c>
      <c r="AH10" s="40" t="str">
        <f>IFERROR(__xludf.DUMMYFUNCTION("if(AND(AI10=FALSE,AJ10=FALSE),,if(AI10=AJ10,JOIN("""",""Static: "",AI10),JOIN("""",""Min:  "",AI10, CHAR(10),""Max: "",AJ10)))"),"")</f>
        <v/>
      </c>
      <c r="AI10" s="42" t="str">
        <f t="array" ref="AI10">_xlfn.XLOOKUP(B10,'Up Min'!A:A,'Up Min'!I:I,)</f>
        <v/>
      </c>
      <c r="AJ10" s="42" t="str">
        <f t="array" ref="AJ10">_xlfn.XLOOKUP(B10,'Up Max'!A:A,'Up Max'!I:I,)</f>
        <v/>
      </c>
      <c r="AK10" s="48" t="str">
        <f t="array" ref="AK10">_xlfn.XLOOKUP(B10,'Up Stats'!A:A,'Up Stats'!J:J,)</f>
        <v/>
      </c>
      <c r="AL10" s="40" t="str">
        <f>IFERROR(__xludf.DUMMYFUNCTION("if(AND(AM10=FALSE,AN10=FALSE),,if(AM10=AN10,JOIN("""",""Static: "",AM10),JOIN("""",""Min:  "",AM10, CHAR(10),""Max: "",AN10)))"),"")</f>
        <v/>
      </c>
      <c r="AM10" s="42" t="str">
        <f t="array" ref="AM10">_xlfn.XLOOKUP(B10,'Up Min'!A:A,'Up Min'!J:J,)</f>
        <v/>
      </c>
      <c r="AN10" s="42" t="str">
        <f t="array" ref="AN10">_xlfn.XLOOKUP(B10,'Up Max'!A:A,'Up Max'!J:J,)</f>
        <v/>
      </c>
      <c r="AO10" s="34" t="str">
        <f t="array" ref="AO10">CONCATENATE(_xlfn.XLOOKUP(B10,'Up Cells'!A:A,'Up Cells'!B:B,))</f>
        <v>3</v>
      </c>
      <c r="AP10" s="58" t="str">
        <f t="array" ref="AP10">CONCATENATE(_xlfn.XLOOKUP(B10,'Up Rarity'!A:A,'Up Rarity'!B:B,),CHAR(10),"-")</f>
        <v>Epic
-</v>
      </c>
    </row>
    <row r="11">
      <c r="A11" s="75" t="str">
        <f t="array" ref="A11">_xlfn.XLOOKUP(B11,'Up Icon'!A:A,'Up Icon'!B:B,)</f>
        <v/>
      </c>
      <c r="B11" s="88" t="str">
        <f t="array" ref="B11">HYPERLINK(_xlfn.XLOOKUP('Up Names'!R10,'Up Wiki'!A:A,'Up Wiki'!B:B,),'Up Names'!R10)</f>
        <v>Hard-Light Coating</v>
      </c>
      <c r="C11" s="52" t="str">
        <f t="array" ref="C11">_xlfn.XLOOKUP(B11,'Up Desc'!A:A,'Up Desc'!B:B,)</f>
        <v>Your Shield Projector applies the given element to targets within its impact zone. Cooldown is increased.</v>
      </c>
      <c r="D11" s="52" t="str">
        <f t="array" ref="D11">_xlfn.XLOOKUP(B11,'Up Turbo'!A:A,'Up Turbo'!B:B,)</f>
        <v>n/a</v>
      </c>
      <c r="E11" s="53" t="str">
        <f t="array" ref="E11">_xlfn.XLOOKUP(B11,'Up Stats'!A:A,'Up Stats'!B:B,)</f>
        <v>Element</v>
      </c>
      <c r="F11" s="54" t="str">
        <f>IFERROR(__xludf.DUMMYFUNCTION("if(AND(G11=FALSE,H11=FALSE),,if(G11=H11,JOIN("""",""Static: "",G11),JOIN("""",""Min:  "",G11, CHAR(10),""Max: "",H11)))"),"Static: element")</f>
        <v>Static: element</v>
      </c>
      <c r="G11" s="64" t="str">
        <f t="array" ref="G11">_xlfn.XLOOKUP(B11,'Up Min'!A:A,'Up Min'!B:B,)</f>
        <v>element</v>
      </c>
      <c r="H11" s="65" t="str">
        <f t="array" ref="H11">_xlfn.XLOOKUP(B11,'Up Max'!A:A,'Up Max'!B:B,)</f>
        <v>element</v>
      </c>
      <c r="I11" s="53" t="str">
        <f t="array" ref="I11">_xlfn.XLOOKUP(B11,'Up Stats'!A:A,'Up Stats'!C:C,)</f>
        <v>Recharge Speed</v>
      </c>
      <c r="J11" s="54" t="str">
        <f>IFERROR(__xludf.DUMMYFUNCTION("if(AND(K11=FALSE,L11=FALSE),,if(K11=L11,JOIN("""",""Static: "",K11),JOIN("""",""Min:  "",K11, CHAR(10),""Max: "",L11)))"),"Min:  -37.50%
Max: -52.38%")</f>
        <v>Min:  -37.50%
Max: -52.38%</v>
      </c>
      <c r="K11" s="71">
        <f t="array" ref="K11">_xlfn.XLOOKUP(B11,'Up Min'!A:A,'Up Min'!C:C,)</f>
        <v>-0.375</v>
      </c>
      <c r="L11" s="71">
        <f t="array" ref="L11">_xlfn.XLOOKUP(B11,'Up Max'!A:A,'Up Max'!C:C,)</f>
        <v>-0.5238</v>
      </c>
      <c r="M11" s="53" t="str">
        <f t="array" ref="M11">_xlfn.XLOOKUP(B11,'Up Stats'!A:A,'Up Stats'!D:D,)</f>
        <v/>
      </c>
      <c r="N11" s="54" t="str">
        <f>IFERROR(__xludf.DUMMYFUNCTION("if(AND(O11=FALSE,P11=FALSE),,if(O11=P11,JOIN("""",""Static: "",O11),JOIN("""",""Min:  "",O11, CHAR(10),""Max: "",P11)))"),"")</f>
        <v/>
      </c>
      <c r="O11" s="55" t="str">
        <f t="array" ref="O11">_xlfn.XLOOKUP(B11,'Up Min'!A:A,'Up Min'!D:D,)</f>
        <v/>
      </c>
      <c r="P11" s="55" t="str">
        <f t="array" ref="P11">_xlfn.XLOOKUP(B11,'Up Max'!A:A,'Up Max'!D:D,)</f>
        <v/>
      </c>
      <c r="Q11" s="57" t="str">
        <f t="array" ref="Q11">_xlfn.XLOOKUP(B11,'Up Stats'!A:A,'Up Stats'!E:E,)</f>
        <v/>
      </c>
      <c r="R11" s="54" t="str">
        <f>IFERROR(__xludf.DUMMYFUNCTION("if(AND(S11=FALSE,T11=FALSE),,if(S11=T11,JOIN("""",""Static: "",S11),JOIN("""",""Min:  "",S11, CHAR(10),""Max: "",T11)))"),"")</f>
        <v/>
      </c>
      <c r="S11" s="55" t="str">
        <f t="array" ref="S11">_xlfn.XLOOKUP(B11,'Up Min'!A:A,'Up Min'!E:E,)</f>
        <v/>
      </c>
      <c r="T11" s="55" t="str">
        <f t="array" ref="T11">_xlfn.XLOOKUP(B11,'Up Max'!A:A,'Up Max'!E:E,)</f>
        <v/>
      </c>
      <c r="U11" s="57" t="str">
        <f t="array" ref="U11">_xlfn.XLOOKUP(B11,'Up Stats'!A:A,'Up Stats'!F:F,)</f>
        <v/>
      </c>
      <c r="V11" s="54" t="str">
        <f>IFERROR(__xludf.DUMMYFUNCTION("if(AND(W11=FALSE,X11=FALSE),,if(W11=X11,JOIN("""",""Static: "",W11),JOIN("""",""Min:  "",W11, CHAR(10),""Max: "",X11)))"),"")</f>
        <v/>
      </c>
      <c r="W11" s="55" t="str">
        <f t="array" ref="W11">_xlfn.XLOOKUP(B11,'Up Min'!A:A,'Up Min'!F:F,)</f>
        <v/>
      </c>
      <c r="X11" s="55" t="str">
        <f t="array" ref="X11">_xlfn.XLOOKUP(B11,'Up Max'!A:A,'Up Max'!F:F,)</f>
        <v/>
      </c>
      <c r="Y11" s="57" t="str">
        <f t="array" ref="Y11">_xlfn.XLOOKUP(B11,'Up Stats'!A:A,'Up Stats'!G:G,)</f>
        <v/>
      </c>
      <c r="Z11" s="54" t="str">
        <f>IFERROR(__xludf.DUMMYFUNCTION("if(AND(AA11=FALSE,AB11=FALSE),,if(AA11=AB11,JOIN("""",""Static: "",AA11),JOIN("""",""Min:  "",AA11, CHAR(10),""Max: "",AB11)))"),"")</f>
        <v/>
      </c>
      <c r="AA11" s="55" t="str">
        <f t="array" ref="AA11">_xlfn.XLOOKUP(B11,'Up Min'!A:A,'Up Min'!G:G,)</f>
        <v/>
      </c>
      <c r="AB11" s="55" t="str">
        <f t="array" ref="AB11">_xlfn.XLOOKUP(B11,'Up Max'!A:A,'Up Max'!G:G,)</f>
        <v/>
      </c>
      <c r="AC11" s="57" t="str">
        <f t="array" ref="AC11">_xlfn.XLOOKUP(B11,'Up Stats'!A:A,'Up Stats'!H:H,)</f>
        <v/>
      </c>
      <c r="AD11" s="54" t="str">
        <f>IFERROR(__xludf.DUMMYFUNCTION("if(AND(AE11=FALSE,AF11=FALSE),,if(AE11=AF11,JOIN("""",""Static: "",AE11),JOIN("""",""Min:  "",AE11, CHAR(10),""Max: "",AF11)))"),"")</f>
        <v/>
      </c>
      <c r="AE11" s="55" t="str">
        <f t="array" ref="AE11">_xlfn.XLOOKUP(B11,'Up Min'!A:A,'Up Min'!H:H,)</f>
        <v/>
      </c>
      <c r="AF11" s="55" t="str">
        <f t="array" ref="AF11">_xlfn.XLOOKUP(B11,'Up Max'!A:A,'Up Max'!H:H,)</f>
        <v/>
      </c>
      <c r="AG11" s="57" t="str">
        <f t="array" ref="AG11">_xlfn.XLOOKUP(B11,'Up Stats'!A:A,'Up Stats'!I:I,)</f>
        <v/>
      </c>
      <c r="AH11" s="54" t="str">
        <f>IFERROR(__xludf.DUMMYFUNCTION("if(AND(AI11=FALSE,AJ11=FALSE),,if(AI11=AJ11,JOIN("""",""Static: "",AI11),JOIN("""",""Min:  "",AI11, CHAR(10),""Max: "",AJ11)))"),"")</f>
        <v/>
      </c>
      <c r="AI11" s="55" t="str">
        <f t="array" ref="AI11">_xlfn.XLOOKUP(B11,'Up Min'!A:A,'Up Min'!I:I,)</f>
        <v/>
      </c>
      <c r="AJ11" s="55" t="str">
        <f t="array" ref="AJ11">_xlfn.XLOOKUP(B11,'Up Max'!A:A,'Up Max'!I:I,)</f>
        <v/>
      </c>
      <c r="AK11" s="57" t="str">
        <f t="array" ref="AK11">_xlfn.XLOOKUP(B11,'Up Stats'!A:A,'Up Stats'!J:J,)</f>
        <v/>
      </c>
      <c r="AL11" s="54" t="str">
        <f>IFERROR(__xludf.DUMMYFUNCTION("if(AND(AM11=FALSE,AN11=FALSE),,if(AM11=AN11,JOIN("""",""Static: "",AM11),JOIN("""",""Min:  "",AM11, CHAR(10),""Max: "",AN11)))"),"")</f>
        <v/>
      </c>
      <c r="AM11" s="55" t="str">
        <f t="array" ref="AM11">_xlfn.XLOOKUP(B11,'Up Min'!A:A,'Up Min'!J:J,)</f>
        <v/>
      </c>
      <c r="AN11" s="55" t="str">
        <f t="array" ref="AN11">_xlfn.XLOOKUP(B11,'Up Max'!A:A,'Up Max'!J:J,)</f>
        <v/>
      </c>
      <c r="AO11" s="51" t="str">
        <f t="array" ref="AO11">CONCATENATE(_xlfn.XLOOKUP(B11,'Up Cells'!A:A,'Up Cells'!B:B,))</f>
        <v>3</v>
      </c>
      <c r="AP11" s="61" t="str">
        <f t="array" ref="AP11">CONCATENATE(_xlfn.XLOOKUP(B11,'Up Rarity'!A:A,'Up Rarity'!B:B,),CHAR(10),"-")</f>
        <v>Epic
-</v>
      </c>
    </row>
    <row r="12">
      <c r="A12" s="75" t="str">
        <f t="array" ref="A12">_xlfn.XLOOKUP(B12,'Up Icon'!A:A,'Up Icon'!B:B,)</f>
        <v/>
      </c>
      <c r="B12" s="89" t="str">
        <f t="array" ref="B12">HYPERLINK(_xlfn.XLOOKUP('Up Names'!R11,'Up Wiki'!A:A,'Up Wiki'!B:B,),'Up Names'!R11)</f>
        <v>Nose Bounce</v>
      </c>
      <c r="C12" s="37" t="str">
        <f t="array" ref="C12">_xlfn.XLOOKUP(B12,'Up Desc'!A:A,'Up Desc'!B:B,)</f>
        <v>Bounce from Nose Dive into another dive.</v>
      </c>
      <c r="D12" s="37" t="str">
        <f t="array" ref="D12">_xlfn.XLOOKUP(B12,'Up Turbo'!A:A,'Up Turbo'!B:B,)</f>
        <v>n/a</v>
      </c>
      <c r="E12" s="39" t="str">
        <f t="array" ref="E12">_xlfn.XLOOKUP(B12,'Up Stats'!A:A,'Up Stats'!B:B,)</f>
        <v>Dive Bounces</v>
      </c>
      <c r="F12" s="40" t="str">
        <f>IFERROR(__xludf.DUMMYFUNCTION("if(AND(G12=FALSE,H12=FALSE),,if(G12=H12,JOIN("""",""Static: "",G12),JOIN("""",""Min:  "",G12, CHAR(10),""Max: "",H12)))"),"Min:  1
Max: 2")</f>
        <v>Min:  1
Max: 2</v>
      </c>
      <c r="G12" s="69">
        <f t="array" ref="G12">_xlfn.XLOOKUP(B12,'Up Min'!A:A,'Up Min'!B:B,)</f>
        <v>1</v>
      </c>
      <c r="H12" s="68">
        <f t="array" ref="H12">_xlfn.XLOOKUP(B12,'Up Max'!A:A,'Up Max'!B:B,)</f>
        <v>2</v>
      </c>
      <c r="I12" s="39" t="str">
        <f t="array" ref="I12">_xlfn.XLOOKUP(B12,'Up Stats'!A:A,'Up Stats'!C:C,)</f>
        <v/>
      </c>
      <c r="J12" s="40" t="str">
        <f>IFERROR(__xludf.DUMMYFUNCTION("if(AND(K12=FALSE,L12=FALSE),,if(K12=L12,JOIN("""",""Static: "",K12),JOIN("""",""Min:  "",K12, CHAR(10),""Max: "",L12)))"),"")</f>
        <v/>
      </c>
      <c r="K12" s="74" t="str">
        <f t="array" ref="K12">_xlfn.XLOOKUP(B12,'Up Min'!A:A,'Up Min'!C:C,)</f>
        <v/>
      </c>
      <c r="L12" s="74" t="str">
        <f t="array" ref="L12">_xlfn.XLOOKUP(B12,'Up Max'!A:A,'Up Max'!C:C,)</f>
        <v/>
      </c>
      <c r="M12" s="48" t="str">
        <f t="array" ref="M12">_xlfn.XLOOKUP(B12,'Up Stats'!A:A,'Up Stats'!D:D,)</f>
        <v/>
      </c>
      <c r="N12" s="40" t="str">
        <f>IFERROR(__xludf.DUMMYFUNCTION("if(AND(O12=FALSE,P12=FALSE),,if(O12=P12,JOIN("""",""Static: "",O12),JOIN("""",""Min:  "",O12, CHAR(10),""Max: "",P12)))"),"")</f>
        <v/>
      </c>
      <c r="O12" s="42" t="str">
        <f t="array" ref="O12">_xlfn.XLOOKUP(B12,'Up Min'!A:A,'Up Min'!D:D,)</f>
        <v/>
      </c>
      <c r="P12" s="42" t="str">
        <f t="array" ref="P12">_xlfn.XLOOKUP(B12,'Up Max'!A:A,'Up Max'!D:D,)</f>
        <v/>
      </c>
      <c r="Q12" s="48" t="str">
        <f t="array" ref="Q12">_xlfn.XLOOKUP(B12,'Up Stats'!A:A,'Up Stats'!E:E,)</f>
        <v/>
      </c>
      <c r="R12" s="40" t="str">
        <f>IFERROR(__xludf.DUMMYFUNCTION("if(AND(S12=FALSE,T12=FALSE),,if(S12=T12,JOIN("""",""Static: "",S12),JOIN("""",""Min:  "",S12, CHAR(10),""Max: "",T12)))"),"")</f>
        <v/>
      </c>
      <c r="S12" s="42" t="str">
        <f t="array" ref="S12">_xlfn.XLOOKUP(B12,'Up Min'!A:A,'Up Min'!E:E,)</f>
        <v/>
      </c>
      <c r="T12" s="42" t="str">
        <f t="array" ref="T12">_xlfn.XLOOKUP(B12,'Up Max'!A:A,'Up Max'!E:E,)</f>
        <v/>
      </c>
      <c r="U12" s="48" t="str">
        <f t="array" ref="U12">_xlfn.XLOOKUP(B12,'Up Stats'!A:A,'Up Stats'!F:F,)</f>
        <v/>
      </c>
      <c r="V12" s="40" t="str">
        <f>IFERROR(__xludf.DUMMYFUNCTION("if(AND(W12=FALSE,X12=FALSE),,if(W12=X12,JOIN("""",""Static: "",W12),JOIN("""",""Min:  "",W12, CHAR(10),""Max: "",X12)))"),"")</f>
        <v/>
      </c>
      <c r="W12" s="42" t="str">
        <f t="array" ref="W12">_xlfn.XLOOKUP(B12,'Up Min'!A:A,'Up Min'!F:F,)</f>
        <v/>
      </c>
      <c r="X12" s="42" t="str">
        <f t="array" ref="X12">_xlfn.XLOOKUP(B12,'Up Max'!A:A,'Up Max'!F:F,)</f>
        <v/>
      </c>
      <c r="Y12" s="48" t="str">
        <f t="array" ref="Y12">_xlfn.XLOOKUP(B12,'Up Stats'!A:A,'Up Stats'!G:G,)</f>
        <v/>
      </c>
      <c r="Z12" s="40" t="str">
        <f>IFERROR(__xludf.DUMMYFUNCTION("if(AND(AA12=FALSE,AB12=FALSE),,if(AA12=AB12,JOIN("""",""Static: "",AA12),JOIN("""",""Min:  "",AA12, CHAR(10),""Max: "",AB12)))"),"")</f>
        <v/>
      </c>
      <c r="AA12" s="42" t="str">
        <f t="array" ref="AA12">_xlfn.XLOOKUP(B12,'Up Min'!A:A,'Up Min'!G:G,)</f>
        <v/>
      </c>
      <c r="AB12" s="42" t="str">
        <f t="array" ref="AB12">_xlfn.XLOOKUP(B12,'Up Max'!A:A,'Up Max'!G:G,)</f>
        <v/>
      </c>
      <c r="AC12" s="48" t="str">
        <f t="array" ref="AC12">_xlfn.XLOOKUP(B12,'Up Stats'!A:A,'Up Stats'!H:H,)</f>
        <v/>
      </c>
      <c r="AD12" s="40" t="str">
        <f>IFERROR(__xludf.DUMMYFUNCTION("if(AND(AE12=FALSE,AF12=FALSE),,if(AE12=AF12,JOIN("""",""Static: "",AE12),JOIN("""",""Min:  "",AE12, CHAR(10),""Max: "",AF12)))"),"")</f>
        <v/>
      </c>
      <c r="AE12" s="42" t="str">
        <f t="array" ref="AE12">_xlfn.XLOOKUP(B12,'Up Min'!A:A,'Up Min'!H:H,)</f>
        <v/>
      </c>
      <c r="AF12" s="42" t="str">
        <f t="array" ref="AF12">_xlfn.XLOOKUP(B12,'Up Max'!A:A,'Up Max'!H:H,)</f>
        <v/>
      </c>
      <c r="AG12" s="48" t="str">
        <f t="array" ref="AG12">_xlfn.XLOOKUP(B12,'Up Stats'!A:A,'Up Stats'!I:I,)</f>
        <v/>
      </c>
      <c r="AH12" s="40" t="str">
        <f>IFERROR(__xludf.DUMMYFUNCTION("if(AND(AI12=FALSE,AJ12=FALSE),,if(AI12=AJ12,JOIN("""",""Static: "",AI12),JOIN("""",""Min:  "",AI12, CHAR(10),""Max: "",AJ12)))"),"")</f>
        <v/>
      </c>
      <c r="AI12" s="42" t="str">
        <f t="array" ref="AI12">_xlfn.XLOOKUP(B12,'Up Min'!A:A,'Up Min'!I:I,)</f>
        <v/>
      </c>
      <c r="AJ12" s="42" t="str">
        <f t="array" ref="AJ12">_xlfn.XLOOKUP(B12,'Up Max'!A:A,'Up Max'!I:I,)</f>
        <v/>
      </c>
      <c r="AK12" s="48" t="str">
        <f t="array" ref="AK12">_xlfn.XLOOKUP(B12,'Up Stats'!A:A,'Up Stats'!J:J,)</f>
        <v/>
      </c>
      <c r="AL12" s="40" t="str">
        <f>IFERROR(__xludf.DUMMYFUNCTION("if(AND(AM12=FALSE,AN12=FALSE),,if(AM12=AN12,JOIN("""",""Static: "",AM12),JOIN("""",""Min:  "",AM12, CHAR(10),""Max: "",AN12)))"),"")</f>
        <v/>
      </c>
      <c r="AM12" s="42" t="str">
        <f t="array" ref="AM12">_xlfn.XLOOKUP(B12,'Up Min'!A:A,'Up Min'!J:J,)</f>
        <v/>
      </c>
      <c r="AN12" s="42" t="str">
        <f t="array" ref="AN12">_xlfn.XLOOKUP(B12,'Up Max'!A:A,'Up Max'!J:J,)</f>
        <v/>
      </c>
      <c r="AO12" s="34" t="str">
        <f t="array" ref="AO12">CONCATENATE(_xlfn.XLOOKUP(B12,'Up Cells'!A:A,'Up Cells'!B:B,))</f>
        <v>5</v>
      </c>
      <c r="AP12" s="58" t="str">
        <f t="array" ref="AP12">CONCATENATE(_xlfn.XLOOKUP(B12,'Up Rarity'!A:A,'Up Rarity'!B:B,),CHAR(10),"-")</f>
        <v>Epic
-</v>
      </c>
    </row>
    <row r="13">
      <c r="A13" s="75" t="str">
        <f t="array" ref="A13">_xlfn.XLOOKUP(B13,'Up Icon'!A:A,'Up Icon'!B:B,)</f>
        <v/>
      </c>
      <c r="B13" s="61" t="str">
        <f t="array" ref="B13">HYPERLINK(_xlfn.XLOOKUP('Up Names'!R36,'Up Wiki'!A:A,'Up Wiki'!B:B,),'Up Names'!R36)</f>
        <v>One-Two Punch</v>
      </c>
      <c r="C13" s="52" t="str">
        <f t="array" ref="C13">_xlfn.XLOOKUP(B13,'Up Desc'!A:A,'Up Desc'!B:B,)</f>
        <v>Landing a Nose Dive briefly empowers your next shield, increasing its damage and reducing its duration. This shield refunds some charge when it runs out.</v>
      </c>
      <c r="D13" s="52" t="str">
        <f t="array" ref="D13">_xlfn.XLOOKUP(B13,'Up Turbo'!A:A,'Up Turbo'!B:B,)</f>
        <v>n/a</v>
      </c>
      <c r="E13" s="53" t="str">
        <f t="array" ref="E13">_xlfn.XLOOKUP(B13,'Up Stats'!A:A,'Up Stats'!B:B,)</f>
        <v/>
      </c>
      <c r="F13" s="54" t="str">
        <f>IFERROR(__xludf.DUMMYFUNCTION("if(AND(G13=FALSE,H13=FALSE),,if(G13=H13,JOIN("""",""Static: "",G13),JOIN("""",""Min:  "",G13, CHAR(10),""Max: "",H13)))"),"")</f>
        <v/>
      </c>
      <c r="G13" s="55" t="str">
        <f t="array" ref="G13">_xlfn.XLOOKUP(B13,'Up Min'!A:A,'Up Min'!B:B,)</f>
        <v/>
      </c>
      <c r="H13" s="56" t="str">
        <f t="array" ref="H13">_xlfn.XLOOKUP(B13,'Up Max'!A:A,'Up Max'!B:B,)</f>
        <v/>
      </c>
      <c r="I13" s="53" t="str">
        <f t="array" ref="I13">_xlfn.XLOOKUP(B13,'Up Stats'!A:A,'Up Stats'!C:C,)</f>
        <v/>
      </c>
      <c r="J13" s="54" t="str">
        <f>IFERROR(__xludf.DUMMYFUNCTION("if(AND(K13=FALSE,L13=FALSE),,if(K13=L13,JOIN("""",""Static: "",K13),JOIN("""",""Min:  "",K13, CHAR(10),""Max: "",L13)))"),"")</f>
        <v/>
      </c>
      <c r="K13" s="72" t="str">
        <f t="array" ref="K13">_xlfn.XLOOKUP(B13,'Up Min'!A:A,'Up Min'!C:C,)</f>
        <v/>
      </c>
      <c r="L13" s="72" t="str">
        <f t="array" ref="L13">_xlfn.XLOOKUP(B13,'Up Max'!A:A,'Up Max'!C:C,)</f>
        <v/>
      </c>
      <c r="M13" s="57" t="str">
        <f t="array" ref="M13">_xlfn.XLOOKUP(B13,'Up Stats'!A:A,'Up Stats'!D:D,)</f>
        <v/>
      </c>
      <c r="N13" s="54" t="str">
        <f>IFERROR(__xludf.DUMMYFUNCTION("if(AND(O13=FALSE,P13=FALSE),,if(O13=P13,JOIN("""",""Static: "",O13),JOIN("""",""Min:  "",O13, CHAR(10),""Max: "",P13)))"),"")</f>
        <v/>
      </c>
      <c r="O13" s="55" t="str">
        <f t="array" ref="O13">_xlfn.XLOOKUP(B13,'Up Min'!A:A,'Up Min'!D:D,)</f>
        <v/>
      </c>
      <c r="P13" s="55" t="str">
        <f t="array" ref="P13">_xlfn.XLOOKUP(B13,'Up Max'!A:A,'Up Max'!D:D,)</f>
        <v/>
      </c>
      <c r="Q13" s="57" t="str">
        <f t="array" ref="Q13">_xlfn.XLOOKUP(B13,'Up Stats'!A:A,'Up Stats'!E:E,)</f>
        <v/>
      </c>
      <c r="R13" s="54" t="str">
        <f>IFERROR(__xludf.DUMMYFUNCTION("if(AND(S13=FALSE,T13=FALSE),,if(S13=T13,JOIN("""",""Static: "",S13),JOIN("""",""Min:  "",S13, CHAR(10),""Max: "",T13)))"),"")</f>
        <v/>
      </c>
      <c r="S13" s="55" t="str">
        <f t="array" ref="S13">_xlfn.XLOOKUP(B13,'Up Min'!A:A,'Up Min'!E:E,)</f>
        <v/>
      </c>
      <c r="T13" s="55" t="str">
        <f t="array" ref="T13">_xlfn.XLOOKUP(B13,'Up Max'!A:A,'Up Max'!E:E,)</f>
        <v/>
      </c>
      <c r="U13" s="57" t="str">
        <f t="array" ref="U13">_xlfn.XLOOKUP(B13,'Up Stats'!A:A,'Up Stats'!F:F,)</f>
        <v/>
      </c>
      <c r="V13" s="54" t="str">
        <f>IFERROR(__xludf.DUMMYFUNCTION("if(AND(W13=FALSE,X13=FALSE),,if(W13=X13,JOIN("""",""Static: "",W13),JOIN("""",""Min:  "",W13, CHAR(10),""Max: "",X13)))"),"")</f>
        <v/>
      </c>
      <c r="W13" s="55" t="str">
        <f t="array" ref="W13">_xlfn.XLOOKUP(B13,'Up Min'!A:A,'Up Min'!F:F,)</f>
        <v/>
      </c>
      <c r="X13" s="55" t="str">
        <f t="array" ref="X13">_xlfn.XLOOKUP(B13,'Up Max'!A:A,'Up Max'!F:F,)</f>
        <v/>
      </c>
      <c r="Y13" s="57" t="str">
        <f t="array" ref="Y13">_xlfn.XLOOKUP(B13,'Up Stats'!A:A,'Up Stats'!G:G,)</f>
        <v/>
      </c>
      <c r="Z13" s="54" t="str">
        <f>IFERROR(__xludf.DUMMYFUNCTION("if(AND(AA13=FALSE,AB13=FALSE),,if(AA13=AB13,JOIN("""",""Static: "",AA13),JOIN("""",""Min:  "",AA13, CHAR(10),""Max: "",AB13)))"),"")</f>
        <v/>
      </c>
      <c r="AA13" s="55" t="str">
        <f t="array" ref="AA13">_xlfn.XLOOKUP(B13,'Up Min'!A:A,'Up Min'!G:G,)</f>
        <v/>
      </c>
      <c r="AB13" s="55" t="str">
        <f t="array" ref="AB13">_xlfn.XLOOKUP(B13,'Up Max'!A:A,'Up Max'!G:G,)</f>
        <v/>
      </c>
      <c r="AC13" s="57" t="str">
        <f t="array" ref="AC13">_xlfn.XLOOKUP(B13,'Up Stats'!A:A,'Up Stats'!H:H,)</f>
        <v/>
      </c>
      <c r="AD13" s="54" t="str">
        <f>IFERROR(__xludf.DUMMYFUNCTION("if(AND(AE13=FALSE,AF13=FALSE),,if(AE13=AF13,JOIN("""",""Static: "",AE13),JOIN("""",""Min:  "",AE13, CHAR(10),""Max: "",AF13)))"),"")</f>
        <v/>
      </c>
      <c r="AE13" s="55" t="str">
        <f t="array" ref="AE13">_xlfn.XLOOKUP(B13,'Up Min'!A:A,'Up Min'!H:H,)</f>
        <v/>
      </c>
      <c r="AF13" s="55" t="str">
        <f t="array" ref="AF13">_xlfn.XLOOKUP(B13,'Up Max'!A:A,'Up Max'!H:H,)</f>
        <v/>
      </c>
      <c r="AG13" s="57" t="str">
        <f t="array" ref="AG13">_xlfn.XLOOKUP(B13,'Up Stats'!A:A,'Up Stats'!I:I,)</f>
        <v/>
      </c>
      <c r="AH13" s="54" t="str">
        <f>IFERROR(__xludf.DUMMYFUNCTION("if(AND(AI13=FALSE,AJ13=FALSE),,if(AI13=AJ13,JOIN("""",""Static: "",AI13),JOIN("""",""Min:  "",AI13, CHAR(10),""Max: "",AJ13)))"),"")</f>
        <v/>
      </c>
      <c r="AI13" s="55" t="str">
        <f t="array" ref="AI13">_xlfn.XLOOKUP(B13,'Up Min'!A:A,'Up Min'!I:I,)</f>
        <v/>
      </c>
      <c r="AJ13" s="55" t="str">
        <f t="array" ref="AJ13">_xlfn.XLOOKUP(B13,'Up Max'!A:A,'Up Max'!I:I,)</f>
        <v/>
      </c>
      <c r="AK13" s="57" t="str">
        <f t="array" ref="AK13">_xlfn.XLOOKUP(B13,'Up Stats'!A:A,'Up Stats'!J:J,)</f>
        <v/>
      </c>
      <c r="AL13" s="54" t="str">
        <f>IFERROR(__xludf.DUMMYFUNCTION("if(AND(AM13=FALSE,AN13=FALSE),,if(AM13=AN13,JOIN("""",""Static: "",AM13),JOIN("""",""Min:  "",AM13, CHAR(10),""Max: "",AN13)))"),"")</f>
        <v/>
      </c>
      <c r="AM13" s="55" t="str">
        <f t="array" ref="AM13">_xlfn.XLOOKUP(B13,'Up Min'!A:A,'Up Min'!J:J,)</f>
        <v/>
      </c>
      <c r="AN13" s="55" t="str">
        <f t="array" ref="AN13">_xlfn.XLOOKUP(B13,'Up Max'!A:A,'Up Max'!J:J,)</f>
        <v/>
      </c>
      <c r="AO13" s="51" t="str">
        <f t="array" ref="AO13">CONCATENATE(_xlfn.XLOOKUP(B13,'Up Cells'!A:A,'Up Cells'!B:B,))</f>
        <v>4</v>
      </c>
      <c r="AP13" s="61" t="str">
        <f t="array" ref="AP13">CONCATENATE(_xlfn.XLOOKUP(B13,'Up Rarity'!A:A,'Up Rarity'!B:B,),CHAR(10),"-")</f>
        <v>Epic
-</v>
      </c>
    </row>
    <row r="14">
      <c r="A14" s="75" t="str">
        <f t="array" ref="A14">_xlfn.XLOOKUP(B14,'Up Icon'!A:A,'Up Icon'!B:B,)</f>
        <v/>
      </c>
      <c r="B14" s="89" t="str">
        <f t="array" ref="B14">HYPERLINK(_xlfn.XLOOKUP('Up Names'!R12,'Up Wiki'!A:A,'Up Wiki'!B:B,),'Up Names'!R12)</f>
        <v>Splash Zone</v>
      </c>
      <c r="C14" s="37" t="str">
        <f t="array" ref="C14">_xlfn.XLOOKUP(B14,'Up Desc'!A:A,'Up Desc'!B:B,)</f>
        <v>Nose Dive applies whatever element you're currently affected by.</v>
      </c>
      <c r="D14" s="37" t="str">
        <f t="array" ref="D14">_xlfn.XLOOKUP(B14,'Up Turbo'!A:A,'Up Turbo'!B:B,)</f>
        <v>n/a</v>
      </c>
      <c r="E14" s="48" t="str">
        <f t="array" ref="E14">_xlfn.XLOOKUP(B14,'Up Stats'!A:A,'Up Stats'!B:B,)</f>
        <v/>
      </c>
      <c r="F14" s="40" t="str">
        <f>IFERROR(__xludf.DUMMYFUNCTION("if(AND(G14=FALSE,H14=FALSE),,if(G14=H14,JOIN("""",""Static: "",G14),JOIN("""",""Min:  "",G14, CHAR(10),""Max: "",H14)))"),"")</f>
        <v/>
      </c>
      <c r="G14" s="42" t="str">
        <f t="array" ref="G14">_xlfn.XLOOKUP(B14,'Up Min'!A:A,'Up Min'!B:B,)</f>
        <v/>
      </c>
      <c r="H14" s="42" t="str">
        <f t="array" ref="H14">_xlfn.XLOOKUP(B14,'Up Max'!A:A,'Up Max'!B:B,)</f>
        <v/>
      </c>
      <c r="I14" s="48" t="str">
        <f t="array" ref="I14">_xlfn.XLOOKUP(B14,'Up Stats'!A:A,'Up Stats'!C:C,)</f>
        <v/>
      </c>
      <c r="J14" s="40" t="str">
        <f>IFERROR(__xludf.DUMMYFUNCTION("if(AND(K14=FALSE,L14=FALSE),,if(K14=L14,JOIN("""",""Static: "",K14),JOIN("""",""Min:  "",K14, CHAR(10),""Max: "",L14)))"),"")</f>
        <v/>
      </c>
      <c r="K14" s="74" t="str">
        <f t="array" ref="K14">_xlfn.XLOOKUP(B14,'Up Min'!A:A,'Up Min'!C:C,)</f>
        <v/>
      </c>
      <c r="L14" s="74" t="str">
        <f t="array" ref="L14">_xlfn.XLOOKUP(B14,'Up Max'!A:A,'Up Max'!C:C,)</f>
        <v/>
      </c>
      <c r="M14" s="48" t="str">
        <f t="array" ref="M14">_xlfn.XLOOKUP(B14,'Up Stats'!A:A,'Up Stats'!D:D,)</f>
        <v/>
      </c>
      <c r="N14" s="40" t="str">
        <f>IFERROR(__xludf.DUMMYFUNCTION("if(AND(O14=FALSE,P14=FALSE),,if(O14=P14,JOIN("""",""Static: "",O14),JOIN("""",""Min:  "",O14, CHAR(10),""Max: "",P14)))"),"")</f>
        <v/>
      </c>
      <c r="O14" s="42" t="str">
        <f t="array" ref="O14">_xlfn.XLOOKUP(B14,'Up Min'!A:A,'Up Min'!D:D,)</f>
        <v/>
      </c>
      <c r="P14" s="42" t="str">
        <f t="array" ref="P14">_xlfn.XLOOKUP(B14,'Up Max'!A:A,'Up Max'!D:D,)</f>
        <v/>
      </c>
      <c r="Q14" s="48" t="str">
        <f t="array" ref="Q14">_xlfn.XLOOKUP(B14,'Up Stats'!A:A,'Up Stats'!E:E,)</f>
        <v/>
      </c>
      <c r="R14" s="40" t="str">
        <f>IFERROR(__xludf.DUMMYFUNCTION("if(AND(S14=FALSE,T14=FALSE),,if(S14=T14,JOIN("""",""Static: "",S14),JOIN("""",""Min:  "",S14, CHAR(10),""Max: "",T14)))"),"")</f>
        <v/>
      </c>
      <c r="S14" s="42" t="str">
        <f t="array" ref="S14">_xlfn.XLOOKUP(B14,'Up Min'!A:A,'Up Min'!E:E,)</f>
        <v/>
      </c>
      <c r="T14" s="42" t="str">
        <f t="array" ref="T14">_xlfn.XLOOKUP(B14,'Up Max'!A:A,'Up Max'!E:E,)</f>
        <v/>
      </c>
      <c r="U14" s="48" t="str">
        <f t="array" ref="U14">_xlfn.XLOOKUP(B14,'Up Stats'!A:A,'Up Stats'!F:F,)</f>
        <v/>
      </c>
      <c r="V14" s="40" t="str">
        <f>IFERROR(__xludf.DUMMYFUNCTION("if(AND(W14=FALSE,X14=FALSE),,if(W14=X14,JOIN("""",""Static: "",W14),JOIN("""",""Min:  "",W14, CHAR(10),""Max: "",X14)))"),"")</f>
        <v/>
      </c>
      <c r="W14" s="42" t="str">
        <f t="array" ref="W14">_xlfn.XLOOKUP(B14,'Up Min'!A:A,'Up Min'!F:F,)</f>
        <v/>
      </c>
      <c r="X14" s="42" t="str">
        <f t="array" ref="X14">_xlfn.XLOOKUP(B14,'Up Max'!A:A,'Up Max'!F:F,)</f>
        <v/>
      </c>
      <c r="Y14" s="48" t="str">
        <f t="array" ref="Y14">_xlfn.XLOOKUP(B14,'Up Stats'!A:A,'Up Stats'!G:G,)</f>
        <v/>
      </c>
      <c r="Z14" s="40" t="str">
        <f>IFERROR(__xludf.DUMMYFUNCTION("if(AND(AA14=FALSE,AB14=FALSE),,if(AA14=AB14,JOIN("""",""Static: "",AA14),JOIN("""",""Min:  "",AA14, CHAR(10),""Max: "",AB14)))"),"")</f>
        <v/>
      </c>
      <c r="AA14" s="42" t="str">
        <f t="array" ref="AA14">_xlfn.XLOOKUP(B14,'Up Min'!A:A,'Up Min'!G:G,)</f>
        <v/>
      </c>
      <c r="AB14" s="42" t="str">
        <f t="array" ref="AB14">_xlfn.XLOOKUP(B14,'Up Max'!A:A,'Up Max'!G:G,)</f>
        <v/>
      </c>
      <c r="AC14" s="48" t="str">
        <f t="array" ref="AC14">_xlfn.XLOOKUP(B14,'Up Stats'!A:A,'Up Stats'!H:H,)</f>
        <v/>
      </c>
      <c r="AD14" s="40" t="str">
        <f>IFERROR(__xludf.DUMMYFUNCTION("if(AND(AE14=FALSE,AF14=FALSE),,if(AE14=AF14,JOIN("""",""Static: "",AE14),JOIN("""",""Min:  "",AE14, CHAR(10),""Max: "",AF14)))"),"")</f>
        <v/>
      </c>
      <c r="AE14" s="42" t="str">
        <f t="array" ref="AE14">_xlfn.XLOOKUP(B14,'Up Min'!A:A,'Up Min'!H:H,)</f>
        <v/>
      </c>
      <c r="AF14" s="42" t="str">
        <f t="array" ref="AF14">_xlfn.XLOOKUP(B14,'Up Max'!A:A,'Up Max'!H:H,)</f>
        <v/>
      </c>
      <c r="AG14" s="48" t="str">
        <f t="array" ref="AG14">_xlfn.XLOOKUP(B14,'Up Stats'!A:A,'Up Stats'!I:I,)</f>
        <v/>
      </c>
      <c r="AH14" s="40" t="str">
        <f>IFERROR(__xludf.DUMMYFUNCTION("if(AND(AI14=FALSE,AJ14=FALSE),,if(AI14=AJ14,JOIN("""",""Static: "",AI14),JOIN("""",""Min:  "",AI14, CHAR(10),""Max: "",AJ14)))"),"")</f>
        <v/>
      </c>
      <c r="AI14" s="42" t="str">
        <f t="array" ref="AI14">_xlfn.XLOOKUP(B14,'Up Min'!A:A,'Up Min'!I:I,)</f>
        <v/>
      </c>
      <c r="AJ14" s="42" t="str">
        <f t="array" ref="AJ14">_xlfn.XLOOKUP(B14,'Up Max'!A:A,'Up Max'!I:I,)</f>
        <v/>
      </c>
      <c r="AK14" s="48" t="str">
        <f t="array" ref="AK14">_xlfn.XLOOKUP(B14,'Up Stats'!A:A,'Up Stats'!J:J,)</f>
        <v/>
      </c>
      <c r="AL14" s="40" t="str">
        <f>IFERROR(__xludf.DUMMYFUNCTION("if(AND(AM14=FALSE,AN14=FALSE),,if(AM14=AN14,JOIN("""",""Static: "",AM14),JOIN("""",""Min:  "",AM14, CHAR(10),""Max: "",AN14)))"),"")</f>
        <v/>
      </c>
      <c r="AM14" s="42" t="str">
        <f t="array" ref="AM14">_xlfn.XLOOKUP(B14,'Up Min'!A:A,'Up Min'!J:J,)</f>
        <v/>
      </c>
      <c r="AN14" s="42" t="str">
        <f t="array" ref="AN14">_xlfn.XLOOKUP(B14,'Up Max'!A:A,'Up Max'!J:J,)</f>
        <v/>
      </c>
      <c r="AO14" s="34" t="str">
        <f t="array" ref="AO14">CONCATENATE(_xlfn.XLOOKUP(B14,'Up Cells'!A:A,'Up Cells'!B:B,))</f>
        <v>3</v>
      </c>
      <c r="AP14" s="58" t="str">
        <f t="array" ref="AP14">CONCATENATE(_xlfn.XLOOKUP(B14,'Up Rarity'!A:A,'Up Rarity'!B:B,),CHAR(10),"-")</f>
        <v>Epic
-</v>
      </c>
    </row>
    <row r="15">
      <c r="A15" s="75" t="str">
        <f t="array" ref="A15">_xlfn.XLOOKUP(B15,'Up Icon'!A:A,'Up Icon'!B:B,)</f>
        <v/>
      </c>
      <c r="B15" s="88" t="str">
        <f t="array" ref="B15">HYPERLINK(_xlfn.XLOOKUP('Up Names'!R13,'Up Wiki'!A:A,'Up Wiki'!B:B,),'Up Names'!R13)</f>
        <v>To Dust</v>
      </c>
      <c r="C15" s="52" t="str">
        <f t="array" ref="C15">_xlfn.XLOOKUP(B15,'Up Desc'!A:A,'Up Desc'!B:B,)</f>
        <v>Nose Dive applies decay.</v>
      </c>
      <c r="D15" s="52" t="str">
        <f t="array" ref="D15">_xlfn.XLOOKUP(B15,'Up Turbo'!A:A,'Up Turbo'!B:B,)</f>
        <v>n/a</v>
      </c>
      <c r="E15" s="53" t="str">
        <f t="array" ref="E15">_xlfn.XLOOKUP(B15,'Up Stats'!A:A,'Up Stats'!B:B,)</f>
        <v>Element</v>
      </c>
      <c r="F15" s="54" t="str">
        <f>IFERROR(__xludf.DUMMYFUNCTION("if(AND(G15=FALSE,H15=FALSE),,if(G15=H15,JOIN("""",""Static: "",G15),JOIN("""",""Min:  "",G15, CHAR(10),""Max: "",H15)))"),"Static: 10")</f>
        <v>Static: 10</v>
      </c>
      <c r="G15" s="64">
        <f t="array" ref="G15">_xlfn.XLOOKUP(B15,'Up Min'!A:A,'Up Min'!B:B,)</f>
        <v>10</v>
      </c>
      <c r="H15" s="65">
        <f t="array" ref="H15">_xlfn.XLOOKUP(B15,'Up Max'!A:A,'Up Max'!B:B,)</f>
        <v>10</v>
      </c>
      <c r="I15" s="53" t="str">
        <f t="array" ref="I15">_xlfn.XLOOKUP(B15,'Up Stats'!A:A,'Up Stats'!C:C,)</f>
        <v/>
      </c>
      <c r="J15" s="54" t="str">
        <f>IFERROR(__xludf.DUMMYFUNCTION("if(AND(K15=FALSE,L15=FALSE),,if(K15=L15,JOIN("""",""Static: "",K15),JOIN("""",""Min:  "",K15, CHAR(10),""Max: "",L15)))"),"")</f>
        <v/>
      </c>
      <c r="K15" s="72" t="str">
        <f t="array" ref="K15">_xlfn.XLOOKUP(B15,'Up Min'!A:A,'Up Min'!C:C,)</f>
        <v/>
      </c>
      <c r="L15" s="72" t="str">
        <f t="array" ref="L15">_xlfn.XLOOKUP(B15,'Up Max'!A:A,'Up Max'!C:C,)</f>
        <v/>
      </c>
      <c r="M15" s="53" t="str">
        <f t="array" ref="M15">_xlfn.XLOOKUP(B15,'Up Stats'!A:A,'Up Stats'!D:D,)</f>
        <v/>
      </c>
      <c r="N15" s="54" t="str">
        <f>IFERROR(__xludf.DUMMYFUNCTION("if(AND(O15=FALSE,P15=FALSE),,if(O15=P15,JOIN("""",""Static: "",O15),JOIN("""",""Min:  "",O15, CHAR(10),""Max: "",P15)))"),"")</f>
        <v/>
      </c>
      <c r="O15" s="55" t="str">
        <f t="array" ref="O15">_xlfn.XLOOKUP(B15,'Up Min'!A:A,'Up Min'!D:D,)</f>
        <v/>
      </c>
      <c r="P15" s="55" t="str">
        <f t="array" ref="P15">_xlfn.XLOOKUP(B15,'Up Max'!A:A,'Up Max'!D:D,)</f>
        <v/>
      </c>
      <c r="Q15" s="57" t="str">
        <f t="array" ref="Q15">_xlfn.XLOOKUP(B15,'Up Stats'!A:A,'Up Stats'!E:E,)</f>
        <v/>
      </c>
      <c r="R15" s="54" t="str">
        <f>IFERROR(__xludf.DUMMYFUNCTION("if(AND(S15=FALSE,T15=FALSE),,if(S15=T15,JOIN("""",""Static: "",S15),JOIN("""",""Min:  "",S15, CHAR(10),""Max: "",T15)))"),"")</f>
        <v/>
      </c>
      <c r="S15" s="55" t="str">
        <f t="array" ref="S15">_xlfn.XLOOKUP(B15,'Up Min'!A:A,'Up Min'!E:E,)</f>
        <v/>
      </c>
      <c r="T15" s="55" t="str">
        <f t="array" ref="T15">_xlfn.XLOOKUP(B15,'Up Max'!A:A,'Up Max'!E:E,)</f>
        <v/>
      </c>
      <c r="U15" s="57" t="str">
        <f t="array" ref="U15">_xlfn.XLOOKUP(B15,'Up Stats'!A:A,'Up Stats'!F:F,)</f>
        <v/>
      </c>
      <c r="V15" s="54" t="str">
        <f>IFERROR(__xludf.DUMMYFUNCTION("if(AND(W15=FALSE,X15=FALSE),,if(W15=X15,JOIN("""",""Static: "",W15),JOIN("""",""Min:  "",W15, CHAR(10),""Max: "",X15)))"),"")</f>
        <v/>
      </c>
      <c r="W15" s="55" t="str">
        <f t="array" ref="W15">_xlfn.XLOOKUP(B15,'Up Min'!A:A,'Up Min'!F:F,)</f>
        <v/>
      </c>
      <c r="X15" s="55" t="str">
        <f t="array" ref="X15">_xlfn.XLOOKUP(B15,'Up Max'!A:A,'Up Max'!F:F,)</f>
        <v/>
      </c>
      <c r="Y15" s="57" t="str">
        <f t="array" ref="Y15">_xlfn.XLOOKUP(B15,'Up Stats'!A:A,'Up Stats'!G:G,)</f>
        <v/>
      </c>
      <c r="Z15" s="54" t="str">
        <f>IFERROR(__xludf.DUMMYFUNCTION("if(AND(AA15=FALSE,AB15=FALSE),,if(AA15=AB15,JOIN("""",""Static: "",AA15),JOIN("""",""Min:  "",AA15, CHAR(10),""Max: "",AB15)))"),"")</f>
        <v/>
      </c>
      <c r="AA15" s="55" t="str">
        <f t="array" ref="AA15">_xlfn.XLOOKUP(B15,'Up Min'!A:A,'Up Min'!G:G,)</f>
        <v/>
      </c>
      <c r="AB15" s="55" t="str">
        <f t="array" ref="AB15">_xlfn.XLOOKUP(B15,'Up Max'!A:A,'Up Max'!G:G,)</f>
        <v/>
      </c>
      <c r="AC15" s="57" t="str">
        <f t="array" ref="AC15">_xlfn.XLOOKUP(B15,'Up Stats'!A:A,'Up Stats'!H:H,)</f>
        <v/>
      </c>
      <c r="AD15" s="54" t="str">
        <f>IFERROR(__xludf.DUMMYFUNCTION("if(AND(AE15=FALSE,AF15=FALSE),,if(AE15=AF15,JOIN("""",""Static: "",AE15),JOIN("""",""Min:  "",AE15, CHAR(10),""Max: "",AF15)))"),"")</f>
        <v/>
      </c>
      <c r="AE15" s="55" t="str">
        <f t="array" ref="AE15">_xlfn.XLOOKUP(B15,'Up Min'!A:A,'Up Min'!H:H,)</f>
        <v/>
      </c>
      <c r="AF15" s="55" t="str">
        <f t="array" ref="AF15">_xlfn.XLOOKUP(B15,'Up Max'!A:A,'Up Max'!H:H,)</f>
        <v/>
      </c>
      <c r="AG15" s="57" t="str">
        <f t="array" ref="AG15">_xlfn.XLOOKUP(B15,'Up Stats'!A:A,'Up Stats'!I:I,)</f>
        <v/>
      </c>
      <c r="AH15" s="54" t="str">
        <f>IFERROR(__xludf.DUMMYFUNCTION("if(AND(AI15=FALSE,AJ15=FALSE),,if(AI15=AJ15,JOIN("""",""Static: "",AI15),JOIN("""",""Min:  "",AI15, CHAR(10),""Max: "",AJ15)))"),"")</f>
        <v/>
      </c>
      <c r="AI15" s="55" t="str">
        <f t="array" ref="AI15">_xlfn.XLOOKUP(B15,'Up Min'!A:A,'Up Min'!I:I,)</f>
        <v/>
      </c>
      <c r="AJ15" s="55" t="str">
        <f t="array" ref="AJ15">_xlfn.XLOOKUP(B15,'Up Max'!A:A,'Up Max'!I:I,)</f>
        <v/>
      </c>
      <c r="AK15" s="57" t="str">
        <f t="array" ref="AK15">_xlfn.XLOOKUP(B15,'Up Stats'!A:A,'Up Stats'!J:J,)</f>
        <v/>
      </c>
      <c r="AL15" s="54" t="str">
        <f>IFERROR(__xludf.DUMMYFUNCTION("if(AND(AM15=FALSE,AN15=FALSE),,if(AM15=AN15,JOIN("""",""Static: "",AM15),JOIN("""",""Min:  "",AM15, CHAR(10),""Max: "",AN15)))"),"")</f>
        <v/>
      </c>
      <c r="AM15" s="55" t="str">
        <f t="array" ref="AM15">_xlfn.XLOOKUP(B15,'Up Min'!A:A,'Up Min'!J:J,)</f>
        <v/>
      </c>
      <c r="AN15" s="55" t="str">
        <f t="array" ref="AN15">_xlfn.XLOOKUP(B15,'Up Max'!A:A,'Up Max'!J:J,)</f>
        <v/>
      </c>
      <c r="AO15" s="51" t="str">
        <f t="array" ref="AO15">CONCATENATE(_xlfn.XLOOKUP(B15,'Up Cells'!A:A,'Up Cells'!B:B,))</f>
        <v>4</v>
      </c>
      <c r="AP15" s="61" t="str">
        <f t="array" ref="AP15">CONCATENATE(_xlfn.XLOOKUP(B15,'Up Rarity'!A:A,'Up Rarity'!B:B,),CHAR(10),"-")</f>
        <v>Epic
-</v>
      </c>
    </row>
    <row r="16">
      <c r="A16" s="75" t="str">
        <f t="array" ref="A16">_xlfn.XLOOKUP(B16,'Up Icon'!A:A,'Up Icon'!B:B,)</f>
        <v/>
      </c>
      <c r="B16" s="89" t="str">
        <f t="array" ref="B16">HYPERLINK(_xlfn.XLOOKUP('Up Names'!R14,'Up Wiki'!A:A,'Up Wiki'!B:B,),'Up Names'!R14)</f>
        <v>Unconditional Protector</v>
      </c>
      <c r="C16" s="37" t="str">
        <f t="array" ref="C16">_xlfn.XLOOKUP(B16,'Up Desc'!A:A,'Up Desc'!B:B,)</f>
        <v>Your Shield Projector grants all nearby players an overshield when placed.</v>
      </c>
      <c r="D16" s="37" t="str">
        <f t="array" ref="D16">_xlfn.XLOOKUP(B16,'Up Turbo'!A:A,'Up Turbo'!B:B,)</f>
        <v>n/a</v>
      </c>
      <c r="E16" s="39" t="str">
        <f t="array" ref="E16">_xlfn.XLOOKUP(B16,'Up Stats'!A:A,'Up Stats'!B:B,)</f>
        <v>Overshield Radius</v>
      </c>
      <c r="F16" s="40" t="str">
        <f>IFERROR(__xludf.DUMMYFUNCTION("if(AND(G16=FALSE,H16=FALSE),,if(G16=H16,JOIN("""",""Static: "",G16),JOIN("""",""Min:  "",G16, CHAR(10),""Max: "",H16)))"),"Min:  6.7
Max: 9")</f>
        <v>Min:  6.7
Max: 9</v>
      </c>
      <c r="G16" s="69">
        <f t="array" ref="G16">_xlfn.XLOOKUP(B16,'Up Min'!A:A,'Up Min'!B:B,)</f>
        <v>6.7</v>
      </c>
      <c r="H16" s="68">
        <f t="array" ref="H16">_xlfn.XLOOKUP(B16,'Up Max'!A:A,'Up Max'!B:B,)</f>
        <v>9</v>
      </c>
      <c r="I16" s="39" t="str">
        <f t="array" ref="I16">_xlfn.XLOOKUP(B16,'Up Stats'!A:A,'Up Stats'!C:C,)</f>
        <v/>
      </c>
      <c r="J16" s="40" t="str">
        <f>IFERROR(__xludf.DUMMYFUNCTION("if(AND(K16=FALSE,L16=FALSE),,if(K16=L16,JOIN("""",""Static: "",K16),JOIN("""",""Min:  "",K16, CHAR(10),""Max: "",L16)))"),"")</f>
        <v/>
      </c>
      <c r="K16" s="74" t="str">
        <f t="array" ref="K16">_xlfn.XLOOKUP(B16,'Up Min'!A:A,'Up Min'!C:C,)</f>
        <v/>
      </c>
      <c r="L16" s="74" t="str">
        <f t="array" ref="L16">_xlfn.XLOOKUP(B16,'Up Max'!A:A,'Up Max'!C:C,)</f>
        <v/>
      </c>
      <c r="M16" s="48" t="str">
        <f t="array" ref="M16">_xlfn.XLOOKUP(B16,'Up Stats'!A:A,'Up Stats'!D:D,)</f>
        <v/>
      </c>
      <c r="N16" s="40" t="str">
        <f>IFERROR(__xludf.DUMMYFUNCTION("if(AND(O16=FALSE,P16=FALSE),,if(O16=P16,JOIN("""",""Static: "",O16),JOIN("""",""Min:  "",O16, CHAR(10),""Max: "",P16)))"),"")</f>
        <v/>
      </c>
      <c r="O16" s="42" t="str">
        <f t="array" ref="O16">_xlfn.XLOOKUP(B16,'Up Min'!A:A,'Up Min'!D:D,)</f>
        <v/>
      </c>
      <c r="P16" s="42" t="str">
        <f t="array" ref="P16">_xlfn.XLOOKUP(B16,'Up Max'!A:A,'Up Max'!D:D,)</f>
        <v/>
      </c>
      <c r="Q16" s="48" t="str">
        <f t="array" ref="Q16">_xlfn.XLOOKUP(B16,'Up Stats'!A:A,'Up Stats'!E:E,)</f>
        <v/>
      </c>
      <c r="R16" s="40" t="str">
        <f>IFERROR(__xludf.DUMMYFUNCTION("if(AND(S16=FALSE,T16=FALSE),,if(S16=T16,JOIN("""",""Static: "",S16),JOIN("""",""Min:  "",S16, CHAR(10),""Max: "",T16)))"),"")</f>
        <v/>
      </c>
      <c r="S16" s="42" t="str">
        <f t="array" ref="S16">_xlfn.XLOOKUP(B16,'Up Min'!A:A,'Up Min'!E:E,)</f>
        <v/>
      </c>
      <c r="T16" s="42" t="str">
        <f t="array" ref="T16">_xlfn.XLOOKUP(B16,'Up Max'!A:A,'Up Max'!E:E,)</f>
        <v/>
      </c>
      <c r="U16" s="48" t="str">
        <f t="array" ref="U16">_xlfn.XLOOKUP(B16,'Up Stats'!A:A,'Up Stats'!F:F,)</f>
        <v/>
      </c>
      <c r="V16" s="40" t="str">
        <f>IFERROR(__xludf.DUMMYFUNCTION("if(AND(W16=FALSE,X16=FALSE),,if(W16=X16,JOIN("""",""Static: "",W16),JOIN("""",""Min:  "",W16, CHAR(10),""Max: "",X16)))"),"")</f>
        <v/>
      </c>
      <c r="W16" s="42" t="str">
        <f t="array" ref="W16">_xlfn.XLOOKUP(B16,'Up Min'!A:A,'Up Min'!F:F,)</f>
        <v/>
      </c>
      <c r="X16" s="42" t="str">
        <f t="array" ref="X16">_xlfn.XLOOKUP(B16,'Up Max'!A:A,'Up Max'!F:F,)</f>
        <v/>
      </c>
      <c r="Y16" s="48" t="str">
        <f t="array" ref="Y16">_xlfn.XLOOKUP(B16,'Up Stats'!A:A,'Up Stats'!G:G,)</f>
        <v/>
      </c>
      <c r="Z16" s="40" t="str">
        <f>IFERROR(__xludf.DUMMYFUNCTION("if(AND(AA16=FALSE,AB16=FALSE),,if(AA16=AB16,JOIN("""",""Static: "",AA16),JOIN("""",""Min:  "",AA16, CHAR(10),""Max: "",AB16)))"),"")</f>
        <v/>
      </c>
      <c r="AA16" s="42" t="str">
        <f t="array" ref="AA16">_xlfn.XLOOKUP(B16,'Up Min'!A:A,'Up Min'!G:G,)</f>
        <v/>
      </c>
      <c r="AB16" s="42" t="str">
        <f t="array" ref="AB16">_xlfn.XLOOKUP(B16,'Up Max'!A:A,'Up Max'!G:G,)</f>
        <v/>
      </c>
      <c r="AC16" s="48" t="str">
        <f t="array" ref="AC16">_xlfn.XLOOKUP(B16,'Up Stats'!A:A,'Up Stats'!H:H,)</f>
        <v/>
      </c>
      <c r="AD16" s="40" t="str">
        <f>IFERROR(__xludf.DUMMYFUNCTION("if(AND(AE16=FALSE,AF16=FALSE),,if(AE16=AF16,JOIN("""",""Static: "",AE16),JOIN("""",""Min:  "",AE16, CHAR(10),""Max: "",AF16)))"),"")</f>
        <v/>
      </c>
      <c r="AE16" s="42" t="str">
        <f t="array" ref="AE16">_xlfn.XLOOKUP(B16,'Up Min'!A:A,'Up Min'!H:H,)</f>
        <v/>
      </c>
      <c r="AF16" s="42" t="str">
        <f t="array" ref="AF16">_xlfn.XLOOKUP(B16,'Up Max'!A:A,'Up Max'!H:H,)</f>
        <v/>
      </c>
      <c r="AG16" s="48" t="str">
        <f t="array" ref="AG16">_xlfn.XLOOKUP(B16,'Up Stats'!A:A,'Up Stats'!I:I,)</f>
        <v/>
      </c>
      <c r="AH16" s="40" t="str">
        <f>IFERROR(__xludf.DUMMYFUNCTION("if(AND(AI16=FALSE,AJ16=FALSE),,if(AI16=AJ16,JOIN("""",""Static: "",AI16),JOIN("""",""Min:  "",AI16, CHAR(10),""Max: "",AJ16)))"),"")</f>
        <v/>
      </c>
      <c r="AI16" s="42" t="str">
        <f t="array" ref="AI16">_xlfn.XLOOKUP(B16,'Up Min'!A:A,'Up Min'!I:I,)</f>
        <v/>
      </c>
      <c r="AJ16" s="42" t="str">
        <f t="array" ref="AJ16">_xlfn.XLOOKUP(B16,'Up Max'!A:A,'Up Max'!I:I,)</f>
        <v/>
      </c>
      <c r="AK16" s="48" t="str">
        <f t="array" ref="AK16">_xlfn.XLOOKUP(B16,'Up Stats'!A:A,'Up Stats'!J:J,)</f>
        <v/>
      </c>
      <c r="AL16" s="40" t="str">
        <f>IFERROR(__xludf.DUMMYFUNCTION("if(AND(AM16=FALSE,AN16=FALSE),,if(AM16=AN16,JOIN("""",""Static: "",AM16),JOIN("""",""Min:  "",AM16, CHAR(10),""Max: "",AN16)))"),"")</f>
        <v/>
      </c>
      <c r="AM16" s="42" t="str">
        <f t="array" ref="AM16">_xlfn.XLOOKUP(B16,'Up Min'!A:A,'Up Min'!J:J,)</f>
        <v/>
      </c>
      <c r="AN16" s="42" t="str">
        <f t="array" ref="AN16">_xlfn.XLOOKUP(B16,'Up Max'!A:A,'Up Max'!J:J,)</f>
        <v/>
      </c>
      <c r="AO16" s="34" t="str">
        <f t="array" ref="AO16">CONCATENATE(_xlfn.XLOOKUP(B16,'Up Cells'!A:A,'Up Cells'!B:B,))</f>
        <v>5</v>
      </c>
      <c r="AP16" s="58" t="str">
        <f t="array" ref="AP16">CONCATENATE(_xlfn.XLOOKUP(B16,'Up Rarity'!A:A,'Up Rarity'!B:B,),CHAR(10),"-")</f>
        <v>Epic
-</v>
      </c>
    </row>
    <row r="17">
      <c r="A17" s="83" t="str">
        <f t="array" ref="A17">_xlfn.XLOOKUP(B17,'Up Icon'!A:A,'Up Icon'!B:B,)</f>
        <v/>
      </c>
      <c r="B17" s="88" t="str">
        <f t="array" ref="B17">HYPERLINK(_xlfn.XLOOKUP('Up Names'!R15,'Up Wiki'!A:A,'Up Wiki'!B:B,),'Up Names'!R15)</f>
        <v>Backboost</v>
      </c>
      <c r="C17" s="52" t="str">
        <f t="array" ref="C17">_xlfn.XLOOKUP(B17,'Up Desc'!A:A,'Up Desc'!B:B,)</f>
        <v>Activating your Shield Projector launches you backward.</v>
      </c>
      <c r="D17" s="52" t="str">
        <f t="array" ref="D17">_xlfn.XLOOKUP(B17,'Up Turbo'!A:A,'Up Turbo'!B:B,)</f>
        <v>n/a</v>
      </c>
      <c r="E17" s="53" t="str">
        <f t="array" ref="E17">_xlfn.XLOOKUP(B17,'Up Stats'!A:A,'Up Stats'!B:B,)</f>
        <v>Force</v>
      </c>
      <c r="F17" s="54" t="str">
        <f>IFERROR(__xludf.DUMMYFUNCTION("if(AND(G17=FALSE,H17=FALSE),,if(G17=H17,JOIN("""",""Static: "",G17),JOIN("""",""Min:  "",G17, CHAR(10),""Max: "",H17)))"),"Min:  24
Max: 34")</f>
        <v>Min:  24
Max: 34</v>
      </c>
      <c r="G17" s="64">
        <f t="array" ref="G17">_xlfn.XLOOKUP(B17,'Up Min'!A:A,'Up Min'!B:B,)</f>
        <v>24</v>
      </c>
      <c r="H17" s="65">
        <f t="array" ref="H17">_xlfn.XLOOKUP(B17,'Up Max'!A:A,'Up Max'!B:B,)</f>
        <v>34</v>
      </c>
      <c r="I17" s="53" t="str">
        <f t="array" ref="I17">_xlfn.XLOOKUP(B17,'Up Stats'!A:A,'Up Stats'!C:C,)</f>
        <v/>
      </c>
      <c r="J17" s="54" t="str">
        <f>IFERROR(__xludf.DUMMYFUNCTION("if(AND(K17=FALSE,L17=FALSE),,if(K17=L17,JOIN("""",""Static: "",K17),JOIN("""",""Min:  "",K17, CHAR(10),""Max: "",L17)))"),"")</f>
        <v/>
      </c>
      <c r="K17" s="72" t="str">
        <f t="array" ref="K17">_xlfn.XLOOKUP(B17,'Up Min'!A:A,'Up Min'!C:C,)</f>
        <v/>
      </c>
      <c r="L17" s="72" t="str">
        <f t="array" ref="L17">_xlfn.XLOOKUP(B17,'Up Max'!A:A,'Up Max'!C:C,)</f>
        <v/>
      </c>
      <c r="M17" s="57" t="str">
        <f t="array" ref="M17">_xlfn.XLOOKUP(B17,'Up Stats'!A:A,'Up Stats'!D:D,)</f>
        <v/>
      </c>
      <c r="N17" s="54" t="str">
        <f>IFERROR(__xludf.DUMMYFUNCTION("if(AND(O17=FALSE,P17=FALSE),,if(O17=P17,JOIN("""",""Static: "",O17),JOIN("""",""Min:  "",O17, CHAR(10),""Max: "",P17)))"),"")</f>
        <v/>
      </c>
      <c r="O17" s="55" t="str">
        <f t="array" ref="O17">_xlfn.XLOOKUP(B17,'Up Min'!A:A,'Up Min'!D:D,)</f>
        <v/>
      </c>
      <c r="P17" s="55" t="str">
        <f t="array" ref="P17">_xlfn.XLOOKUP(B17,'Up Max'!A:A,'Up Max'!D:D,)</f>
        <v/>
      </c>
      <c r="Q17" s="57" t="str">
        <f t="array" ref="Q17">_xlfn.XLOOKUP(B17,'Up Stats'!A:A,'Up Stats'!E:E,)</f>
        <v/>
      </c>
      <c r="R17" s="54" t="str">
        <f>IFERROR(__xludf.DUMMYFUNCTION("if(AND(S17=FALSE,T17=FALSE),,if(S17=T17,JOIN("""",""Static: "",S17),JOIN("""",""Min:  "",S17, CHAR(10),""Max: "",T17)))"),"")</f>
        <v/>
      </c>
      <c r="S17" s="55" t="str">
        <f t="array" ref="S17">_xlfn.XLOOKUP(B17,'Up Min'!A:A,'Up Min'!E:E,)</f>
        <v/>
      </c>
      <c r="T17" s="55" t="str">
        <f t="array" ref="T17">_xlfn.XLOOKUP(B17,'Up Max'!A:A,'Up Max'!E:E,)</f>
        <v/>
      </c>
      <c r="U17" s="57" t="str">
        <f t="array" ref="U17">_xlfn.XLOOKUP(B17,'Up Stats'!A:A,'Up Stats'!F:F,)</f>
        <v/>
      </c>
      <c r="V17" s="54" t="str">
        <f>IFERROR(__xludf.DUMMYFUNCTION("if(AND(W17=FALSE,X17=FALSE),,if(W17=X17,JOIN("""",""Static: "",W17),JOIN("""",""Min:  "",W17, CHAR(10),""Max: "",X17)))"),"")</f>
        <v/>
      </c>
      <c r="W17" s="55" t="str">
        <f t="array" ref="W17">_xlfn.XLOOKUP(B17,'Up Min'!A:A,'Up Min'!F:F,)</f>
        <v/>
      </c>
      <c r="X17" s="55" t="str">
        <f t="array" ref="X17">_xlfn.XLOOKUP(B17,'Up Max'!A:A,'Up Max'!F:F,)</f>
        <v/>
      </c>
      <c r="Y17" s="57" t="str">
        <f t="array" ref="Y17">_xlfn.XLOOKUP(B17,'Up Stats'!A:A,'Up Stats'!G:G,)</f>
        <v/>
      </c>
      <c r="Z17" s="54" t="str">
        <f>IFERROR(__xludf.DUMMYFUNCTION("if(AND(AA17=FALSE,AB17=FALSE),,if(AA17=AB17,JOIN("""",""Static: "",AA17),JOIN("""",""Min:  "",AA17, CHAR(10),""Max: "",AB17)))"),"")</f>
        <v/>
      </c>
      <c r="AA17" s="55" t="str">
        <f t="array" ref="AA17">_xlfn.XLOOKUP(B17,'Up Min'!A:A,'Up Min'!G:G,)</f>
        <v/>
      </c>
      <c r="AB17" s="55" t="str">
        <f t="array" ref="AB17">_xlfn.XLOOKUP(B17,'Up Max'!A:A,'Up Max'!G:G,)</f>
        <v/>
      </c>
      <c r="AC17" s="57" t="str">
        <f t="array" ref="AC17">_xlfn.XLOOKUP(B17,'Up Stats'!A:A,'Up Stats'!H:H,)</f>
        <v/>
      </c>
      <c r="AD17" s="54" t="str">
        <f>IFERROR(__xludf.DUMMYFUNCTION("if(AND(AE17=FALSE,AF17=FALSE),,if(AE17=AF17,JOIN("""",""Static: "",AE17),JOIN("""",""Min:  "",AE17, CHAR(10),""Max: "",AF17)))"),"")</f>
        <v/>
      </c>
      <c r="AE17" s="55" t="str">
        <f t="array" ref="AE17">_xlfn.XLOOKUP(B17,'Up Min'!A:A,'Up Min'!H:H,)</f>
        <v/>
      </c>
      <c r="AF17" s="55" t="str">
        <f t="array" ref="AF17">_xlfn.XLOOKUP(B17,'Up Max'!A:A,'Up Max'!H:H,)</f>
        <v/>
      </c>
      <c r="AG17" s="57" t="str">
        <f t="array" ref="AG17">_xlfn.XLOOKUP(B17,'Up Stats'!A:A,'Up Stats'!I:I,)</f>
        <v/>
      </c>
      <c r="AH17" s="54" t="str">
        <f>IFERROR(__xludf.DUMMYFUNCTION("if(AND(AI17=FALSE,AJ17=FALSE),,if(AI17=AJ17,JOIN("""",""Static: "",AI17),JOIN("""",""Min:  "",AI17, CHAR(10),""Max: "",AJ17)))"),"")</f>
        <v/>
      </c>
      <c r="AI17" s="55" t="str">
        <f t="array" ref="AI17">_xlfn.XLOOKUP(B17,'Up Min'!A:A,'Up Min'!I:I,)</f>
        <v/>
      </c>
      <c r="AJ17" s="55" t="str">
        <f t="array" ref="AJ17">_xlfn.XLOOKUP(B17,'Up Max'!A:A,'Up Max'!I:I,)</f>
        <v/>
      </c>
      <c r="AK17" s="57" t="str">
        <f t="array" ref="AK17">_xlfn.XLOOKUP(B17,'Up Stats'!A:A,'Up Stats'!J:J,)</f>
        <v/>
      </c>
      <c r="AL17" s="54" t="str">
        <f>IFERROR(__xludf.DUMMYFUNCTION("if(AND(AM17=FALSE,AN17=FALSE),,if(AM17=AN17,JOIN("""",""Static: "",AM17),JOIN("""",""Min:  "",AM17, CHAR(10),""Max: "",AN17)))"),"")</f>
        <v/>
      </c>
      <c r="AM17" s="55" t="str">
        <f t="array" ref="AM17">_xlfn.XLOOKUP(B17,'Up Min'!A:A,'Up Min'!J:J,)</f>
        <v/>
      </c>
      <c r="AN17" s="55" t="str">
        <f t="array" ref="AN17">_xlfn.XLOOKUP(B17,'Up Max'!A:A,'Up Max'!J:J,)</f>
        <v/>
      </c>
      <c r="AO17" s="51" t="str">
        <f t="array" ref="AO17">CONCATENATE(_xlfn.XLOOKUP(B17,'Up Cells'!A:A,'Up Cells'!B:B,))</f>
        <v>4</v>
      </c>
      <c r="AP17" s="61" t="str">
        <f t="array" ref="AP17">CONCATENATE(_xlfn.XLOOKUP(B17,'Up Rarity'!A:A,'Up Rarity'!B:B,),CHAR(10),"-")</f>
        <v>Rare
-</v>
      </c>
    </row>
    <row r="18">
      <c r="A18" s="83" t="str">
        <f t="array" ref="A18">_xlfn.XLOOKUP(B18,'Up Icon'!A:A,'Up Icon'!B:B,)</f>
        <v/>
      </c>
      <c r="B18" s="89" t="str">
        <f t="array" ref="B18">HYPERLINK(_xlfn.XLOOKUP('Up Names'!R16,'Up Wiki'!A:A,'Up Wiki'!B:B,),'Up Names'!R16)</f>
        <v>Blast Chamber</v>
      </c>
      <c r="C18" s="37" t="str">
        <f t="array" ref="C18">_xlfn.XLOOKUP(B18,'Up Desc'!A:A,'Up Desc'!B:B,)</f>
        <v>Hit allies with your Nose Dive to reload their weapons.</v>
      </c>
      <c r="D18" s="37" t="str">
        <f t="array" ref="D18">_xlfn.XLOOKUP(B18,'Up Turbo'!A:A,'Up Turbo'!B:B,)</f>
        <v>n/a</v>
      </c>
      <c r="E18" s="48" t="str">
        <f t="array" ref="E18">_xlfn.XLOOKUP(B18,'Up Stats'!A:A,'Up Stats'!B:B,)</f>
        <v/>
      </c>
      <c r="F18" s="40" t="str">
        <f>IFERROR(__xludf.DUMMYFUNCTION("if(AND(G18=FALSE,H18=FALSE),,if(G18=H18,JOIN("""",""Static: "",G18),JOIN("""",""Min:  "",G18, CHAR(10),""Max: "",H18)))"),"")</f>
        <v/>
      </c>
      <c r="G18" s="42" t="str">
        <f t="array" ref="G18">_xlfn.XLOOKUP(B18,'Up Min'!A:A,'Up Min'!B:B,)</f>
        <v/>
      </c>
      <c r="H18" s="42" t="str">
        <f t="array" ref="H18">_xlfn.XLOOKUP(B18,'Up Max'!A:A,'Up Max'!B:B,)</f>
        <v/>
      </c>
      <c r="I18" s="48" t="str">
        <f t="array" ref="I18">_xlfn.XLOOKUP(B18,'Up Stats'!A:A,'Up Stats'!C:C,)</f>
        <v/>
      </c>
      <c r="J18" s="40" t="str">
        <f>IFERROR(__xludf.DUMMYFUNCTION("if(AND(K18=FALSE,L18=FALSE),,if(K18=L18,JOIN("""",""Static: "",K18),JOIN("""",""Min:  "",K18, CHAR(10),""Max: "",L18)))"),"")</f>
        <v/>
      </c>
      <c r="K18" s="74" t="str">
        <f t="array" ref="K18">_xlfn.XLOOKUP(B18,'Up Min'!A:A,'Up Min'!C:C,)</f>
        <v/>
      </c>
      <c r="L18" s="74" t="str">
        <f t="array" ref="L18">_xlfn.XLOOKUP(B18,'Up Max'!A:A,'Up Max'!C:C,)</f>
        <v/>
      </c>
      <c r="M18" s="48" t="str">
        <f t="array" ref="M18">_xlfn.XLOOKUP(B18,'Up Stats'!A:A,'Up Stats'!D:D,)</f>
        <v/>
      </c>
      <c r="N18" s="40" t="str">
        <f>IFERROR(__xludf.DUMMYFUNCTION("if(AND(O18=FALSE,P18=FALSE),,if(O18=P18,JOIN("""",""Static: "",O18),JOIN("""",""Min:  "",O18, CHAR(10),""Max: "",P18)))"),"")</f>
        <v/>
      </c>
      <c r="O18" s="42" t="str">
        <f t="array" ref="O18">_xlfn.XLOOKUP(B18,'Up Min'!A:A,'Up Min'!D:D,)</f>
        <v/>
      </c>
      <c r="P18" s="42" t="str">
        <f t="array" ref="P18">_xlfn.XLOOKUP(B18,'Up Max'!A:A,'Up Max'!D:D,)</f>
        <v/>
      </c>
      <c r="Q18" s="48" t="str">
        <f t="array" ref="Q18">_xlfn.XLOOKUP(B18,'Up Stats'!A:A,'Up Stats'!E:E,)</f>
        <v/>
      </c>
      <c r="R18" s="40" t="str">
        <f>IFERROR(__xludf.DUMMYFUNCTION("if(AND(S18=FALSE,T18=FALSE),,if(S18=T18,JOIN("""",""Static: "",S18),JOIN("""",""Min:  "",S18, CHAR(10),""Max: "",T18)))"),"")</f>
        <v/>
      </c>
      <c r="S18" s="42" t="str">
        <f t="array" ref="S18">_xlfn.XLOOKUP(B18,'Up Min'!A:A,'Up Min'!E:E,)</f>
        <v/>
      </c>
      <c r="T18" s="42" t="str">
        <f t="array" ref="T18">_xlfn.XLOOKUP(B18,'Up Max'!A:A,'Up Max'!E:E,)</f>
        <v/>
      </c>
      <c r="U18" s="48" t="str">
        <f t="array" ref="U18">_xlfn.XLOOKUP(B18,'Up Stats'!A:A,'Up Stats'!F:F,)</f>
        <v/>
      </c>
      <c r="V18" s="40" t="str">
        <f>IFERROR(__xludf.DUMMYFUNCTION("if(AND(W18=FALSE,X18=FALSE),,if(W18=X18,JOIN("""",""Static: "",W18),JOIN("""",""Min:  "",W18, CHAR(10),""Max: "",X18)))"),"")</f>
        <v/>
      </c>
      <c r="W18" s="42" t="str">
        <f t="array" ref="W18">_xlfn.XLOOKUP(B18,'Up Min'!A:A,'Up Min'!F:F,)</f>
        <v/>
      </c>
      <c r="X18" s="42" t="str">
        <f t="array" ref="X18">_xlfn.XLOOKUP(B18,'Up Max'!A:A,'Up Max'!F:F,)</f>
        <v/>
      </c>
      <c r="Y18" s="48" t="str">
        <f t="array" ref="Y18">_xlfn.XLOOKUP(B18,'Up Stats'!A:A,'Up Stats'!G:G,)</f>
        <v/>
      </c>
      <c r="Z18" s="40" t="str">
        <f>IFERROR(__xludf.DUMMYFUNCTION("if(AND(AA18=FALSE,AB18=FALSE),,if(AA18=AB18,JOIN("""",""Static: "",AA18),JOIN("""",""Min:  "",AA18, CHAR(10),""Max: "",AB18)))"),"")</f>
        <v/>
      </c>
      <c r="AA18" s="42" t="str">
        <f t="array" ref="AA18">_xlfn.XLOOKUP(B18,'Up Min'!A:A,'Up Min'!G:G,)</f>
        <v/>
      </c>
      <c r="AB18" s="42" t="str">
        <f t="array" ref="AB18">_xlfn.XLOOKUP(B18,'Up Max'!A:A,'Up Max'!G:G,)</f>
        <v/>
      </c>
      <c r="AC18" s="48" t="str">
        <f t="array" ref="AC18">_xlfn.XLOOKUP(B18,'Up Stats'!A:A,'Up Stats'!H:H,)</f>
        <v/>
      </c>
      <c r="AD18" s="40" t="str">
        <f>IFERROR(__xludf.DUMMYFUNCTION("if(AND(AE18=FALSE,AF18=FALSE),,if(AE18=AF18,JOIN("""",""Static: "",AE18),JOIN("""",""Min:  "",AE18, CHAR(10),""Max: "",AF18)))"),"")</f>
        <v/>
      </c>
      <c r="AE18" s="42" t="str">
        <f t="array" ref="AE18">_xlfn.XLOOKUP(B18,'Up Min'!A:A,'Up Min'!H:H,)</f>
        <v/>
      </c>
      <c r="AF18" s="42" t="str">
        <f t="array" ref="AF18">_xlfn.XLOOKUP(B18,'Up Max'!A:A,'Up Max'!H:H,)</f>
        <v/>
      </c>
      <c r="AG18" s="48" t="str">
        <f t="array" ref="AG18">_xlfn.XLOOKUP(B18,'Up Stats'!A:A,'Up Stats'!I:I,)</f>
        <v/>
      </c>
      <c r="AH18" s="40" t="str">
        <f>IFERROR(__xludf.DUMMYFUNCTION("if(AND(AI18=FALSE,AJ18=FALSE),,if(AI18=AJ18,JOIN("""",""Static: "",AI18),JOIN("""",""Min:  "",AI18, CHAR(10),""Max: "",AJ18)))"),"")</f>
        <v/>
      </c>
      <c r="AI18" s="42" t="str">
        <f t="array" ref="AI18">_xlfn.XLOOKUP(B18,'Up Min'!A:A,'Up Min'!I:I,)</f>
        <v/>
      </c>
      <c r="AJ18" s="42" t="str">
        <f t="array" ref="AJ18">_xlfn.XLOOKUP(B18,'Up Max'!A:A,'Up Max'!I:I,)</f>
        <v/>
      </c>
      <c r="AK18" s="48" t="str">
        <f t="array" ref="AK18">_xlfn.XLOOKUP(B18,'Up Stats'!A:A,'Up Stats'!J:J,)</f>
        <v/>
      </c>
      <c r="AL18" s="40" t="str">
        <f>IFERROR(__xludf.DUMMYFUNCTION("if(AND(AM18=FALSE,AN18=FALSE),,if(AM18=AN18,JOIN("""",""Static: "",AM18),JOIN("""",""Min:  "",AM18, CHAR(10),""Max: "",AN18)))"),"")</f>
        <v/>
      </c>
      <c r="AM18" s="42" t="str">
        <f t="array" ref="AM18">_xlfn.XLOOKUP(B18,'Up Min'!A:A,'Up Min'!J:J,)</f>
        <v/>
      </c>
      <c r="AN18" s="42" t="str">
        <f t="array" ref="AN18">_xlfn.XLOOKUP(B18,'Up Max'!A:A,'Up Max'!J:J,)</f>
        <v/>
      </c>
      <c r="AO18" s="34" t="str">
        <f t="array" ref="AO18">CONCATENATE(_xlfn.XLOOKUP(B18,'Up Cells'!A:A,'Up Cells'!B:B,))</f>
        <v>2</v>
      </c>
      <c r="AP18" s="58" t="str">
        <f t="array" ref="AP18">CONCATENATE(_xlfn.XLOOKUP(B18,'Up Rarity'!A:A,'Up Rarity'!B:B,),CHAR(10),"-")</f>
        <v>Rare
-</v>
      </c>
    </row>
    <row r="19">
      <c r="A19" s="83" t="str">
        <f t="array" ref="A19">_xlfn.XLOOKUP(B19,'Up Icon'!A:A,'Up Icon'!B:B,)</f>
        <v/>
      </c>
      <c r="B19" s="88" t="str">
        <f t="array" ref="B19">HYPERLINK(_xlfn.XLOOKUP('Up Names'!R17,'Up Wiki'!A:A,'Up Wiki'!B:B,),'Up Names'!R17)</f>
        <v>Bruise Protection</v>
      </c>
      <c r="C19" s="52" t="str">
        <f t="array" ref="C19">_xlfn.XLOOKUP(B19,'Up Desc'!A:A,'Up Desc'!B:B,)</f>
        <v>Health is increased, but run speed is slightly decreased.</v>
      </c>
      <c r="D19" s="52" t="str">
        <f t="array" ref="D19">_xlfn.XLOOKUP(B19,'Up Turbo'!A:A,'Up Turbo'!B:B,)</f>
        <v>n/a</v>
      </c>
      <c r="E19" s="53" t="str">
        <f t="array" ref="E19">_xlfn.XLOOKUP(B19,'Up Stats'!A:A,'Up Stats'!B:B,)</f>
        <v>Health</v>
      </c>
      <c r="F19" s="54" t="str">
        <f>IFERROR(__xludf.DUMMYFUNCTION("if(AND(G19=FALSE,H19=FALSE),,if(G19=H19,JOIN("""",""Static: "",G19),JOIN("""",""Min:  "",G19, CHAR(10),""Max: "",H19)))"),"Min:  8%
Max: 14%")</f>
        <v>Min:  8%
Max: 14%</v>
      </c>
      <c r="G19" s="59">
        <f t="array" ref="G19">_xlfn.XLOOKUP(B19,'Up Min'!A:A,'Up Min'!B:B,)</f>
        <v>0.08</v>
      </c>
      <c r="H19" s="59">
        <f t="array" ref="H19">_xlfn.XLOOKUP(B19,'Up Max'!A:A,'Up Max'!B:B,)</f>
        <v>0.14</v>
      </c>
      <c r="I19" s="53" t="str">
        <f t="array" ref="I19">_xlfn.XLOOKUP(B19,'Up Stats'!A:A,'Up Stats'!C:C,)</f>
        <v>Run Speed</v>
      </c>
      <c r="J19" s="54" t="str">
        <f>IFERROR(__xludf.DUMMYFUNCTION("if(AND(K19=FALSE,L19=FALSE),,if(K19=L19,JOIN("""",""Static: "",K19),JOIN("""",""Min:  "",K19, CHAR(10),""Max: "",L19)))"),"Min:  -8%
Max: -3%")</f>
        <v>Min:  -8%
Max: -3%</v>
      </c>
      <c r="K19" s="59">
        <f t="array" ref="K19">_xlfn.XLOOKUP(B19,'Up Min'!A:A,'Up Min'!C:C,)</f>
        <v>-0.08</v>
      </c>
      <c r="L19" s="59">
        <f t="array" ref="L19">_xlfn.XLOOKUP(B19,'Up Max'!A:A,'Up Max'!C:C,)</f>
        <v>-0.03</v>
      </c>
      <c r="M19" s="53" t="str">
        <f t="array" ref="M19">_xlfn.XLOOKUP(B19,'Up Stats'!A:A,'Up Stats'!D:D,)</f>
        <v/>
      </c>
      <c r="N19" s="54" t="str">
        <f>IFERROR(__xludf.DUMMYFUNCTION("if(AND(O19=FALSE,P19=FALSE),,if(O19=P19,JOIN("""",""Static: "",O19),JOIN("""",""Min:  "",O19, CHAR(10),""Max: "",P19)))"),"")</f>
        <v/>
      </c>
      <c r="O19" s="55" t="str">
        <f t="array" ref="O19">_xlfn.XLOOKUP(B19,'Up Min'!A:A,'Up Min'!D:D,)</f>
        <v/>
      </c>
      <c r="P19" s="55" t="str">
        <f t="array" ref="P19">_xlfn.XLOOKUP(B19,'Up Max'!A:A,'Up Max'!D:D,)</f>
        <v/>
      </c>
      <c r="Q19" s="57" t="str">
        <f t="array" ref="Q19">_xlfn.XLOOKUP(B19,'Up Stats'!A:A,'Up Stats'!E:E,)</f>
        <v/>
      </c>
      <c r="R19" s="54" t="str">
        <f>IFERROR(__xludf.DUMMYFUNCTION("if(AND(S19=FALSE,T19=FALSE),,if(S19=T19,JOIN("""",""Static: "",S19),JOIN("""",""Min:  "",S19, CHAR(10),""Max: "",T19)))"),"")</f>
        <v/>
      </c>
      <c r="S19" s="55" t="str">
        <f t="array" ref="S19">_xlfn.XLOOKUP(B19,'Up Min'!A:A,'Up Min'!E:E,)</f>
        <v/>
      </c>
      <c r="T19" s="55" t="str">
        <f t="array" ref="T19">_xlfn.XLOOKUP(B19,'Up Max'!A:A,'Up Max'!E:E,)</f>
        <v/>
      </c>
      <c r="U19" s="57" t="str">
        <f t="array" ref="U19">_xlfn.XLOOKUP(B19,'Up Stats'!A:A,'Up Stats'!F:F,)</f>
        <v/>
      </c>
      <c r="V19" s="54" t="str">
        <f>IFERROR(__xludf.DUMMYFUNCTION("if(AND(W19=FALSE,X19=FALSE),,if(W19=X19,JOIN("""",""Static: "",W19),JOIN("""",""Min:  "",W19, CHAR(10),""Max: "",X19)))"),"")</f>
        <v/>
      </c>
      <c r="W19" s="55" t="str">
        <f t="array" ref="W19">_xlfn.XLOOKUP(B19,'Up Min'!A:A,'Up Min'!F:F,)</f>
        <v/>
      </c>
      <c r="X19" s="55" t="str">
        <f t="array" ref="X19">_xlfn.XLOOKUP(B19,'Up Max'!A:A,'Up Max'!F:F,)</f>
        <v/>
      </c>
      <c r="Y19" s="57" t="str">
        <f t="array" ref="Y19">_xlfn.XLOOKUP(B19,'Up Stats'!A:A,'Up Stats'!G:G,)</f>
        <v/>
      </c>
      <c r="Z19" s="54" t="str">
        <f>IFERROR(__xludf.DUMMYFUNCTION("if(AND(AA19=FALSE,AB19=FALSE),,if(AA19=AB19,JOIN("""",""Static: "",AA19),JOIN("""",""Min:  "",AA19, CHAR(10),""Max: "",AB19)))"),"")</f>
        <v/>
      </c>
      <c r="AA19" s="55" t="str">
        <f t="array" ref="AA19">_xlfn.XLOOKUP(B19,'Up Min'!A:A,'Up Min'!G:G,)</f>
        <v/>
      </c>
      <c r="AB19" s="55" t="str">
        <f t="array" ref="AB19">_xlfn.XLOOKUP(B19,'Up Max'!A:A,'Up Max'!G:G,)</f>
        <v/>
      </c>
      <c r="AC19" s="57" t="str">
        <f t="array" ref="AC19">_xlfn.XLOOKUP(B19,'Up Stats'!A:A,'Up Stats'!H:H,)</f>
        <v/>
      </c>
      <c r="AD19" s="54" t="str">
        <f>IFERROR(__xludf.DUMMYFUNCTION("if(AND(AE19=FALSE,AF19=FALSE),,if(AE19=AF19,JOIN("""",""Static: "",AE19),JOIN("""",""Min:  "",AE19, CHAR(10),""Max: "",AF19)))"),"")</f>
        <v/>
      </c>
      <c r="AE19" s="55" t="str">
        <f t="array" ref="AE19">_xlfn.XLOOKUP(B19,'Up Min'!A:A,'Up Min'!H:H,)</f>
        <v/>
      </c>
      <c r="AF19" s="55" t="str">
        <f t="array" ref="AF19">_xlfn.XLOOKUP(B19,'Up Max'!A:A,'Up Max'!H:H,)</f>
        <v/>
      </c>
      <c r="AG19" s="57" t="str">
        <f t="array" ref="AG19">_xlfn.XLOOKUP(B19,'Up Stats'!A:A,'Up Stats'!I:I,)</f>
        <v/>
      </c>
      <c r="AH19" s="54" t="str">
        <f>IFERROR(__xludf.DUMMYFUNCTION("if(AND(AI19=FALSE,AJ19=FALSE),,if(AI19=AJ19,JOIN("""",""Static: "",AI19),JOIN("""",""Min:  "",AI19, CHAR(10),""Max: "",AJ19)))"),"")</f>
        <v/>
      </c>
      <c r="AI19" s="55" t="str">
        <f t="array" ref="AI19">_xlfn.XLOOKUP(B19,'Up Min'!A:A,'Up Min'!I:I,)</f>
        <v/>
      </c>
      <c r="AJ19" s="55" t="str">
        <f t="array" ref="AJ19">_xlfn.XLOOKUP(B19,'Up Max'!A:A,'Up Max'!I:I,)</f>
        <v/>
      </c>
      <c r="AK19" s="57" t="str">
        <f t="array" ref="AK19">_xlfn.XLOOKUP(B19,'Up Stats'!A:A,'Up Stats'!J:J,)</f>
        <v/>
      </c>
      <c r="AL19" s="54" t="str">
        <f>IFERROR(__xludf.DUMMYFUNCTION("if(AND(AM19=FALSE,AN19=FALSE),,if(AM19=AN19,JOIN("""",""Static: "",AM19),JOIN("""",""Min:  "",AM19, CHAR(10),""Max: "",AN19)))"),"")</f>
        <v/>
      </c>
      <c r="AM19" s="55" t="str">
        <f t="array" ref="AM19">_xlfn.XLOOKUP(B19,'Up Min'!A:A,'Up Min'!J:J,)</f>
        <v/>
      </c>
      <c r="AN19" s="55" t="str">
        <f t="array" ref="AN19">_xlfn.XLOOKUP(B19,'Up Max'!A:A,'Up Max'!J:J,)</f>
        <v/>
      </c>
      <c r="AO19" s="51" t="str">
        <f t="array" ref="AO19">CONCATENATE(_xlfn.XLOOKUP(B19,'Up Cells'!A:A,'Up Cells'!B:B,))</f>
        <v>4</v>
      </c>
      <c r="AP19" s="61" t="str">
        <f t="array" ref="AP19">CONCATENATE(_xlfn.XLOOKUP(B19,'Up Rarity'!A:A,'Up Rarity'!B:B,),CHAR(10),"-")</f>
        <v>Rare
-</v>
      </c>
    </row>
    <row r="20">
      <c r="A20" s="83" t="str">
        <f t="array" ref="A20">_xlfn.XLOOKUP(B20,'Up Icon'!A:A,'Up Icon'!B:B,)</f>
        <v/>
      </c>
      <c r="B20" s="89" t="str">
        <f t="array" ref="B20">HYPERLINK(_xlfn.XLOOKUP('Up Names'!R18,'Up Wiki'!A:A,'Up Wiki'!B:B,),'Up Names'!R18)</f>
        <v>Improved Refueling</v>
      </c>
      <c r="C20" s="37" t="str">
        <f t="array" ref="C20">_xlfn.XLOOKUP(B20,'Up Desc'!A:A,'Up Desc'!B:B,)</f>
        <v>Nose Dive cooldown is reduced.</v>
      </c>
      <c r="D20" s="37" t="str">
        <f t="array" ref="D20">_xlfn.XLOOKUP(B20,'Up Turbo'!A:A,'Up Turbo'!B:B,)</f>
        <v>n/a</v>
      </c>
      <c r="E20" s="39" t="str">
        <f t="array" ref="E20">_xlfn.XLOOKUP(B20,'Up Stats'!A:A,'Up Stats'!B:B,)</f>
        <v>Recharge Speed</v>
      </c>
      <c r="F20" s="40" t="str">
        <f>IFERROR(__xludf.DUMMYFUNCTION("if(AND(G20=FALSE,H20=FALSE),,if(G20=H20,JOIN("""",""Static: "",G20),JOIN("""",""Min:  "",G20, CHAR(10),""Max: "",H20)))"),"Min:  20.48%
Max: 11.11%")</f>
        <v>Min:  20.48%
Max: 11.11%</v>
      </c>
      <c r="G20" s="78">
        <f t="array" ref="G20">_xlfn.XLOOKUP(B20,'Up Min'!A:A,'Up Min'!B:B,)</f>
        <v>0.2048</v>
      </c>
      <c r="H20" s="78">
        <f t="array" ref="H20">_xlfn.XLOOKUP(B20,'Up Max'!A:A,'Up Max'!B:B,)</f>
        <v>0.1111</v>
      </c>
      <c r="I20" s="39" t="str">
        <f t="array" ref="I20">_xlfn.XLOOKUP(B20,'Up Stats'!A:A,'Up Stats'!C:C,)</f>
        <v/>
      </c>
      <c r="J20" s="40" t="str">
        <f>IFERROR(__xludf.DUMMYFUNCTION("if(AND(K20=FALSE,L20=FALSE),,if(K20=L20,JOIN("""",""Static: "",K20),JOIN("""",""Min:  "",K20, CHAR(10),""Max: "",L20)))"),"")</f>
        <v/>
      </c>
      <c r="K20" s="74" t="str">
        <f t="array" ref="K20">_xlfn.XLOOKUP(B20,'Up Min'!A:A,'Up Min'!C:C,)</f>
        <v/>
      </c>
      <c r="L20" s="74" t="str">
        <f t="array" ref="L20">_xlfn.XLOOKUP(B20,'Up Max'!A:A,'Up Max'!C:C,)</f>
        <v/>
      </c>
      <c r="M20" s="48" t="str">
        <f t="array" ref="M20">_xlfn.XLOOKUP(B20,'Up Stats'!A:A,'Up Stats'!D:D,)</f>
        <v/>
      </c>
      <c r="N20" s="40" t="str">
        <f>IFERROR(__xludf.DUMMYFUNCTION("if(AND(O20=FALSE,P20=FALSE),,if(O20=P20,JOIN("""",""Static: "",O20),JOIN("""",""Min:  "",O20, CHAR(10),""Max: "",P20)))"),"")</f>
        <v/>
      </c>
      <c r="O20" s="42" t="str">
        <f t="array" ref="O20">_xlfn.XLOOKUP(B20,'Up Min'!A:A,'Up Min'!D:D,)</f>
        <v/>
      </c>
      <c r="P20" s="42" t="str">
        <f t="array" ref="P20">_xlfn.XLOOKUP(B20,'Up Max'!A:A,'Up Max'!D:D,)</f>
        <v/>
      </c>
      <c r="Q20" s="48" t="str">
        <f t="array" ref="Q20">_xlfn.XLOOKUP(B20,'Up Stats'!A:A,'Up Stats'!E:E,)</f>
        <v/>
      </c>
      <c r="R20" s="40" t="str">
        <f>IFERROR(__xludf.DUMMYFUNCTION("if(AND(S20=FALSE,T20=FALSE),,if(S20=T20,JOIN("""",""Static: "",S20),JOIN("""",""Min:  "",S20, CHAR(10),""Max: "",T20)))"),"")</f>
        <v/>
      </c>
      <c r="S20" s="42" t="str">
        <f t="array" ref="S20">_xlfn.XLOOKUP(B20,'Up Min'!A:A,'Up Min'!E:E,)</f>
        <v/>
      </c>
      <c r="T20" s="42" t="str">
        <f t="array" ref="T20">_xlfn.XLOOKUP(B20,'Up Max'!A:A,'Up Max'!E:E,)</f>
        <v/>
      </c>
      <c r="U20" s="48" t="str">
        <f t="array" ref="U20">_xlfn.XLOOKUP(B20,'Up Stats'!A:A,'Up Stats'!F:F,)</f>
        <v/>
      </c>
      <c r="V20" s="40" t="str">
        <f>IFERROR(__xludf.DUMMYFUNCTION("if(AND(W20=FALSE,X20=FALSE),,if(W20=X20,JOIN("""",""Static: "",W20),JOIN("""",""Min:  "",W20, CHAR(10),""Max: "",X20)))"),"")</f>
        <v/>
      </c>
      <c r="W20" s="42" t="str">
        <f t="array" ref="W20">_xlfn.XLOOKUP(B20,'Up Min'!A:A,'Up Min'!F:F,)</f>
        <v/>
      </c>
      <c r="X20" s="42" t="str">
        <f t="array" ref="X20">_xlfn.XLOOKUP(B20,'Up Max'!A:A,'Up Max'!F:F,)</f>
        <v/>
      </c>
      <c r="Y20" s="48" t="str">
        <f t="array" ref="Y20">_xlfn.XLOOKUP(B20,'Up Stats'!A:A,'Up Stats'!G:G,)</f>
        <v/>
      </c>
      <c r="Z20" s="40" t="str">
        <f>IFERROR(__xludf.DUMMYFUNCTION("if(AND(AA20=FALSE,AB20=FALSE),,if(AA20=AB20,JOIN("""",""Static: "",AA20),JOIN("""",""Min:  "",AA20, CHAR(10),""Max: "",AB20)))"),"")</f>
        <v/>
      </c>
      <c r="AA20" s="42" t="str">
        <f t="array" ref="AA20">_xlfn.XLOOKUP(B20,'Up Min'!A:A,'Up Min'!G:G,)</f>
        <v/>
      </c>
      <c r="AB20" s="42" t="str">
        <f t="array" ref="AB20">_xlfn.XLOOKUP(B20,'Up Max'!A:A,'Up Max'!G:G,)</f>
        <v/>
      </c>
      <c r="AC20" s="48" t="str">
        <f t="array" ref="AC20">_xlfn.XLOOKUP(B20,'Up Stats'!A:A,'Up Stats'!H:H,)</f>
        <v/>
      </c>
      <c r="AD20" s="40" t="str">
        <f>IFERROR(__xludf.DUMMYFUNCTION("if(AND(AE20=FALSE,AF20=FALSE),,if(AE20=AF20,JOIN("""",""Static: "",AE20),JOIN("""",""Min:  "",AE20, CHAR(10),""Max: "",AF20)))"),"")</f>
        <v/>
      </c>
      <c r="AE20" s="42" t="str">
        <f t="array" ref="AE20">_xlfn.XLOOKUP(B20,'Up Min'!A:A,'Up Min'!H:H,)</f>
        <v/>
      </c>
      <c r="AF20" s="42" t="str">
        <f t="array" ref="AF20">_xlfn.XLOOKUP(B20,'Up Max'!A:A,'Up Max'!H:H,)</f>
        <v/>
      </c>
      <c r="AG20" s="48" t="str">
        <f t="array" ref="AG20">_xlfn.XLOOKUP(B20,'Up Stats'!A:A,'Up Stats'!I:I,)</f>
        <v/>
      </c>
      <c r="AH20" s="40" t="str">
        <f>IFERROR(__xludf.DUMMYFUNCTION("if(AND(AI20=FALSE,AJ20=FALSE),,if(AI20=AJ20,JOIN("""",""Static: "",AI20),JOIN("""",""Min:  "",AI20, CHAR(10),""Max: "",AJ20)))"),"")</f>
        <v/>
      </c>
      <c r="AI20" s="42" t="str">
        <f t="array" ref="AI20">_xlfn.XLOOKUP(B20,'Up Min'!A:A,'Up Min'!I:I,)</f>
        <v/>
      </c>
      <c r="AJ20" s="42" t="str">
        <f t="array" ref="AJ20">_xlfn.XLOOKUP(B20,'Up Max'!A:A,'Up Max'!I:I,)</f>
        <v/>
      </c>
      <c r="AK20" s="48" t="str">
        <f t="array" ref="AK20">_xlfn.XLOOKUP(B20,'Up Stats'!A:A,'Up Stats'!J:J,)</f>
        <v/>
      </c>
      <c r="AL20" s="40" t="str">
        <f>IFERROR(__xludf.DUMMYFUNCTION("if(AND(AM20=FALSE,AN20=FALSE),,if(AM20=AN20,JOIN("""",""Static: "",AM20),JOIN("""",""Min:  "",AM20, CHAR(10),""Max: "",AN20)))"),"")</f>
        <v/>
      </c>
      <c r="AM20" s="42" t="str">
        <f t="array" ref="AM20">_xlfn.XLOOKUP(B20,'Up Min'!A:A,'Up Min'!J:J,)</f>
        <v/>
      </c>
      <c r="AN20" s="42" t="str">
        <f t="array" ref="AN20">_xlfn.XLOOKUP(B20,'Up Max'!A:A,'Up Max'!J:J,)</f>
        <v/>
      </c>
      <c r="AO20" s="34" t="str">
        <f t="array" ref="AO20">CONCATENATE(_xlfn.XLOOKUP(B20,'Up Cells'!A:A,'Up Cells'!B:B,))</f>
        <v>4</v>
      </c>
      <c r="AP20" s="58" t="str">
        <f t="array" ref="AP20">CONCATENATE(_xlfn.XLOOKUP(B20,'Up Rarity'!A:A,'Up Rarity'!B:B,),CHAR(10),"-")</f>
        <v>Rare
-</v>
      </c>
    </row>
    <row r="21">
      <c r="A21" s="83" t="str">
        <f t="array" ref="A21">_xlfn.XLOOKUP(B21,'Up Icon'!A:A,'Up Icon'!B:B,)</f>
        <v/>
      </c>
      <c r="B21" s="88" t="str">
        <f t="array" ref="B21">HYPERLINK(_xlfn.XLOOKUP('Up Names'!R19,'Up Wiki'!A:A,'Up Wiki'!B:B,),'Up Names'!R19)</f>
        <v>Killcode</v>
      </c>
      <c r="C21" s="52" t="str">
        <f t="array" ref="C21">_xlfn.XLOOKUP(B21,'Up Desc'!A:A,'Up Desc'!B:B,)</f>
        <v>Press P 3 times to detonate yourself.</v>
      </c>
      <c r="D21" s="52" t="str">
        <f t="array" ref="D21">_xlfn.XLOOKUP(B21,'Up Turbo'!A:A,'Up Turbo'!B:B,)</f>
        <v>n/a</v>
      </c>
      <c r="E21" s="53" t="str">
        <f t="array" ref="E21">_xlfn.XLOOKUP(B21,'Up Stats'!A:A,'Up Stats'!B:B,)</f>
        <v>Explosion Size</v>
      </c>
      <c r="F21" s="54" t="str">
        <f>IFERROR(__xludf.DUMMYFUNCTION("if(AND(G21=FALSE,H21=FALSE),,if(G21=H21,JOIN("""",""Static: "",G21),JOIN("""",""Min:  "",G21, CHAR(10),""Max: "",H21)))"),"Min:  6
Max: 10")</f>
        <v>Min:  6
Max: 10</v>
      </c>
      <c r="G21" s="64">
        <f t="array" ref="G21">_xlfn.XLOOKUP(B21,'Up Min'!A:A,'Up Min'!B:B,)</f>
        <v>6</v>
      </c>
      <c r="H21" s="65">
        <f t="array" ref="H21">_xlfn.XLOOKUP(B21,'Up Max'!A:A,'Up Max'!B:B,)</f>
        <v>10</v>
      </c>
      <c r="I21" s="53" t="str">
        <f t="array" ref="I21">_xlfn.XLOOKUP(B21,'Up Stats'!A:A,'Up Stats'!C:C,)</f>
        <v>Damage</v>
      </c>
      <c r="J21" s="54" t="str">
        <f>IFERROR(__xludf.DUMMYFUNCTION("if(AND(K21=FALSE,L21=FALSE),,if(K21=L21,JOIN("""",""Static: "",K21),JOIN("""",""Min:  "",K21, CHAR(10),""Max: "",L21)))"),"Min:  70
Max: 104")</f>
        <v>Min:  70
Max: 104</v>
      </c>
      <c r="K21" s="65">
        <f t="array" ref="K21">_xlfn.XLOOKUP(B21,'Up Min'!A:A,'Up Min'!C:C,)</f>
        <v>70</v>
      </c>
      <c r="L21" s="64">
        <f t="array" ref="L21">_xlfn.XLOOKUP(B21,'Up Max'!A:A,'Up Max'!C:C,)</f>
        <v>104</v>
      </c>
      <c r="M21" s="53" t="str">
        <f t="array" ref="M21">_xlfn.XLOOKUP(B21,'Up Stats'!A:A,'Up Stats'!D:D,)</f>
        <v/>
      </c>
      <c r="N21" s="54" t="str">
        <f>IFERROR(__xludf.DUMMYFUNCTION("if(AND(O21=FALSE,P21=FALSE),,if(O21=P21,JOIN("""",""Static: "",O21),JOIN("""",""Min:  "",O21, CHAR(10),""Max: "",P21)))"),"")</f>
        <v/>
      </c>
      <c r="O21" s="55" t="str">
        <f t="array" ref="O21">_xlfn.XLOOKUP(B21,'Up Min'!A:A,'Up Min'!D:D,)</f>
        <v/>
      </c>
      <c r="P21" s="55" t="str">
        <f t="array" ref="P21">_xlfn.XLOOKUP(B21,'Up Max'!A:A,'Up Max'!D:D,)</f>
        <v/>
      </c>
      <c r="Q21" s="57" t="str">
        <f t="array" ref="Q21">_xlfn.XLOOKUP(B21,'Up Stats'!A:A,'Up Stats'!E:E,)</f>
        <v/>
      </c>
      <c r="R21" s="54" t="str">
        <f>IFERROR(__xludf.DUMMYFUNCTION("if(AND(S21=FALSE,T21=FALSE),,if(S21=T21,JOIN("""",""Static: "",S21),JOIN("""",""Min:  "",S21, CHAR(10),""Max: "",T21)))"),"")</f>
        <v/>
      </c>
      <c r="S21" s="55" t="str">
        <f t="array" ref="S21">_xlfn.XLOOKUP(B21,'Up Min'!A:A,'Up Min'!E:E,)</f>
        <v/>
      </c>
      <c r="T21" s="55" t="str">
        <f t="array" ref="T21">_xlfn.XLOOKUP(B21,'Up Max'!A:A,'Up Max'!E:E,)</f>
        <v/>
      </c>
      <c r="U21" s="57" t="str">
        <f t="array" ref="U21">_xlfn.XLOOKUP(B21,'Up Stats'!A:A,'Up Stats'!F:F,)</f>
        <v/>
      </c>
      <c r="V21" s="54" t="str">
        <f>IFERROR(__xludf.DUMMYFUNCTION("if(AND(W21=FALSE,X21=FALSE),,if(W21=X21,JOIN("""",""Static: "",W21),JOIN("""",""Min:  "",W21, CHAR(10),""Max: "",X21)))"),"")</f>
        <v/>
      </c>
      <c r="W21" s="55" t="str">
        <f t="array" ref="W21">_xlfn.XLOOKUP(B21,'Up Min'!A:A,'Up Min'!F:F,)</f>
        <v/>
      </c>
      <c r="X21" s="55" t="str">
        <f t="array" ref="X21">_xlfn.XLOOKUP(B21,'Up Max'!A:A,'Up Max'!F:F,)</f>
        <v/>
      </c>
      <c r="Y21" s="57" t="str">
        <f t="array" ref="Y21">_xlfn.XLOOKUP(B21,'Up Stats'!A:A,'Up Stats'!G:G,)</f>
        <v/>
      </c>
      <c r="Z21" s="54" t="str">
        <f>IFERROR(__xludf.DUMMYFUNCTION("if(AND(AA21=FALSE,AB21=FALSE),,if(AA21=AB21,JOIN("""",""Static: "",AA21),JOIN("""",""Min:  "",AA21, CHAR(10),""Max: "",AB21)))"),"")</f>
        <v/>
      </c>
      <c r="AA21" s="55" t="str">
        <f t="array" ref="AA21">_xlfn.XLOOKUP(B21,'Up Min'!A:A,'Up Min'!G:G,)</f>
        <v/>
      </c>
      <c r="AB21" s="55" t="str">
        <f t="array" ref="AB21">_xlfn.XLOOKUP(B21,'Up Max'!A:A,'Up Max'!G:G,)</f>
        <v/>
      </c>
      <c r="AC21" s="57" t="str">
        <f t="array" ref="AC21">_xlfn.XLOOKUP(B21,'Up Stats'!A:A,'Up Stats'!H:H,)</f>
        <v/>
      </c>
      <c r="AD21" s="54" t="str">
        <f>IFERROR(__xludf.DUMMYFUNCTION("if(AND(AE21=FALSE,AF21=FALSE),,if(AE21=AF21,JOIN("""",""Static: "",AE21),JOIN("""",""Min:  "",AE21, CHAR(10),""Max: "",AF21)))"),"")</f>
        <v/>
      </c>
      <c r="AE21" s="55" t="str">
        <f t="array" ref="AE21">_xlfn.XLOOKUP(B21,'Up Min'!A:A,'Up Min'!H:H,)</f>
        <v/>
      </c>
      <c r="AF21" s="55" t="str">
        <f t="array" ref="AF21">_xlfn.XLOOKUP(B21,'Up Max'!A:A,'Up Max'!H:H,)</f>
        <v/>
      </c>
      <c r="AG21" s="57" t="str">
        <f t="array" ref="AG21">_xlfn.XLOOKUP(B21,'Up Stats'!A:A,'Up Stats'!I:I,)</f>
        <v/>
      </c>
      <c r="AH21" s="54" t="str">
        <f>IFERROR(__xludf.DUMMYFUNCTION("if(AND(AI21=FALSE,AJ21=FALSE),,if(AI21=AJ21,JOIN("""",""Static: "",AI21),JOIN("""",""Min:  "",AI21, CHAR(10),""Max: "",AJ21)))"),"")</f>
        <v/>
      </c>
      <c r="AI21" s="55" t="str">
        <f t="array" ref="AI21">_xlfn.XLOOKUP(B21,'Up Min'!A:A,'Up Min'!I:I,)</f>
        <v/>
      </c>
      <c r="AJ21" s="55" t="str">
        <f t="array" ref="AJ21">_xlfn.XLOOKUP(B21,'Up Max'!A:A,'Up Max'!I:I,)</f>
        <v/>
      </c>
      <c r="AK21" s="57" t="str">
        <f t="array" ref="AK21">_xlfn.XLOOKUP(B21,'Up Stats'!A:A,'Up Stats'!J:J,)</f>
        <v/>
      </c>
      <c r="AL21" s="54" t="str">
        <f>IFERROR(__xludf.DUMMYFUNCTION("if(AND(AM21=FALSE,AN21=FALSE),,if(AM21=AN21,JOIN("""",""Static: "",AM21),JOIN("""",""Min:  "",AM21, CHAR(10),""Max: "",AN21)))"),"")</f>
        <v/>
      </c>
      <c r="AM21" s="55" t="str">
        <f t="array" ref="AM21">_xlfn.XLOOKUP(B21,'Up Min'!A:A,'Up Min'!J:J,)</f>
        <v/>
      </c>
      <c r="AN21" s="55" t="str">
        <f t="array" ref="AN21">_xlfn.XLOOKUP(B21,'Up Max'!A:A,'Up Max'!J:J,)</f>
        <v/>
      </c>
      <c r="AO21" s="51" t="str">
        <f t="array" ref="AO21">CONCATENATE(_xlfn.XLOOKUP(B21,'Up Cells'!A:A,'Up Cells'!B:B,))</f>
        <v>3</v>
      </c>
      <c r="AP21" s="61" t="str">
        <f t="array" ref="AP21">CONCATENATE(_xlfn.XLOOKUP(B21,'Up Rarity'!A:A,'Up Rarity'!B:B,),CHAR(10),"-")</f>
        <v>Rare
-</v>
      </c>
    </row>
    <row r="22">
      <c r="A22" s="83" t="str">
        <f t="array" ref="A22">_xlfn.XLOOKUP(B22,'Up Icon'!A:A,'Up Icon'!B:B,)</f>
        <v/>
      </c>
      <c r="B22" s="89" t="str">
        <f t="array" ref="B22">HYPERLINK(_xlfn.XLOOKUP('Up Names'!R20,'Up Wiki'!A:A,'Up Wiki'!B:B,),'Up Names'!R20)</f>
        <v>Knee-Dive</v>
      </c>
      <c r="C22" s="37" t="str">
        <f t="array" ref="C22">_xlfn.XLOOKUP(B22,'Up Desc'!A:A,'Up Desc'!B:B,)</f>
        <v>Nose Dive deals much more damage in a much smaller radius.</v>
      </c>
      <c r="D22" s="37" t="str">
        <f t="array" ref="D22">_xlfn.XLOOKUP(B22,'Up Turbo'!A:A,'Up Turbo'!B:B,)</f>
        <v>n/a</v>
      </c>
      <c r="E22" s="39" t="str">
        <f t="array" ref="E22">_xlfn.XLOOKUP(B22,'Up Stats'!A:A,'Up Stats'!B:B,)</f>
        <v>Damage</v>
      </c>
      <c r="F22" s="40" t="str">
        <f>IFERROR(__xludf.DUMMYFUNCTION("if(AND(G22=FALSE,H22=FALSE),,if(G22=H22,JOIN("""",""Static: "",G22),JOIN("""",""Min:  "",G22, CHAR(10),""Max: "",H22)))"),"Min:  1590%
Max: 2110%")</f>
        <v>Min:  1590%
Max: 2110%</v>
      </c>
      <c r="G22" s="41">
        <f t="array" ref="G22">_xlfn.XLOOKUP(B22,'Up Min'!A:A,'Up Min'!B:B,)</f>
        <v>15.9</v>
      </c>
      <c r="H22" s="41">
        <f t="array" ref="H22">_xlfn.XLOOKUP(B22,'Up Max'!A:A,'Up Max'!B:B,)</f>
        <v>21.1</v>
      </c>
      <c r="I22" s="39" t="str">
        <f t="array" ref="I22">_xlfn.XLOOKUP(B22,'Up Stats'!A:A,'Up Stats'!C:C,)</f>
        <v>Size</v>
      </c>
      <c r="J22" s="40" t="str">
        <f>IFERROR(__xludf.DUMMYFUNCTION("if(AND(K22=FALSE,L22=FALSE),,if(K22=L22,JOIN("""",""Static: "",K22),JOIN("""",""Min:  "",K22, CHAR(10),""Max: "",L22)))"),"Min:  -88%
Max: -84%")</f>
        <v>Min:  -88%
Max: -84%</v>
      </c>
      <c r="K22" s="41">
        <f t="array" ref="K22">_xlfn.XLOOKUP(B22,'Up Min'!A:A,'Up Min'!C:C,)</f>
        <v>-0.88</v>
      </c>
      <c r="L22" s="41">
        <f t="array" ref="L22">_xlfn.XLOOKUP(B22,'Up Max'!A:A,'Up Max'!C:C,)</f>
        <v>-0.84</v>
      </c>
      <c r="M22" s="39" t="str">
        <f t="array" ref="M22">_xlfn.XLOOKUP(B22,'Up Stats'!A:A,'Up Stats'!D:D,)</f>
        <v/>
      </c>
      <c r="N22" s="40" t="str">
        <f>IFERROR(__xludf.DUMMYFUNCTION("if(AND(O22=FALSE,P22=FALSE),,if(O22=P22,JOIN("""",""Static: "",O22),JOIN("""",""Min:  "",O22, CHAR(10),""Max: "",P22)))"),"")</f>
        <v/>
      </c>
      <c r="O22" s="42" t="str">
        <f t="array" ref="O22">_xlfn.XLOOKUP(B22,'Up Min'!A:A,'Up Min'!D:D,)</f>
        <v/>
      </c>
      <c r="P22" s="42" t="str">
        <f t="array" ref="P22">_xlfn.XLOOKUP(B22,'Up Max'!A:A,'Up Max'!D:D,)</f>
        <v/>
      </c>
      <c r="Q22" s="48" t="str">
        <f t="array" ref="Q22">_xlfn.XLOOKUP(B22,'Up Stats'!A:A,'Up Stats'!E:E,)</f>
        <v/>
      </c>
      <c r="R22" s="40" t="str">
        <f>IFERROR(__xludf.DUMMYFUNCTION("if(AND(S22=FALSE,T22=FALSE),,if(S22=T22,JOIN("""",""Static: "",S22),JOIN("""",""Min:  "",S22, CHAR(10),""Max: "",T22)))"),"")</f>
        <v/>
      </c>
      <c r="S22" s="42" t="str">
        <f t="array" ref="S22">_xlfn.XLOOKUP(B22,'Up Min'!A:A,'Up Min'!E:E,)</f>
        <v/>
      </c>
      <c r="T22" s="42" t="str">
        <f t="array" ref="T22">_xlfn.XLOOKUP(B22,'Up Max'!A:A,'Up Max'!E:E,)</f>
        <v/>
      </c>
      <c r="U22" s="48" t="str">
        <f t="array" ref="U22">_xlfn.XLOOKUP(B22,'Up Stats'!A:A,'Up Stats'!F:F,)</f>
        <v/>
      </c>
      <c r="V22" s="40" t="str">
        <f>IFERROR(__xludf.DUMMYFUNCTION("if(AND(W22=FALSE,X22=FALSE),,if(W22=X22,JOIN("""",""Static: "",W22),JOIN("""",""Min:  "",W22, CHAR(10),""Max: "",X22)))"),"")</f>
        <v/>
      </c>
      <c r="W22" s="42" t="str">
        <f t="array" ref="W22">_xlfn.XLOOKUP(B22,'Up Min'!A:A,'Up Min'!F:F,)</f>
        <v/>
      </c>
      <c r="X22" s="42" t="str">
        <f t="array" ref="X22">_xlfn.XLOOKUP(B22,'Up Max'!A:A,'Up Max'!F:F,)</f>
        <v/>
      </c>
      <c r="Y22" s="48" t="str">
        <f t="array" ref="Y22">_xlfn.XLOOKUP(B22,'Up Stats'!A:A,'Up Stats'!G:G,)</f>
        <v/>
      </c>
      <c r="Z22" s="40" t="str">
        <f>IFERROR(__xludf.DUMMYFUNCTION("if(AND(AA22=FALSE,AB22=FALSE),,if(AA22=AB22,JOIN("""",""Static: "",AA22),JOIN("""",""Min:  "",AA22, CHAR(10),""Max: "",AB22)))"),"")</f>
        <v/>
      </c>
      <c r="AA22" s="42" t="str">
        <f t="array" ref="AA22">_xlfn.XLOOKUP(B22,'Up Min'!A:A,'Up Min'!G:G,)</f>
        <v/>
      </c>
      <c r="AB22" s="42" t="str">
        <f t="array" ref="AB22">_xlfn.XLOOKUP(B22,'Up Max'!A:A,'Up Max'!G:G,)</f>
        <v/>
      </c>
      <c r="AC22" s="48" t="str">
        <f t="array" ref="AC22">_xlfn.XLOOKUP(B22,'Up Stats'!A:A,'Up Stats'!H:H,)</f>
        <v/>
      </c>
      <c r="AD22" s="40" t="str">
        <f>IFERROR(__xludf.DUMMYFUNCTION("if(AND(AE22=FALSE,AF22=FALSE),,if(AE22=AF22,JOIN("""",""Static: "",AE22),JOIN("""",""Min:  "",AE22, CHAR(10),""Max: "",AF22)))"),"")</f>
        <v/>
      </c>
      <c r="AE22" s="42" t="str">
        <f t="array" ref="AE22">_xlfn.XLOOKUP(B22,'Up Min'!A:A,'Up Min'!H:H,)</f>
        <v/>
      </c>
      <c r="AF22" s="42" t="str">
        <f t="array" ref="AF22">_xlfn.XLOOKUP(B22,'Up Max'!A:A,'Up Max'!H:H,)</f>
        <v/>
      </c>
      <c r="AG22" s="48" t="str">
        <f t="array" ref="AG22">_xlfn.XLOOKUP(B22,'Up Stats'!A:A,'Up Stats'!I:I,)</f>
        <v/>
      </c>
      <c r="AH22" s="40" t="str">
        <f>IFERROR(__xludf.DUMMYFUNCTION("if(AND(AI22=FALSE,AJ22=FALSE),,if(AI22=AJ22,JOIN("""",""Static: "",AI22),JOIN("""",""Min:  "",AI22, CHAR(10),""Max: "",AJ22)))"),"")</f>
        <v/>
      </c>
      <c r="AI22" s="42" t="str">
        <f t="array" ref="AI22">_xlfn.XLOOKUP(B22,'Up Min'!A:A,'Up Min'!I:I,)</f>
        <v/>
      </c>
      <c r="AJ22" s="42" t="str">
        <f t="array" ref="AJ22">_xlfn.XLOOKUP(B22,'Up Max'!A:A,'Up Max'!I:I,)</f>
        <v/>
      </c>
      <c r="AK22" s="48" t="str">
        <f t="array" ref="AK22">_xlfn.XLOOKUP(B22,'Up Stats'!A:A,'Up Stats'!J:J,)</f>
        <v/>
      </c>
      <c r="AL22" s="40" t="str">
        <f>IFERROR(__xludf.DUMMYFUNCTION("if(AND(AM22=FALSE,AN22=FALSE),,if(AM22=AN22,JOIN("""",""Static: "",AM22),JOIN("""",""Min:  "",AM22, CHAR(10),""Max: "",AN22)))"),"")</f>
        <v/>
      </c>
      <c r="AM22" s="42" t="str">
        <f t="array" ref="AM22">_xlfn.XLOOKUP(B22,'Up Min'!A:A,'Up Min'!J:J,)</f>
        <v/>
      </c>
      <c r="AN22" s="42" t="str">
        <f t="array" ref="AN22">_xlfn.XLOOKUP(B22,'Up Max'!A:A,'Up Max'!J:J,)</f>
        <v/>
      </c>
      <c r="AO22" s="34" t="str">
        <f t="array" ref="AO22">CONCATENATE(_xlfn.XLOOKUP(B22,'Up Cells'!A:A,'Up Cells'!B:B,))</f>
        <v>3</v>
      </c>
      <c r="AP22" s="58" t="str">
        <f t="array" ref="AP22">CONCATENATE(_xlfn.XLOOKUP(B22,'Up Rarity'!A:A,'Up Rarity'!B:B,),CHAR(10),"-")</f>
        <v>Rare
-</v>
      </c>
    </row>
    <row r="23">
      <c r="A23" s="83" t="str">
        <f t="array" ref="A23">_xlfn.XLOOKUP(B23,'Up Icon'!A:A,'Up Icon'!B:B,)</f>
        <v/>
      </c>
      <c r="B23" s="88" t="str">
        <f t="array" ref="B23">HYPERLINK(_xlfn.XLOOKUP('Up Names'!R21,'Up Wiki'!A:A,'Up Wiki'!B:B,),'Up Names'!R21)</f>
        <v>Launch Reserves</v>
      </c>
      <c r="C23" s="52" t="str">
        <f t="array" ref="C23">_xlfn.XLOOKUP(B23,'Up Desc'!A:A,'Up Desc'!B:B,)</f>
        <v>More Nose Dive charge is refunded when you leap without diving.</v>
      </c>
      <c r="D23" s="52" t="str">
        <f t="array" ref="D23">_xlfn.XLOOKUP(B23,'Up Turbo'!A:A,'Up Turbo'!B:B,)</f>
        <v>n/a</v>
      </c>
      <c r="E23" s="53" t="str">
        <f t="array" ref="E23">_xlfn.XLOOKUP(B23,'Up Stats'!A:A,'Up Stats'!B:B,)</f>
        <v>Charge Refunded</v>
      </c>
      <c r="F23" s="54" t="str">
        <f>IFERROR(__xludf.DUMMYFUNCTION("if(AND(G23=FALSE,H23=FALSE),,if(G23=H23,JOIN("""",""Static: "",G23),JOIN("""",""Min:  "",G23, CHAR(10),""Max: "",H23)))"),"Min:  50%
Max: 60%")</f>
        <v>Min:  50%
Max: 60%</v>
      </c>
      <c r="G23" s="59">
        <f t="array" ref="G23">_xlfn.XLOOKUP(B23,'Up Min'!A:A,'Up Min'!B:B,)</f>
        <v>0.5</v>
      </c>
      <c r="H23" s="59">
        <f t="array" ref="H23">_xlfn.XLOOKUP(B23,'Up Max'!A:A,'Up Max'!B:B,)</f>
        <v>0.6</v>
      </c>
      <c r="I23" s="53" t="str">
        <f t="array" ref="I23">_xlfn.XLOOKUP(B23,'Up Stats'!A:A,'Up Stats'!C:C,)</f>
        <v>Size</v>
      </c>
      <c r="J23" s="54" t="str">
        <f>IFERROR(__xludf.DUMMYFUNCTION("if(AND(K23=FALSE,L23=FALSE),,if(K23=L23,JOIN("""",""Static: "",K23),JOIN("""",""Min:  "",K23, CHAR(10),""Max: "",L23)))"),"Min:  -70%
Max: -57%")</f>
        <v>Min:  -70%
Max: -57%</v>
      </c>
      <c r="K23" s="59">
        <f t="array" ref="K23">_xlfn.XLOOKUP(B23,'Up Min'!A:A,'Up Min'!C:C,)</f>
        <v>-0.7</v>
      </c>
      <c r="L23" s="59">
        <f t="array" ref="L23">_xlfn.XLOOKUP(B23,'Up Max'!A:A,'Up Max'!C:C,)</f>
        <v>-0.57</v>
      </c>
      <c r="M23" s="53" t="str">
        <f t="array" ref="M23">_xlfn.XLOOKUP(B23,'Up Stats'!A:A,'Up Stats'!D:D,)</f>
        <v/>
      </c>
      <c r="N23" s="54" t="str">
        <f>IFERROR(__xludf.DUMMYFUNCTION("if(AND(O23=FALSE,P23=FALSE),,if(O23=P23,JOIN("""",""Static: "",O23),JOIN("""",""Min:  "",O23, CHAR(10),""Max: "",P23)))"),"")</f>
        <v/>
      </c>
      <c r="O23" s="55" t="str">
        <f t="array" ref="O23">_xlfn.XLOOKUP(B23,'Up Min'!A:A,'Up Min'!D:D,)</f>
        <v/>
      </c>
      <c r="P23" s="55" t="str">
        <f t="array" ref="P23">_xlfn.XLOOKUP(B23,'Up Max'!A:A,'Up Max'!D:D,)</f>
        <v/>
      </c>
      <c r="Q23" s="57" t="str">
        <f t="array" ref="Q23">_xlfn.XLOOKUP(B23,'Up Stats'!A:A,'Up Stats'!E:E,)</f>
        <v/>
      </c>
      <c r="R23" s="54" t="str">
        <f>IFERROR(__xludf.DUMMYFUNCTION("if(AND(S23=FALSE,T23=FALSE),,if(S23=T23,JOIN("""",""Static: "",S23),JOIN("""",""Min:  "",S23, CHAR(10),""Max: "",T23)))"),"")</f>
        <v/>
      </c>
      <c r="S23" s="55" t="str">
        <f t="array" ref="S23">_xlfn.XLOOKUP(B23,'Up Min'!A:A,'Up Min'!E:E,)</f>
        <v/>
      </c>
      <c r="T23" s="55" t="str">
        <f t="array" ref="T23">_xlfn.XLOOKUP(B23,'Up Max'!A:A,'Up Max'!E:E,)</f>
        <v/>
      </c>
      <c r="U23" s="57" t="str">
        <f t="array" ref="U23">_xlfn.XLOOKUP(B23,'Up Stats'!A:A,'Up Stats'!F:F,)</f>
        <v/>
      </c>
      <c r="V23" s="54" t="str">
        <f>IFERROR(__xludf.DUMMYFUNCTION("if(AND(W23=FALSE,X23=FALSE),,if(W23=X23,JOIN("""",""Static: "",W23),JOIN("""",""Min:  "",W23, CHAR(10),""Max: "",X23)))"),"")</f>
        <v/>
      </c>
      <c r="W23" s="55" t="str">
        <f t="array" ref="W23">_xlfn.XLOOKUP(B23,'Up Min'!A:A,'Up Min'!F:F,)</f>
        <v/>
      </c>
      <c r="X23" s="55" t="str">
        <f t="array" ref="X23">_xlfn.XLOOKUP(B23,'Up Max'!A:A,'Up Max'!F:F,)</f>
        <v/>
      </c>
      <c r="Y23" s="57" t="str">
        <f t="array" ref="Y23">_xlfn.XLOOKUP(B23,'Up Stats'!A:A,'Up Stats'!G:G,)</f>
        <v/>
      </c>
      <c r="Z23" s="54" t="str">
        <f>IFERROR(__xludf.DUMMYFUNCTION("if(AND(AA23=FALSE,AB23=FALSE),,if(AA23=AB23,JOIN("""",""Static: "",AA23),JOIN("""",""Min:  "",AA23, CHAR(10),""Max: "",AB23)))"),"")</f>
        <v/>
      </c>
      <c r="AA23" s="55" t="str">
        <f t="array" ref="AA23">_xlfn.XLOOKUP(B23,'Up Min'!A:A,'Up Min'!G:G,)</f>
        <v/>
      </c>
      <c r="AB23" s="55" t="str">
        <f t="array" ref="AB23">_xlfn.XLOOKUP(B23,'Up Max'!A:A,'Up Max'!G:G,)</f>
        <v/>
      </c>
      <c r="AC23" s="57" t="str">
        <f t="array" ref="AC23">_xlfn.XLOOKUP(B23,'Up Stats'!A:A,'Up Stats'!H:H,)</f>
        <v/>
      </c>
      <c r="AD23" s="54" t="str">
        <f>IFERROR(__xludf.DUMMYFUNCTION("if(AND(AE23=FALSE,AF23=FALSE),,if(AE23=AF23,JOIN("""",""Static: "",AE23),JOIN("""",""Min:  "",AE23, CHAR(10),""Max: "",AF23)))"),"")</f>
        <v/>
      </c>
      <c r="AE23" s="55" t="str">
        <f t="array" ref="AE23">_xlfn.XLOOKUP(B23,'Up Min'!A:A,'Up Min'!H:H,)</f>
        <v/>
      </c>
      <c r="AF23" s="55" t="str">
        <f t="array" ref="AF23">_xlfn.XLOOKUP(B23,'Up Max'!A:A,'Up Max'!H:H,)</f>
        <v/>
      </c>
      <c r="AG23" s="57" t="str">
        <f t="array" ref="AG23">_xlfn.XLOOKUP(B23,'Up Stats'!A:A,'Up Stats'!I:I,)</f>
        <v/>
      </c>
      <c r="AH23" s="54" t="str">
        <f>IFERROR(__xludf.DUMMYFUNCTION("if(AND(AI23=FALSE,AJ23=FALSE),,if(AI23=AJ23,JOIN("""",""Static: "",AI23),JOIN("""",""Min:  "",AI23, CHAR(10),""Max: "",AJ23)))"),"")</f>
        <v/>
      </c>
      <c r="AI23" s="55" t="str">
        <f t="array" ref="AI23">_xlfn.XLOOKUP(B23,'Up Min'!A:A,'Up Min'!I:I,)</f>
        <v/>
      </c>
      <c r="AJ23" s="55" t="str">
        <f t="array" ref="AJ23">_xlfn.XLOOKUP(B23,'Up Max'!A:A,'Up Max'!I:I,)</f>
        <v/>
      </c>
      <c r="AK23" s="57" t="str">
        <f t="array" ref="AK23">_xlfn.XLOOKUP(B23,'Up Stats'!A:A,'Up Stats'!J:J,)</f>
        <v/>
      </c>
      <c r="AL23" s="54" t="str">
        <f>IFERROR(__xludf.DUMMYFUNCTION("if(AND(AM23=FALSE,AN23=FALSE),,if(AM23=AN23,JOIN("""",""Static: "",AM23),JOIN("""",""Min:  "",AM23, CHAR(10),""Max: "",AN23)))"),"")</f>
        <v/>
      </c>
      <c r="AM23" s="55" t="str">
        <f t="array" ref="AM23">_xlfn.XLOOKUP(B23,'Up Min'!A:A,'Up Min'!J:J,)</f>
        <v/>
      </c>
      <c r="AN23" s="55" t="str">
        <f t="array" ref="AN23">_xlfn.XLOOKUP(B23,'Up Max'!A:A,'Up Max'!J:J,)</f>
        <v/>
      </c>
      <c r="AO23" s="51" t="str">
        <f t="array" ref="AO23">CONCATENATE(_xlfn.XLOOKUP(B23,'Up Cells'!A:A,'Up Cells'!B:B,))</f>
        <v>4</v>
      </c>
      <c r="AP23" s="61" t="str">
        <f t="array" ref="AP23">CONCATENATE(_xlfn.XLOOKUP(B23,'Up Rarity'!A:A,'Up Rarity'!B:B,),CHAR(10),"-")</f>
        <v>Rare
-</v>
      </c>
    </row>
    <row r="24">
      <c r="A24" s="83" t="str">
        <f t="array" ref="A24">_xlfn.XLOOKUP(B24,'Up Icon'!A:A,'Up Icon'!B:B,)</f>
        <v/>
      </c>
      <c r="B24" s="89" t="str">
        <f t="array" ref="B24">HYPERLINK(_xlfn.XLOOKUP('Up Names'!R22,'Up Wiki'!A:A,'Up Wiki'!B:B,),'Up Names'!R22)</f>
        <v>Liquid Cooling</v>
      </c>
      <c r="C24" s="37" t="str">
        <f t="array" ref="C24">_xlfn.XLOOKUP(B24,'Up Desc'!A:A,'Up Desc'!B:B,)</f>
        <v>Shield Projector cooldown is reduced.</v>
      </c>
      <c r="D24" s="37" t="str">
        <f t="array" ref="D24">_xlfn.XLOOKUP(B24,'Up Turbo'!A:A,'Up Turbo'!B:B,)</f>
        <v>n/a</v>
      </c>
      <c r="E24" s="39" t="str">
        <f t="array" ref="E24">_xlfn.XLOOKUP(B24,'Up Stats'!A:A,'Up Stats'!B:B,)</f>
        <v>Recharge Speed</v>
      </c>
      <c r="F24" s="40" t="str">
        <f>IFERROR(__xludf.DUMMYFUNCTION("if(AND(G24=FALSE,H24=FALSE),,if(G24=H24,JOIN("""",""Static: "",G24),JOIN("""",""Min:  "",G24, CHAR(10),""Max: "",H24)))"),"Min:  25%
Max: 11.11%")</f>
        <v>Min:  25%
Max: 11.11%</v>
      </c>
      <c r="G24" s="41">
        <f t="array" ref="G24">_xlfn.XLOOKUP(B24,'Up Min'!A:A,'Up Min'!B:B,)</f>
        <v>0.25</v>
      </c>
      <c r="H24" s="78">
        <f t="array" ref="H24">_xlfn.XLOOKUP(B24,'Up Max'!A:A,'Up Max'!B:B,)</f>
        <v>0.1111</v>
      </c>
      <c r="I24" s="39" t="str">
        <f t="array" ref="I24">_xlfn.XLOOKUP(B24,'Up Stats'!A:A,'Up Stats'!C:C,)</f>
        <v/>
      </c>
      <c r="J24" s="40" t="str">
        <f>IFERROR(__xludf.DUMMYFUNCTION("if(AND(K24=FALSE,L24=FALSE),,if(K24=L24,JOIN("""",""Static: "",K24),JOIN("""",""Min:  "",K24, CHAR(10),""Max: "",L24)))"),"")</f>
        <v/>
      </c>
      <c r="K24" s="74" t="str">
        <f t="array" ref="K24">_xlfn.XLOOKUP(B24,'Up Min'!A:A,'Up Min'!C:C,)</f>
        <v/>
      </c>
      <c r="L24" s="74" t="str">
        <f t="array" ref="L24">_xlfn.XLOOKUP(B24,'Up Max'!A:A,'Up Max'!C:C,)</f>
        <v/>
      </c>
      <c r="M24" s="48" t="str">
        <f t="array" ref="M24">_xlfn.XLOOKUP(B24,'Up Stats'!A:A,'Up Stats'!D:D,)</f>
        <v/>
      </c>
      <c r="N24" s="40" t="str">
        <f>IFERROR(__xludf.DUMMYFUNCTION("if(AND(O24=FALSE,P24=FALSE),,if(O24=P24,JOIN("""",""Static: "",O24),JOIN("""",""Min:  "",O24, CHAR(10),""Max: "",P24)))"),"")</f>
        <v/>
      </c>
      <c r="O24" s="42" t="str">
        <f t="array" ref="O24">_xlfn.XLOOKUP(B24,'Up Min'!A:A,'Up Min'!D:D,)</f>
        <v/>
      </c>
      <c r="P24" s="42" t="str">
        <f t="array" ref="P24">_xlfn.XLOOKUP(B24,'Up Max'!A:A,'Up Max'!D:D,)</f>
        <v/>
      </c>
      <c r="Q24" s="48" t="str">
        <f t="array" ref="Q24">_xlfn.XLOOKUP(B24,'Up Stats'!A:A,'Up Stats'!E:E,)</f>
        <v/>
      </c>
      <c r="R24" s="40" t="str">
        <f>IFERROR(__xludf.DUMMYFUNCTION("if(AND(S24=FALSE,T24=FALSE),,if(S24=T24,JOIN("""",""Static: "",S24),JOIN("""",""Min:  "",S24, CHAR(10),""Max: "",T24)))"),"")</f>
        <v/>
      </c>
      <c r="S24" s="42" t="str">
        <f t="array" ref="S24">_xlfn.XLOOKUP(B24,'Up Min'!A:A,'Up Min'!E:E,)</f>
        <v/>
      </c>
      <c r="T24" s="42" t="str">
        <f t="array" ref="T24">_xlfn.XLOOKUP(B24,'Up Max'!A:A,'Up Max'!E:E,)</f>
        <v/>
      </c>
      <c r="U24" s="48" t="str">
        <f t="array" ref="U24">_xlfn.XLOOKUP(B24,'Up Stats'!A:A,'Up Stats'!F:F,)</f>
        <v/>
      </c>
      <c r="V24" s="40" t="str">
        <f>IFERROR(__xludf.DUMMYFUNCTION("if(AND(W24=FALSE,X24=FALSE),,if(W24=X24,JOIN("""",""Static: "",W24),JOIN("""",""Min:  "",W24, CHAR(10),""Max: "",X24)))"),"")</f>
        <v/>
      </c>
      <c r="W24" s="42" t="str">
        <f t="array" ref="W24">_xlfn.XLOOKUP(B24,'Up Min'!A:A,'Up Min'!F:F,)</f>
        <v/>
      </c>
      <c r="X24" s="42" t="str">
        <f t="array" ref="X24">_xlfn.XLOOKUP(B24,'Up Max'!A:A,'Up Max'!F:F,)</f>
        <v/>
      </c>
      <c r="Y24" s="48" t="str">
        <f t="array" ref="Y24">_xlfn.XLOOKUP(B24,'Up Stats'!A:A,'Up Stats'!G:G,)</f>
        <v/>
      </c>
      <c r="Z24" s="40" t="str">
        <f>IFERROR(__xludf.DUMMYFUNCTION("if(AND(AA24=FALSE,AB24=FALSE),,if(AA24=AB24,JOIN("""",""Static: "",AA24),JOIN("""",""Min:  "",AA24, CHAR(10),""Max: "",AB24)))"),"")</f>
        <v/>
      </c>
      <c r="AA24" s="42" t="str">
        <f t="array" ref="AA24">_xlfn.XLOOKUP(B24,'Up Min'!A:A,'Up Min'!G:G,)</f>
        <v/>
      </c>
      <c r="AB24" s="42" t="str">
        <f t="array" ref="AB24">_xlfn.XLOOKUP(B24,'Up Max'!A:A,'Up Max'!G:G,)</f>
        <v/>
      </c>
      <c r="AC24" s="48" t="str">
        <f t="array" ref="AC24">_xlfn.XLOOKUP(B24,'Up Stats'!A:A,'Up Stats'!H:H,)</f>
        <v/>
      </c>
      <c r="AD24" s="40" t="str">
        <f>IFERROR(__xludf.DUMMYFUNCTION("if(AND(AE24=FALSE,AF24=FALSE),,if(AE24=AF24,JOIN("""",""Static: "",AE24),JOIN("""",""Min:  "",AE24, CHAR(10),""Max: "",AF24)))"),"")</f>
        <v/>
      </c>
      <c r="AE24" s="42" t="str">
        <f t="array" ref="AE24">_xlfn.XLOOKUP(B24,'Up Min'!A:A,'Up Min'!H:H,)</f>
        <v/>
      </c>
      <c r="AF24" s="42" t="str">
        <f t="array" ref="AF24">_xlfn.XLOOKUP(B24,'Up Max'!A:A,'Up Max'!H:H,)</f>
        <v/>
      </c>
      <c r="AG24" s="48" t="str">
        <f t="array" ref="AG24">_xlfn.XLOOKUP(B24,'Up Stats'!A:A,'Up Stats'!I:I,)</f>
        <v/>
      </c>
      <c r="AH24" s="40" t="str">
        <f>IFERROR(__xludf.DUMMYFUNCTION("if(AND(AI24=FALSE,AJ24=FALSE),,if(AI24=AJ24,JOIN("""",""Static: "",AI24),JOIN("""",""Min:  "",AI24, CHAR(10),""Max: "",AJ24)))"),"")</f>
        <v/>
      </c>
      <c r="AI24" s="42" t="str">
        <f t="array" ref="AI24">_xlfn.XLOOKUP(B24,'Up Min'!A:A,'Up Min'!I:I,)</f>
        <v/>
      </c>
      <c r="AJ24" s="42" t="str">
        <f t="array" ref="AJ24">_xlfn.XLOOKUP(B24,'Up Max'!A:A,'Up Max'!I:I,)</f>
        <v/>
      </c>
      <c r="AK24" s="48" t="str">
        <f t="array" ref="AK24">_xlfn.XLOOKUP(B24,'Up Stats'!A:A,'Up Stats'!J:J,)</f>
        <v/>
      </c>
      <c r="AL24" s="40" t="str">
        <f>IFERROR(__xludf.DUMMYFUNCTION("if(AND(AM24=FALSE,AN24=FALSE),,if(AM24=AN24,JOIN("""",""Static: "",AM24),JOIN("""",""Min:  "",AM24, CHAR(10),""Max: "",AN24)))"),"")</f>
        <v/>
      </c>
      <c r="AM24" s="42" t="str">
        <f t="array" ref="AM24">_xlfn.XLOOKUP(B24,'Up Min'!A:A,'Up Min'!J:J,)</f>
        <v/>
      </c>
      <c r="AN24" s="42" t="str">
        <f t="array" ref="AN24">_xlfn.XLOOKUP(B24,'Up Max'!A:A,'Up Max'!J:J,)</f>
        <v/>
      </c>
      <c r="AO24" s="34" t="str">
        <f t="array" ref="AO24">CONCATENATE(_xlfn.XLOOKUP(B24,'Up Cells'!A:A,'Up Cells'!B:B,))</f>
        <v>3</v>
      </c>
      <c r="AP24" s="58" t="str">
        <f t="array" ref="AP24">CONCATENATE(_xlfn.XLOOKUP(B24,'Up Rarity'!A:A,'Up Rarity'!B:B,),CHAR(10),"-")</f>
        <v>Rare
-</v>
      </c>
    </row>
    <row r="25">
      <c r="A25" s="83" t="str">
        <f t="array" ref="A25">_xlfn.XLOOKUP(B25,'Up Icon'!A:A,'Up Icon'!B:B,)</f>
        <v/>
      </c>
      <c r="B25" s="88" t="str">
        <f t="array" ref="B25">HYPERLINK(_xlfn.XLOOKUP('Up Names'!R23,'Up Wiki'!A:A,'Up Wiki'!B:B,),'Up Names'!R23)</f>
        <v>One for All</v>
      </c>
      <c r="C25" s="52" t="str">
        <f t="array" ref="C25">_xlfn.XLOOKUP(B25,'Up Desc'!A:A,'Up Desc'!B:B,)</f>
        <v>All other players are healed when you die.</v>
      </c>
      <c r="D25" s="52" t="str">
        <f t="array" ref="D25">_xlfn.XLOOKUP(B25,'Up Turbo'!A:A,'Up Turbo'!B:B,)</f>
        <v>n/a</v>
      </c>
      <c r="E25" s="53" t="str">
        <f t="array" ref="E25">_xlfn.XLOOKUP(B25,'Up Stats'!A:A,'Up Stats'!B:B,)</f>
        <v>Healing</v>
      </c>
      <c r="F25" s="54" t="str">
        <f>IFERROR(__xludf.DUMMYFUNCTION("if(AND(G25=FALSE,H25=FALSE),,if(G25=H25,JOIN("""",""Static: "",G25),JOIN("""",""Min:  "",G25, CHAR(10),""Max: "",H25)))"),"Min:  17
Max: 39")</f>
        <v>Min:  17
Max: 39</v>
      </c>
      <c r="G25" s="64">
        <f t="array" ref="G25">_xlfn.XLOOKUP(B25,'Up Min'!A:A,'Up Min'!B:B,)</f>
        <v>17</v>
      </c>
      <c r="H25" s="65">
        <f t="array" ref="H25">_xlfn.XLOOKUP(B25,'Up Max'!A:A,'Up Max'!B:B,)</f>
        <v>39</v>
      </c>
      <c r="I25" s="53" t="str">
        <f t="array" ref="I25">_xlfn.XLOOKUP(B25,'Up Stats'!A:A,'Up Stats'!C:C,)</f>
        <v/>
      </c>
      <c r="J25" s="54" t="str">
        <f>IFERROR(__xludf.DUMMYFUNCTION("if(AND(K25=FALSE,L25=FALSE),,if(K25=L25,JOIN("""",""Static: "",K25),JOIN("""",""Min:  "",K25, CHAR(10),""Max: "",L25)))"),"")</f>
        <v/>
      </c>
      <c r="K25" s="72" t="str">
        <f t="array" ref="K25">_xlfn.XLOOKUP(B25,'Up Min'!A:A,'Up Min'!C:C,)</f>
        <v/>
      </c>
      <c r="L25" s="72" t="str">
        <f t="array" ref="L25">_xlfn.XLOOKUP(B25,'Up Max'!A:A,'Up Max'!C:C,)</f>
        <v/>
      </c>
      <c r="M25" s="57" t="str">
        <f t="array" ref="M25">_xlfn.XLOOKUP(B25,'Up Stats'!A:A,'Up Stats'!D:D,)</f>
        <v/>
      </c>
      <c r="N25" s="54" t="str">
        <f>IFERROR(__xludf.DUMMYFUNCTION("if(AND(O25=FALSE,P25=FALSE),,if(O25=P25,JOIN("""",""Static: "",O25),JOIN("""",""Min:  "",O25, CHAR(10),""Max: "",P25)))"),"")</f>
        <v/>
      </c>
      <c r="O25" s="55" t="str">
        <f t="array" ref="O25">_xlfn.XLOOKUP(B25,'Up Min'!A:A,'Up Min'!D:D,)</f>
        <v/>
      </c>
      <c r="P25" s="55" t="str">
        <f t="array" ref="P25">_xlfn.XLOOKUP(B25,'Up Max'!A:A,'Up Max'!D:D,)</f>
        <v/>
      </c>
      <c r="Q25" s="57" t="str">
        <f t="array" ref="Q25">_xlfn.XLOOKUP(B25,'Up Stats'!A:A,'Up Stats'!E:E,)</f>
        <v/>
      </c>
      <c r="R25" s="54" t="str">
        <f>IFERROR(__xludf.DUMMYFUNCTION("if(AND(S25=FALSE,T25=FALSE),,if(S25=T25,JOIN("""",""Static: "",S25),JOIN("""",""Min:  "",S25, CHAR(10),""Max: "",T25)))"),"")</f>
        <v/>
      </c>
      <c r="S25" s="55" t="str">
        <f t="array" ref="S25">_xlfn.XLOOKUP(B25,'Up Min'!A:A,'Up Min'!E:E,)</f>
        <v/>
      </c>
      <c r="T25" s="55" t="str">
        <f t="array" ref="T25">_xlfn.XLOOKUP(B25,'Up Max'!A:A,'Up Max'!E:E,)</f>
        <v/>
      </c>
      <c r="U25" s="57" t="str">
        <f t="array" ref="U25">_xlfn.XLOOKUP(B25,'Up Stats'!A:A,'Up Stats'!F:F,)</f>
        <v/>
      </c>
      <c r="V25" s="54" t="str">
        <f>IFERROR(__xludf.DUMMYFUNCTION("if(AND(W25=FALSE,X25=FALSE),,if(W25=X25,JOIN("""",""Static: "",W25),JOIN("""",""Min:  "",W25, CHAR(10),""Max: "",X25)))"),"")</f>
        <v/>
      </c>
      <c r="W25" s="55" t="str">
        <f t="array" ref="W25">_xlfn.XLOOKUP(B25,'Up Min'!A:A,'Up Min'!F:F,)</f>
        <v/>
      </c>
      <c r="X25" s="55" t="str">
        <f t="array" ref="X25">_xlfn.XLOOKUP(B25,'Up Max'!A:A,'Up Max'!F:F,)</f>
        <v/>
      </c>
      <c r="Y25" s="57" t="str">
        <f t="array" ref="Y25">_xlfn.XLOOKUP(B25,'Up Stats'!A:A,'Up Stats'!G:G,)</f>
        <v/>
      </c>
      <c r="Z25" s="54" t="str">
        <f>IFERROR(__xludf.DUMMYFUNCTION("if(AND(AA25=FALSE,AB25=FALSE),,if(AA25=AB25,JOIN("""",""Static: "",AA25),JOIN("""",""Min:  "",AA25, CHAR(10),""Max: "",AB25)))"),"")</f>
        <v/>
      </c>
      <c r="AA25" s="55" t="str">
        <f t="array" ref="AA25">_xlfn.XLOOKUP(B25,'Up Min'!A:A,'Up Min'!G:G,)</f>
        <v/>
      </c>
      <c r="AB25" s="55" t="str">
        <f t="array" ref="AB25">_xlfn.XLOOKUP(B25,'Up Max'!A:A,'Up Max'!G:G,)</f>
        <v/>
      </c>
      <c r="AC25" s="57" t="str">
        <f t="array" ref="AC25">_xlfn.XLOOKUP(B25,'Up Stats'!A:A,'Up Stats'!H:H,)</f>
        <v/>
      </c>
      <c r="AD25" s="54" t="str">
        <f>IFERROR(__xludf.DUMMYFUNCTION("if(AND(AE25=FALSE,AF25=FALSE),,if(AE25=AF25,JOIN("""",""Static: "",AE25),JOIN("""",""Min:  "",AE25, CHAR(10),""Max: "",AF25)))"),"")</f>
        <v/>
      </c>
      <c r="AE25" s="55" t="str">
        <f t="array" ref="AE25">_xlfn.XLOOKUP(B25,'Up Min'!A:A,'Up Min'!H:H,)</f>
        <v/>
      </c>
      <c r="AF25" s="55" t="str">
        <f t="array" ref="AF25">_xlfn.XLOOKUP(B25,'Up Max'!A:A,'Up Max'!H:H,)</f>
        <v/>
      </c>
      <c r="AG25" s="57" t="str">
        <f t="array" ref="AG25">_xlfn.XLOOKUP(B25,'Up Stats'!A:A,'Up Stats'!I:I,)</f>
        <v/>
      </c>
      <c r="AH25" s="54" t="str">
        <f>IFERROR(__xludf.DUMMYFUNCTION("if(AND(AI25=FALSE,AJ25=FALSE),,if(AI25=AJ25,JOIN("""",""Static: "",AI25),JOIN("""",""Min:  "",AI25, CHAR(10),""Max: "",AJ25)))"),"")</f>
        <v/>
      </c>
      <c r="AI25" s="55" t="str">
        <f t="array" ref="AI25">_xlfn.XLOOKUP(B25,'Up Min'!A:A,'Up Min'!I:I,)</f>
        <v/>
      </c>
      <c r="AJ25" s="55" t="str">
        <f t="array" ref="AJ25">_xlfn.XLOOKUP(B25,'Up Max'!A:A,'Up Max'!I:I,)</f>
        <v/>
      </c>
      <c r="AK25" s="57" t="str">
        <f t="array" ref="AK25">_xlfn.XLOOKUP(B25,'Up Stats'!A:A,'Up Stats'!J:J,)</f>
        <v/>
      </c>
      <c r="AL25" s="54" t="str">
        <f>IFERROR(__xludf.DUMMYFUNCTION("if(AND(AM25=FALSE,AN25=FALSE),,if(AM25=AN25,JOIN("""",""Static: "",AM25),JOIN("""",""Min:  "",AM25, CHAR(10),""Max: "",AN25)))"),"")</f>
        <v/>
      </c>
      <c r="AM25" s="55" t="str">
        <f t="array" ref="AM25">_xlfn.XLOOKUP(B25,'Up Min'!A:A,'Up Min'!J:J,)</f>
        <v/>
      </c>
      <c r="AN25" s="55" t="str">
        <f t="array" ref="AN25">_xlfn.XLOOKUP(B25,'Up Max'!A:A,'Up Max'!J:J,)</f>
        <v/>
      </c>
      <c r="AO25" s="51" t="str">
        <f t="array" ref="AO25">CONCATENATE(_xlfn.XLOOKUP(B25,'Up Cells'!A:A,'Up Cells'!B:B,))</f>
        <v>3</v>
      </c>
      <c r="AP25" s="61" t="str">
        <f t="array" ref="AP25">CONCATENATE(_xlfn.XLOOKUP(B25,'Up Rarity'!A:A,'Up Rarity'!B:B,),CHAR(10),"-")</f>
        <v>Rare
-</v>
      </c>
    </row>
    <row r="26">
      <c r="A26" s="83" t="str">
        <f t="array" ref="A26">_xlfn.XLOOKUP(B26,'Up Icon'!A:A,'Up Icon'!B:B,)</f>
        <v/>
      </c>
      <c r="B26" s="89" t="str">
        <f t="array" ref="B26">HYPERLINK(_xlfn.XLOOKUP('Up Names'!R24,'Up Wiki'!A:A,'Up Wiki'!B:B,),'Up Names'!R24)</f>
        <v>Springboard</v>
      </c>
      <c r="C26" s="37" t="str">
        <f t="array" ref="C26">_xlfn.XLOOKUP(B26,'Up Desc'!A:A,'Up Desc'!B:B,)</f>
        <v>Your leap travels much further.</v>
      </c>
      <c r="D26" s="37" t="str">
        <f t="array" ref="D26">_xlfn.XLOOKUP(B26,'Up Turbo'!A:A,'Up Turbo'!B:B,)</f>
        <v>n/a</v>
      </c>
      <c r="E26" s="39" t="str">
        <f t="array" ref="E26">_xlfn.XLOOKUP(B26,'Up Stats'!A:A,'Up Stats'!B:B,)</f>
        <v>Upward Leap</v>
      </c>
      <c r="F26" s="40" t="str">
        <f>IFERROR(__xludf.DUMMYFUNCTION("if(AND(G26=FALSE,H26=FALSE),,if(G26=H26,JOIN("""",""Static: "",G26),JOIN("""",""Min:  "",G26, CHAR(10),""Max: "",H26)))"),"Min:  -41%
Max: -29%")</f>
        <v>Min:  -41%
Max: -29%</v>
      </c>
      <c r="G26" s="41">
        <f t="array" ref="G26">_xlfn.XLOOKUP(B26,'Up Min'!A:A,'Up Min'!B:B,)</f>
        <v>-0.41</v>
      </c>
      <c r="H26" s="41">
        <f t="array" ref="H26">_xlfn.XLOOKUP(B26,'Up Max'!A:A,'Up Max'!B:B,)</f>
        <v>-0.29</v>
      </c>
      <c r="I26" s="39" t="str">
        <f t="array" ref="I26">_xlfn.XLOOKUP(B26,'Up Stats'!A:A,'Up Stats'!C:C,)</f>
        <v/>
      </c>
      <c r="J26" s="40" t="str">
        <f>IFERROR(__xludf.DUMMYFUNCTION("if(AND(K26=FALSE,L26=FALSE),,if(K26=L26,JOIN("""",""Static: "",K26),JOIN("""",""Min:  "",K26, CHAR(10),""Max: "",L26)))"),"")</f>
        <v/>
      </c>
      <c r="K26" s="74" t="str">
        <f t="array" ref="K26">_xlfn.XLOOKUP(B26,'Up Min'!A:A,'Up Min'!C:C,)</f>
        <v/>
      </c>
      <c r="L26" s="74" t="str">
        <f t="array" ref="L26">_xlfn.XLOOKUP(B26,'Up Max'!A:A,'Up Max'!C:C,)</f>
        <v/>
      </c>
      <c r="M26" s="48" t="str">
        <f t="array" ref="M26">_xlfn.XLOOKUP(B26,'Up Stats'!A:A,'Up Stats'!D:D,)</f>
        <v/>
      </c>
      <c r="N26" s="40" t="str">
        <f>IFERROR(__xludf.DUMMYFUNCTION("if(AND(O26=FALSE,P26=FALSE),,if(O26=P26,JOIN("""",""Static: "",O26),JOIN("""",""Min:  "",O26, CHAR(10),""Max: "",P26)))"),"")</f>
        <v/>
      </c>
      <c r="O26" s="42" t="str">
        <f t="array" ref="O26">_xlfn.XLOOKUP(B26,'Up Min'!A:A,'Up Min'!D:D,)</f>
        <v/>
      </c>
      <c r="P26" s="42" t="str">
        <f t="array" ref="P26">_xlfn.XLOOKUP(B26,'Up Max'!A:A,'Up Max'!D:D,)</f>
        <v/>
      </c>
      <c r="Q26" s="48" t="str">
        <f t="array" ref="Q26">_xlfn.XLOOKUP(B26,'Up Stats'!A:A,'Up Stats'!E:E,)</f>
        <v/>
      </c>
      <c r="R26" s="40" t="str">
        <f>IFERROR(__xludf.DUMMYFUNCTION("if(AND(S26=FALSE,T26=FALSE),,if(S26=T26,JOIN("""",""Static: "",S26),JOIN("""",""Min:  "",S26, CHAR(10),""Max: "",T26)))"),"")</f>
        <v/>
      </c>
      <c r="S26" s="42" t="str">
        <f t="array" ref="S26">_xlfn.XLOOKUP(B26,'Up Min'!A:A,'Up Min'!E:E,)</f>
        <v/>
      </c>
      <c r="T26" s="42" t="str">
        <f t="array" ref="T26">_xlfn.XLOOKUP(B26,'Up Max'!A:A,'Up Max'!E:E,)</f>
        <v/>
      </c>
      <c r="U26" s="48" t="str">
        <f t="array" ref="U26">_xlfn.XLOOKUP(B26,'Up Stats'!A:A,'Up Stats'!F:F,)</f>
        <v/>
      </c>
      <c r="V26" s="40" t="str">
        <f>IFERROR(__xludf.DUMMYFUNCTION("if(AND(W26=FALSE,X26=FALSE),,if(W26=X26,JOIN("""",""Static: "",W26),JOIN("""",""Min:  "",W26, CHAR(10),""Max: "",X26)))"),"")</f>
        <v/>
      </c>
      <c r="W26" s="42" t="str">
        <f t="array" ref="W26">_xlfn.XLOOKUP(B26,'Up Min'!A:A,'Up Min'!F:F,)</f>
        <v/>
      </c>
      <c r="X26" s="42" t="str">
        <f t="array" ref="X26">_xlfn.XLOOKUP(B26,'Up Max'!A:A,'Up Max'!F:F,)</f>
        <v/>
      </c>
      <c r="Y26" s="48" t="str">
        <f t="array" ref="Y26">_xlfn.XLOOKUP(B26,'Up Stats'!A:A,'Up Stats'!G:G,)</f>
        <v/>
      </c>
      <c r="Z26" s="40" t="str">
        <f>IFERROR(__xludf.DUMMYFUNCTION("if(AND(AA26=FALSE,AB26=FALSE),,if(AA26=AB26,JOIN("""",""Static: "",AA26),JOIN("""",""Min:  "",AA26, CHAR(10),""Max: "",AB26)))"),"")</f>
        <v/>
      </c>
      <c r="AA26" s="42" t="str">
        <f t="array" ref="AA26">_xlfn.XLOOKUP(B26,'Up Min'!A:A,'Up Min'!G:G,)</f>
        <v/>
      </c>
      <c r="AB26" s="42" t="str">
        <f t="array" ref="AB26">_xlfn.XLOOKUP(B26,'Up Max'!A:A,'Up Max'!G:G,)</f>
        <v/>
      </c>
      <c r="AC26" s="48" t="str">
        <f t="array" ref="AC26">_xlfn.XLOOKUP(B26,'Up Stats'!A:A,'Up Stats'!H:H,)</f>
        <v/>
      </c>
      <c r="AD26" s="40" t="str">
        <f>IFERROR(__xludf.DUMMYFUNCTION("if(AND(AE26=FALSE,AF26=FALSE),,if(AE26=AF26,JOIN("""",""Static: "",AE26),JOIN("""",""Min:  "",AE26, CHAR(10),""Max: "",AF26)))"),"")</f>
        <v/>
      </c>
      <c r="AE26" s="42" t="str">
        <f t="array" ref="AE26">_xlfn.XLOOKUP(B26,'Up Min'!A:A,'Up Min'!H:H,)</f>
        <v/>
      </c>
      <c r="AF26" s="42" t="str">
        <f t="array" ref="AF26">_xlfn.XLOOKUP(B26,'Up Max'!A:A,'Up Max'!H:H,)</f>
        <v/>
      </c>
      <c r="AG26" s="48" t="str">
        <f t="array" ref="AG26">_xlfn.XLOOKUP(B26,'Up Stats'!A:A,'Up Stats'!I:I,)</f>
        <v/>
      </c>
      <c r="AH26" s="40" t="str">
        <f>IFERROR(__xludf.DUMMYFUNCTION("if(AND(AI26=FALSE,AJ26=FALSE),,if(AI26=AJ26,JOIN("""",""Static: "",AI26),JOIN("""",""Min:  "",AI26, CHAR(10),""Max: "",AJ26)))"),"")</f>
        <v/>
      </c>
      <c r="AI26" s="42" t="str">
        <f t="array" ref="AI26">_xlfn.XLOOKUP(B26,'Up Min'!A:A,'Up Min'!I:I,)</f>
        <v/>
      </c>
      <c r="AJ26" s="42" t="str">
        <f t="array" ref="AJ26">_xlfn.XLOOKUP(B26,'Up Max'!A:A,'Up Max'!I:I,)</f>
        <v/>
      </c>
      <c r="AK26" s="48" t="str">
        <f t="array" ref="AK26">_xlfn.XLOOKUP(B26,'Up Stats'!A:A,'Up Stats'!J:J,)</f>
        <v/>
      </c>
      <c r="AL26" s="40" t="str">
        <f>IFERROR(__xludf.DUMMYFUNCTION("if(AND(AM26=FALSE,AN26=FALSE),,if(AM26=AN26,JOIN("""",""Static: "",AM26),JOIN("""",""Min:  "",AM26, CHAR(10),""Max: "",AN26)))"),"")</f>
        <v/>
      </c>
      <c r="AM26" s="42" t="str">
        <f t="array" ref="AM26">_xlfn.XLOOKUP(B26,'Up Min'!A:A,'Up Min'!J:J,)</f>
        <v/>
      </c>
      <c r="AN26" s="42" t="str">
        <f t="array" ref="AN26">_xlfn.XLOOKUP(B26,'Up Max'!A:A,'Up Max'!J:J,)</f>
        <v/>
      </c>
      <c r="AO26" s="34" t="str">
        <f t="array" ref="AO26">CONCATENATE(_xlfn.XLOOKUP(B26,'Up Cells'!A:A,'Up Cells'!B:B,))</f>
        <v>3</v>
      </c>
      <c r="AP26" s="58" t="str">
        <f t="array" ref="AP26">CONCATENATE(_xlfn.XLOOKUP(B26,'Up Rarity'!A:A,'Up Rarity'!B:B,),CHAR(10),"-")</f>
        <v>Rare
-</v>
      </c>
    </row>
    <row r="27">
      <c r="A27" s="83" t="str">
        <f t="array" ref="A27">_xlfn.XLOOKUP(B27,'Up Icon'!A:A,'Up Icon'!B:B,)</f>
        <v/>
      </c>
      <c r="B27" s="88" t="str">
        <f t="array" ref="B27">HYPERLINK(_xlfn.XLOOKUP('Up Names'!R25,'Up Wiki'!A:A,'Up Wiki'!B:B,),'Up Names'!R25)</f>
        <v>Striking Distance</v>
      </c>
      <c r="C27" s="52" t="str">
        <f t="array" ref="C27">_xlfn.XLOOKUP(B27,'Up Desc'!A:A,'Up Desc'!B:B,)</f>
        <v>Nose Dive pulls targets toward you.</v>
      </c>
      <c r="D27" s="52" t="str">
        <f t="array" ref="D27">_xlfn.XLOOKUP(B27,'Up Turbo'!A:A,'Up Turbo'!B:B,)</f>
        <v>n/a</v>
      </c>
      <c r="E27" s="53" t="str">
        <f t="array" ref="E27">_xlfn.XLOOKUP(B27,'Up Stats'!A:A,'Up Stats'!B:B,)</f>
        <v>Up Force</v>
      </c>
      <c r="F27" s="54" t="str">
        <f>IFERROR(__xludf.DUMMYFUNCTION("if(AND(G27=FALSE,H27=FALSE),,if(G27=H27,JOIN("""",""Static: "",G27),JOIN("""",""Min:  "",G27, CHAR(10),""Max: "",H27)))"),"Static: -90%")</f>
        <v>Static: -90%</v>
      </c>
      <c r="G27" s="59">
        <f t="array" ref="G27">_xlfn.XLOOKUP(B27,'Up Min'!A:A,'Up Min'!B:B,)</f>
        <v>-0.9</v>
      </c>
      <c r="H27" s="59">
        <f t="array" ref="H27">_xlfn.XLOOKUP(B27,'Up Max'!A:A,'Up Max'!B:B,)</f>
        <v>-0.9</v>
      </c>
      <c r="I27" s="53" t="str">
        <f t="array" ref="I27">_xlfn.XLOOKUP(B27,'Up Stats'!A:A,'Up Stats'!C:C,)</f>
        <v>Outward Force</v>
      </c>
      <c r="J27" s="54" t="str">
        <f>IFERROR(__xludf.DUMMYFUNCTION("if(AND(K27=FALSE,L27=FALSE),,if(K27=L27,JOIN("""",""Static: "",K27),JOIN("""",""Min:  "",K27, CHAR(10),""Max: "",L27)))"),"Min:  -11
Max: -15")</f>
        <v>Min:  -11
Max: -15</v>
      </c>
      <c r="K27" s="65">
        <f t="array" ref="K27">_xlfn.XLOOKUP(B27,'Up Min'!A:A,'Up Min'!C:C,)</f>
        <v>-11</v>
      </c>
      <c r="L27" s="64">
        <f t="array" ref="L27">_xlfn.XLOOKUP(B27,'Up Max'!A:A,'Up Max'!C:C,)</f>
        <v>-15</v>
      </c>
      <c r="M27" s="53" t="str">
        <f t="array" ref="M27">_xlfn.XLOOKUP(B27,'Up Stats'!A:A,'Up Stats'!D:D,)</f>
        <v/>
      </c>
      <c r="N27" s="54" t="str">
        <f>IFERROR(__xludf.DUMMYFUNCTION("if(AND(O27=FALSE,P27=FALSE),,if(O27=P27,JOIN("""",""Static: "",O27),JOIN("""",""Min:  "",O27, CHAR(10),""Max: "",P27)))"),"")</f>
        <v/>
      </c>
      <c r="O27" s="55" t="str">
        <f t="array" ref="O27">_xlfn.XLOOKUP(B27,'Up Min'!A:A,'Up Min'!D:D,)</f>
        <v/>
      </c>
      <c r="P27" s="55" t="str">
        <f t="array" ref="P27">_xlfn.XLOOKUP(B27,'Up Max'!A:A,'Up Max'!D:D,)</f>
        <v/>
      </c>
      <c r="Q27" s="57" t="str">
        <f t="array" ref="Q27">_xlfn.XLOOKUP(B27,'Up Stats'!A:A,'Up Stats'!E:E,)</f>
        <v/>
      </c>
      <c r="R27" s="54" t="str">
        <f>IFERROR(__xludf.DUMMYFUNCTION("if(AND(S27=FALSE,T27=FALSE),,if(S27=T27,JOIN("""",""Static: "",S27),JOIN("""",""Min:  "",S27, CHAR(10),""Max: "",T27)))"),"")</f>
        <v/>
      </c>
      <c r="S27" s="55" t="str">
        <f t="array" ref="S27">_xlfn.XLOOKUP(B27,'Up Min'!A:A,'Up Min'!E:E,)</f>
        <v/>
      </c>
      <c r="T27" s="55" t="str">
        <f t="array" ref="T27">_xlfn.XLOOKUP(B27,'Up Max'!A:A,'Up Max'!E:E,)</f>
        <v/>
      </c>
      <c r="U27" s="57" t="str">
        <f t="array" ref="U27">_xlfn.XLOOKUP(B27,'Up Stats'!A:A,'Up Stats'!F:F,)</f>
        <v/>
      </c>
      <c r="V27" s="54" t="str">
        <f>IFERROR(__xludf.DUMMYFUNCTION("if(AND(W27=FALSE,X27=FALSE),,if(W27=X27,JOIN("""",""Static: "",W27),JOIN("""",""Min:  "",W27, CHAR(10),""Max: "",X27)))"),"")</f>
        <v/>
      </c>
      <c r="W27" s="55" t="str">
        <f t="array" ref="W27">_xlfn.XLOOKUP(B27,'Up Min'!A:A,'Up Min'!F:F,)</f>
        <v/>
      </c>
      <c r="X27" s="55" t="str">
        <f t="array" ref="X27">_xlfn.XLOOKUP(B27,'Up Max'!A:A,'Up Max'!F:F,)</f>
        <v/>
      </c>
      <c r="Y27" s="57" t="str">
        <f t="array" ref="Y27">_xlfn.XLOOKUP(B27,'Up Stats'!A:A,'Up Stats'!G:G,)</f>
        <v/>
      </c>
      <c r="Z27" s="54" t="str">
        <f>IFERROR(__xludf.DUMMYFUNCTION("if(AND(AA27=FALSE,AB27=FALSE),,if(AA27=AB27,JOIN("""",""Static: "",AA27),JOIN("""",""Min:  "",AA27, CHAR(10),""Max: "",AB27)))"),"")</f>
        <v/>
      </c>
      <c r="AA27" s="55" t="str">
        <f t="array" ref="AA27">_xlfn.XLOOKUP(B27,'Up Min'!A:A,'Up Min'!G:G,)</f>
        <v/>
      </c>
      <c r="AB27" s="55" t="str">
        <f t="array" ref="AB27">_xlfn.XLOOKUP(B27,'Up Max'!A:A,'Up Max'!G:G,)</f>
        <v/>
      </c>
      <c r="AC27" s="57" t="str">
        <f t="array" ref="AC27">_xlfn.XLOOKUP(B27,'Up Stats'!A:A,'Up Stats'!H:H,)</f>
        <v/>
      </c>
      <c r="AD27" s="54" t="str">
        <f>IFERROR(__xludf.DUMMYFUNCTION("if(AND(AE27=FALSE,AF27=FALSE),,if(AE27=AF27,JOIN("""",""Static: "",AE27),JOIN("""",""Min:  "",AE27, CHAR(10),""Max: "",AF27)))"),"")</f>
        <v/>
      </c>
      <c r="AE27" s="55" t="str">
        <f t="array" ref="AE27">_xlfn.XLOOKUP(B27,'Up Min'!A:A,'Up Min'!H:H,)</f>
        <v/>
      </c>
      <c r="AF27" s="55" t="str">
        <f t="array" ref="AF27">_xlfn.XLOOKUP(B27,'Up Max'!A:A,'Up Max'!H:H,)</f>
        <v/>
      </c>
      <c r="AG27" s="57" t="str">
        <f t="array" ref="AG27">_xlfn.XLOOKUP(B27,'Up Stats'!A:A,'Up Stats'!I:I,)</f>
        <v/>
      </c>
      <c r="AH27" s="54" t="str">
        <f>IFERROR(__xludf.DUMMYFUNCTION("if(AND(AI27=FALSE,AJ27=FALSE),,if(AI27=AJ27,JOIN("""",""Static: "",AI27),JOIN("""",""Min:  "",AI27, CHAR(10),""Max: "",AJ27)))"),"")</f>
        <v/>
      </c>
      <c r="AI27" s="55" t="str">
        <f t="array" ref="AI27">_xlfn.XLOOKUP(B27,'Up Min'!A:A,'Up Min'!I:I,)</f>
        <v/>
      </c>
      <c r="AJ27" s="55" t="str">
        <f t="array" ref="AJ27">_xlfn.XLOOKUP(B27,'Up Max'!A:A,'Up Max'!I:I,)</f>
        <v/>
      </c>
      <c r="AK27" s="57" t="str">
        <f t="array" ref="AK27">_xlfn.XLOOKUP(B27,'Up Stats'!A:A,'Up Stats'!J:J,)</f>
        <v/>
      </c>
      <c r="AL27" s="54" t="str">
        <f>IFERROR(__xludf.DUMMYFUNCTION("if(AND(AM27=FALSE,AN27=FALSE),,if(AM27=AN27,JOIN("""",""Static: "",AM27),JOIN("""",""Min:  "",AM27, CHAR(10),""Max: "",AN27)))"),"")</f>
        <v/>
      </c>
      <c r="AM27" s="55" t="str">
        <f t="array" ref="AM27">_xlfn.XLOOKUP(B27,'Up Min'!A:A,'Up Min'!J:J,)</f>
        <v/>
      </c>
      <c r="AN27" s="55" t="str">
        <f t="array" ref="AN27">_xlfn.XLOOKUP(B27,'Up Max'!A:A,'Up Max'!J:J,)</f>
        <v/>
      </c>
      <c r="AO27" s="51" t="str">
        <f t="array" ref="AO27">CONCATENATE(_xlfn.XLOOKUP(B27,'Up Cells'!A:A,'Up Cells'!B:B,))</f>
        <v>4</v>
      </c>
      <c r="AP27" s="61" t="str">
        <f t="array" ref="AP27">CONCATENATE(_xlfn.XLOOKUP(B27,'Up Rarity'!A:A,'Up Rarity'!B:B,),CHAR(10),"-")</f>
        <v>Rare
-</v>
      </c>
    </row>
    <row r="28">
      <c r="A28" s="83" t="str">
        <f t="array" ref="A28">_xlfn.XLOOKUP(B28,'Up Icon'!A:A,'Up Icon'!B:B,)</f>
        <v/>
      </c>
      <c r="B28" s="89" t="str">
        <f t="array" ref="B28">HYPERLINK(_xlfn.XLOOKUP('Up Names'!R26,'Up Wiki'!A:A,'Up Wiki'!B:B,),'Up Names'!R26)</f>
        <v>With Me</v>
      </c>
      <c r="C28" s="37" t="str">
        <f t="array" ref="C28">_xlfn.XLOOKUP(B28,'Up Desc'!A:A,'Up Desc'!B:B,)</f>
        <v>Allies hit by your Nose Dive become briefly immune.</v>
      </c>
      <c r="D28" s="37" t="str">
        <f t="array" ref="D28">_xlfn.XLOOKUP(B28,'Up Turbo'!A:A,'Up Turbo'!B:B,)</f>
        <v>n/a</v>
      </c>
      <c r="E28" s="48" t="str">
        <f t="array" ref="E28">_xlfn.XLOOKUP(B28,'Up Stats'!A:A,'Up Stats'!B:B,)</f>
        <v/>
      </c>
      <c r="F28" s="40" t="str">
        <f>IFERROR(__xludf.DUMMYFUNCTION("if(AND(G28=FALSE,H28=FALSE),,if(G28=H28,JOIN("""",""Static: "",G28),JOIN("""",""Min:  "",G28, CHAR(10),""Max: "",H28)))"),"")</f>
        <v/>
      </c>
      <c r="G28" s="42" t="str">
        <f t="array" ref="G28">_xlfn.XLOOKUP(B28,'Up Min'!A:A,'Up Min'!B:B,)</f>
        <v/>
      </c>
      <c r="H28" s="42" t="str">
        <f t="array" ref="H28">_xlfn.XLOOKUP(B28,'Up Max'!A:A,'Up Max'!B:B,)</f>
        <v/>
      </c>
      <c r="I28" s="48" t="str">
        <f t="array" ref="I28">_xlfn.XLOOKUP(B28,'Up Stats'!A:A,'Up Stats'!C:C,)</f>
        <v/>
      </c>
      <c r="J28" s="40" t="str">
        <f>IFERROR(__xludf.DUMMYFUNCTION("if(AND(K28=FALSE,L28=FALSE),,if(K28=L28,JOIN("""",""Static: "",K28),JOIN("""",""Min:  "",K28, CHAR(10),""Max: "",L28)))"),"")</f>
        <v/>
      </c>
      <c r="K28" s="74" t="str">
        <f t="array" ref="K28">_xlfn.XLOOKUP(B28,'Up Min'!A:A,'Up Min'!C:C,)</f>
        <v/>
      </c>
      <c r="L28" s="74" t="str">
        <f t="array" ref="L28">_xlfn.XLOOKUP(B28,'Up Max'!A:A,'Up Max'!C:C,)</f>
        <v/>
      </c>
      <c r="M28" s="48" t="str">
        <f t="array" ref="M28">_xlfn.XLOOKUP(B28,'Up Stats'!A:A,'Up Stats'!D:D,)</f>
        <v/>
      </c>
      <c r="N28" s="40" t="str">
        <f>IFERROR(__xludf.DUMMYFUNCTION("if(AND(O28=FALSE,P28=FALSE),,if(O28=P28,JOIN("""",""Static: "",O28),JOIN("""",""Min:  "",O28, CHAR(10),""Max: "",P28)))"),"")</f>
        <v/>
      </c>
      <c r="O28" s="42" t="str">
        <f t="array" ref="O28">_xlfn.XLOOKUP(B28,'Up Min'!A:A,'Up Min'!D:D,)</f>
        <v/>
      </c>
      <c r="P28" s="42" t="str">
        <f t="array" ref="P28">_xlfn.XLOOKUP(B28,'Up Max'!A:A,'Up Max'!D:D,)</f>
        <v/>
      </c>
      <c r="Q28" s="48" t="str">
        <f t="array" ref="Q28">_xlfn.XLOOKUP(B28,'Up Stats'!A:A,'Up Stats'!E:E,)</f>
        <v/>
      </c>
      <c r="R28" s="40" t="str">
        <f>IFERROR(__xludf.DUMMYFUNCTION("if(AND(S28=FALSE,T28=FALSE),,if(S28=T28,JOIN("""",""Static: "",S28),JOIN("""",""Min:  "",S28, CHAR(10),""Max: "",T28)))"),"")</f>
        <v/>
      </c>
      <c r="S28" s="42" t="str">
        <f t="array" ref="S28">_xlfn.XLOOKUP(B28,'Up Min'!A:A,'Up Min'!E:E,)</f>
        <v/>
      </c>
      <c r="T28" s="42" t="str">
        <f t="array" ref="T28">_xlfn.XLOOKUP(B28,'Up Max'!A:A,'Up Max'!E:E,)</f>
        <v/>
      </c>
      <c r="U28" s="48" t="str">
        <f t="array" ref="U28">_xlfn.XLOOKUP(B28,'Up Stats'!A:A,'Up Stats'!F:F,)</f>
        <v/>
      </c>
      <c r="V28" s="40" t="str">
        <f>IFERROR(__xludf.DUMMYFUNCTION("if(AND(W28=FALSE,X28=FALSE),,if(W28=X28,JOIN("""",""Static: "",W28),JOIN("""",""Min:  "",W28, CHAR(10),""Max: "",X28)))"),"")</f>
        <v/>
      </c>
      <c r="W28" s="42" t="str">
        <f t="array" ref="W28">_xlfn.XLOOKUP(B28,'Up Min'!A:A,'Up Min'!F:F,)</f>
        <v/>
      </c>
      <c r="X28" s="42" t="str">
        <f t="array" ref="X28">_xlfn.XLOOKUP(B28,'Up Max'!A:A,'Up Max'!F:F,)</f>
        <v/>
      </c>
      <c r="Y28" s="48" t="str">
        <f t="array" ref="Y28">_xlfn.XLOOKUP(B28,'Up Stats'!A:A,'Up Stats'!G:G,)</f>
        <v/>
      </c>
      <c r="Z28" s="40" t="str">
        <f>IFERROR(__xludf.DUMMYFUNCTION("if(AND(AA28=FALSE,AB28=FALSE),,if(AA28=AB28,JOIN("""",""Static: "",AA28),JOIN("""",""Min:  "",AA28, CHAR(10),""Max: "",AB28)))"),"")</f>
        <v/>
      </c>
      <c r="AA28" s="42" t="str">
        <f t="array" ref="AA28">_xlfn.XLOOKUP(B28,'Up Min'!A:A,'Up Min'!G:G,)</f>
        <v/>
      </c>
      <c r="AB28" s="42" t="str">
        <f t="array" ref="AB28">_xlfn.XLOOKUP(B28,'Up Max'!A:A,'Up Max'!G:G,)</f>
        <v/>
      </c>
      <c r="AC28" s="48" t="str">
        <f t="array" ref="AC28">_xlfn.XLOOKUP(B28,'Up Stats'!A:A,'Up Stats'!H:H,)</f>
        <v/>
      </c>
      <c r="AD28" s="40" t="str">
        <f>IFERROR(__xludf.DUMMYFUNCTION("if(AND(AE28=FALSE,AF28=FALSE),,if(AE28=AF28,JOIN("""",""Static: "",AE28),JOIN("""",""Min:  "",AE28, CHAR(10),""Max: "",AF28)))"),"")</f>
        <v/>
      </c>
      <c r="AE28" s="42" t="str">
        <f t="array" ref="AE28">_xlfn.XLOOKUP(B28,'Up Min'!A:A,'Up Min'!H:H,)</f>
        <v/>
      </c>
      <c r="AF28" s="42" t="str">
        <f t="array" ref="AF28">_xlfn.XLOOKUP(B28,'Up Max'!A:A,'Up Max'!H:H,)</f>
        <v/>
      </c>
      <c r="AG28" s="48" t="str">
        <f t="array" ref="AG28">_xlfn.XLOOKUP(B28,'Up Stats'!A:A,'Up Stats'!I:I,)</f>
        <v/>
      </c>
      <c r="AH28" s="40" t="str">
        <f>IFERROR(__xludf.DUMMYFUNCTION("if(AND(AI28=FALSE,AJ28=FALSE),,if(AI28=AJ28,JOIN("""",""Static: "",AI28),JOIN("""",""Min:  "",AI28, CHAR(10),""Max: "",AJ28)))"),"")</f>
        <v/>
      </c>
      <c r="AI28" s="42" t="str">
        <f t="array" ref="AI28">_xlfn.XLOOKUP(B28,'Up Min'!A:A,'Up Min'!I:I,)</f>
        <v/>
      </c>
      <c r="AJ28" s="42" t="str">
        <f t="array" ref="AJ28">_xlfn.XLOOKUP(B28,'Up Max'!A:A,'Up Max'!I:I,)</f>
        <v/>
      </c>
      <c r="AK28" s="48" t="str">
        <f t="array" ref="AK28">_xlfn.XLOOKUP(B28,'Up Stats'!A:A,'Up Stats'!J:J,)</f>
        <v/>
      </c>
      <c r="AL28" s="40" t="str">
        <f>IFERROR(__xludf.DUMMYFUNCTION("if(AND(AM28=FALSE,AN28=FALSE),,if(AM28=AN28,JOIN("""",""Static: "",AM28),JOIN("""",""Min:  "",AM28, CHAR(10),""Max: "",AN28)))"),"")</f>
        <v/>
      </c>
      <c r="AM28" s="42" t="str">
        <f t="array" ref="AM28">_xlfn.XLOOKUP(B28,'Up Min'!A:A,'Up Min'!J:J,)</f>
        <v/>
      </c>
      <c r="AN28" s="42" t="str">
        <f t="array" ref="AN28">_xlfn.XLOOKUP(B28,'Up Max'!A:A,'Up Max'!J:J,)</f>
        <v/>
      </c>
      <c r="AO28" s="34" t="str">
        <f t="array" ref="AO28">CONCATENATE(_xlfn.XLOOKUP(B28,'Up Cells'!A:A,'Up Cells'!B:B,))</f>
        <v>3</v>
      </c>
      <c r="AP28" s="58" t="str">
        <f t="array" ref="AP28">CONCATENATE(_xlfn.XLOOKUP(B28,'Up Rarity'!A:A,'Up Rarity'!B:B,),CHAR(10),"-")</f>
        <v>Rare
-</v>
      </c>
    </row>
    <row r="29">
      <c r="A29" s="83" t="str">
        <f t="array" ref="A29">_xlfn.XLOOKUP(B29,'Up Icon'!A:A,'Up Icon'!B:B,)</f>
        <v/>
      </c>
      <c r="B29" s="88" t="str">
        <f t="array" ref="B29">HYPERLINK(_xlfn.XLOOKUP('Up Names'!R27,'Up Wiki'!A:A,'Up Wiki'!B:B,),'Up Names'!R27)</f>
        <v>With You</v>
      </c>
      <c r="C29" s="52" t="str">
        <f t="array" ref="C29">_xlfn.XLOOKUP(B29,'Up Desc'!A:A,'Up Desc'!B:B,)</f>
        <v>Making an ally immune with With Me makes you briefly immune.</v>
      </c>
      <c r="D29" s="52" t="str">
        <f t="array" ref="D29">_xlfn.XLOOKUP(B29,'Up Turbo'!A:A,'Up Turbo'!B:B,)</f>
        <v>n/a</v>
      </c>
      <c r="E29" s="57" t="str">
        <f t="array" ref="E29">_xlfn.XLOOKUP(B29,'Up Stats'!A:A,'Up Stats'!B:B,)</f>
        <v/>
      </c>
      <c r="F29" s="54" t="str">
        <f>IFERROR(__xludf.DUMMYFUNCTION("if(AND(G29=FALSE,H29=FALSE),,if(G29=H29,JOIN("""",""Static: "",G29),JOIN("""",""Min:  "",G29, CHAR(10),""Max: "",H29)))"),"")</f>
        <v/>
      </c>
      <c r="G29" s="55" t="str">
        <f t="array" ref="G29">_xlfn.XLOOKUP(B29,'Up Min'!A:A,'Up Min'!B:B,)</f>
        <v/>
      </c>
      <c r="H29" s="55" t="str">
        <f t="array" ref="H29">_xlfn.XLOOKUP(B29,'Up Max'!A:A,'Up Max'!B:B,)</f>
        <v/>
      </c>
      <c r="I29" s="57" t="str">
        <f t="array" ref="I29">_xlfn.XLOOKUP(B29,'Up Stats'!A:A,'Up Stats'!C:C,)</f>
        <v/>
      </c>
      <c r="J29" s="54" t="str">
        <f>IFERROR(__xludf.DUMMYFUNCTION("if(AND(K29=FALSE,L29=FALSE),,if(K29=L29,JOIN("""",""Static: "",K29),JOIN("""",""Min:  "",K29, CHAR(10),""Max: "",L29)))"),"")</f>
        <v/>
      </c>
      <c r="K29" s="72" t="str">
        <f t="array" ref="K29">_xlfn.XLOOKUP(B29,'Up Min'!A:A,'Up Min'!C:C,)</f>
        <v/>
      </c>
      <c r="L29" s="72" t="str">
        <f t="array" ref="L29">_xlfn.XLOOKUP(B29,'Up Max'!A:A,'Up Max'!C:C,)</f>
        <v/>
      </c>
      <c r="M29" s="57" t="str">
        <f t="array" ref="M29">_xlfn.XLOOKUP(B29,'Up Stats'!A:A,'Up Stats'!D:D,)</f>
        <v/>
      </c>
      <c r="N29" s="54" t="str">
        <f>IFERROR(__xludf.DUMMYFUNCTION("if(AND(O29=FALSE,P29=FALSE),,if(O29=P29,JOIN("""",""Static: "",O29),JOIN("""",""Min:  "",O29, CHAR(10),""Max: "",P29)))"),"")</f>
        <v/>
      </c>
      <c r="O29" s="55" t="str">
        <f t="array" ref="O29">_xlfn.XLOOKUP(B29,'Up Min'!A:A,'Up Min'!D:D,)</f>
        <v/>
      </c>
      <c r="P29" s="55" t="str">
        <f t="array" ref="P29">_xlfn.XLOOKUP(B29,'Up Max'!A:A,'Up Max'!D:D,)</f>
        <v/>
      </c>
      <c r="Q29" s="57" t="str">
        <f t="array" ref="Q29">_xlfn.XLOOKUP(B29,'Up Stats'!A:A,'Up Stats'!E:E,)</f>
        <v/>
      </c>
      <c r="R29" s="54" t="str">
        <f>IFERROR(__xludf.DUMMYFUNCTION("if(AND(S29=FALSE,T29=FALSE),,if(S29=T29,JOIN("""",""Static: "",S29),JOIN("""",""Min:  "",S29, CHAR(10),""Max: "",T29)))"),"")</f>
        <v/>
      </c>
      <c r="S29" s="55" t="str">
        <f t="array" ref="S29">_xlfn.XLOOKUP(B29,'Up Min'!A:A,'Up Min'!E:E,)</f>
        <v/>
      </c>
      <c r="T29" s="55" t="str">
        <f t="array" ref="T29">_xlfn.XLOOKUP(B29,'Up Max'!A:A,'Up Max'!E:E,)</f>
        <v/>
      </c>
      <c r="U29" s="57" t="str">
        <f t="array" ref="U29">_xlfn.XLOOKUP(B29,'Up Stats'!A:A,'Up Stats'!F:F,)</f>
        <v/>
      </c>
      <c r="V29" s="54" t="str">
        <f>IFERROR(__xludf.DUMMYFUNCTION("if(AND(W29=FALSE,X29=FALSE),,if(W29=X29,JOIN("""",""Static: "",W29),JOIN("""",""Min:  "",W29, CHAR(10),""Max: "",X29)))"),"")</f>
        <v/>
      </c>
      <c r="W29" s="55" t="str">
        <f t="array" ref="W29">_xlfn.XLOOKUP(B29,'Up Min'!A:A,'Up Min'!F:F,)</f>
        <v/>
      </c>
      <c r="X29" s="55" t="str">
        <f t="array" ref="X29">_xlfn.XLOOKUP(B29,'Up Max'!A:A,'Up Max'!F:F,)</f>
        <v/>
      </c>
      <c r="Y29" s="57" t="str">
        <f t="array" ref="Y29">_xlfn.XLOOKUP(B29,'Up Stats'!A:A,'Up Stats'!G:G,)</f>
        <v/>
      </c>
      <c r="Z29" s="54" t="str">
        <f>IFERROR(__xludf.DUMMYFUNCTION("if(AND(AA29=FALSE,AB29=FALSE),,if(AA29=AB29,JOIN("""",""Static: "",AA29),JOIN("""",""Min:  "",AA29, CHAR(10),""Max: "",AB29)))"),"")</f>
        <v/>
      </c>
      <c r="AA29" s="55" t="str">
        <f t="array" ref="AA29">_xlfn.XLOOKUP(B29,'Up Min'!A:A,'Up Min'!G:G,)</f>
        <v/>
      </c>
      <c r="AB29" s="55" t="str">
        <f t="array" ref="AB29">_xlfn.XLOOKUP(B29,'Up Max'!A:A,'Up Max'!G:G,)</f>
        <v/>
      </c>
      <c r="AC29" s="57" t="str">
        <f t="array" ref="AC29">_xlfn.XLOOKUP(B29,'Up Stats'!A:A,'Up Stats'!H:H,)</f>
        <v/>
      </c>
      <c r="AD29" s="54" t="str">
        <f>IFERROR(__xludf.DUMMYFUNCTION("if(AND(AE29=FALSE,AF29=FALSE),,if(AE29=AF29,JOIN("""",""Static: "",AE29),JOIN("""",""Min:  "",AE29, CHAR(10),""Max: "",AF29)))"),"")</f>
        <v/>
      </c>
      <c r="AE29" s="55" t="str">
        <f t="array" ref="AE29">_xlfn.XLOOKUP(B29,'Up Min'!A:A,'Up Min'!H:H,)</f>
        <v/>
      </c>
      <c r="AF29" s="55" t="str">
        <f t="array" ref="AF29">_xlfn.XLOOKUP(B29,'Up Max'!A:A,'Up Max'!H:H,)</f>
        <v/>
      </c>
      <c r="AG29" s="57" t="str">
        <f t="array" ref="AG29">_xlfn.XLOOKUP(B29,'Up Stats'!A:A,'Up Stats'!I:I,)</f>
        <v/>
      </c>
      <c r="AH29" s="54" t="str">
        <f>IFERROR(__xludf.DUMMYFUNCTION("if(AND(AI29=FALSE,AJ29=FALSE),,if(AI29=AJ29,JOIN("""",""Static: "",AI29),JOIN("""",""Min:  "",AI29, CHAR(10),""Max: "",AJ29)))"),"")</f>
        <v/>
      </c>
      <c r="AI29" s="55" t="str">
        <f t="array" ref="AI29">_xlfn.XLOOKUP(B29,'Up Min'!A:A,'Up Min'!I:I,)</f>
        <v/>
      </c>
      <c r="AJ29" s="55" t="str">
        <f t="array" ref="AJ29">_xlfn.XLOOKUP(B29,'Up Max'!A:A,'Up Max'!I:I,)</f>
        <v/>
      </c>
      <c r="AK29" s="57" t="str">
        <f t="array" ref="AK29">_xlfn.XLOOKUP(B29,'Up Stats'!A:A,'Up Stats'!J:J,)</f>
        <v/>
      </c>
      <c r="AL29" s="54" t="str">
        <f>IFERROR(__xludf.DUMMYFUNCTION("if(AND(AM29=FALSE,AN29=FALSE),,if(AM29=AN29,JOIN("""",""Static: "",AM29),JOIN("""",""Min:  "",AM29, CHAR(10),""Max: "",AN29)))"),"")</f>
        <v/>
      </c>
      <c r="AM29" s="55" t="str">
        <f t="array" ref="AM29">_xlfn.XLOOKUP(B29,'Up Min'!A:A,'Up Min'!J:J,)</f>
        <v/>
      </c>
      <c r="AN29" s="55" t="str">
        <f t="array" ref="AN29">_xlfn.XLOOKUP(B29,'Up Max'!A:A,'Up Max'!J:J,)</f>
        <v/>
      </c>
      <c r="AO29" s="51" t="str">
        <f t="array" ref="AO29">CONCATENATE(_xlfn.XLOOKUP(B29,'Up Cells'!A:A,'Up Cells'!B:B,))</f>
        <v>1</v>
      </c>
      <c r="AP29" s="61" t="str">
        <f t="array" ref="AP29">CONCATENATE(_xlfn.XLOOKUP(B29,'Up Rarity'!A:A,'Up Rarity'!B:B,),CHAR(10),"-")</f>
        <v>Rare
-</v>
      </c>
    </row>
    <row r="30">
      <c r="A30" s="84" t="str">
        <f t="array" ref="A30">_xlfn.XLOOKUP(B30,'Up Icon'!A:A,'Up Icon'!B:B,)</f>
        <v/>
      </c>
      <c r="B30" s="89" t="str">
        <f t="array" ref="B30">HYPERLINK(_xlfn.XLOOKUP('Up Names'!R28,'Up Wiki'!A:A,'Up Wiki'!B:B,),'Up Names'!R28)</f>
        <v>Dive Interrupt</v>
      </c>
      <c r="C30" s="37" t="str">
        <f t="array" ref="C30">_xlfn.XLOOKUP(B30,'Up Desc'!A:A,'Up Desc'!B:B,)</f>
        <v>Jump during a Nose Dive to cancel it and keep your momentum.</v>
      </c>
      <c r="D30" s="37" t="str">
        <f t="array" ref="D30">_xlfn.XLOOKUP(B30,'Up Turbo'!A:A,'Up Turbo'!B:B,)</f>
        <v>n/a</v>
      </c>
      <c r="E30" s="48" t="str">
        <f t="array" ref="E30">_xlfn.XLOOKUP(B30,'Up Stats'!A:A,'Up Stats'!B:B,)</f>
        <v/>
      </c>
      <c r="F30" s="40" t="str">
        <f>IFERROR(__xludf.DUMMYFUNCTION("if(AND(G30=FALSE,H30=FALSE),,if(G30=H30,JOIN("""",""Static: "",G30),JOIN("""",""Min:  "",G30, CHAR(10),""Max: "",H30)))"),"")</f>
        <v/>
      </c>
      <c r="G30" s="42" t="str">
        <f t="array" ref="G30">_xlfn.XLOOKUP(B30,'Up Min'!A:A,'Up Min'!B:B,)</f>
        <v/>
      </c>
      <c r="H30" s="42" t="str">
        <f t="array" ref="H30">_xlfn.XLOOKUP(B30,'Up Max'!A:A,'Up Max'!B:B,)</f>
        <v/>
      </c>
      <c r="I30" s="48" t="str">
        <f t="array" ref="I30">_xlfn.XLOOKUP(B30,'Up Stats'!A:A,'Up Stats'!C:C,)</f>
        <v/>
      </c>
      <c r="J30" s="40" t="str">
        <f>IFERROR(__xludf.DUMMYFUNCTION("if(AND(K30=FALSE,L30=FALSE),,if(K30=L30,JOIN("""",""Static: "",K30),JOIN("""",""Min:  "",K30, CHAR(10),""Max: "",L30)))"),"")</f>
        <v/>
      </c>
      <c r="K30" s="74" t="str">
        <f t="array" ref="K30">_xlfn.XLOOKUP(B30,'Up Min'!A:A,'Up Min'!C:C,)</f>
        <v/>
      </c>
      <c r="L30" s="74" t="str">
        <f t="array" ref="L30">_xlfn.XLOOKUP(B30,'Up Max'!A:A,'Up Max'!C:C,)</f>
        <v/>
      </c>
      <c r="M30" s="48" t="str">
        <f t="array" ref="M30">_xlfn.XLOOKUP(B30,'Up Stats'!A:A,'Up Stats'!D:D,)</f>
        <v/>
      </c>
      <c r="N30" s="40" t="str">
        <f>IFERROR(__xludf.DUMMYFUNCTION("if(AND(O30=FALSE,P30=FALSE),,if(O30=P30,JOIN("""",""Static: "",O30),JOIN("""",""Min:  "",O30, CHAR(10),""Max: "",P30)))"),"")</f>
        <v/>
      </c>
      <c r="O30" s="42" t="str">
        <f t="array" ref="O30">_xlfn.XLOOKUP(B30,'Up Min'!A:A,'Up Min'!D:D,)</f>
        <v/>
      </c>
      <c r="P30" s="42" t="str">
        <f t="array" ref="P30">_xlfn.XLOOKUP(B30,'Up Max'!A:A,'Up Max'!D:D,)</f>
        <v/>
      </c>
      <c r="Q30" s="48" t="str">
        <f t="array" ref="Q30">_xlfn.XLOOKUP(B30,'Up Stats'!A:A,'Up Stats'!E:E,)</f>
        <v/>
      </c>
      <c r="R30" s="40" t="str">
        <f>IFERROR(__xludf.DUMMYFUNCTION("if(AND(S30=FALSE,T30=FALSE),,if(S30=T30,JOIN("""",""Static: "",S30),JOIN("""",""Min:  "",S30, CHAR(10),""Max: "",T30)))"),"")</f>
        <v/>
      </c>
      <c r="S30" s="42" t="str">
        <f t="array" ref="S30">_xlfn.XLOOKUP(B30,'Up Min'!A:A,'Up Min'!E:E,)</f>
        <v/>
      </c>
      <c r="T30" s="42" t="str">
        <f t="array" ref="T30">_xlfn.XLOOKUP(B30,'Up Max'!A:A,'Up Max'!E:E,)</f>
        <v/>
      </c>
      <c r="U30" s="48" t="str">
        <f t="array" ref="U30">_xlfn.XLOOKUP(B30,'Up Stats'!A:A,'Up Stats'!F:F,)</f>
        <v/>
      </c>
      <c r="V30" s="40" t="str">
        <f>IFERROR(__xludf.DUMMYFUNCTION("if(AND(W30=FALSE,X30=FALSE),,if(W30=X30,JOIN("""",""Static: "",W30),JOIN("""",""Min:  "",W30, CHAR(10),""Max: "",X30)))"),"")</f>
        <v/>
      </c>
      <c r="W30" s="42" t="str">
        <f t="array" ref="W30">_xlfn.XLOOKUP(B30,'Up Min'!A:A,'Up Min'!F:F,)</f>
        <v/>
      </c>
      <c r="X30" s="42" t="str">
        <f t="array" ref="X30">_xlfn.XLOOKUP(B30,'Up Max'!A:A,'Up Max'!F:F,)</f>
        <v/>
      </c>
      <c r="Y30" s="48" t="str">
        <f t="array" ref="Y30">_xlfn.XLOOKUP(B30,'Up Stats'!A:A,'Up Stats'!G:G,)</f>
        <v/>
      </c>
      <c r="Z30" s="40" t="str">
        <f>IFERROR(__xludf.DUMMYFUNCTION("if(AND(AA30=FALSE,AB30=FALSE),,if(AA30=AB30,JOIN("""",""Static: "",AA30),JOIN("""",""Min:  "",AA30, CHAR(10),""Max: "",AB30)))"),"")</f>
        <v/>
      </c>
      <c r="AA30" s="42" t="str">
        <f t="array" ref="AA30">_xlfn.XLOOKUP(B30,'Up Min'!A:A,'Up Min'!G:G,)</f>
        <v/>
      </c>
      <c r="AB30" s="42" t="str">
        <f t="array" ref="AB30">_xlfn.XLOOKUP(B30,'Up Max'!A:A,'Up Max'!G:G,)</f>
        <v/>
      </c>
      <c r="AC30" s="48" t="str">
        <f t="array" ref="AC30">_xlfn.XLOOKUP(B30,'Up Stats'!A:A,'Up Stats'!H:H,)</f>
        <v/>
      </c>
      <c r="AD30" s="40" t="str">
        <f>IFERROR(__xludf.DUMMYFUNCTION("if(AND(AE30=FALSE,AF30=FALSE),,if(AE30=AF30,JOIN("""",""Static: "",AE30),JOIN("""",""Min:  "",AE30, CHAR(10),""Max: "",AF30)))"),"")</f>
        <v/>
      </c>
      <c r="AE30" s="42" t="str">
        <f t="array" ref="AE30">_xlfn.XLOOKUP(B30,'Up Min'!A:A,'Up Min'!H:H,)</f>
        <v/>
      </c>
      <c r="AF30" s="42" t="str">
        <f t="array" ref="AF30">_xlfn.XLOOKUP(B30,'Up Max'!A:A,'Up Max'!H:H,)</f>
        <v/>
      </c>
      <c r="AG30" s="48" t="str">
        <f t="array" ref="AG30">_xlfn.XLOOKUP(B30,'Up Stats'!A:A,'Up Stats'!I:I,)</f>
        <v/>
      </c>
      <c r="AH30" s="40" t="str">
        <f>IFERROR(__xludf.DUMMYFUNCTION("if(AND(AI30=FALSE,AJ30=FALSE),,if(AI30=AJ30,JOIN("""",""Static: "",AI30),JOIN("""",""Min:  "",AI30, CHAR(10),""Max: "",AJ30)))"),"")</f>
        <v/>
      </c>
      <c r="AI30" s="42" t="str">
        <f t="array" ref="AI30">_xlfn.XLOOKUP(B30,'Up Min'!A:A,'Up Min'!I:I,)</f>
        <v/>
      </c>
      <c r="AJ30" s="42" t="str">
        <f t="array" ref="AJ30">_xlfn.XLOOKUP(B30,'Up Max'!A:A,'Up Max'!I:I,)</f>
        <v/>
      </c>
      <c r="AK30" s="48" t="str">
        <f t="array" ref="AK30">_xlfn.XLOOKUP(B30,'Up Stats'!A:A,'Up Stats'!J:J,)</f>
        <v/>
      </c>
      <c r="AL30" s="40" t="str">
        <f>IFERROR(__xludf.DUMMYFUNCTION("if(AND(AM30=FALSE,AN30=FALSE),,if(AM30=AN30,JOIN("""",""Static: "",AM30),JOIN("""",""Min:  "",AM30, CHAR(10),""Max: "",AN30)))"),"")</f>
        <v/>
      </c>
      <c r="AM30" s="42" t="str">
        <f t="array" ref="AM30">_xlfn.XLOOKUP(B30,'Up Min'!A:A,'Up Min'!J:J,)</f>
        <v/>
      </c>
      <c r="AN30" s="42" t="str">
        <f t="array" ref="AN30">_xlfn.XLOOKUP(B30,'Up Max'!A:A,'Up Max'!J:J,)</f>
        <v/>
      </c>
      <c r="AO30" s="34" t="str">
        <f t="array" ref="AO30">CONCATENATE(_xlfn.XLOOKUP(B30,'Up Cells'!A:A,'Up Cells'!B:B,))</f>
        <v>3</v>
      </c>
      <c r="AP30" s="58" t="str">
        <f t="array" ref="AP30">CONCATENATE(_xlfn.XLOOKUP(B30,'Up Rarity'!A:A,'Up Rarity'!B:B,),CHAR(10),"-")</f>
        <v>Standard
-</v>
      </c>
    </row>
    <row r="31">
      <c r="A31" s="84" t="str">
        <f t="array" ref="A31">_xlfn.XLOOKUP(B31,'Up Icon'!A:A,'Up Icon'!B:B,)</f>
        <v/>
      </c>
      <c r="B31" s="88" t="str">
        <f t="array" ref="B31">HYPERLINK(_xlfn.XLOOKUP('Up Names'!R29,'Up Wiki'!A:A,'Up Wiki'!B:B,),'Up Names'!R29)</f>
        <v>Force Projection</v>
      </c>
      <c r="C31" s="52" t="str">
        <f t="array" ref="C31">_xlfn.XLOOKUP(B31,'Up Desc'!A:A,'Up Desc'!B:B,)</f>
        <v>Your Shield Projector pushes enemies away with more force.</v>
      </c>
      <c r="D31" s="52" t="str">
        <f t="array" ref="D31">_xlfn.XLOOKUP(B31,'Up Turbo'!A:A,'Up Turbo'!B:B,)</f>
        <v>n/a</v>
      </c>
      <c r="E31" s="53" t="str">
        <f t="array" ref="E31">_xlfn.XLOOKUP(B31,'Up Stats'!A:A,'Up Stats'!B:B,)</f>
        <v>Shield Push Force</v>
      </c>
      <c r="F31" s="54" t="str">
        <f>IFERROR(__xludf.DUMMYFUNCTION("if(AND(G31=FALSE,H31=FALSE),,if(G31=H31,JOIN("""",""Static: "",G31),JOIN("""",""Min:  "",G31, CHAR(10),""Max: "",H31)))"),"Min:  20%
Max: 40%")</f>
        <v>Min:  20%
Max: 40%</v>
      </c>
      <c r="G31" s="59">
        <f t="array" ref="G31">_xlfn.XLOOKUP(B31,'Up Min'!A:A,'Up Min'!B:B,)</f>
        <v>0.2</v>
      </c>
      <c r="H31" s="59">
        <f t="array" ref="H31">_xlfn.XLOOKUP(B31,'Up Max'!A:A,'Up Max'!B:B,)</f>
        <v>0.4</v>
      </c>
      <c r="I31" s="53" t="str">
        <f t="array" ref="I31">_xlfn.XLOOKUP(B31,'Up Stats'!A:A,'Up Stats'!C:C,)</f>
        <v>Blast Force</v>
      </c>
      <c r="J31" s="54" t="str">
        <f>IFERROR(__xludf.DUMMYFUNCTION("if(AND(K31=FALSE,L31=FALSE),,if(K31=L31,JOIN("""",""Static: "",K31),JOIN("""",""Min:  "",K31, CHAR(10),""Max: "",L31)))"),"Min:  20%
Max: 40%")</f>
        <v>Min:  20%
Max: 40%</v>
      </c>
      <c r="K31" s="59">
        <f t="array" ref="K31">_xlfn.XLOOKUP(B31,'Up Min'!A:A,'Up Min'!C:C,)</f>
        <v>0.2</v>
      </c>
      <c r="L31" s="59">
        <f t="array" ref="L31">_xlfn.XLOOKUP(B31,'Up Max'!A:A,'Up Max'!C:C,)</f>
        <v>0.4</v>
      </c>
      <c r="M31" s="53" t="str">
        <f t="array" ref="M31">_xlfn.XLOOKUP(B31,'Up Stats'!A:A,'Up Stats'!D:D,)</f>
        <v/>
      </c>
      <c r="N31" s="54" t="str">
        <f>IFERROR(__xludf.DUMMYFUNCTION("if(AND(O31=FALSE,P31=FALSE),,if(O31=P31,JOIN("""",""Static: "",O31),JOIN("""",""Min:  "",O31, CHAR(10),""Max: "",P31)))"),"")</f>
        <v/>
      </c>
      <c r="O31" s="55" t="str">
        <f t="array" ref="O31">_xlfn.XLOOKUP(B31,'Up Min'!A:A,'Up Min'!D:D,)</f>
        <v/>
      </c>
      <c r="P31" s="55" t="str">
        <f t="array" ref="P31">_xlfn.XLOOKUP(B31,'Up Max'!A:A,'Up Max'!D:D,)</f>
        <v/>
      </c>
      <c r="Q31" s="57" t="str">
        <f t="array" ref="Q31">_xlfn.XLOOKUP(B31,'Up Stats'!A:A,'Up Stats'!E:E,)</f>
        <v/>
      </c>
      <c r="R31" s="54" t="str">
        <f>IFERROR(__xludf.DUMMYFUNCTION("if(AND(S31=FALSE,T31=FALSE),,if(S31=T31,JOIN("""",""Static: "",S31),JOIN("""",""Min:  "",S31, CHAR(10),""Max: "",T31)))"),"")</f>
        <v/>
      </c>
      <c r="S31" s="55" t="str">
        <f t="array" ref="S31">_xlfn.XLOOKUP(B31,'Up Min'!A:A,'Up Min'!E:E,)</f>
        <v/>
      </c>
      <c r="T31" s="55" t="str">
        <f t="array" ref="T31">_xlfn.XLOOKUP(B31,'Up Max'!A:A,'Up Max'!E:E,)</f>
        <v/>
      </c>
      <c r="U31" s="57" t="str">
        <f t="array" ref="U31">_xlfn.XLOOKUP(B31,'Up Stats'!A:A,'Up Stats'!F:F,)</f>
        <v/>
      </c>
      <c r="V31" s="54" t="str">
        <f>IFERROR(__xludf.DUMMYFUNCTION("if(AND(W31=FALSE,X31=FALSE),,if(W31=X31,JOIN("""",""Static: "",W31),JOIN("""",""Min:  "",W31, CHAR(10),""Max: "",X31)))"),"")</f>
        <v/>
      </c>
      <c r="W31" s="55" t="str">
        <f t="array" ref="W31">_xlfn.XLOOKUP(B31,'Up Min'!A:A,'Up Min'!F:F,)</f>
        <v/>
      </c>
      <c r="X31" s="55" t="str">
        <f t="array" ref="X31">_xlfn.XLOOKUP(B31,'Up Max'!A:A,'Up Max'!F:F,)</f>
        <v/>
      </c>
      <c r="Y31" s="57" t="str">
        <f t="array" ref="Y31">_xlfn.XLOOKUP(B31,'Up Stats'!A:A,'Up Stats'!G:G,)</f>
        <v/>
      </c>
      <c r="Z31" s="54" t="str">
        <f>IFERROR(__xludf.DUMMYFUNCTION("if(AND(AA31=FALSE,AB31=FALSE),,if(AA31=AB31,JOIN("""",""Static: "",AA31),JOIN("""",""Min:  "",AA31, CHAR(10),""Max: "",AB31)))"),"")</f>
        <v/>
      </c>
      <c r="AA31" s="55" t="str">
        <f t="array" ref="AA31">_xlfn.XLOOKUP(B31,'Up Min'!A:A,'Up Min'!G:G,)</f>
        <v/>
      </c>
      <c r="AB31" s="55" t="str">
        <f t="array" ref="AB31">_xlfn.XLOOKUP(B31,'Up Max'!A:A,'Up Max'!G:G,)</f>
        <v/>
      </c>
      <c r="AC31" s="57" t="str">
        <f t="array" ref="AC31">_xlfn.XLOOKUP(B31,'Up Stats'!A:A,'Up Stats'!H:H,)</f>
        <v/>
      </c>
      <c r="AD31" s="54" t="str">
        <f>IFERROR(__xludf.DUMMYFUNCTION("if(AND(AE31=FALSE,AF31=FALSE),,if(AE31=AF31,JOIN("""",""Static: "",AE31),JOIN("""",""Min:  "",AE31, CHAR(10),""Max: "",AF31)))"),"")</f>
        <v/>
      </c>
      <c r="AE31" s="55" t="str">
        <f t="array" ref="AE31">_xlfn.XLOOKUP(B31,'Up Min'!A:A,'Up Min'!H:H,)</f>
        <v/>
      </c>
      <c r="AF31" s="55" t="str">
        <f t="array" ref="AF31">_xlfn.XLOOKUP(B31,'Up Max'!A:A,'Up Max'!H:H,)</f>
        <v/>
      </c>
      <c r="AG31" s="57" t="str">
        <f t="array" ref="AG31">_xlfn.XLOOKUP(B31,'Up Stats'!A:A,'Up Stats'!I:I,)</f>
        <v/>
      </c>
      <c r="AH31" s="54" t="str">
        <f>IFERROR(__xludf.DUMMYFUNCTION("if(AND(AI31=FALSE,AJ31=FALSE),,if(AI31=AJ31,JOIN("""",""Static: "",AI31),JOIN("""",""Min:  "",AI31, CHAR(10),""Max: "",AJ31)))"),"")</f>
        <v/>
      </c>
      <c r="AI31" s="55" t="str">
        <f t="array" ref="AI31">_xlfn.XLOOKUP(B31,'Up Min'!A:A,'Up Min'!I:I,)</f>
        <v/>
      </c>
      <c r="AJ31" s="55" t="str">
        <f t="array" ref="AJ31">_xlfn.XLOOKUP(B31,'Up Max'!A:A,'Up Max'!I:I,)</f>
        <v/>
      </c>
      <c r="AK31" s="57" t="str">
        <f t="array" ref="AK31">_xlfn.XLOOKUP(B31,'Up Stats'!A:A,'Up Stats'!J:J,)</f>
        <v/>
      </c>
      <c r="AL31" s="54" t="str">
        <f>IFERROR(__xludf.DUMMYFUNCTION("if(AND(AM31=FALSE,AN31=FALSE),,if(AM31=AN31,JOIN("""",""Static: "",AM31),JOIN("""",""Min:  "",AM31, CHAR(10),""Max: "",AN31)))"),"")</f>
        <v/>
      </c>
      <c r="AM31" s="55" t="str">
        <f t="array" ref="AM31">_xlfn.XLOOKUP(B31,'Up Min'!A:A,'Up Min'!J:J,)</f>
        <v/>
      </c>
      <c r="AN31" s="55" t="str">
        <f t="array" ref="AN31">_xlfn.XLOOKUP(B31,'Up Max'!A:A,'Up Max'!J:J,)</f>
        <v/>
      </c>
      <c r="AO31" s="51" t="str">
        <f t="array" ref="AO31">CONCATENATE(_xlfn.XLOOKUP(B31,'Up Cells'!A:A,'Up Cells'!B:B,))</f>
        <v>3</v>
      </c>
      <c r="AP31" s="61" t="str">
        <f t="array" ref="AP31">CONCATENATE(_xlfn.XLOOKUP(B31,'Up Rarity'!A:A,'Up Rarity'!B:B,),CHAR(10),"-")</f>
        <v>Standard
-</v>
      </c>
    </row>
    <row r="32">
      <c r="A32" s="84" t="str">
        <f t="array" ref="A32">_xlfn.XLOOKUP(B32,'Up Icon'!A:A,'Up Icon'!B:B,)</f>
        <v/>
      </c>
      <c r="B32" s="89" t="str">
        <f t="array" ref="B32">HYPERLINK(_xlfn.XLOOKUP('Up Names'!R30,'Up Wiki'!A:A,'Up Wiki'!B:B,),'Up Names'!R30)</f>
        <v>Force Redistribution</v>
      </c>
      <c r="C32" s="37" t="str">
        <f t="array" ref="C32">_xlfn.XLOOKUP(B32,'Up Desc'!A:A,'Up Desc'!B:B,)</f>
        <v>Nose Dive blast radius is increased, but damage is decreased.</v>
      </c>
      <c r="D32" s="37" t="str">
        <f t="array" ref="D32">_xlfn.XLOOKUP(B32,'Up Turbo'!A:A,'Up Turbo'!B:B,)</f>
        <v>n/a</v>
      </c>
      <c r="E32" s="39" t="str">
        <f t="array" ref="E32">_xlfn.XLOOKUP(B32,'Up Stats'!A:A,'Up Stats'!B:B,)</f>
        <v>Size</v>
      </c>
      <c r="F32" s="40" t="str">
        <f>IFERROR(__xludf.DUMMYFUNCTION("if(AND(G32=FALSE,H32=FALSE),,if(G32=H32,JOIN("""",""Static: "",G32),JOIN("""",""Min:  "",G32, CHAR(10),""Max: "",H32)))"),"Min:  30%
Max: 52%")</f>
        <v>Min:  30%
Max: 52%</v>
      </c>
      <c r="G32" s="41">
        <f t="array" ref="G32">_xlfn.XLOOKUP(B32,'Up Min'!A:A,'Up Min'!B:B,)</f>
        <v>0.3</v>
      </c>
      <c r="H32" s="41">
        <f t="array" ref="H32">_xlfn.XLOOKUP(B32,'Up Max'!A:A,'Up Max'!B:B,)</f>
        <v>0.52</v>
      </c>
      <c r="I32" s="39" t="str">
        <f t="array" ref="I32">_xlfn.XLOOKUP(B32,'Up Stats'!A:A,'Up Stats'!C:C,)</f>
        <v>Damage</v>
      </c>
      <c r="J32" s="40" t="str">
        <f>IFERROR(__xludf.DUMMYFUNCTION("if(AND(K32=FALSE,L32=FALSE),,if(K32=L32,JOIN("""",""Static: "",K32),JOIN("""",""Min:  "",K32, CHAR(10),""Max: "",L32)))"),"Min:  -65%
Max: -45%")</f>
        <v>Min:  -65%
Max: -45%</v>
      </c>
      <c r="K32" s="41">
        <f t="array" ref="K32">_xlfn.XLOOKUP(B32,'Up Min'!A:A,'Up Min'!C:C,)</f>
        <v>-0.65</v>
      </c>
      <c r="L32" s="41">
        <f t="array" ref="L32">_xlfn.XLOOKUP(B32,'Up Max'!A:A,'Up Max'!C:C,)</f>
        <v>-0.45</v>
      </c>
      <c r="M32" s="39" t="str">
        <f t="array" ref="M32">_xlfn.XLOOKUP(B32,'Up Stats'!A:A,'Up Stats'!D:D,)</f>
        <v/>
      </c>
      <c r="N32" s="40" t="str">
        <f>IFERROR(__xludf.DUMMYFUNCTION("if(AND(O32=FALSE,P32=FALSE),,if(O32=P32,JOIN("""",""Static: "",O32),JOIN("""",""Min:  "",O32, CHAR(10),""Max: "",P32)))"),"")</f>
        <v/>
      </c>
      <c r="O32" s="42" t="str">
        <f t="array" ref="O32">_xlfn.XLOOKUP(B32,'Up Min'!A:A,'Up Min'!D:D,)</f>
        <v/>
      </c>
      <c r="P32" s="42" t="str">
        <f t="array" ref="P32">_xlfn.XLOOKUP(B32,'Up Max'!A:A,'Up Max'!D:D,)</f>
        <v/>
      </c>
      <c r="Q32" s="48" t="str">
        <f t="array" ref="Q32">_xlfn.XLOOKUP(B32,'Up Stats'!A:A,'Up Stats'!E:E,)</f>
        <v/>
      </c>
      <c r="R32" s="40" t="str">
        <f>IFERROR(__xludf.DUMMYFUNCTION("if(AND(S32=FALSE,T32=FALSE),,if(S32=T32,JOIN("""",""Static: "",S32),JOIN("""",""Min:  "",S32, CHAR(10),""Max: "",T32)))"),"")</f>
        <v/>
      </c>
      <c r="S32" s="42" t="str">
        <f t="array" ref="S32">_xlfn.XLOOKUP(B32,'Up Min'!A:A,'Up Min'!E:E,)</f>
        <v/>
      </c>
      <c r="T32" s="42" t="str">
        <f t="array" ref="T32">_xlfn.XLOOKUP(B32,'Up Max'!A:A,'Up Max'!E:E,)</f>
        <v/>
      </c>
      <c r="U32" s="48" t="str">
        <f t="array" ref="U32">_xlfn.XLOOKUP(B32,'Up Stats'!A:A,'Up Stats'!F:F,)</f>
        <v/>
      </c>
      <c r="V32" s="40" t="str">
        <f>IFERROR(__xludf.DUMMYFUNCTION("if(AND(W32=FALSE,X32=FALSE),,if(W32=X32,JOIN("""",""Static: "",W32),JOIN("""",""Min:  "",W32, CHAR(10),""Max: "",X32)))"),"")</f>
        <v/>
      </c>
      <c r="W32" s="42" t="str">
        <f t="array" ref="W32">_xlfn.XLOOKUP(B32,'Up Min'!A:A,'Up Min'!F:F,)</f>
        <v/>
      </c>
      <c r="X32" s="42" t="str">
        <f t="array" ref="X32">_xlfn.XLOOKUP(B32,'Up Max'!A:A,'Up Max'!F:F,)</f>
        <v/>
      </c>
      <c r="Y32" s="48" t="str">
        <f t="array" ref="Y32">_xlfn.XLOOKUP(B32,'Up Stats'!A:A,'Up Stats'!G:G,)</f>
        <v/>
      </c>
      <c r="Z32" s="40" t="str">
        <f>IFERROR(__xludf.DUMMYFUNCTION("if(AND(AA32=FALSE,AB32=FALSE),,if(AA32=AB32,JOIN("""",""Static: "",AA32),JOIN("""",""Min:  "",AA32, CHAR(10),""Max: "",AB32)))"),"")</f>
        <v/>
      </c>
      <c r="AA32" s="42" t="str">
        <f t="array" ref="AA32">_xlfn.XLOOKUP(B32,'Up Min'!A:A,'Up Min'!G:G,)</f>
        <v/>
      </c>
      <c r="AB32" s="42" t="str">
        <f t="array" ref="AB32">_xlfn.XLOOKUP(B32,'Up Max'!A:A,'Up Max'!G:G,)</f>
        <v/>
      </c>
      <c r="AC32" s="48" t="str">
        <f t="array" ref="AC32">_xlfn.XLOOKUP(B32,'Up Stats'!A:A,'Up Stats'!H:H,)</f>
        <v/>
      </c>
      <c r="AD32" s="40" t="str">
        <f>IFERROR(__xludf.DUMMYFUNCTION("if(AND(AE32=FALSE,AF32=FALSE),,if(AE32=AF32,JOIN("""",""Static: "",AE32),JOIN("""",""Min:  "",AE32, CHAR(10),""Max: "",AF32)))"),"")</f>
        <v/>
      </c>
      <c r="AE32" s="42" t="str">
        <f t="array" ref="AE32">_xlfn.XLOOKUP(B32,'Up Min'!A:A,'Up Min'!H:H,)</f>
        <v/>
      </c>
      <c r="AF32" s="42" t="str">
        <f t="array" ref="AF32">_xlfn.XLOOKUP(B32,'Up Max'!A:A,'Up Max'!H:H,)</f>
        <v/>
      </c>
      <c r="AG32" s="48" t="str">
        <f t="array" ref="AG32">_xlfn.XLOOKUP(B32,'Up Stats'!A:A,'Up Stats'!I:I,)</f>
        <v/>
      </c>
      <c r="AH32" s="40" t="str">
        <f>IFERROR(__xludf.DUMMYFUNCTION("if(AND(AI32=FALSE,AJ32=FALSE),,if(AI32=AJ32,JOIN("""",""Static: "",AI32),JOIN("""",""Min:  "",AI32, CHAR(10),""Max: "",AJ32)))"),"")</f>
        <v/>
      </c>
      <c r="AI32" s="42" t="str">
        <f t="array" ref="AI32">_xlfn.XLOOKUP(B32,'Up Min'!A:A,'Up Min'!I:I,)</f>
        <v/>
      </c>
      <c r="AJ32" s="42" t="str">
        <f t="array" ref="AJ32">_xlfn.XLOOKUP(B32,'Up Max'!A:A,'Up Max'!I:I,)</f>
        <v/>
      </c>
      <c r="AK32" s="48" t="str">
        <f t="array" ref="AK32">_xlfn.XLOOKUP(B32,'Up Stats'!A:A,'Up Stats'!J:J,)</f>
        <v/>
      </c>
      <c r="AL32" s="40" t="str">
        <f>IFERROR(__xludf.DUMMYFUNCTION("if(AND(AM32=FALSE,AN32=FALSE),,if(AM32=AN32,JOIN("""",""Static: "",AM32),JOIN("""",""Min:  "",AM32, CHAR(10),""Max: "",AN32)))"),"")</f>
        <v/>
      </c>
      <c r="AM32" s="42" t="str">
        <f t="array" ref="AM32">_xlfn.XLOOKUP(B32,'Up Min'!A:A,'Up Min'!J:J,)</f>
        <v/>
      </c>
      <c r="AN32" s="42" t="str">
        <f t="array" ref="AN32">_xlfn.XLOOKUP(B32,'Up Max'!A:A,'Up Max'!J:J,)</f>
        <v/>
      </c>
      <c r="AO32" s="34" t="str">
        <f t="array" ref="AO32">CONCATENATE(_xlfn.XLOOKUP(B32,'Up Cells'!A:A,'Up Cells'!B:B,))</f>
        <v>3</v>
      </c>
      <c r="AP32" s="58" t="str">
        <f t="array" ref="AP32">CONCATENATE(_xlfn.XLOOKUP(B32,'Up Rarity'!A:A,'Up Rarity'!B:B,),CHAR(10),"-")</f>
        <v>Standard
-</v>
      </c>
    </row>
    <row r="33">
      <c r="A33" s="84" t="str">
        <f t="array" ref="A33">_xlfn.XLOOKUP(B33,'Up Icon'!A:A,'Up Icon'!B:B,)</f>
        <v/>
      </c>
      <c r="B33" s="88" t="str">
        <f t="array" ref="B33">HYPERLINK(_xlfn.XLOOKUP('Up Names'!R31,'Up Wiki'!A:A,'Up Wiki'!B:B,),'Up Names'!R31)</f>
        <v>Frog Legs</v>
      </c>
      <c r="C33" s="52" t="str">
        <f t="array" ref="C33">_xlfn.XLOOKUP(B33,'Up Desc'!A:A,'Up Desc'!B:B,)</f>
        <v>Leap with more force when activating Nose Dive.</v>
      </c>
      <c r="D33" s="52" t="str">
        <f t="array" ref="D33">_xlfn.XLOOKUP(B33,'Up Turbo'!A:A,'Up Turbo'!B:B,)</f>
        <v>n/a</v>
      </c>
      <c r="E33" s="53" t="str">
        <f t="array" ref="E33">_xlfn.XLOOKUP(B33,'Up Stats'!A:A,'Up Stats'!B:B,)</f>
        <v>Leap Force</v>
      </c>
      <c r="F33" s="54" t="str">
        <f>IFERROR(__xludf.DUMMYFUNCTION("if(AND(G33=FALSE,H33=FALSE),,if(G33=H33,JOIN("""",""Static: "",G33),JOIN("""",""Min:  "",G33, CHAR(10),""Max: "",H33)))"),"Min:  10%
Max: 30%")</f>
        <v>Min:  10%
Max: 30%</v>
      </c>
      <c r="G33" s="59">
        <f t="array" ref="G33">_xlfn.XLOOKUP(B33,'Up Min'!A:A,'Up Min'!B:B,)</f>
        <v>0.1</v>
      </c>
      <c r="H33" s="59">
        <f t="array" ref="H33">_xlfn.XLOOKUP(B33,'Up Max'!A:A,'Up Max'!B:B,)</f>
        <v>0.3</v>
      </c>
      <c r="I33" s="53" t="str">
        <f t="array" ref="I33">_xlfn.XLOOKUP(B33,'Up Stats'!A:A,'Up Stats'!C:C,)</f>
        <v/>
      </c>
      <c r="J33" s="54" t="str">
        <f>IFERROR(__xludf.DUMMYFUNCTION("if(AND(K33=FALSE,L33=FALSE),,if(K33=L33,JOIN("""",""Static: "",K33),JOIN("""",""Min:  "",K33, CHAR(10),""Max: "",L33)))"),"")</f>
        <v/>
      </c>
      <c r="K33" s="72" t="str">
        <f t="array" ref="K33">_xlfn.XLOOKUP(B33,'Up Min'!A:A,'Up Min'!C:C,)</f>
        <v/>
      </c>
      <c r="L33" s="72" t="str">
        <f t="array" ref="L33">_xlfn.XLOOKUP(B33,'Up Max'!A:A,'Up Max'!C:C,)</f>
        <v/>
      </c>
      <c r="M33" s="57" t="str">
        <f t="array" ref="M33">_xlfn.XLOOKUP(B33,'Up Stats'!A:A,'Up Stats'!D:D,)</f>
        <v/>
      </c>
      <c r="N33" s="54" t="str">
        <f>IFERROR(__xludf.DUMMYFUNCTION("if(AND(O33=FALSE,P33=FALSE),,if(O33=P33,JOIN("""",""Static: "",O33),JOIN("""",""Min:  "",O33, CHAR(10),""Max: "",P33)))"),"")</f>
        <v/>
      </c>
      <c r="O33" s="55" t="str">
        <f t="array" ref="O33">_xlfn.XLOOKUP(B33,'Up Min'!A:A,'Up Min'!D:D,)</f>
        <v/>
      </c>
      <c r="P33" s="55" t="str">
        <f t="array" ref="P33">_xlfn.XLOOKUP(B33,'Up Max'!A:A,'Up Max'!D:D,)</f>
        <v/>
      </c>
      <c r="Q33" s="57" t="str">
        <f t="array" ref="Q33">_xlfn.XLOOKUP(B33,'Up Stats'!A:A,'Up Stats'!E:E,)</f>
        <v/>
      </c>
      <c r="R33" s="54" t="str">
        <f>IFERROR(__xludf.DUMMYFUNCTION("if(AND(S33=FALSE,T33=FALSE),,if(S33=T33,JOIN("""",""Static: "",S33),JOIN("""",""Min:  "",S33, CHAR(10),""Max: "",T33)))"),"")</f>
        <v/>
      </c>
      <c r="S33" s="55" t="str">
        <f t="array" ref="S33">_xlfn.XLOOKUP(B33,'Up Min'!A:A,'Up Min'!E:E,)</f>
        <v/>
      </c>
      <c r="T33" s="55" t="str">
        <f t="array" ref="T33">_xlfn.XLOOKUP(B33,'Up Max'!A:A,'Up Max'!E:E,)</f>
        <v/>
      </c>
      <c r="U33" s="57" t="str">
        <f t="array" ref="U33">_xlfn.XLOOKUP(B33,'Up Stats'!A:A,'Up Stats'!F:F,)</f>
        <v/>
      </c>
      <c r="V33" s="54" t="str">
        <f>IFERROR(__xludf.DUMMYFUNCTION("if(AND(W33=FALSE,X33=FALSE),,if(W33=X33,JOIN("""",""Static: "",W33),JOIN("""",""Min:  "",W33, CHAR(10),""Max: "",X33)))"),"")</f>
        <v/>
      </c>
      <c r="W33" s="55" t="str">
        <f t="array" ref="W33">_xlfn.XLOOKUP(B33,'Up Min'!A:A,'Up Min'!F:F,)</f>
        <v/>
      </c>
      <c r="X33" s="55" t="str">
        <f t="array" ref="X33">_xlfn.XLOOKUP(B33,'Up Max'!A:A,'Up Max'!F:F,)</f>
        <v/>
      </c>
      <c r="Y33" s="57" t="str">
        <f t="array" ref="Y33">_xlfn.XLOOKUP(B33,'Up Stats'!A:A,'Up Stats'!G:G,)</f>
        <v/>
      </c>
      <c r="Z33" s="54" t="str">
        <f>IFERROR(__xludf.DUMMYFUNCTION("if(AND(AA33=FALSE,AB33=FALSE),,if(AA33=AB33,JOIN("""",""Static: "",AA33),JOIN("""",""Min:  "",AA33, CHAR(10),""Max: "",AB33)))"),"")</f>
        <v/>
      </c>
      <c r="AA33" s="55" t="str">
        <f t="array" ref="AA33">_xlfn.XLOOKUP(B33,'Up Min'!A:A,'Up Min'!G:G,)</f>
        <v/>
      </c>
      <c r="AB33" s="55" t="str">
        <f t="array" ref="AB33">_xlfn.XLOOKUP(B33,'Up Max'!A:A,'Up Max'!G:G,)</f>
        <v/>
      </c>
      <c r="AC33" s="57" t="str">
        <f t="array" ref="AC33">_xlfn.XLOOKUP(B33,'Up Stats'!A:A,'Up Stats'!H:H,)</f>
        <v/>
      </c>
      <c r="AD33" s="54" t="str">
        <f>IFERROR(__xludf.DUMMYFUNCTION("if(AND(AE33=FALSE,AF33=FALSE),,if(AE33=AF33,JOIN("""",""Static: "",AE33),JOIN("""",""Min:  "",AE33, CHAR(10),""Max: "",AF33)))"),"")</f>
        <v/>
      </c>
      <c r="AE33" s="55" t="str">
        <f t="array" ref="AE33">_xlfn.XLOOKUP(B33,'Up Min'!A:A,'Up Min'!H:H,)</f>
        <v/>
      </c>
      <c r="AF33" s="55" t="str">
        <f t="array" ref="AF33">_xlfn.XLOOKUP(B33,'Up Max'!A:A,'Up Max'!H:H,)</f>
        <v/>
      </c>
      <c r="AG33" s="57" t="str">
        <f t="array" ref="AG33">_xlfn.XLOOKUP(B33,'Up Stats'!A:A,'Up Stats'!I:I,)</f>
        <v/>
      </c>
      <c r="AH33" s="54" t="str">
        <f>IFERROR(__xludf.DUMMYFUNCTION("if(AND(AI33=FALSE,AJ33=FALSE),,if(AI33=AJ33,JOIN("""",""Static: "",AI33),JOIN("""",""Min:  "",AI33, CHAR(10),""Max: "",AJ33)))"),"")</f>
        <v/>
      </c>
      <c r="AI33" s="55" t="str">
        <f t="array" ref="AI33">_xlfn.XLOOKUP(B33,'Up Min'!A:A,'Up Min'!I:I,)</f>
        <v/>
      </c>
      <c r="AJ33" s="55" t="str">
        <f t="array" ref="AJ33">_xlfn.XLOOKUP(B33,'Up Max'!A:A,'Up Max'!I:I,)</f>
        <v/>
      </c>
      <c r="AK33" s="57" t="str">
        <f t="array" ref="AK33">_xlfn.XLOOKUP(B33,'Up Stats'!A:A,'Up Stats'!J:J,)</f>
        <v/>
      </c>
      <c r="AL33" s="54" t="str">
        <f>IFERROR(__xludf.DUMMYFUNCTION("if(AND(AM33=FALSE,AN33=FALSE),,if(AM33=AN33,JOIN("""",""Static: "",AM33),JOIN("""",""Min:  "",AM33, CHAR(10),""Max: "",AN33)))"),"")</f>
        <v/>
      </c>
      <c r="AM33" s="55" t="str">
        <f t="array" ref="AM33">_xlfn.XLOOKUP(B33,'Up Min'!A:A,'Up Min'!J:J,)</f>
        <v/>
      </c>
      <c r="AN33" s="55" t="str">
        <f t="array" ref="AN33">_xlfn.XLOOKUP(B33,'Up Max'!A:A,'Up Max'!J:J,)</f>
        <v/>
      </c>
      <c r="AO33" s="51" t="str">
        <f t="array" ref="AO33">CONCATENATE(_xlfn.XLOOKUP(B33,'Up Cells'!A:A,'Up Cells'!B:B,))</f>
        <v>3</v>
      </c>
      <c r="AP33" s="61" t="str">
        <f t="array" ref="AP33">CONCATENATE(_xlfn.XLOOKUP(B33,'Up Rarity'!A:A,'Up Rarity'!B:B,),CHAR(10),"-")</f>
        <v>Standard
-</v>
      </c>
    </row>
    <row r="34">
      <c r="A34" s="84" t="str">
        <f t="array" ref="A34">_xlfn.XLOOKUP(B34,'Up Icon'!A:A,'Up Icon'!B:B,)</f>
        <v/>
      </c>
      <c r="B34" s="89" t="str">
        <f t="array" ref="B34">HYPERLINK(_xlfn.XLOOKUP('Up Names'!R32,'Up Wiki'!A:A,'Up Wiki'!B:B,),'Up Names'!R32)</f>
        <v>Get Off Me</v>
      </c>
      <c r="C34" s="37" t="str">
        <f t="array" ref="C34">_xlfn.XLOOKUP(B34,'Up Desc'!A:A,'Up Desc'!B:B,)</f>
        <v>Nose Dive pushes targets away from you.</v>
      </c>
      <c r="D34" s="37" t="str">
        <f t="array" ref="D34">_xlfn.XLOOKUP(B34,'Up Turbo'!A:A,'Up Turbo'!B:B,)</f>
        <v>n/a</v>
      </c>
      <c r="E34" s="39" t="str">
        <f t="array" ref="E34">_xlfn.XLOOKUP(B34,'Up Stats'!A:A,'Up Stats'!B:B,)</f>
        <v>Outward Force</v>
      </c>
      <c r="F34" s="40" t="str">
        <f>IFERROR(__xludf.DUMMYFUNCTION("if(AND(G34=FALSE,H34=FALSE),,if(G34=H34,JOIN("""",""Static: "",G34),JOIN("""",""Min:  "",G34, CHAR(10),""Max: "",H34)))"),"Min:  6
Max: 9")</f>
        <v>Min:  6
Max: 9</v>
      </c>
      <c r="G34" s="69">
        <f t="array" ref="G34">_xlfn.XLOOKUP(B34,'Up Min'!A:A,'Up Min'!B:B,)</f>
        <v>6</v>
      </c>
      <c r="H34" s="68">
        <f t="array" ref="H34">_xlfn.XLOOKUP(B34,'Up Max'!A:A,'Up Max'!B:B,)</f>
        <v>9</v>
      </c>
      <c r="I34" s="39" t="str">
        <f t="array" ref="I34">_xlfn.XLOOKUP(B34,'Up Stats'!A:A,'Up Stats'!C:C,)</f>
        <v/>
      </c>
      <c r="J34" s="40" t="str">
        <f>IFERROR(__xludf.DUMMYFUNCTION("if(AND(K34=FALSE,L34=FALSE),,if(K34=L34,JOIN("""",""Static: "",K34),JOIN("""",""Min:  "",K34, CHAR(10),""Max: "",L34)))"),"")</f>
        <v/>
      </c>
      <c r="K34" s="74" t="str">
        <f t="array" ref="K34">_xlfn.XLOOKUP(B34,'Up Min'!A:A,'Up Min'!C:C,)</f>
        <v/>
      </c>
      <c r="L34" s="74" t="str">
        <f t="array" ref="L34">_xlfn.XLOOKUP(B34,'Up Max'!A:A,'Up Max'!C:C,)</f>
        <v/>
      </c>
      <c r="M34" s="48" t="str">
        <f t="array" ref="M34">_xlfn.XLOOKUP(B34,'Up Stats'!A:A,'Up Stats'!D:D,)</f>
        <v/>
      </c>
      <c r="N34" s="40" t="str">
        <f>IFERROR(__xludf.DUMMYFUNCTION("if(AND(O34=FALSE,P34=FALSE),,if(O34=P34,JOIN("""",""Static: "",O34),JOIN("""",""Min:  "",O34, CHAR(10),""Max: "",P34)))"),"")</f>
        <v/>
      </c>
      <c r="O34" s="42" t="str">
        <f t="array" ref="O34">_xlfn.XLOOKUP(B34,'Up Min'!A:A,'Up Min'!D:D,)</f>
        <v/>
      </c>
      <c r="P34" s="42" t="str">
        <f t="array" ref="P34">_xlfn.XLOOKUP(B34,'Up Max'!A:A,'Up Max'!D:D,)</f>
        <v/>
      </c>
      <c r="Q34" s="48" t="str">
        <f t="array" ref="Q34">_xlfn.XLOOKUP(B34,'Up Stats'!A:A,'Up Stats'!E:E,)</f>
        <v/>
      </c>
      <c r="R34" s="40" t="str">
        <f>IFERROR(__xludf.DUMMYFUNCTION("if(AND(S34=FALSE,T34=FALSE),,if(S34=T34,JOIN("""",""Static: "",S34),JOIN("""",""Min:  "",S34, CHAR(10),""Max: "",T34)))"),"")</f>
        <v/>
      </c>
      <c r="S34" s="42" t="str">
        <f t="array" ref="S34">_xlfn.XLOOKUP(B34,'Up Min'!A:A,'Up Min'!E:E,)</f>
        <v/>
      </c>
      <c r="T34" s="42" t="str">
        <f t="array" ref="T34">_xlfn.XLOOKUP(B34,'Up Max'!A:A,'Up Max'!E:E,)</f>
        <v/>
      </c>
      <c r="U34" s="48" t="str">
        <f t="array" ref="U34">_xlfn.XLOOKUP(B34,'Up Stats'!A:A,'Up Stats'!F:F,)</f>
        <v/>
      </c>
      <c r="V34" s="40" t="str">
        <f>IFERROR(__xludf.DUMMYFUNCTION("if(AND(W34=FALSE,X34=FALSE),,if(W34=X34,JOIN("""",""Static: "",W34),JOIN("""",""Min:  "",W34, CHAR(10),""Max: "",X34)))"),"")</f>
        <v/>
      </c>
      <c r="W34" s="42" t="str">
        <f t="array" ref="W34">_xlfn.XLOOKUP(B34,'Up Min'!A:A,'Up Min'!F:F,)</f>
        <v/>
      </c>
      <c r="X34" s="42" t="str">
        <f t="array" ref="X34">_xlfn.XLOOKUP(B34,'Up Max'!A:A,'Up Max'!F:F,)</f>
        <v/>
      </c>
      <c r="Y34" s="48" t="str">
        <f t="array" ref="Y34">_xlfn.XLOOKUP(B34,'Up Stats'!A:A,'Up Stats'!G:G,)</f>
        <v/>
      </c>
      <c r="Z34" s="40" t="str">
        <f>IFERROR(__xludf.DUMMYFUNCTION("if(AND(AA34=FALSE,AB34=FALSE),,if(AA34=AB34,JOIN("""",""Static: "",AA34),JOIN("""",""Min:  "",AA34, CHAR(10),""Max: "",AB34)))"),"")</f>
        <v/>
      </c>
      <c r="AA34" s="42" t="str">
        <f t="array" ref="AA34">_xlfn.XLOOKUP(B34,'Up Min'!A:A,'Up Min'!G:G,)</f>
        <v/>
      </c>
      <c r="AB34" s="42" t="str">
        <f t="array" ref="AB34">_xlfn.XLOOKUP(B34,'Up Max'!A:A,'Up Max'!G:G,)</f>
        <v/>
      </c>
      <c r="AC34" s="48" t="str">
        <f t="array" ref="AC34">_xlfn.XLOOKUP(B34,'Up Stats'!A:A,'Up Stats'!H:H,)</f>
        <v/>
      </c>
      <c r="AD34" s="40" t="str">
        <f>IFERROR(__xludf.DUMMYFUNCTION("if(AND(AE34=FALSE,AF34=FALSE),,if(AE34=AF34,JOIN("""",""Static: "",AE34),JOIN("""",""Min:  "",AE34, CHAR(10),""Max: "",AF34)))"),"")</f>
        <v/>
      </c>
      <c r="AE34" s="42" t="str">
        <f t="array" ref="AE34">_xlfn.XLOOKUP(B34,'Up Min'!A:A,'Up Min'!H:H,)</f>
        <v/>
      </c>
      <c r="AF34" s="42" t="str">
        <f t="array" ref="AF34">_xlfn.XLOOKUP(B34,'Up Max'!A:A,'Up Max'!H:H,)</f>
        <v/>
      </c>
      <c r="AG34" s="48" t="str">
        <f t="array" ref="AG34">_xlfn.XLOOKUP(B34,'Up Stats'!A:A,'Up Stats'!I:I,)</f>
        <v/>
      </c>
      <c r="AH34" s="40" t="str">
        <f>IFERROR(__xludf.DUMMYFUNCTION("if(AND(AI34=FALSE,AJ34=FALSE),,if(AI34=AJ34,JOIN("""",""Static: "",AI34),JOIN("""",""Min:  "",AI34, CHAR(10),""Max: "",AJ34)))"),"")</f>
        <v/>
      </c>
      <c r="AI34" s="42" t="str">
        <f t="array" ref="AI34">_xlfn.XLOOKUP(B34,'Up Min'!A:A,'Up Min'!I:I,)</f>
        <v/>
      </c>
      <c r="AJ34" s="42" t="str">
        <f t="array" ref="AJ34">_xlfn.XLOOKUP(B34,'Up Max'!A:A,'Up Max'!I:I,)</f>
        <v/>
      </c>
      <c r="AK34" s="48" t="str">
        <f t="array" ref="AK34">_xlfn.XLOOKUP(B34,'Up Stats'!A:A,'Up Stats'!J:J,)</f>
        <v/>
      </c>
      <c r="AL34" s="40" t="str">
        <f>IFERROR(__xludf.DUMMYFUNCTION("if(AND(AM34=FALSE,AN34=FALSE),,if(AM34=AN34,JOIN("""",""Static: "",AM34),JOIN("""",""Min:  "",AM34, CHAR(10),""Max: "",AN34)))"),"")</f>
        <v/>
      </c>
      <c r="AM34" s="42" t="str">
        <f t="array" ref="AM34">_xlfn.XLOOKUP(B34,'Up Min'!A:A,'Up Min'!J:J,)</f>
        <v/>
      </c>
      <c r="AN34" s="42" t="str">
        <f t="array" ref="AN34">_xlfn.XLOOKUP(B34,'Up Max'!A:A,'Up Max'!J:J,)</f>
        <v/>
      </c>
      <c r="AO34" s="34" t="str">
        <f t="array" ref="AO34">CONCATENATE(_xlfn.XLOOKUP(B34,'Up Cells'!A:A,'Up Cells'!B:B,))</f>
        <v>4</v>
      </c>
      <c r="AP34" s="58" t="str">
        <f t="array" ref="AP34">CONCATENATE(_xlfn.XLOOKUP(B34,'Up Rarity'!A:A,'Up Rarity'!B:B,),CHAR(10),"-")</f>
        <v>Standard
-</v>
      </c>
    </row>
    <row r="35">
      <c r="A35" s="84" t="str">
        <f t="array" ref="A35">_xlfn.XLOOKUP(B35,'Up Icon'!A:A,'Up Icon'!B:B,)</f>
        <v/>
      </c>
      <c r="B35" s="88" t="str">
        <f t="array" ref="B35">HYPERLINK(_xlfn.XLOOKUP('Up Names'!R33,'Up Wiki'!A:A,'Up Wiki'!B:B,),'Up Names'!R33)</f>
        <v>Sophisticated Task Manager</v>
      </c>
      <c r="C35" s="52" t="str">
        <f t="array" ref="C35">_xlfn.XLOOKUP(B35,'Up Desc'!A:A,'Up Desc'!B:B,)</f>
        <v>Nose Dive cooldown is reduced.</v>
      </c>
      <c r="D35" s="52" t="str">
        <f t="array" ref="D35">_xlfn.XLOOKUP(B35,'Up Turbo'!A:A,'Up Turbo'!B:B,)</f>
        <v>n/a</v>
      </c>
      <c r="E35" s="53" t="str">
        <f t="array" ref="E35">_xlfn.XLOOKUP(B35,'Up Stats'!A:A,'Up Stats'!B:B,)</f>
        <v>Recharge Speed</v>
      </c>
      <c r="F35" s="54" t="str">
        <f>IFERROR(__xludf.DUMMYFUNCTION("if(AND(G35=FALSE,H35=FALSE),,if(G35=H35,JOIN("""",""Static: "",G35),JOIN("""",""Min:  "",G35, CHAR(10),""Max: "",H35)))"),"Min:  11.11%
Max: 5.26%")</f>
        <v>Min:  11.11%
Max: 5.26%</v>
      </c>
      <c r="G35" s="71">
        <f t="array" ref="G35">_xlfn.XLOOKUP(B35,'Up Min'!A:A,'Up Min'!B:B,)</f>
        <v>0.1111</v>
      </c>
      <c r="H35" s="71">
        <f t="array" ref="H35">_xlfn.XLOOKUP(B35,'Up Max'!A:A,'Up Max'!B:B,)</f>
        <v>0.0526</v>
      </c>
      <c r="I35" s="53" t="str">
        <f t="array" ref="I35">_xlfn.XLOOKUP(B35,'Up Stats'!A:A,'Up Stats'!C:C,)</f>
        <v/>
      </c>
      <c r="J35" s="54" t="str">
        <f>IFERROR(__xludf.DUMMYFUNCTION("if(AND(K35=FALSE,L35=FALSE),,if(K35=L35,JOIN("""",""Static: "",K35),JOIN("""",""Min:  "",K35, CHAR(10),""Max: "",L35)))"),"")</f>
        <v/>
      </c>
      <c r="K35" s="72" t="str">
        <f t="array" ref="K35">_xlfn.XLOOKUP(B35,'Up Min'!A:A,'Up Min'!C:C,)</f>
        <v/>
      </c>
      <c r="L35" s="72" t="str">
        <f t="array" ref="L35">_xlfn.XLOOKUP(B35,'Up Max'!A:A,'Up Max'!C:C,)</f>
        <v/>
      </c>
      <c r="M35" s="57" t="str">
        <f t="array" ref="M35">_xlfn.XLOOKUP(B35,'Up Stats'!A:A,'Up Stats'!D:D,)</f>
        <v/>
      </c>
      <c r="N35" s="54" t="str">
        <f>IFERROR(__xludf.DUMMYFUNCTION("if(AND(O35=FALSE,P35=FALSE),,if(O35=P35,JOIN("""",""Static: "",O35),JOIN("""",""Min:  "",O35, CHAR(10),""Max: "",P35)))"),"")</f>
        <v/>
      </c>
      <c r="O35" s="55" t="str">
        <f t="array" ref="O35">_xlfn.XLOOKUP(B35,'Up Min'!A:A,'Up Min'!D:D,)</f>
        <v/>
      </c>
      <c r="P35" s="55" t="str">
        <f t="array" ref="P35">_xlfn.XLOOKUP(B35,'Up Max'!A:A,'Up Max'!D:D,)</f>
        <v/>
      </c>
      <c r="Q35" s="57" t="str">
        <f t="array" ref="Q35">_xlfn.XLOOKUP(B35,'Up Stats'!A:A,'Up Stats'!E:E,)</f>
        <v/>
      </c>
      <c r="R35" s="54" t="str">
        <f>IFERROR(__xludf.DUMMYFUNCTION("if(AND(S35=FALSE,T35=FALSE),,if(S35=T35,JOIN("""",""Static: "",S35),JOIN("""",""Min:  "",S35, CHAR(10),""Max: "",T35)))"),"")</f>
        <v/>
      </c>
      <c r="S35" s="55" t="str">
        <f t="array" ref="S35">_xlfn.XLOOKUP(B35,'Up Min'!A:A,'Up Min'!E:E,)</f>
        <v/>
      </c>
      <c r="T35" s="55" t="str">
        <f t="array" ref="T35">_xlfn.XLOOKUP(B35,'Up Max'!A:A,'Up Max'!E:E,)</f>
        <v/>
      </c>
      <c r="U35" s="57" t="str">
        <f t="array" ref="U35">_xlfn.XLOOKUP(B35,'Up Stats'!A:A,'Up Stats'!F:F,)</f>
        <v/>
      </c>
      <c r="V35" s="54" t="str">
        <f>IFERROR(__xludf.DUMMYFUNCTION("if(AND(W35=FALSE,X35=FALSE),,if(W35=X35,JOIN("""",""Static: "",W35),JOIN("""",""Min:  "",W35, CHAR(10),""Max: "",X35)))"),"")</f>
        <v/>
      </c>
      <c r="W35" s="55" t="str">
        <f t="array" ref="W35">_xlfn.XLOOKUP(B35,'Up Min'!A:A,'Up Min'!F:F,)</f>
        <v/>
      </c>
      <c r="X35" s="55" t="str">
        <f t="array" ref="X35">_xlfn.XLOOKUP(B35,'Up Max'!A:A,'Up Max'!F:F,)</f>
        <v/>
      </c>
      <c r="Y35" s="57" t="str">
        <f t="array" ref="Y35">_xlfn.XLOOKUP(B35,'Up Stats'!A:A,'Up Stats'!G:G,)</f>
        <v/>
      </c>
      <c r="Z35" s="54" t="str">
        <f>IFERROR(__xludf.DUMMYFUNCTION("if(AND(AA35=FALSE,AB35=FALSE),,if(AA35=AB35,JOIN("""",""Static: "",AA35),JOIN("""",""Min:  "",AA35, CHAR(10),""Max: "",AB35)))"),"")</f>
        <v/>
      </c>
      <c r="AA35" s="55" t="str">
        <f t="array" ref="AA35">_xlfn.XLOOKUP(B35,'Up Min'!A:A,'Up Min'!G:G,)</f>
        <v/>
      </c>
      <c r="AB35" s="55" t="str">
        <f t="array" ref="AB35">_xlfn.XLOOKUP(B35,'Up Max'!A:A,'Up Max'!G:G,)</f>
        <v/>
      </c>
      <c r="AC35" s="57" t="str">
        <f t="array" ref="AC35">_xlfn.XLOOKUP(B35,'Up Stats'!A:A,'Up Stats'!H:H,)</f>
        <v/>
      </c>
      <c r="AD35" s="54" t="str">
        <f>IFERROR(__xludf.DUMMYFUNCTION("if(AND(AE35=FALSE,AF35=FALSE),,if(AE35=AF35,JOIN("""",""Static: "",AE35),JOIN("""",""Min:  "",AE35, CHAR(10),""Max: "",AF35)))"),"")</f>
        <v/>
      </c>
      <c r="AE35" s="55" t="str">
        <f t="array" ref="AE35">_xlfn.XLOOKUP(B35,'Up Min'!A:A,'Up Min'!H:H,)</f>
        <v/>
      </c>
      <c r="AF35" s="55" t="str">
        <f t="array" ref="AF35">_xlfn.XLOOKUP(B35,'Up Max'!A:A,'Up Max'!H:H,)</f>
        <v/>
      </c>
      <c r="AG35" s="57" t="str">
        <f t="array" ref="AG35">_xlfn.XLOOKUP(B35,'Up Stats'!A:A,'Up Stats'!I:I,)</f>
        <v/>
      </c>
      <c r="AH35" s="54" t="str">
        <f>IFERROR(__xludf.DUMMYFUNCTION("if(AND(AI35=FALSE,AJ35=FALSE),,if(AI35=AJ35,JOIN("""",""Static: "",AI35),JOIN("""",""Min:  "",AI35, CHAR(10),""Max: "",AJ35)))"),"")</f>
        <v/>
      </c>
      <c r="AI35" s="55" t="str">
        <f t="array" ref="AI35">_xlfn.XLOOKUP(B35,'Up Min'!A:A,'Up Min'!I:I,)</f>
        <v/>
      </c>
      <c r="AJ35" s="55" t="str">
        <f t="array" ref="AJ35">_xlfn.XLOOKUP(B35,'Up Max'!A:A,'Up Max'!I:I,)</f>
        <v/>
      </c>
      <c r="AK35" s="57" t="str">
        <f t="array" ref="AK35">_xlfn.XLOOKUP(B35,'Up Stats'!A:A,'Up Stats'!J:J,)</f>
        <v/>
      </c>
      <c r="AL35" s="54" t="str">
        <f>IFERROR(__xludf.DUMMYFUNCTION("if(AND(AM35=FALSE,AN35=FALSE),,if(AM35=AN35,JOIN("""",""Static: "",AM35),JOIN("""",""Min:  "",AM35, CHAR(10),""Max: "",AN35)))"),"")</f>
        <v/>
      </c>
      <c r="AM35" s="55" t="str">
        <f t="array" ref="AM35">_xlfn.XLOOKUP(B35,'Up Min'!A:A,'Up Min'!J:J,)</f>
        <v/>
      </c>
      <c r="AN35" s="55" t="str">
        <f t="array" ref="AN35">_xlfn.XLOOKUP(B35,'Up Max'!A:A,'Up Max'!J:J,)</f>
        <v/>
      </c>
      <c r="AO35" s="51" t="str">
        <f t="array" ref="AO35">CONCATENATE(_xlfn.XLOOKUP(B35,'Up Cells'!A:A,'Up Cells'!B:B,))</f>
        <v>3</v>
      </c>
      <c r="AP35" s="61" t="str">
        <f t="array" ref="AP35">CONCATENATE(_xlfn.XLOOKUP(B35,'Up Rarity'!A:A,'Up Rarity'!B:B,),CHAR(10),"-")</f>
        <v>Standard
-</v>
      </c>
    </row>
    <row r="36">
      <c r="A36" s="84" t="str">
        <f t="array" ref="A36">_xlfn.XLOOKUP(B36,'Up Icon'!A:A,'Up Icon'!B:B,)</f>
        <v/>
      </c>
      <c r="B36" s="89" t="str">
        <f t="array" ref="B36">HYPERLINK(_xlfn.XLOOKUP('Up Names'!R34,'Up Wiki'!A:A,'Up Wiki'!B:B,),'Up Names'!R34)</f>
        <v>Thermal Paste</v>
      </c>
      <c r="C36" s="37" t="str">
        <f t="array" ref="C36">_xlfn.XLOOKUP(B36,'Up Desc'!A:A,'Up Desc'!B:B,)</f>
        <v>Shield Projector cooldown is reduced.</v>
      </c>
      <c r="D36" s="37" t="str">
        <f t="array" ref="D36">_xlfn.XLOOKUP(B36,'Up Turbo'!A:A,'Up Turbo'!B:B,)</f>
        <v>n/a</v>
      </c>
      <c r="E36" s="39" t="str">
        <f t="array" ref="E36">_xlfn.XLOOKUP(B36,'Up Stats'!A:A,'Up Stats'!B:B,)</f>
        <v>Recharge Speed</v>
      </c>
      <c r="F36" s="40" t="str">
        <f>IFERROR(__xludf.DUMMYFUNCTION("if(AND(G36=FALSE,H36=FALSE),,if(G36=H36,JOIN("""",""Static: "",G36),JOIN("""",""Min:  "",G36, CHAR(10),""Max: "",H36)))"),"Min:  12.36%
Max: 6.38%")</f>
        <v>Min:  12.36%
Max: 6.38%</v>
      </c>
      <c r="G36" s="78">
        <f t="array" ref="G36">_xlfn.XLOOKUP(B36,'Up Min'!A:A,'Up Min'!B:B,)</f>
        <v>0.1236</v>
      </c>
      <c r="H36" s="78">
        <f t="array" ref="H36">_xlfn.XLOOKUP(B36,'Up Max'!A:A,'Up Max'!B:B,)</f>
        <v>0.0638</v>
      </c>
      <c r="I36" s="39" t="str">
        <f t="array" ref="I36">_xlfn.XLOOKUP(B36,'Up Stats'!A:A,'Up Stats'!C:C,)</f>
        <v/>
      </c>
      <c r="J36" s="40" t="str">
        <f>IFERROR(__xludf.DUMMYFUNCTION("if(AND(K36=FALSE,L36=FALSE),,if(K36=L36,JOIN("""",""Static: "",K36),JOIN("""",""Min:  "",K36, CHAR(10),""Max: "",L36)))"),"")</f>
        <v/>
      </c>
      <c r="K36" s="74" t="str">
        <f t="array" ref="K36">_xlfn.XLOOKUP(B36,'Up Min'!A:A,'Up Min'!C:C,)</f>
        <v/>
      </c>
      <c r="L36" s="74" t="str">
        <f t="array" ref="L36">_xlfn.XLOOKUP(B36,'Up Max'!A:A,'Up Max'!C:C,)</f>
        <v/>
      </c>
      <c r="M36" s="48" t="str">
        <f t="array" ref="M36">_xlfn.XLOOKUP(B36,'Up Stats'!A:A,'Up Stats'!D:D,)</f>
        <v/>
      </c>
      <c r="N36" s="40" t="str">
        <f>IFERROR(__xludf.DUMMYFUNCTION("if(AND(O36=FALSE,P36=FALSE),,if(O36=P36,JOIN("""",""Static: "",O36),JOIN("""",""Min:  "",O36, CHAR(10),""Max: "",P36)))"),"")</f>
        <v/>
      </c>
      <c r="O36" s="42" t="str">
        <f t="array" ref="O36">_xlfn.XLOOKUP(B36,'Up Min'!A:A,'Up Min'!D:D,)</f>
        <v/>
      </c>
      <c r="P36" s="42" t="str">
        <f t="array" ref="P36">_xlfn.XLOOKUP(B36,'Up Max'!A:A,'Up Max'!D:D,)</f>
        <v/>
      </c>
      <c r="Q36" s="48" t="str">
        <f t="array" ref="Q36">_xlfn.XLOOKUP(B36,'Up Stats'!A:A,'Up Stats'!E:E,)</f>
        <v/>
      </c>
      <c r="R36" s="40" t="str">
        <f>IFERROR(__xludf.DUMMYFUNCTION("if(AND(S36=FALSE,T36=FALSE),,if(S36=T36,JOIN("""",""Static: "",S36),JOIN("""",""Min:  "",S36, CHAR(10),""Max: "",T36)))"),"")</f>
        <v/>
      </c>
      <c r="S36" s="42" t="str">
        <f t="array" ref="S36">_xlfn.XLOOKUP(B36,'Up Min'!A:A,'Up Min'!E:E,)</f>
        <v/>
      </c>
      <c r="T36" s="42" t="str">
        <f t="array" ref="T36">_xlfn.XLOOKUP(B36,'Up Max'!A:A,'Up Max'!E:E,)</f>
        <v/>
      </c>
      <c r="U36" s="48" t="str">
        <f t="array" ref="U36">_xlfn.XLOOKUP(B36,'Up Stats'!A:A,'Up Stats'!F:F,)</f>
        <v/>
      </c>
      <c r="V36" s="40" t="str">
        <f>IFERROR(__xludf.DUMMYFUNCTION("if(AND(W36=FALSE,X36=FALSE),,if(W36=X36,JOIN("""",""Static: "",W36),JOIN("""",""Min:  "",W36, CHAR(10),""Max: "",X36)))"),"")</f>
        <v/>
      </c>
      <c r="W36" s="42" t="str">
        <f t="array" ref="W36">_xlfn.XLOOKUP(B36,'Up Min'!A:A,'Up Min'!F:F,)</f>
        <v/>
      </c>
      <c r="X36" s="42" t="str">
        <f t="array" ref="X36">_xlfn.XLOOKUP(B36,'Up Max'!A:A,'Up Max'!F:F,)</f>
        <v/>
      </c>
      <c r="Y36" s="48" t="str">
        <f t="array" ref="Y36">_xlfn.XLOOKUP(B36,'Up Stats'!A:A,'Up Stats'!G:G,)</f>
        <v/>
      </c>
      <c r="Z36" s="40" t="str">
        <f>IFERROR(__xludf.DUMMYFUNCTION("if(AND(AA36=FALSE,AB36=FALSE),,if(AA36=AB36,JOIN("""",""Static: "",AA36),JOIN("""",""Min:  "",AA36, CHAR(10),""Max: "",AB36)))"),"")</f>
        <v/>
      </c>
      <c r="AA36" s="42" t="str">
        <f t="array" ref="AA36">_xlfn.XLOOKUP(B36,'Up Min'!A:A,'Up Min'!G:G,)</f>
        <v/>
      </c>
      <c r="AB36" s="42" t="str">
        <f t="array" ref="AB36">_xlfn.XLOOKUP(B36,'Up Max'!A:A,'Up Max'!G:G,)</f>
        <v/>
      </c>
      <c r="AC36" s="48" t="str">
        <f t="array" ref="AC36">_xlfn.XLOOKUP(B36,'Up Stats'!A:A,'Up Stats'!H:H,)</f>
        <v/>
      </c>
      <c r="AD36" s="40" t="str">
        <f>IFERROR(__xludf.DUMMYFUNCTION("if(AND(AE36=FALSE,AF36=FALSE),,if(AE36=AF36,JOIN("""",""Static: "",AE36),JOIN("""",""Min:  "",AE36, CHAR(10),""Max: "",AF36)))"),"")</f>
        <v/>
      </c>
      <c r="AE36" s="42" t="str">
        <f t="array" ref="AE36">_xlfn.XLOOKUP(B36,'Up Min'!A:A,'Up Min'!H:H,)</f>
        <v/>
      </c>
      <c r="AF36" s="42" t="str">
        <f t="array" ref="AF36">_xlfn.XLOOKUP(B36,'Up Max'!A:A,'Up Max'!H:H,)</f>
        <v/>
      </c>
      <c r="AG36" s="48" t="str">
        <f t="array" ref="AG36">_xlfn.XLOOKUP(B36,'Up Stats'!A:A,'Up Stats'!I:I,)</f>
        <v/>
      </c>
      <c r="AH36" s="40" t="str">
        <f>IFERROR(__xludf.DUMMYFUNCTION("if(AND(AI36=FALSE,AJ36=FALSE),,if(AI36=AJ36,JOIN("""",""Static: "",AI36),JOIN("""",""Min:  "",AI36, CHAR(10),""Max: "",AJ36)))"),"")</f>
        <v/>
      </c>
      <c r="AI36" s="42" t="str">
        <f t="array" ref="AI36">_xlfn.XLOOKUP(B36,'Up Min'!A:A,'Up Min'!I:I,)</f>
        <v/>
      </c>
      <c r="AJ36" s="42" t="str">
        <f t="array" ref="AJ36">_xlfn.XLOOKUP(B36,'Up Max'!A:A,'Up Max'!I:I,)</f>
        <v/>
      </c>
      <c r="AK36" s="48" t="str">
        <f t="array" ref="AK36">_xlfn.XLOOKUP(B36,'Up Stats'!A:A,'Up Stats'!J:J,)</f>
        <v/>
      </c>
      <c r="AL36" s="40" t="str">
        <f>IFERROR(__xludf.DUMMYFUNCTION("if(AND(AM36=FALSE,AN36=FALSE),,if(AM36=AN36,JOIN("""",""Static: "",AM36),JOIN("""",""Min:  "",AM36, CHAR(10),""Max: "",AN36)))"),"")</f>
        <v/>
      </c>
      <c r="AM36" s="42" t="str">
        <f t="array" ref="AM36">_xlfn.XLOOKUP(B36,'Up Min'!A:A,'Up Min'!J:J,)</f>
        <v/>
      </c>
      <c r="AN36" s="42" t="str">
        <f t="array" ref="AN36">_xlfn.XLOOKUP(B36,'Up Max'!A:A,'Up Max'!J:J,)</f>
        <v/>
      </c>
      <c r="AO36" s="34" t="str">
        <f t="array" ref="AO36">CONCATENATE(_xlfn.XLOOKUP(B36,'Up Cells'!A:A,'Up Cells'!B:B,))</f>
        <v>3</v>
      </c>
      <c r="AP36" s="58" t="str">
        <f t="array" ref="AP36">CONCATENATE(_xlfn.XLOOKUP(B36,'Up Rarity'!A:A,'Up Rarity'!B:B,),CHAR(10),"-")</f>
        <v>Standard
-</v>
      </c>
    </row>
    <row r="37">
      <c r="A37" s="86" t="str">
        <f t="array" ref="A37">_xlfn.XLOOKUP(B37,'Up Icon'!A:A,'Up Icon'!B:B,)</f>
        <v/>
      </c>
      <c r="B37" s="61" t="str">
        <f t="array" ref="B37">HYPERLINK(_xlfn.XLOOKUP('Up Names'!R37,'Up Wiki'!A:A,'Up Wiki'!B:B,),'Up Names'!R37)</f>
        <v/>
      </c>
      <c r="C37" s="52" t="str">
        <f t="array" ref="C37">_xlfn.XLOOKUP(B37,'Up Desc'!A:A,'Up Desc'!B:B,)</f>
        <v/>
      </c>
      <c r="D37" s="52" t="str">
        <f t="array" ref="D37">_xlfn.XLOOKUP(B37,'Up Turbo'!A:A,'Up Turbo'!B:B,)</f>
        <v/>
      </c>
      <c r="E37" s="53" t="str">
        <f t="array" ref="E37">_xlfn.XLOOKUP(B37,'Up Stats'!A:A,'Up Stats'!B:B,)</f>
        <v/>
      </c>
      <c r="F37" s="54" t="str">
        <f>IFERROR(__xludf.DUMMYFUNCTION("if(AND(G37=FALSE,H37=FALSE),,if(G37=H37,JOIN("""",""Static: "",G37),JOIN("""",""Min:  "",G37, CHAR(10),""Max: "",H37)))"),"")</f>
        <v/>
      </c>
      <c r="G37" s="55" t="str">
        <f t="array" ref="G37">_xlfn.XLOOKUP(B37,'Up Min'!A:A,'Up Min'!B:B,)</f>
        <v/>
      </c>
      <c r="H37" s="56" t="str">
        <f t="array" ref="H37">_xlfn.XLOOKUP(B37,'Up Max'!A:A,'Up Max'!B:B,)</f>
        <v/>
      </c>
      <c r="I37" s="53" t="str">
        <f t="array" ref="I37">_xlfn.XLOOKUP(B37,'Up Stats'!A:A,'Up Stats'!C:C,)</f>
        <v/>
      </c>
      <c r="J37" s="54" t="str">
        <f>IFERROR(__xludf.DUMMYFUNCTION("if(AND(K37=FALSE,L37=FALSE),,if(K37=L37,JOIN("""",""Static: "",K37),JOIN("""",""Min:  "",K37, CHAR(10),""Max: "",L37)))"),"")</f>
        <v/>
      </c>
      <c r="K37" s="55" t="str">
        <f t="array" ref="K37">_xlfn.XLOOKUP(B37,'Up Min'!A:A,'Up Min'!C:C,)</f>
        <v/>
      </c>
      <c r="L37" s="55" t="str">
        <f t="array" ref="L37">_xlfn.XLOOKUP(B37,'Up Max'!A:A,'Up Max'!C:C,)</f>
        <v/>
      </c>
      <c r="M37" s="57" t="str">
        <f t="array" ref="M37">_xlfn.XLOOKUP(B37,'Up Stats'!A:A,'Up Stats'!D:D,)</f>
        <v/>
      </c>
      <c r="N37" s="54" t="str">
        <f>IFERROR(__xludf.DUMMYFUNCTION("if(AND(O37=FALSE,P37=FALSE),,if(O37=P37,JOIN("""",""Static: "",O37),JOIN("""",""Min:  "",O37, CHAR(10),""Max: "",P37)))"),"")</f>
        <v/>
      </c>
      <c r="O37" s="55" t="str">
        <f t="array" ref="O37">_xlfn.XLOOKUP(B37,'Up Min'!A:A,'Up Min'!D:D,)</f>
        <v/>
      </c>
      <c r="P37" s="55" t="str">
        <f t="array" ref="P37">_xlfn.XLOOKUP(B37,'Up Max'!A:A,'Up Max'!D:D,)</f>
        <v/>
      </c>
      <c r="Q37" s="57" t="str">
        <f t="array" ref="Q37">_xlfn.XLOOKUP(B37,'Up Stats'!A:A,'Up Stats'!E:E,)</f>
        <v/>
      </c>
      <c r="R37" s="54" t="str">
        <f>IFERROR(__xludf.DUMMYFUNCTION("if(AND(S37=FALSE,T37=FALSE),,if(S37=T37,JOIN("""",""Static: "",S37),JOIN("""",""Min:  "",S37, CHAR(10),""Max: "",T37)))"),"")</f>
        <v/>
      </c>
      <c r="S37" s="55" t="str">
        <f t="array" ref="S37">_xlfn.XLOOKUP(B37,'Up Min'!A:A,'Up Min'!E:E,)</f>
        <v/>
      </c>
      <c r="T37" s="55" t="str">
        <f t="array" ref="T37">_xlfn.XLOOKUP(B37,'Up Max'!A:A,'Up Max'!E:E,)</f>
        <v/>
      </c>
      <c r="U37" s="57" t="str">
        <f t="array" ref="U37">_xlfn.XLOOKUP(B37,'Up Stats'!A:A,'Up Stats'!F:F,)</f>
        <v/>
      </c>
      <c r="V37" s="54" t="str">
        <f>IFERROR(__xludf.DUMMYFUNCTION("if(AND(W37=FALSE,X37=FALSE),,if(W37=X37,JOIN("""",""Static: "",W37),JOIN("""",""Min:  "",W37, CHAR(10),""Max: "",X37)))"),"")</f>
        <v/>
      </c>
      <c r="W37" s="55" t="str">
        <f t="array" ref="W37">_xlfn.XLOOKUP(B37,'Up Min'!A:A,'Up Min'!F:F,)</f>
        <v/>
      </c>
      <c r="X37" s="55" t="str">
        <f t="array" ref="X37">_xlfn.XLOOKUP(B37,'Up Max'!A:A,'Up Max'!F:F,)</f>
        <v/>
      </c>
      <c r="Y37" s="57" t="str">
        <f t="array" ref="Y37">_xlfn.XLOOKUP(B37,'Up Stats'!A:A,'Up Stats'!G:G,)</f>
        <v/>
      </c>
      <c r="Z37" s="54" t="str">
        <f>IFERROR(__xludf.DUMMYFUNCTION("if(AND(AA37=FALSE,AB37=FALSE),,if(AA37=AB37,JOIN("""",""Static: "",AA37),JOIN("""",""Min:  "",AA37, CHAR(10),""Max: "",AB37)))"),"")</f>
        <v/>
      </c>
      <c r="AA37" s="55" t="str">
        <f t="array" ref="AA37">_xlfn.XLOOKUP(B37,'Up Min'!A:A,'Up Min'!G:G,)</f>
        <v/>
      </c>
      <c r="AB37" s="55" t="str">
        <f t="array" ref="AB37">_xlfn.XLOOKUP(B37,'Up Max'!A:A,'Up Max'!G:G,)</f>
        <v/>
      </c>
      <c r="AC37" s="57" t="str">
        <f t="array" ref="AC37">_xlfn.XLOOKUP(B37,'Up Stats'!A:A,'Up Stats'!H:H,)</f>
        <v/>
      </c>
      <c r="AD37" s="54" t="str">
        <f>IFERROR(__xludf.DUMMYFUNCTION("if(AND(AE37=FALSE,AF37=FALSE),,if(AE37=AF37,JOIN("""",""Static: "",AE37),JOIN("""",""Min:  "",AE37, CHAR(10),""Max: "",AF37)))"),"")</f>
        <v/>
      </c>
      <c r="AE37" s="55" t="str">
        <f t="array" ref="AE37">_xlfn.XLOOKUP(B37,'Up Min'!A:A,'Up Min'!H:H,)</f>
        <v/>
      </c>
      <c r="AF37" s="55" t="str">
        <f t="array" ref="AF37">_xlfn.XLOOKUP(B37,'Up Max'!A:A,'Up Max'!H:H,)</f>
        <v/>
      </c>
      <c r="AG37" s="57" t="str">
        <f t="array" ref="AG37">_xlfn.XLOOKUP(B37,'Up Stats'!A:A,'Up Stats'!I:I,)</f>
        <v/>
      </c>
      <c r="AH37" s="54" t="str">
        <f>IFERROR(__xludf.DUMMYFUNCTION("if(AND(AI37=FALSE,AJ37=FALSE),,if(AI37=AJ37,JOIN("""",""Static: "",AI37),JOIN("""",""Min:  "",AI37, CHAR(10),""Max: "",AJ37)))"),"")</f>
        <v/>
      </c>
      <c r="AI37" s="55" t="str">
        <f t="array" ref="AI37">_xlfn.XLOOKUP(B37,'Up Min'!A:A,'Up Min'!I:I,)</f>
        <v/>
      </c>
      <c r="AJ37" s="55" t="str">
        <f t="array" ref="AJ37">_xlfn.XLOOKUP(B37,'Up Max'!A:A,'Up Max'!I:I,)</f>
        <v/>
      </c>
      <c r="AK37" s="57" t="str">
        <f t="array" ref="AK37">_xlfn.XLOOKUP(B37,'Up Stats'!A:A,'Up Stats'!J:J,)</f>
        <v/>
      </c>
      <c r="AL37" s="54" t="str">
        <f>IFERROR(__xludf.DUMMYFUNCTION("if(AND(AM37=FALSE,AN37=FALSE),,if(AM37=AN37,JOIN("""",""Static: "",AM37),JOIN("""",""Min:  "",AM37, CHAR(10),""Max: "",AN37)))"),"")</f>
        <v/>
      </c>
      <c r="AM37" s="55" t="str">
        <f t="array" ref="AM37">_xlfn.XLOOKUP(B37,'Up Min'!A:A,'Up Min'!J:J,)</f>
        <v/>
      </c>
      <c r="AN37" s="55" t="str">
        <f t="array" ref="AN37">_xlfn.XLOOKUP(B37,'Up Max'!A:A,'Up Max'!J:J,)</f>
        <v/>
      </c>
      <c r="AO37" s="51" t="str">
        <f t="array" ref="AO37">CONCATENATE(_xlfn.XLOOKUP(B37,'Up Cells'!A:A,'Up Cells'!B:B,))</f>
        <v/>
      </c>
      <c r="AP37" s="61" t="str">
        <f t="array" ref="AP37">CONCATENATE(_xlfn.XLOOKUP(B37,'Up Rarity'!A:A,'Up Rarity'!B:B,),CHAR(10),"-")</f>
        <v>
-</v>
      </c>
    </row>
    <row r="38">
      <c r="A38" s="87" t="str">
        <f t="array" ref="A38">_xlfn.XLOOKUP(B38,'Up Icon'!A:A,'Up Icon'!B:B,)</f>
        <v/>
      </c>
      <c r="B38" s="58" t="str">
        <f t="array" ref="B38">HYPERLINK(_xlfn.XLOOKUP('Up Names'!R38,'Up Wiki'!A:A,'Up Wiki'!B:B,),'Up Names'!R38)</f>
        <v/>
      </c>
      <c r="C38" s="37" t="str">
        <f t="array" ref="C38">_xlfn.XLOOKUP(B38,'Up Desc'!A:A,'Up Desc'!B:B,)</f>
        <v/>
      </c>
      <c r="D38" s="37" t="str">
        <f t="array" ref="D38">_xlfn.XLOOKUP(B38,'Up Turbo'!A:A,'Up Turbo'!B:B,)</f>
        <v/>
      </c>
      <c r="E38" s="39" t="str">
        <f t="array" ref="E38">_xlfn.XLOOKUP(B38,'Up Stats'!A:A,'Up Stats'!B:B,)</f>
        <v/>
      </c>
      <c r="F38" s="40" t="str">
        <f>IFERROR(__xludf.DUMMYFUNCTION("if(AND(G38=FALSE,H38=FALSE),,if(G38=H38,JOIN("""",""Static: "",G38),JOIN("""",""Min:  "",G38, CHAR(10),""Max: "",H38)))"),"")</f>
        <v/>
      </c>
      <c r="G38" s="42" t="str">
        <f t="array" ref="G38">_xlfn.XLOOKUP(B38,'Up Min'!A:A,'Up Min'!B:B,)</f>
        <v/>
      </c>
      <c r="H38" s="45" t="str">
        <f t="array" ref="H38">_xlfn.XLOOKUP(B38,'Up Max'!A:A,'Up Max'!B:B,)</f>
        <v/>
      </c>
      <c r="I38" s="39" t="str">
        <f t="array" ref="I38">_xlfn.XLOOKUP(B38,'Up Stats'!A:A,'Up Stats'!C:C,)</f>
        <v/>
      </c>
      <c r="J38" s="40" t="str">
        <f>IFERROR(__xludf.DUMMYFUNCTION("if(AND(K38=FALSE,L38=FALSE),,if(K38=L38,JOIN("""",""Static: "",K38),JOIN("""",""Min:  "",K38, CHAR(10),""Max: "",L38)))"),"")</f>
        <v/>
      </c>
      <c r="K38" s="42" t="str">
        <f t="array" ref="K38">_xlfn.XLOOKUP(B38,'Up Min'!A:A,'Up Min'!C:C,)</f>
        <v/>
      </c>
      <c r="L38" s="42" t="str">
        <f t="array" ref="L38">_xlfn.XLOOKUP(B38,'Up Max'!A:A,'Up Max'!C:C,)</f>
        <v/>
      </c>
      <c r="M38" s="48" t="str">
        <f t="array" ref="M38">_xlfn.XLOOKUP(B38,'Up Stats'!A:A,'Up Stats'!D:D,)</f>
        <v/>
      </c>
      <c r="N38" s="40" t="str">
        <f>IFERROR(__xludf.DUMMYFUNCTION("if(AND(O38=FALSE,P38=FALSE),,if(O38=P38,JOIN("""",""Static: "",O38),JOIN("""",""Min:  "",O38, CHAR(10),""Max: "",P38)))"),"")</f>
        <v/>
      </c>
      <c r="O38" s="42" t="str">
        <f t="array" ref="O38">_xlfn.XLOOKUP(B38,'Up Min'!A:A,'Up Min'!D:D,)</f>
        <v/>
      </c>
      <c r="P38" s="42" t="str">
        <f t="array" ref="P38">_xlfn.XLOOKUP(B38,'Up Max'!A:A,'Up Max'!D:D,)</f>
        <v/>
      </c>
      <c r="Q38" s="48" t="str">
        <f t="array" ref="Q38">_xlfn.XLOOKUP(B38,'Up Stats'!A:A,'Up Stats'!E:E,)</f>
        <v/>
      </c>
      <c r="R38" s="40" t="str">
        <f>IFERROR(__xludf.DUMMYFUNCTION("if(AND(S38=FALSE,T38=FALSE),,if(S38=T38,JOIN("""",""Static: "",S38),JOIN("""",""Min:  "",S38, CHAR(10),""Max: "",T38)))"),"")</f>
        <v/>
      </c>
      <c r="S38" s="42" t="str">
        <f t="array" ref="S38">_xlfn.XLOOKUP(B38,'Up Min'!A:A,'Up Min'!E:E,)</f>
        <v/>
      </c>
      <c r="T38" s="42" t="str">
        <f t="array" ref="T38">_xlfn.XLOOKUP(B38,'Up Max'!A:A,'Up Max'!E:E,)</f>
        <v/>
      </c>
      <c r="U38" s="48" t="str">
        <f t="array" ref="U38">_xlfn.XLOOKUP(B38,'Up Stats'!A:A,'Up Stats'!F:F,)</f>
        <v/>
      </c>
      <c r="V38" s="40" t="str">
        <f>IFERROR(__xludf.DUMMYFUNCTION("if(AND(W38=FALSE,X38=FALSE),,if(W38=X38,JOIN("""",""Static: "",W38),JOIN("""",""Min:  "",W38, CHAR(10),""Max: "",X38)))"),"")</f>
        <v/>
      </c>
      <c r="W38" s="42" t="str">
        <f t="array" ref="W38">_xlfn.XLOOKUP(B38,'Up Min'!A:A,'Up Min'!F:F,)</f>
        <v/>
      </c>
      <c r="X38" s="42" t="str">
        <f t="array" ref="X38">_xlfn.XLOOKUP(B38,'Up Max'!A:A,'Up Max'!F:F,)</f>
        <v/>
      </c>
      <c r="Y38" s="48" t="str">
        <f t="array" ref="Y38">_xlfn.XLOOKUP(B38,'Up Stats'!A:A,'Up Stats'!G:G,)</f>
        <v/>
      </c>
      <c r="Z38" s="40" t="str">
        <f>IFERROR(__xludf.DUMMYFUNCTION("if(AND(AA38=FALSE,AB38=FALSE),,if(AA38=AB38,JOIN("""",""Static: "",AA38),JOIN("""",""Min:  "",AA38, CHAR(10),""Max: "",AB38)))"),"")</f>
        <v/>
      </c>
      <c r="AA38" s="42" t="str">
        <f t="array" ref="AA38">_xlfn.XLOOKUP(B38,'Up Min'!A:A,'Up Min'!G:G,)</f>
        <v/>
      </c>
      <c r="AB38" s="42" t="str">
        <f t="array" ref="AB38">_xlfn.XLOOKUP(B38,'Up Max'!A:A,'Up Max'!G:G,)</f>
        <v/>
      </c>
      <c r="AC38" s="48" t="str">
        <f t="array" ref="AC38">_xlfn.XLOOKUP(B38,'Up Stats'!A:A,'Up Stats'!H:H,)</f>
        <v/>
      </c>
      <c r="AD38" s="40" t="str">
        <f>IFERROR(__xludf.DUMMYFUNCTION("if(AND(AE38=FALSE,AF38=FALSE),,if(AE38=AF38,JOIN("""",""Static: "",AE38),JOIN("""",""Min:  "",AE38, CHAR(10),""Max: "",AF38)))"),"")</f>
        <v/>
      </c>
      <c r="AE38" s="42" t="str">
        <f t="array" ref="AE38">_xlfn.XLOOKUP(B38,'Up Min'!A:A,'Up Min'!H:H,)</f>
        <v/>
      </c>
      <c r="AF38" s="42" t="str">
        <f t="array" ref="AF38">_xlfn.XLOOKUP(B38,'Up Max'!A:A,'Up Max'!H:H,)</f>
        <v/>
      </c>
      <c r="AG38" s="48" t="str">
        <f t="array" ref="AG38">_xlfn.XLOOKUP(B38,'Up Stats'!A:A,'Up Stats'!I:I,)</f>
        <v/>
      </c>
      <c r="AH38" s="40" t="str">
        <f>IFERROR(__xludf.DUMMYFUNCTION("if(AND(AI38=FALSE,AJ38=FALSE),,if(AI38=AJ38,JOIN("""",""Static: "",AI38),JOIN("""",""Min:  "",AI38, CHAR(10),""Max: "",AJ38)))"),"")</f>
        <v/>
      </c>
      <c r="AI38" s="42" t="str">
        <f t="array" ref="AI38">_xlfn.XLOOKUP(B38,'Up Min'!A:A,'Up Min'!I:I,)</f>
        <v/>
      </c>
      <c r="AJ38" s="42" t="str">
        <f t="array" ref="AJ38">_xlfn.XLOOKUP(B38,'Up Max'!A:A,'Up Max'!I:I,)</f>
        <v/>
      </c>
      <c r="AK38" s="48" t="str">
        <f t="array" ref="AK38">_xlfn.XLOOKUP(B38,'Up Stats'!A:A,'Up Stats'!J:J,)</f>
        <v/>
      </c>
      <c r="AL38" s="40" t="str">
        <f>IFERROR(__xludf.DUMMYFUNCTION("if(AND(AM38=FALSE,AN38=FALSE),,if(AM38=AN38,JOIN("""",""Static: "",AM38),JOIN("""",""Min:  "",AM38, CHAR(10),""Max: "",AN38)))"),"")</f>
        <v/>
      </c>
      <c r="AM38" s="42" t="str">
        <f t="array" ref="AM38">_xlfn.XLOOKUP(B38,'Up Min'!A:A,'Up Min'!J:J,)</f>
        <v/>
      </c>
      <c r="AN38" s="42" t="str">
        <f t="array" ref="AN38">_xlfn.XLOOKUP(B38,'Up Max'!A:A,'Up Max'!J:J,)</f>
        <v/>
      </c>
      <c r="AO38" s="34" t="str">
        <f t="array" ref="AO38">CONCATENATE(_xlfn.XLOOKUP(B38,'Up Cells'!A:A,'Up Cells'!B:B,))</f>
        <v/>
      </c>
      <c r="AP38" s="58" t="str">
        <f t="array" ref="AP38">CONCATENATE(_xlfn.XLOOKUP(B38,'Up Rarity'!A:A,'Up Rarity'!B:B,),CHAR(10),"-")</f>
        <v>
-</v>
      </c>
    </row>
    <row r="39">
      <c r="A39" s="86" t="str">
        <f t="array" ref="A39">_xlfn.XLOOKUP(B39,'Up Icon'!A:A,'Up Icon'!B:B,)</f>
        <v/>
      </c>
      <c r="B39" s="61" t="str">
        <f t="array" ref="B39">HYPERLINK(_xlfn.XLOOKUP('Up Names'!R39,'Up Wiki'!A:A,'Up Wiki'!B:B,),'Up Names'!R39)</f>
        <v/>
      </c>
      <c r="C39" s="52" t="str">
        <f t="array" ref="C39">_xlfn.XLOOKUP(B39,'Up Desc'!A:A,'Up Desc'!B:B,)</f>
        <v/>
      </c>
      <c r="D39" s="52" t="str">
        <f t="array" ref="D39">_xlfn.XLOOKUP(B39,'Up Turbo'!A:A,'Up Turbo'!B:B,)</f>
        <v/>
      </c>
      <c r="E39" s="53" t="str">
        <f t="array" ref="E39">_xlfn.XLOOKUP(B39,'Up Stats'!A:A,'Up Stats'!B:B,)</f>
        <v/>
      </c>
      <c r="F39" s="54" t="str">
        <f>IFERROR(__xludf.DUMMYFUNCTION("if(AND(G39=FALSE,H39=FALSE),,if(G39=H39,JOIN("""",""Static: "",G39),JOIN("""",""Min:  "",G39, CHAR(10),""Max: "",H39)))"),"")</f>
        <v/>
      </c>
      <c r="G39" s="55" t="str">
        <f t="array" ref="G39">_xlfn.XLOOKUP(B39,'Up Min'!A:A,'Up Min'!B:B,)</f>
        <v/>
      </c>
      <c r="H39" s="56" t="str">
        <f t="array" ref="H39">_xlfn.XLOOKUP(B39,'Up Max'!A:A,'Up Max'!B:B,)</f>
        <v/>
      </c>
      <c r="I39" s="53" t="str">
        <f t="array" ref="I39">_xlfn.XLOOKUP(B39,'Up Stats'!A:A,'Up Stats'!C:C,)</f>
        <v/>
      </c>
      <c r="J39" s="54" t="str">
        <f>IFERROR(__xludf.DUMMYFUNCTION("if(AND(K39=FALSE,L39=FALSE),,if(K39=L39,JOIN("""",""Static: "",K39),JOIN("""",""Min:  "",K39, CHAR(10),""Max: "",L39)))"),"")</f>
        <v/>
      </c>
      <c r="K39" s="55" t="str">
        <f t="array" ref="K39">_xlfn.XLOOKUP(B39,'Up Min'!A:A,'Up Min'!C:C,)</f>
        <v/>
      </c>
      <c r="L39" s="55" t="str">
        <f t="array" ref="L39">_xlfn.XLOOKUP(B39,'Up Max'!A:A,'Up Max'!C:C,)</f>
        <v/>
      </c>
      <c r="M39" s="57" t="str">
        <f t="array" ref="M39">_xlfn.XLOOKUP(B39,'Up Stats'!A:A,'Up Stats'!D:D,)</f>
        <v/>
      </c>
      <c r="N39" s="54" t="str">
        <f>IFERROR(__xludf.DUMMYFUNCTION("if(AND(O39=FALSE,P39=FALSE),,if(O39=P39,JOIN("""",""Static: "",O39),JOIN("""",""Min:  "",O39, CHAR(10),""Max: "",P39)))"),"")</f>
        <v/>
      </c>
      <c r="O39" s="55" t="str">
        <f t="array" ref="O39">_xlfn.XLOOKUP(B39,'Up Min'!A:A,'Up Min'!D:D,)</f>
        <v/>
      </c>
      <c r="P39" s="55" t="str">
        <f t="array" ref="P39">_xlfn.XLOOKUP(B39,'Up Max'!A:A,'Up Max'!D:D,)</f>
        <v/>
      </c>
      <c r="Q39" s="57" t="str">
        <f t="array" ref="Q39">_xlfn.XLOOKUP(B39,'Up Stats'!A:A,'Up Stats'!E:E,)</f>
        <v/>
      </c>
      <c r="R39" s="54" t="str">
        <f>IFERROR(__xludf.DUMMYFUNCTION("if(AND(S39=FALSE,T39=FALSE),,if(S39=T39,JOIN("""",""Static: "",S39),JOIN("""",""Min:  "",S39, CHAR(10),""Max: "",T39)))"),"")</f>
        <v/>
      </c>
      <c r="S39" s="55" t="str">
        <f t="array" ref="S39">_xlfn.XLOOKUP(B39,'Up Min'!A:A,'Up Min'!E:E,)</f>
        <v/>
      </c>
      <c r="T39" s="55" t="str">
        <f t="array" ref="T39">_xlfn.XLOOKUP(B39,'Up Max'!A:A,'Up Max'!E:E,)</f>
        <v/>
      </c>
      <c r="U39" s="57" t="str">
        <f t="array" ref="U39">_xlfn.XLOOKUP(B39,'Up Stats'!A:A,'Up Stats'!F:F,)</f>
        <v/>
      </c>
      <c r="V39" s="54" t="str">
        <f>IFERROR(__xludf.DUMMYFUNCTION("if(AND(W39=FALSE,X39=FALSE),,if(W39=X39,JOIN("""",""Static: "",W39),JOIN("""",""Min:  "",W39, CHAR(10),""Max: "",X39)))"),"")</f>
        <v/>
      </c>
      <c r="W39" s="55" t="str">
        <f t="array" ref="W39">_xlfn.XLOOKUP(B39,'Up Min'!A:A,'Up Min'!F:F,)</f>
        <v/>
      </c>
      <c r="X39" s="55" t="str">
        <f t="array" ref="X39">_xlfn.XLOOKUP(B39,'Up Max'!A:A,'Up Max'!F:F,)</f>
        <v/>
      </c>
      <c r="Y39" s="57" t="str">
        <f t="array" ref="Y39">_xlfn.XLOOKUP(B39,'Up Stats'!A:A,'Up Stats'!G:G,)</f>
        <v/>
      </c>
      <c r="Z39" s="54" t="str">
        <f>IFERROR(__xludf.DUMMYFUNCTION("if(AND(AA39=FALSE,AB39=FALSE),,if(AA39=AB39,JOIN("""",""Static: "",AA39),JOIN("""",""Min:  "",AA39, CHAR(10),""Max: "",AB39)))"),"")</f>
        <v/>
      </c>
      <c r="AA39" s="55" t="str">
        <f t="array" ref="AA39">_xlfn.XLOOKUP(B39,'Up Min'!A:A,'Up Min'!G:G,)</f>
        <v/>
      </c>
      <c r="AB39" s="55" t="str">
        <f t="array" ref="AB39">_xlfn.XLOOKUP(B39,'Up Max'!A:A,'Up Max'!G:G,)</f>
        <v/>
      </c>
      <c r="AC39" s="57" t="str">
        <f t="array" ref="AC39">_xlfn.XLOOKUP(B39,'Up Stats'!A:A,'Up Stats'!H:H,)</f>
        <v/>
      </c>
      <c r="AD39" s="54" t="str">
        <f>IFERROR(__xludf.DUMMYFUNCTION("if(AND(AE39=FALSE,AF39=FALSE),,if(AE39=AF39,JOIN("""",""Static: "",AE39),JOIN("""",""Min:  "",AE39, CHAR(10),""Max: "",AF39)))"),"")</f>
        <v/>
      </c>
      <c r="AE39" s="55" t="str">
        <f t="array" ref="AE39">_xlfn.XLOOKUP(B39,'Up Min'!A:A,'Up Min'!H:H,)</f>
        <v/>
      </c>
      <c r="AF39" s="55" t="str">
        <f t="array" ref="AF39">_xlfn.XLOOKUP(B39,'Up Max'!A:A,'Up Max'!H:H,)</f>
        <v/>
      </c>
      <c r="AG39" s="57" t="str">
        <f t="array" ref="AG39">_xlfn.XLOOKUP(B39,'Up Stats'!A:A,'Up Stats'!I:I,)</f>
        <v/>
      </c>
      <c r="AH39" s="54" t="str">
        <f>IFERROR(__xludf.DUMMYFUNCTION("if(AND(AI39=FALSE,AJ39=FALSE),,if(AI39=AJ39,JOIN("""",""Static: "",AI39),JOIN("""",""Min:  "",AI39, CHAR(10),""Max: "",AJ39)))"),"")</f>
        <v/>
      </c>
      <c r="AI39" s="55" t="str">
        <f t="array" ref="AI39">_xlfn.XLOOKUP(B39,'Up Min'!A:A,'Up Min'!I:I,)</f>
        <v/>
      </c>
      <c r="AJ39" s="55" t="str">
        <f t="array" ref="AJ39">_xlfn.XLOOKUP(B39,'Up Max'!A:A,'Up Max'!I:I,)</f>
        <v/>
      </c>
      <c r="AK39" s="57" t="str">
        <f t="array" ref="AK39">_xlfn.XLOOKUP(B39,'Up Stats'!A:A,'Up Stats'!J:J,)</f>
        <v/>
      </c>
      <c r="AL39" s="54" t="str">
        <f>IFERROR(__xludf.DUMMYFUNCTION("if(AND(AM39=FALSE,AN39=FALSE),,if(AM39=AN39,JOIN("""",""Static: "",AM39),JOIN("""",""Min:  "",AM39, CHAR(10),""Max: "",AN39)))"),"")</f>
        <v/>
      </c>
      <c r="AM39" s="55" t="str">
        <f t="array" ref="AM39">_xlfn.XLOOKUP(B39,'Up Min'!A:A,'Up Min'!J:J,)</f>
        <v/>
      </c>
      <c r="AN39" s="55" t="str">
        <f t="array" ref="AN39">_xlfn.XLOOKUP(B39,'Up Max'!A:A,'Up Max'!J:J,)</f>
        <v/>
      </c>
      <c r="AO39" s="51" t="str">
        <f t="array" ref="AO39">CONCATENATE(_xlfn.XLOOKUP(B39,'Up Cells'!A:A,'Up Cells'!B:B,))</f>
        <v/>
      </c>
      <c r="AP39" s="61" t="str">
        <f t="array" ref="AP39">CONCATENATE(_xlfn.XLOOKUP(B39,'Up Rarity'!A:A,'Up Rarity'!B:B,),CHAR(10),"-")</f>
        <v>
-</v>
      </c>
    </row>
    <row r="40">
      <c r="A40" s="87" t="str">
        <f t="array" ref="A40">_xlfn.XLOOKUP(B40,'Up Icon'!A:A,'Up Icon'!B:B,)</f>
        <v/>
      </c>
      <c r="B40" s="58" t="str">
        <f t="array" ref="B40">HYPERLINK(_xlfn.XLOOKUP('Up Names'!R40,'Up Wiki'!A:A,'Up Wiki'!B:B,),'Up Names'!R40)</f>
        <v/>
      </c>
      <c r="C40" s="37" t="str">
        <f t="array" ref="C40">_xlfn.XLOOKUP(B40,'Up Desc'!A:A,'Up Desc'!B:B,)</f>
        <v/>
      </c>
      <c r="D40" s="37" t="str">
        <f t="array" ref="D40">_xlfn.XLOOKUP(B40,'Up Turbo'!A:A,'Up Turbo'!B:B,)</f>
        <v/>
      </c>
      <c r="E40" s="39" t="str">
        <f t="array" ref="E40">_xlfn.XLOOKUP(B40,'Up Stats'!A:A,'Up Stats'!B:B,)</f>
        <v/>
      </c>
      <c r="F40" s="40" t="str">
        <f>IFERROR(__xludf.DUMMYFUNCTION("if(AND(G40=FALSE,H40=FALSE),,if(G40=H40,JOIN("""",""Static: "",G40),JOIN("""",""Min:  "",G40, CHAR(10),""Max: "",H40)))"),"")</f>
        <v/>
      </c>
      <c r="G40" s="42" t="str">
        <f t="array" ref="G40">_xlfn.XLOOKUP(B40,'Up Min'!A:A,'Up Min'!B:B,)</f>
        <v/>
      </c>
      <c r="H40" s="45" t="str">
        <f t="array" ref="H40">_xlfn.XLOOKUP(B40,'Up Max'!A:A,'Up Max'!B:B,)</f>
        <v/>
      </c>
      <c r="I40" s="39" t="str">
        <f t="array" ref="I40">_xlfn.XLOOKUP(B40,'Up Stats'!A:A,'Up Stats'!C:C,)</f>
        <v/>
      </c>
      <c r="J40" s="40" t="str">
        <f>IFERROR(__xludf.DUMMYFUNCTION("if(AND(K40=FALSE,L40=FALSE),,if(K40=L40,JOIN("""",""Static: "",K40),JOIN("""",""Min:  "",K40, CHAR(10),""Max: "",L40)))"),"")</f>
        <v/>
      </c>
      <c r="K40" s="42" t="str">
        <f t="array" ref="K40">_xlfn.XLOOKUP(B40,'Up Min'!A:A,'Up Min'!C:C,)</f>
        <v/>
      </c>
      <c r="L40" s="42" t="str">
        <f t="array" ref="L40">_xlfn.XLOOKUP(B40,'Up Max'!A:A,'Up Max'!C:C,)</f>
        <v/>
      </c>
      <c r="M40" s="48" t="str">
        <f t="array" ref="M40">_xlfn.XLOOKUP(B40,'Up Stats'!A:A,'Up Stats'!D:D,)</f>
        <v/>
      </c>
      <c r="N40" s="40" t="str">
        <f>IFERROR(__xludf.DUMMYFUNCTION("if(AND(O40=FALSE,P40=FALSE),,if(O40=P40,JOIN("""",""Static: "",O40),JOIN("""",""Min:  "",O40, CHAR(10),""Max: "",P40)))"),"")</f>
        <v/>
      </c>
      <c r="O40" s="42" t="str">
        <f t="array" ref="O40">_xlfn.XLOOKUP(B40,'Up Min'!A:A,'Up Min'!D:D,)</f>
        <v/>
      </c>
      <c r="P40" s="42" t="str">
        <f t="array" ref="P40">_xlfn.XLOOKUP(B40,'Up Max'!A:A,'Up Max'!D:D,)</f>
        <v/>
      </c>
      <c r="Q40" s="48" t="str">
        <f t="array" ref="Q40">_xlfn.XLOOKUP(B40,'Up Stats'!A:A,'Up Stats'!E:E,)</f>
        <v/>
      </c>
      <c r="R40" s="40" t="str">
        <f>IFERROR(__xludf.DUMMYFUNCTION("if(AND(S40=FALSE,T40=FALSE),,if(S40=T40,JOIN("""",""Static: "",S40),JOIN("""",""Min:  "",S40, CHAR(10),""Max: "",T40)))"),"")</f>
        <v/>
      </c>
      <c r="S40" s="42" t="str">
        <f t="array" ref="S40">_xlfn.XLOOKUP(B40,'Up Min'!A:A,'Up Min'!E:E,)</f>
        <v/>
      </c>
      <c r="T40" s="42" t="str">
        <f t="array" ref="T40">_xlfn.XLOOKUP(B40,'Up Max'!A:A,'Up Max'!E:E,)</f>
        <v/>
      </c>
      <c r="U40" s="48" t="str">
        <f t="array" ref="U40">_xlfn.XLOOKUP(B40,'Up Stats'!A:A,'Up Stats'!F:F,)</f>
        <v/>
      </c>
      <c r="V40" s="40" t="str">
        <f>IFERROR(__xludf.DUMMYFUNCTION("if(AND(W40=FALSE,X40=FALSE),,if(W40=X40,JOIN("""",""Static: "",W40),JOIN("""",""Min:  "",W40, CHAR(10),""Max: "",X40)))"),"")</f>
        <v/>
      </c>
      <c r="W40" s="42" t="str">
        <f t="array" ref="W40">_xlfn.XLOOKUP(B40,'Up Min'!A:A,'Up Min'!F:F,)</f>
        <v/>
      </c>
      <c r="X40" s="42" t="str">
        <f t="array" ref="X40">_xlfn.XLOOKUP(B40,'Up Max'!A:A,'Up Max'!F:F,)</f>
        <v/>
      </c>
      <c r="Y40" s="48" t="str">
        <f t="array" ref="Y40">_xlfn.XLOOKUP(B40,'Up Stats'!A:A,'Up Stats'!G:G,)</f>
        <v/>
      </c>
      <c r="Z40" s="40" t="str">
        <f>IFERROR(__xludf.DUMMYFUNCTION("if(AND(AA40=FALSE,AB40=FALSE),,if(AA40=AB40,JOIN("""",""Static: "",AA40),JOIN("""",""Min:  "",AA40, CHAR(10),""Max: "",AB40)))"),"")</f>
        <v/>
      </c>
      <c r="AA40" s="42" t="str">
        <f t="array" ref="AA40">_xlfn.XLOOKUP(B40,'Up Min'!A:A,'Up Min'!G:G,)</f>
        <v/>
      </c>
      <c r="AB40" s="42" t="str">
        <f t="array" ref="AB40">_xlfn.XLOOKUP(B40,'Up Max'!A:A,'Up Max'!G:G,)</f>
        <v/>
      </c>
      <c r="AC40" s="48" t="str">
        <f t="array" ref="AC40">_xlfn.XLOOKUP(B40,'Up Stats'!A:A,'Up Stats'!H:H,)</f>
        <v/>
      </c>
      <c r="AD40" s="40" t="str">
        <f>IFERROR(__xludf.DUMMYFUNCTION("if(AND(AE40=FALSE,AF40=FALSE),,if(AE40=AF40,JOIN("""",""Static: "",AE40),JOIN("""",""Min:  "",AE40, CHAR(10),""Max: "",AF40)))"),"")</f>
        <v/>
      </c>
      <c r="AE40" s="42" t="str">
        <f t="array" ref="AE40">_xlfn.XLOOKUP(B40,'Up Min'!A:A,'Up Min'!H:H,)</f>
        <v/>
      </c>
      <c r="AF40" s="42" t="str">
        <f t="array" ref="AF40">_xlfn.XLOOKUP(B40,'Up Max'!A:A,'Up Max'!H:H,)</f>
        <v/>
      </c>
      <c r="AG40" s="48" t="str">
        <f t="array" ref="AG40">_xlfn.XLOOKUP(B40,'Up Stats'!A:A,'Up Stats'!I:I,)</f>
        <v/>
      </c>
      <c r="AH40" s="40" t="str">
        <f>IFERROR(__xludf.DUMMYFUNCTION("if(AND(AI40=FALSE,AJ40=FALSE),,if(AI40=AJ40,JOIN("""",""Static: "",AI40),JOIN("""",""Min:  "",AI40, CHAR(10),""Max: "",AJ40)))"),"")</f>
        <v/>
      </c>
      <c r="AI40" s="42" t="str">
        <f t="array" ref="AI40">_xlfn.XLOOKUP(B40,'Up Min'!A:A,'Up Min'!I:I,)</f>
        <v/>
      </c>
      <c r="AJ40" s="42" t="str">
        <f t="array" ref="AJ40">_xlfn.XLOOKUP(B40,'Up Max'!A:A,'Up Max'!I:I,)</f>
        <v/>
      </c>
      <c r="AK40" s="48" t="str">
        <f t="array" ref="AK40">_xlfn.XLOOKUP(B40,'Up Stats'!A:A,'Up Stats'!J:J,)</f>
        <v/>
      </c>
      <c r="AL40" s="40" t="str">
        <f>IFERROR(__xludf.DUMMYFUNCTION("if(AND(AM40=FALSE,AN40=FALSE),,if(AM40=AN40,JOIN("""",""Static: "",AM40),JOIN("""",""Min:  "",AM40, CHAR(10),""Max: "",AN40)))"),"")</f>
        <v/>
      </c>
      <c r="AM40" s="42" t="str">
        <f t="array" ref="AM40">_xlfn.XLOOKUP(B40,'Up Min'!A:A,'Up Min'!J:J,)</f>
        <v/>
      </c>
      <c r="AN40" s="42" t="str">
        <f t="array" ref="AN40">_xlfn.XLOOKUP(B40,'Up Max'!A:A,'Up Max'!J:J,)</f>
        <v/>
      </c>
      <c r="AO40" s="34" t="str">
        <f t="array" ref="AO40">CONCATENATE(_xlfn.XLOOKUP(B40,'Up Cells'!A:A,'Up Cells'!B:B,))</f>
        <v/>
      </c>
      <c r="AP40" s="58" t="str">
        <f t="array" ref="AP40">CONCATENATE(_xlfn.XLOOKUP(B40,'Up Rarity'!A:A,'Up Rarity'!B:B,),CHAR(10),"-")</f>
        <v>
-</v>
      </c>
    </row>
    <row r="41">
      <c r="A41" s="86" t="str">
        <f t="array" ref="A41">_xlfn.XLOOKUP(B41,'Up Icon'!A:A,'Up Icon'!B:B,)</f>
        <v/>
      </c>
      <c r="B41" s="61" t="str">
        <f t="array" ref="B41">HYPERLINK(_xlfn.XLOOKUP('Up Names'!R41,'Up Wiki'!A:A,'Up Wiki'!B:B,),'Up Names'!R41)</f>
        <v/>
      </c>
      <c r="C41" s="52" t="str">
        <f t="array" ref="C41">_xlfn.XLOOKUP(B41,'Up Desc'!A:A,'Up Desc'!B:B,)</f>
        <v/>
      </c>
      <c r="D41" s="52" t="str">
        <f t="array" ref="D41">_xlfn.XLOOKUP(B41,'Up Turbo'!A:A,'Up Turbo'!B:B,)</f>
        <v/>
      </c>
      <c r="E41" s="53" t="str">
        <f t="array" ref="E41">_xlfn.XLOOKUP(B41,'Up Stats'!A:A,'Up Stats'!B:B,)</f>
        <v/>
      </c>
      <c r="F41" s="54" t="str">
        <f>IFERROR(__xludf.DUMMYFUNCTION("if(AND(G41=FALSE,H41=FALSE),,if(G41=H41,JOIN("""",""Static: "",G41),JOIN("""",""Min:  "",G41, CHAR(10),""Max: "",H41)))"),"")</f>
        <v/>
      </c>
      <c r="G41" s="55" t="str">
        <f t="array" ref="G41">_xlfn.XLOOKUP(B41,'Up Min'!A:A,'Up Min'!B:B,)</f>
        <v/>
      </c>
      <c r="H41" s="56" t="str">
        <f t="array" ref="H41">_xlfn.XLOOKUP(B41,'Up Max'!A:A,'Up Max'!B:B,)</f>
        <v/>
      </c>
      <c r="I41" s="53" t="str">
        <f t="array" ref="I41">_xlfn.XLOOKUP(B41,'Up Stats'!A:A,'Up Stats'!C:C,)</f>
        <v/>
      </c>
      <c r="J41" s="54" t="str">
        <f>IFERROR(__xludf.DUMMYFUNCTION("if(AND(K41=FALSE,L41=FALSE),,if(K41=L41,JOIN("""",""Static: "",K41),JOIN("""",""Min:  "",K41, CHAR(10),""Max: "",L41)))"),"")</f>
        <v/>
      </c>
      <c r="K41" s="55" t="str">
        <f t="array" ref="K41">_xlfn.XLOOKUP(B41,'Up Min'!A:A,'Up Min'!C:C,)</f>
        <v/>
      </c>
      <c r="L41" s="55" t="str">
        <f t="array" ref="L41">_xlfn.XLOOKUP(B41,'Up Max'!A:A,'Up Max'!C:C,)</f>
        <v/>
      </c>
      <c r="M41" s="57" t="str">
        <f t="array" ref="M41">_xlfn.XLOOKUP(B41,'Up Stats'!A:A,'Up Stats'!D:D,)</f>
        <v/>
      </c>
      <c r="N41" s="54" t="str">
        <f>IFERROR(__xludf.DUMMYFUNCTION("if(AND(O41=FALSE,P41=FALSE),,if(O41=P41,JOIN("""",""Static: "",O41),JOIN("""",""Min:  "",O41, CHAR(10),""Max: "",P41)))"),"")</f>
        <v/>
      </c>
      <c r="O41" s="55" t="str">
        <f t="array" ref="O41">_xlfn.XLOOKUP(B41,'Up Min'!A:A,'Up Min'!D:D,)</f>
        <v/>
      </c>
      <c r="P41" s="55" t="str">
        <f t="array" ref="P41">_xlfn.XLOOKUP(B41,'Up Max'!A:A,'Up Max'!D:D,)</f>
        <v/>
      </c>
      <c r="Q41" s="57" t="str">
        <f t="array" ref="Q41">_xlfn.XLOOKUP(B41,'Up Stats'!A:A,'Up Stats'!E:E,)</f>
        <v/>
      </c>
      <c r="R41" s="54" t="str">
        <f>IFERROR(__xludf.DUMMYFUNCTION("if(AND(S41=FALSE,T41=FALSE),,if(S41=T41,JOIN("""",""Static: "",S41),JOIN("""",""Min:  "",S41, CHAR(10),""Max: "",T41)))"),"")</f>
        <v/>
      </c>
      <c r="S41" s="55" t="str">
        <f t="array" ref="S41">_xlfn.XLOOKUP(B41,'Up Min'!A:A,'Up Min'!E:E,)</f>
        <v/>
      </c>
      <c r="T41" s="55" t="str">
        <f t="array" ref="T41">_xlfn.XLOOKUP(B41,'Up Max'!A:A,'Up Max'!E:E,)</f>
        <v/>
      </c>
      <c r="U41" s="57" t="str">
        <f t="array" ref="U41">_xlfn.XLOOKUP(B41,'Up Stats'!A:A,'Up Stats'!F:F,)</f>
        <v/>
      </c>
      <c r="V41" s="54" t="str">
        <f>IFERROR(__xludf.DUMMYFUNCTION("if(AND(W41=FALSE,X41=FALSE),,if(W41=X41,JOIN("""",""Static: "",W41),JOIN("""",""Min:  "",W41, CHAR(10),""Max: "",X41)))"),"")</f>
        <v/>
      </c>
      <c r="W41" s="55" t="str">
        <f t="array" ref="W41">_xlfn.XLOOKUP(B41,'Up Min'!A:A,'Up Min'!F:F,)</f>
        <v/>
      </c>
      <c r="X41" s="55" t="str">
        <f t="array" ref="X41">_xlfn.XLOOKUP(B41,'Up Max'!A:A,'Up Max'!F:F,)</f>
        <v/>
      </c>
      <c r="Y41" s="57" t="str">
        <f t="array" ref="Y41">_xlfn.XLOOKUP(B41,'Up Stats'!A:A,'Up Stats'!G:G,)</f>
        <v/>
      </c>
      <c r="Z41" s="54" t="str">
        <f>IFERROR(__xludf.DUMMYFUNCTION("if(AND(AA41=FALSE,AB41=FALSE),,if(AA41=AB41,JOIN("""",""Static: "",AA41),JOIN("""",""Min:  "",AA41, CHAR(10),""Max: "",AB41)))"),"")</f>
        <v/>
      </c>
      <c r="AA41" s="55" t="str">
        <f t="array" ref="AA41">_xlfn.XLOOKUP(B41,'Up Min'!A:A,'Up Min'!G:G,)</f>
        <v/>
      </c>
      <c r="AB41" s="55" t="str">
        <f t="array" ref="AB41">_xlfn.XLOOKUP(B41,'Up Max'!A:A,'Up Max'!G:G,)</f>
        <v/>
      </c>
      <c r="AC41" s="57" t="str">
        <f t="array" ref="AC41">_xlfn.XLOOKUP(B41,'Up Stats'!A:A,'Up Stats'!H:H,)</f>
        <v/>
      </c>
      <c r="AD41" s="54" t="str">
        <f>IFERROR(__xludf.DUMMYFUNCTION("if(AND(AE41=FALSE,AF41=FALSE),,if(AE41=AF41,JOIN("""",""Static: "",AE41),JOIN("""",""Min:  "",AE41, CHAR(10),""Max: "",AF41)))"),"")</f>
        <v/>
      </c>
      <c r="AE41" s="55" t="str">
        <f t="array" ref="AE41">_xlfn.XLOOKUP(B41,'Up Min'!A:A,'Up Min'!H:H,)</f>
        <v/>
      </c>
      <c r="AF41" s="55" t="str">
        <f t="array" ref="AF41">_xlfn.XLOOKUP(B41,'Up Max'!A:A,'Up Max'!H:H,)</f>
        <v/>
      </c>
      <c r="AG41" s="57" t="str">
        <f t="array" ref="AG41">_xlfn.XLOOKUP(B41,'Up Stats'!A:A,'Up Stats'!I:I,)</f>
        <v/>
      </c>
      <c r="AH41" s="54" t="str">
        <f>IFERROR(__xludf.DUMMYFUNCTION("if(AND(AI41=FALSE,AJ41=FALSE),,if(AI41=AJ41,JOIN("""",""Static: "",AI41),JOIN("""",""Min:  "",AI41, CHAR(10),""Max: "",AJ41)))"),"")</f>
        <v/>
      </c>
      <c r="AI41" s="55" t="str">
        <f t="array" ref="AI41">_xlfn.XLOOKUP(B41,'Up Min'!A:A,'Up Min'!I:I,)</f>
        <v/>
      </c>
      <c r="AJ41" s="55" t="str">
        <f t="array" ref="AJ41">_xlfn.XLOOKUP(B41,'Up Max'!A:A,'Up Max'!I:I,)</f>
        <v/>
      </c>
      <c r="AK41" s="57" t="str">
        <f t="array" ref="AK41">_xlfn.XLOOKUP(B41,'Up Stats'!A:A,'Up Stats'!J:J,)</f>
        <v/>
      </c>
      <c r="AL41" s="54" t="str">
        <f>IFERROR(__xludf.DUMMYFUNCTION("if(AND(AM41=FALSE,AN41=FALSE),,if(AM41=AN41,JOIN("""",""Static: "",AM41),JOIN("""",""Min:  "",AM41, CHAR(10),""Max: "",AN41)))"),"")</f>
        <v/>
      </c>
      <c r="AM41" s="55" t="str">
        <f t="array" ref="AM41">_xlfn.XLOOKUP(B41,'Up Min'!A:A,'Up Min'!J:J,)</f>
        <v/>
      </c>
      <c r="AN41" s="55" t="str">
        <f t="array" ref="AN41">_xlfn.XLOOKUP(B41,'Up Max'!A:A,'Up Max'!J:J,)</f>
        <v/>
      </c>
      <c r="AO41" s="51" t="str">
        <f t="array" ref="AO41">CONCATENATE(_xlfn.XLOOKUP(B41,'Up Cells'!A:A,'Up Cells'!B:B,))</f>
        <v/>
      </c>
      <c r="AP41" s="61" t="str">
        <f t="array" ref="AP41">CONCATENATE(_xlfn.XLOOKUP(B41,'Up Rarity'!A:A,'Up Rarity'!B:B,),CHAR(10),"-")</f>
        <v>
-</v>
      </c>
    </row>
    <row r="42">
      <c r="A42" s="87" t="str">
        <f t="array" ref="A42">_xlfn.XLOOKUP(B42,'Up Icon'!A:A,'Up Icon'!B:B,)</f>
        <v/>
      </c>
      <c r="B42" s="58" t="str">
        <f t="array" ref="B42">HYPERLINK(_xlfn.XLOOKUP('Up Names'!R42,'Up Wiki'!A:A,'Up Wiki'!B:B,),'Up Names'!R42)</f>
        <v/>
      </c>
      <c r="C42" s="37" t="str">
        <f t="array" ref="C42">_xlfn.XLOOKUP(B42,'Up Desc'!A:A,'Up Desc'!B:B,)</f>
        <v/>
      </c>
      <c r="D42" s="37" t="str">
        <f t="array" ref="D42">_xlfn.XLOOKUP(B42,'Up Turbo'!A:A,'Up Turbo'!B:B,)</f>
        <v/>
      </c>
      <c r="E42" s="39" t="str">
        <f t="array" ref="E42">_xlfn.XLOOKUP(B42,'Up Stats'!A:A,'Up Stats'!B:B,)</f>
        <v/>
      </c>
      <c r="F42" s="40" t="str">
        <f>IFERROR(__xludf.DUMMYFUNCTION("if(AND(G42=FALSE,H42=FALSE),,if(G42=H42,JOIN("""",""Static: "",G42),JOIN("""",""Min:  "",G42, CHAR(10),""Max: "",H42)))"),"")</f>
        <v/>
      </c>
      <c r="G42" s="42" t="str">
        <f t="array" ref="G42">_xlfn.XLOOKUP(B42,'Up Min'!A:A,'Up Min'!B:B,)</f>
        <v/>
      </c>
      <c r="H42" s="45" t="str">
        <f t="array" ref="H42">_xlfn.XLOOKUP(B42,'Up Max'!A:A,'Up Max'!B:B,)</f>
        <v/>
      </c>
      <c r="I42" s="39" t="str">
        <f t="array" ref="I42">_xlfn.XLOOKUP(B42,'Up Stats'!A:A,'Up Stats'!C:C,)</f>
        <v/>
      </c>
      <c r="J42" s="40" t="str">
        <f>IFERROR(__xludf.DUMMYFUNCTION("if(AND(K42=FALSE,L42=FALSE),,if(K42=L42,JOIN("""",""Static: "",K42),JOIN("""",""Min:  "",K42, CHAR(10),""Max: "",L42)))"),"")</f>
        <v/>
      </c>
      <c r="K42" s="42" t="str">
        <f t="array" ref="K42">_xlfn.XLOOKUP(B42,'Up Min'!A:A,'Up Min'!C:C,)</f>
        <v/>
      </c>
      <c r="L42" s="42" t="str">
        <f t="array" ref="L42">_xlfn.XLOOKUP(B42,'Up Max'!A:A,'Up Max'!C:C,)</f>
        <v/>
      </c>
      <c r="M42" s="48" t="str">
        <f t="array" ref="M42">_xlfn.XLOOKUP(B42,'Up Stats'!A:A,'Up Stats'!D:D,)</f>
        <v/>
      </c>
      <c r="N42" s="40" t="str">
        <f>IFERROR(__xludf.DUMMYFUNCTION("if(AND(O42=FALSE,P42=FALSE),,if(O42=P42,JOIN("""",""Static: "",O42),JOIN("""",""Min:  "",O42, CHAR(10),""Max: "",P42)))"),"")</f>
        <v/>
      </c>
      <c r="O42" s="42" t="str">
        <f t="array" ref="O42">_xlfn.XLOOKUP(B42,'Up Min'!A:A,'Up Min'!D:D,)</f>
        <v/>
      </c>
      <c r="P42" s="42" t="str">
        <f t="array" ref="P42">_xlfn.XLOOKUP(B42,'Up Max'!A:A,'Up Max'!D:D,)</f>
        <v/>
      </c>
      <c r="Q42" s="48" t="str">
        <f t="array" ref="Q42">_xlfn.XLOOKUP(B42,'Up Stats'!A:A,'Up Stats'!E:E,)</f>
        <v/>
      </c>
      <c r="R42" s="40" t="str">
        <f>IFERROR(__xludf.DUMMYFUNCTION("if(AND(S42=FALSE,T42=FALSE),,if(S42=T42,JOIN("""",""Static: "",S42),JOIN("""",""Min:  "",S42, CHAR(10),""Max: "",T42)))"),"")</f>
        <v/>
      </c>
      <c r="S42" s="42" t="str">
        <f t="array" ref="S42">_xlfn.XLOOKUP(B42,'Up Min'!A:A,'Up Min'!E:E,)</f>
        <v/>
      </c>
      <c r="T42" s="42" t="str">
        <f t="array" ref="T42">_xlfn.XLOOKUP(B42,'Up Max'!A:A,'Up Max'!E:E,)</f>
        <v/>
      </c>
      <c r="U42" s="48" t="str">
        <f t="array" ref="U42">_xlfn.XLOOKUP(B42,'Up Stats'!A:A,'Up Stats'!F:F,)</f>
        <v/>
      </c>
      <c r="V42" s="40" t="str">
        <f>IFERROR(__xludf.DUMMYFUNCTION("if(AND(W42=FALSE,X42=FALSE),,if(W42=X42,JOIN("""",""Static: "",W42),JOIN("""",""Min:  "",W42, CHAR(10),""Max: "",X42)))"),"")</f>
        <v/>
      </c>
      <c r="W42" s="42" t="str">
        <f t="array" ref="W42">_xlfn.XLOOKUP(B42,'Up Min'!A:A,'Up Min'!F:F,)</f>
        <v/>
      </c>
      <c r="X42" s="42" t="str">
        <f t="array" ref="X42">_xlfn.XLOOKUP(B42,'Up Max'!A:A,'Up Max'!F:F,)</f>
        <v/>
      </c>
      <c r="Y42" s="48" t="str">
        <f t="array" ref="Y42">_xlfn.XLOOKUP(B42,'Up Stats'!A:A,'Up Stats'!G:G,)</f>
        <v/>
      </c>
      <c r="Z42" s="40" t="str">
        <f>IFERROR(__xludf.DUMMYFUNCTION("if(AND(AA42=FALSE,AB42=FALSE),,if(AA42=AB42,JOIN("""",""Static: "",AA42),JOIN("""",""Min:  "",AA42, CHAR(10),""Max: "",AB42)))"),"")</f>
        <v/>
      </c>
      <c r="AA42" s="42" t="str">
        <f t="array" ref="AA42">_xlfn.XLOOKUP(B42,'Up Min'!A:A,'Up Min'!G:G,)</f>
        <v/>
      </c>
      <c r="AB42" s="42" t="str">
        <f t="array" ref="AB42">_xlfn.XLOOKUP(B42,'Up Max'!A:A,'Up Max'!G:G,)</f>
        <v/>
      </c>
      <c r="AC42" s="48" t="str">
        <f t="array" ref="AC42">_xlfn.XLOOKUP(B42,'Up Stats'!A:A,'Up Stats'!H:H,)</f>
        <v/>
      </c>
      <c r="AD42" s="40" t="str">
        <f>IFERROR(__xludf.DUMMYFUNCTION("if(AND(AE42=FALSE,AF42=FALSE),,if(AE42=AF42,JOIN("""",""Static: "",AE42),JOIN("""",""Min:  "",AE42, CHAR(10),""Max: "",AF42)))"),"")</f>
        <v/>
      </c>
      <c r="AE42" s="42" t="str">
        <f t="array" ref="AE42">_xlfn.XLOOKUP(B42,'Up Min'!A:A,'Up Min'!H:H,)</f>
        <v/>
      </c>
      <c r="AF42" s="42" t="str">
        <f t="array" ref="AF42">_xlfn.XLOOKUP(B42,'Up Max'!A:A,'Up Max'!H:H,)</f>
        <v/>
      </c>
      <c r="AG42" s="48" t="str">
        <f t="array" ref="AG42">_xlfn.XLOOKUP(B42,'Up Stats'!A:A,'Up Stats'!I:I,)</f>
        <v/>
      </c>
      <c r="AH42" s="40" t="str">
        <f>IFERROR(__xludf.DUMMYFUNCTION("if(AND(AI42=FALSE,AJ42=FALSE),,if(AI42=AJ42,JOIN("""",""Static: "",AI42),JOIN("""",""Min:  "",AI42, CHAR(10),""Max: "",AJ42)))"),"")</f>
        <v/>
      </c>
      <c r="AI42" s="42" t="str">
        <f t="array" ref="AI42">_xlfn.XLOOKUP(B42,'Up Min'!A:A,'Up Min'!I:I,)</f>
        <v/>
      </c>
      <c r="AJ42" s="42" t="str">
        <f t="array" ref="AJ42">_xlfn.XLOOKUP(B42,'Up Max'!A:A,'Up Max'!I:I,)</f>
        <v/>
      </c>
      <c r="AK42" s="48" t="str">
        <f t="array" ref="AK42">_xlfn.XLOOKUP(B42,'Up Stats'!A:A,'Up Stats'!J:J,)</f>
        <v/>
      </c>
      <c r="AL42" s="40" t="str">
        <f>IFERROR(__xludf.DUMMYFUNCTION("if(AND(AM42=FALSE,AN42=FALSE),,if(AM42=AN42,JOIN("""",""Static: "",AM42),JOIN("""",""Min:  "",AM42, CHAR(10),""Max: "",AN42)))"),"")</f>
        <v/>
      </c>
      <c r="AM42" s="42" t="str">
        <f t="array" ref="AM42">_xlfn.XLOOKUP(B42,'Up Min'!A:A,'Up Min'!J:J,)</f>
        <v/>
      </c>
      <c r="AN42" s="42" t="str">
        <f t="array" ref="AN42">_xlfn.XLOOKUP(B42,'Up Max'!A:A,'Up Max'!J:J,)</f>
        <v/>
      </c>
      <c r="AO42" s="34" t="str">
        <f t="array" ref="AO42">CONCATENATE(_xlfn.XLOOKUP(B42,'Up Cells'!A:A,'Up Cells'!B:B,))</f>
        <v/>
      </c>
      <c r="AP42" s="58" t="str">
        <f t="array" ref="AP42">CONCATENATE(_xlfn.XLOOKUP(B42,'Up Rarity'!A:A,'Up Rarity'!B:B,),CHAR(10),"-")</f>
        <v>
-</v>
      </c>
    </row>
    <row r="43">
      <c r="A43" s="86" t="str">
        <f t="array" ref="A43">_xlfn.XLOOKUP(B43,'Up Icon'!A:A,'Up Icon'!B:B,)</f>
        <v/>
      </c>
      <c r="B43" s="61" t="str">
        <f t="array" ref="B43">HYPERLINK(_xlfn.XLOOKUP('Up Names'!R43,'Up Wiki'!A:A,'Up Wiki'!B:B,),'Up Names'!R43)</f>
        <v/>
      </c>
      <c r="C43" s="52" t="str">
        <f t="array" ref="C43">_xlfn.XLOOKUP(B43,'Up Desc'!A:A,'Up Desc'!B:B,)</f>
        <v/>
      </c>
      <c r="D43" s="52" t="str">
        <f t="array" ref="D43">_xlfn.XLOOKUP(B43,'Up Turbo'!A:A,'Up Turbo'!B:B,)</f>
        <v/>
      </c>
      <c r="E43" s="53" t="str">
        <f t="array" ref="E43">_xlfn.XLOOKUP(B43,'Up Stats'!A:A,'Up Stats'!B:B,)</f>
        <v/>
      </c>
      <c r="F43" s="54" t="str">
        <f>IFERROR(__xludf.DUMMYFUNCTION("if(AND(G43=FALSE,H43=FALSE),,if(G43=H43,JOIN("""",""Static: "",G43),JOIN("""",""Min:  "",G43, CHAR(10),""Max: "",H43)))"),"")</f>
        <v/>
      </c>
      <c r="G43" s="55" t="str">
        <f t="array" ref="G43">_xlfn.XLOOKUP(B43,'Up Min'!A:A,'Up Min'!B:B,)</f>
        <v/>
      </c>
      <c r="H43" s="56" t="str">
        <f t="array" ref="H43">_xlfn.XLOOKUP(B43,'Up Max'!A:A,'Up Max'!B:B,)</f>
        <v/>
      </c>
      <c r="I43" s="53" t="str">
        <f t="array" ref="I43">_xlfn.XLOOKUP(B43,'Up Stats'!A:A,'Up Stats'!C:C,)</f>
        <v/>
      </c>
      <c r="J43" s="54" t="str">
        <f>IFERROR(__xludf.DUMMYFUNCTION("if(AND(K43=FALSE,L43=FALSE),,if(K43=L43,JOIN("""",""Static: "",K43),JOIN("""",""Min:  "",K43, CHAR(10),""Max: "",L43)))"),"")</f>
        <v/>
      </c>
      <c r="K43" s="55" t="str">
        <f t="array" ref="K43">_xlfn.XLOOKUP(B43,'Up Min'!A:A,'Up Min'!C:C,)</f>
        <v/>
      </c>
      <c r="L43" s="55" t="str">
        <f t="array" ref="L43">_xlfn.XLOOKUP(B43,'Up Max'!A:A,'Up Max'!C:C,)</f>
        <v/>
      </c>
      <c r="M43" s="57" t="str">
        <f t="array" ref="M43">_xlfn.XLOOKUP(B43,'Up Stats'!A:A,'Up Stats'!D:D,)</f>
        <v/>
      </c>
      <c r="N43" s="54" t="str">
        <f>IFERROR(__xludf.DUMMYFUNCTION("if(AND(O43=FALSE,P43=FALSE),,if(O43=P43,JOIN("""",""Static: "",O43),JOIN("""",""Min:  "",O43, CHAR(10),""Max: "",P43)))"),"")</f>
        <v/>
      </c>
      <c r="O43" s="55" t="str">
        <f t="array" ref="O43">_xlfn.XLOOKUP(B43,'Up Min'!A:A,'Up Min'!D:D,)</f>
        <v/>
      </c>
      <c r="P43" s="55" t="str">
        <f t="array" ref="P43">_xlfn.XLOOKUP(B43,'Up Max'!A:A,'Up Max'!D:D,)</f>
        <v/>
      </c>
      <c r="Q43" s="57" t="str">
        <f t="array" ref="Q43">_xlfn.XLOOKUP(B43,'Up Stats'!A:A,'Up Stats'!E:E,)</f>
        <v/>
      </c>
      <c r="R43" s="54" t="str">
        <f>IFERROR(__xludf.DUMMYFUNCTION("if(AND(S43=FALSE,T43=FALSE),,if(S43=T43,JOIN("""",""Static: "",S43),JOIN("""",""Min:  "",S43, CHAR(10),""Max: "",T43)))"),"")</f>
        <v/>
      </c>
      <c r="S43" s="55" t="str">
        <f t="array" ref="S43">_xlfn.XLOOKUP(B43,'Up Min'!A:A,'Up Min'!E:E,)</f>
        <v/>
      </c>
      <c r="T43" s="55" t="str">
        <f t="array" ref="T43">_xlfn.XLOOKUP(B43,'Up Max'!A:A,'Up Max'!E:E,)</f>
        <v/>
      </c>
      <c r="U43" s="57" t="str">
        <f t="array" ref="U43">_xlfn.XLOOKUP(B43,'Up Stats'!A:A,'Up Stats'!F:F,)</f>
        <v/>
      </c>
      <c r="V43" s="54" t="str">
        <f>IFERROR(__xludf.DUMMYFUNCTION("if(AND(W43=FALSE,X43=FALSE),,if(W43=X43,JOIN("""",""Static: "",W43),JOIN("""",""Min:  "",W43, CHAR(10),""Max: "",X43)))"),"")</f>
        <v/>
      </c>
      <c r="W43" s="55" t="str">
        <f t="array" ref="W43">_xlfn.XLOOKUP(B43,'Up Min'!A:A,'Up Min'!F:F,)</f>
        <v/>
      </c>
      <c r="X43" s="55" t="str">
        <f t="array" ref="X43">_xlfn.XLOOKUP(B43,'Up Max'!A:A,'Up Max'!F:F,)</f>
        <v/>
      </c>
      <c r="Y43" s="57" t="str">
        <f t="array" ref="Y43">_xlfn.XLOOKUP(B43,'Up Stats'!A:A,'Up Stats'!G:G,)</f>
        <v/>
      </c>
      <c r="Z43" s="54" t="str">
        <f>IFERROR(__xludf.DUMMYFUNCTION("if(AND(AA43=FALSE,AB43=FALSE),,if(AA43=AB43,JOIN("""",""Static: "",AA43),JOIN("""",""Min:  "",AA43, CHAR(10),""Max: "",AB43)))"),"")</f>
        <v/>
      </c>
      <c r="AA43" s="55" t="str">
        <f t="array" ref="AA43">_xlfn.XLOOKUP(B43,'Up Min'!A:A,'Up Min'!G:G,)</f>
        <v/>
      </c>
      <c r="AB43" s="55" t="str">
        <f t="array" ref="AB43">_xlfn.XLOOKUP(B43,'Up Max'!A:A,'Up Max'!G:G,)</f>
        <v/>
      </c>
      <c r="AC43" s="57" t="str">
        <f t="array" ref="AC43">_xlfn.XLOOKUP(B43,'Up Stats'!A:A,'Up Stats'!H:H,)</f>
        <v/>
      </c>
      <c r="AD43" s="54" t="str">
        <f>IFERROR(__xludf.DUMMYFUNCTION("if(AND(AE43=FALSE,AF43=FALSE),,if(AE43=AF43,JOIN("""",""Static: "",AE43),JOIN("""",""Min:  "",AE43, CHAR(10),""Max: "",AF43)))"),"")</f>
        <v/>
      </c>
      <c r="AE43" s="55" t="str">
        <f t="array" ref="AE43">_xlfn.XLOOKUP(B43,'Up Min'!A:A,'Up Min'!H:H,)</f>
        <v/>
      </c>
      <c r="AF43" s="55" t="str">
        <f t="array" ref="AF43">_xlfn.XLOOKUP(B43,'Up Max'!A:A,'Up Max'!H:H,)</f>
        <v/>
      </c>
      <c r="AG43" s="57" t="str">
        <f t="array" ref="AG43">_xlfn.XLOOKUP(B43,'Up Stats'!A:A,'Up Stats'!I:I,)</f>
        <v/>
      </c>
      <c r="AH43" s="54" t="str">
        <f>IFERROR(__xludf.DUMMYFUNCTION("if(AND(AI43=FALSE,AJ43=FALSE),,if(AI43=AJ43,JOIN("""",""Static: "",AI43),JOIN("""",""Min:  "",AI43, CHAR(10),""Max: "",AJ43)))"),"")</f>
        <v/>
      </c>
      <c r="AI43" s="55" t="str">
        <f t="array" ref="AI43">_xlfn.XLOOKUP(B43,'Up Min'!A:A,'Up Min'!I:I,)</f>
        <v/>
      </c>
      <c r="AJ43" s="55" t="str">
        <f t="array" ref="AJ43">_xlfn.XLOOKUP(B43,'Up Max'!A:A,'Up Max'!I:I,)</f>
        <v/>
      </c>
      <c r="AK43" s="57" t="str">
        <f t="array" ref="AK43">_xlfn.XLOOKUP(B43,'Up Stats'!A:A,'Up Stats'!J:J,)</f>
        <v/>
      </c>
      <c r="AL43" s="54" t="str">
        <f>IFERROR(__xludf.DUMMYFUNCTION("if(AND(AM43=FALSE,AN43=FALSE),,if(AM43=AN43,JOIN("""",""Static: "",AM43),JOIN("""",""Min:  "",AM43, CHAR(10),""Max: "",AN43)))"),"")</f>
        <v/>
      </c>
      <c r="AM43" s="55" t="str">
        <f t="array" ref="AM43">_xlfn.XLOOKUP(B43,'Up Min'!A:A,'Up Min'!J:J,)</f>
        <v/>
      </c>
      <c r="AN43" s="55" t="str">
        <f t="array" ref="AN43">_xlfn.XLOOKUP(B43,'Up Max'!A:A,'Up Max'!J:J,)</f>
        <v/>
      </c>
      <c r="AO43" s="51" t="str">
        <f t="array" ref="AO43">CONCATENATE(_xlfn.XLOOKUP(B43,'Up Cells'!A:A,'Up Cells'!B:B,))</f>
        <v/>
      </c>
      <c r="AP43" s="61" t="str">
        <f t="array" ref="AP43">CONCATENATE(_xlfn.XLOOKUP(B43,'Up Rarity'!A:A,'Up Rarity'!B:B,),CHAR(10),"-")</f>
        <v>
-</v>
      </c>
    </row>
    <row r="44">
      <c r="A44" s="87" t="str">
        <f t="array" ref="A44">_xlfn.XLOOKUP(B44,'Up Icon'!A:A,'Up Icon'!B:B,)</f>
        <v/>
      </c>
      <c r="B44" s="58" t="str">
        <f t="array" ref="B44">HYPERLINK(_xlfn.XLOOKUP('Up Names'!R44,'Up Wiki'!A:A,'Up Wiki'!B:B,),'Up Names'!R44)</f>
        <v/>
      </c>
      <c r="C44" s="37" t="str">
        <f t="array" ref="C44">_xlfn.XLOOKUP(B44,'Up Desc'!A:A,'Up Desc'!B:B,)</f>
        <v/>
      </c>
      <c r="D44" s="37" t="str">
        <f t="array" ref="D44">_xlfn.XLOOKUP(B44,'Up Turbo'!A:A,'Up Turbo'!B:B,)</f>
        <v/>
      </c>
      <c r="E44" s="39" t="str">
        <f t="array" ref="E44">_xlfn.XLOOKUP(B44,'Up Stats'!A:A,'Up Stats'!B:B,)</f>
        <v/>
      </c>
      <c r="F44" s="40" t="str">
        <f>IFERROR(__xludf.DUMMYFUNCTION("if(AND(G44=FALSE,H44=FALSE),,if(G44=H44,JOIN("""",""Static: "",G44),JOIN("""",""Min:  "",G44, CHAR(10),""Max: "",H44)))"),"")</f>
        <v/>
      </c>
      <c r="G44" s="42" t="str">
        <f t="array" ref="G44">_xlfn.XLOOKUP(B44,'Up Min'!A:A,'Up Min'!B:B,)</f>
        <v/>
      </c>
      <c r="H44" s="45" t="str">
        <f t="array" ref="H44">_xlfn.XLOOKUP(B44,'Up Max'!A:A,'Up Max'!B:B,)</f>
        <v/>
      </c>
      <c r="I44" s="39" t="str">
        <f t="array" ref="I44">_xlfn.XLOOKUP(B44,'Up Stats'!A:A,'Up Stats'!C:C,)</f>
        <v/>
      </c>
      <c r="J44" s="40" t="str">
        <f>IFERROR(__xludf.DUMMYFUNCTION("if(AND(K44=FALSE,L44=FALSE),,if(K44=L44,JOIN("""",""Static: "",K44),JOIN("""",""Min:  "",K44, CHAR(10),""Max: "",L44)))"),"")</f>
        <v/>
      </c>
      <c r="K44" s="42" t="str">
        <f t="array" ref="K44">_xlfn.XLOOKUP(B44,'Up Min'!A:A,'Up Min'!C:C,)</f>
        <v/>
      </c>
      <c r="L44" s="42" t="str">
        <f t="array" ref="L44">_xlfn.XLOOKUP(B44,'Up Max'!A:A,'Up Max'!C:C,)</f>
        <v/>
      </c>
      <c r="M44" s="48" t="str">
        <f t="array" ref="M44">_xlfn.XLOOKUP(B44,'Up Stats'!A:A,'Up Stats'!D:D,)</f>
        <v/>
      </c>
      <c r="N44" s="40" t="str">
        <f>IFERROR(__xludf.DUMMYFUNCTION("if(AND(O44=FALSE,P44=FALSE),,if(O44=P44,JOIN("""",""Static: "",O44),JOIN("""",""Min:  "",O44, CHAR(10),""Max: "",P44)))"),"")</f>
        <v/>
      </c>
      <c r="O44" s="42" t="str">
        <f t="array" ref="O44">_xlfn.XLOOKUP(B44,'Up Min'!A:A,'Up Min'!D:D,)</f>
        <v/>
      </c>
      <c r="P44" s="42" t="str">
        <f t="array" ref="P44">_xlfn.XLOOKUP(B44,'Up Max'!A:A,'Up Max'!D:D,)</f>
        <v/>
      </c>
      <c r="Q44" s="48" t="str">
        <f t="array" ref="Q44">_xlfn.XLOOKUP(B44,'Up Stats'!A:A,'Up Stats'!E:E,)</f>
        <v/>
      </c>
      <c r="R44" s="40" t="str">
        <f>IFERROR(__xludf.DUMMYFUNCTION("if(AND(S44=FALSE,T44=FALSE),,if(S44=T44,JOIN("""",""Static: "",S44),JOIN("""",""Min:  "",S44, CHAR(10),""Max: "",T44)))"),"")</f>
        <v/>
      </c>
      <c r="S44" s="42" t="str">
        <f t="array" ref="S44">_xlfn.XLOOKUP(B44,'Up Min'!A:A,'Up Min'!E:E,)</f>
        <v/>
      </c>
      <c r="T44" s="42" t="str">
        <f t="array" ref="T44">_xlfn.XLOOKUP(B44,'Up Max'!A:A,'Up Max'!E:E,)</f>
        <v/>
      </c>
      <c r="U44" s="48" t="str">
        <f t="array" ref="U44">_xlfn.XLOOKUP(B44,'Up Stats'!A:A,'Up Stats'!F:F,)</f>
        <v/>
      </c>
      <c r="V44" s="40" t="str">
        <f>IFERROR(__xludf.DUMMYFUNCTION("if(AND(W44=FALSE,X44=FALSE),,if(W44=X44,JOIN("""",""Static: "",W44),JOIN("""",""Min:  "",W44, CHAR(10),""Max: "",X44)))"),"")</f>
        <v/>
      </c>
      <c r="W44" s="42" t="str">
        <f t="array" ref="W44">_xlfn.XLOOKUP(B44,'Up Min'!A:A,'Up Min'!F:F,)</f>
        <v/>
      </c>
      <c r="X44" s="42" t="str">
        <f t="array" ref="X44">_xlfn.XLOOKUP(B44,'Up Max'!A:A,'Up Max'!F:F,)</f>
        <v/>
      </c>
      <c r="Y44" s="48" t="str">
        <f t="array" ref="Y44">_xlfn.XLOOKUP(B44,'Up Stats'!A:A,'Up Stats'!G:G,)</f>
        <v/>
      </c>
      <c r="Z44" s="40" t="str">
        <f>IFERROR(__xludf.DUMMYFUNCTION("if(AND(AA44=FALSE,AB44=FALSE),,if(AA44=AB44,JOIN("""",""Static: "",AA44),JOIN("""",""Min:  "",AA44, CHAR(10),""Max: "",AB44)))"),"")</f>
        <v/>
      </c>
      <c r="AA44" s="42" t="str">
        <f t="array" ref="AA44">_xlfn.XLOOKUP(B44,'Up Min'!A:A,'Up Min'!G:G,)</f>
        <v/>
      </c>
      <c r="AB44" s="42" t="str">
        <f t="array" ref="AB44">_xlfn.XLOOKUP(B44,'Up Max'!A:A,'Up Max'!G:G,)</f>
        <v/>
      </c>
      <c r="AC44" s="48" t="str">
        <f t="array" ref="AC44">_xlfn.XLOOKUP(B44,'Up Stats'!A:A,'Up Stats'!H:H,)</f>
        <v/>
      </c>
      <c r="AD44" s="40" t="str">
        <f>IFERROR(__xludf.DUMMYFUNCTION("if(AND(AE44=FALSE,AF44=FALSE),,if(AE44=AF44,JOIN("""",""Static: "",AE44),JOIN("""",""Min:  "",AE44, CHAR(10),""Max: "",AF44)))"),"")</f>
        <v/>
      </c>
      <c r="AE44" s="42" t="str">
        <f t="array" ref="AE44">_xlfn.XLOOKUP(B44,'Up Min'!A:A,'Up Min'!H:H,)</f>
        <v/>
      </c>
      <c r="AF44" s="42" t="str">
        <f t="array" ref="AF44">_xlfn.XLOOKUP(B44,'Up Max'!A:A,'Up Max'!H:H,)</f>
        <v/>
      </c>
      <c r="AG44" s="48" t="str">
        <f t="array" ref="AG44">_xlfn.XLOOKUP(B44,'Up Stats'!A:A,'Up Stats'!I:I,)</f>
        <v/>
      </c>
      <c r="AH44" s="40" t="str">
        <f>IFERROR(__xludf.DUMMYFUNCTION("if(AND(AI44=FALSE,AJ44=FALSE),,if(AI44=AJ44,JOIN("""",""Static: "",AI44),JOIN("""",""Min:  "",AI44, CHAR(10),""Max: "",AJ44)))"),"")</f>
        <v/>
      </c>
      <c r="AI44" s="42" t="str">
        <f t="array" ref="AI44">_xlfn.XLOOKUP(B44,'Up Min'!A:A,'Up Min'!I:I,)</f>
        <v/>
      </c>
      <c r="AJ44" s="42" t="str">
        <f t="array" ref="AJ44">_xlfn.XLOOKUP(B44,'Up Max'!A:A,'Up Max'!I:I,)</f>
        <v/>
      </c>
      <c r="AK44" s="48" t="str">
        <f t="array" ref="AK44">_xlfn.XLOOKUP(B44,'Up Stats'!A:A,'Up Stats'!J:J,)</f>
        <v/>
      </c>
      <c r="AL44" s="40" t="str">
        <f>IFERROR(__xludf.DUMMYFUNCTION("if(AND(AM44=FALSE,AN44=FALSE),,if(AM44=AN44,JOIN("""",""Static: "",AM44),JOIN("""",""Min:  "",AM44, CHAR(10),""Max: "",AN44)))"),"")</f>
        <v/>
      </c>
      <c r="AM44" s="42" t="str">
        <f t="array" ref="AM44">_xlfn.XLOOKUP(B44,'Up Min'!A:A,'Up Min'!J:J,)</f>
        <v/>
      </c>
      <c r="AN44" s="42" t="str">
        <f t="array" ref="AN44">_xlfn.XLOOKUP(B44,'Up Max'!A:A,'Up Max'!J:J,)</f>
        <v/>
      </c>
      <c r="AO44" s="34" t="str">
        <f t="array" ref="AO44">CONCATENATE(_xlfn.XLOOKUP(B44,'Up Cells'!A:A,'Up Cells'!B:B,))</f>
        <v/>
      </c>
      <c r="AP44" s="58" t="str">
        <f t="array" ref="AP44">CONCATENATE(_xlfn.XLOOKUP(B44,'Up Rarity'!A:A,'Up Rarity'!B:B,),CHAR(10),"-")</f>
        <v>
-</v>
      </c>
    </row>
    <row r="45">
      <c r="A45" s="86" t="str">
        <f t="array" ref="A45">_xlfn.XLOOKUP(B45,'Up Icon'!A:A,'Up Icon'!B:B,)</f>
        <v/>
      </c>
      <c r="B45" s="61" t="str">
        <f t="array" ref="B45">HYPERLINK(_xlfn.XLOOKUP('Up Names'!R45,'Up Wiki'!A:A,'Up Wiki'!B:B,),'Up Names'!R45)</f>
        <v/>
      </c>
      <c r="C45" s="52" t="str">
        <f t="array" ref="C45">_xlfn.XLOOKUP(B45,'Up Desc'!A:A,'Up Desc'!B:B,)</f>
        <v/>
      </c>
      <c r="D45" s="52" t="str">
        <f t="array" ref="D45">_xlfn.XLOOKUP(B45,'Up Turbo'!A:A,'Up Turbo'!B:B,)</f>
        <v/>
      </c>
      <c r="E45" s="53" t="str">
        <f t="array" ref="E45">_xlfn.XLOOKUP(B45,'Up Stats'!A:A,'Up Stats'!B:B,)</f>
        <v/>
      </c>
      <c r="F45" s="54" t="str">
        <f>IFERROR(__xludf.DUMMYFUNCTION("if(AND(G45=FALSE,H45=FALSE),,if(G45=H45,JOIN("""",""Static: "",G45),JOIN("""",""Min:  "",G45, CHAR(10),""Max: "",H45)))"),"")</f>
        <v/>
      </c>
      <c r="G45" s="55" t="str">
        <f t="array" ref="G45">_xlfn.XLOOKUP(B45,'Up Min'!A:A,'Up Min'!B:B,)</f>
        <v/>
      </c>
      <c r="H45" s="56" t="str">
        <f t="array" ref="H45">_xlfn.XLOOKUP(B45,'Up Max'!A:A,'Up Max'!B:B,)</f>
        <v/>
      </c>
      <c r="I45" s="53" t="str">
        <f t="array" ref="I45">_xlfn.XLOOKUP(B45,'Up Stats'!A:A,'Up Stats'!C:C,)</f>
        <v/>
      </c>
      <c r="J45" s="54" t="str">
        <f>IFERROR(__xludf.DUMMYFUNCTION("if(AND(K45=FALSE,L45=FALSE),,if(K45=L45,JOIN("""",""Static: "",K45),JOIN("""",""Min:  "",K45, CHAR(10),""Max: "",L45)))"),"")</f>
        <v/>
      </c>
      <c r="K45" s="55" t="str">
        <f t="array" ref="K45">_xlfn.XLOOKUP(B45,'Up Min'!A:A,'Up Min'!C:C,)</f>
        <v/>
      </c>
      <c r="L45" s="55" t="str">
        <f t="array" ref="L45">_xlfn.XLOOKUP(B45,'Up Max'!A:A,'Up Max'!C:C,)</f>
        <v/>
      </c>
      <c r="M45" s="57" t="str">
        <f t="array" ref="M45">_xlfn.XLOOKUP(B45,'Up Stats'!A:A,'Up Stats'!D:D,)</f>
        <v/>
      </c>
      <c r="N45" s="54" t="str">
        <f>IFERROR(__xludf.DUMMYFUNCTION("if(AND(O45=FALSE,P45=FALSE),,if(O45=P45,JOIN("""",""Static: "",O45),JOIN("""",""Min:  "",O45, CHAR(10),""Max: "",P45)))"),"")</f>
        <v/>
      </c>
      <c r="O45" s="55" t="str">
        <f t="array" ref="O45">_xlfn.XLOOKUP(B45,'Up Min'!A:A,'Up Min'!D:D,)</f>
        <v/>
      </c>
      <c r="P45" s="55" t="str">
        <f t="array" ref="P45">_xlfn.XLOOKUP(B45,'Up Max'!A:A,'Up Max'!D:D,)</f>
        <v/>
      </c>
      <c r="Q45" s="57" t="str">
        <f t="array" ref="Q45">_xlfn.XLOOKUP(B45,'Up Stats'!A:A,'Up Stats'!E:E,)</f>
        <v/>
      </c>
      <c r="R45" s="54" t="str">
        <f>IFERROR(__xludf.DUMMYFUNCTION("if(AND(S45=FALSE,T45=FALSE),,if(S45=T45,JOIN("""",""Static: "",S45),JOIN("""",""Min:  "",S45, CHAR(10),""Max: "",T45)))"),"")</f>
        <v/>
      </c>
      <c r="S45" s="55" t="str">
        <f t="array" ref="S45">_xlfn.XLOOKUP(B45,'Up Min'!A:A,'Up Min'!E:E,)</f>
        <v/>
      </c>
      <c r="T45" s="55" t="str">
        <f t="array" ref="T45">_xlfn.XLOOKUP(B45,'Up Max'!A:A,'Up Max'!E:E,)</f>
        <v/>
      </c>
      <c r="U45" s="57" t="str">
        <f t="array" ref="U45">_xlfn.XLOOKUP(B45,'Up Stats'!A:A,'Up Stats'!F:F,)</f>
        <v/>
      </c>
      <c r="V45" s="54" t="str">
        <f>IFERROR(__xludf.DUMMYFUNCTION("if(AND(W45=FALSE,X45=FALSE),,if(W45=X45,JOIN("""",""Static: "",W45),JOIN("""",""Min:  "",W45, CHAR(10),""Max: "",X45)))"),"")</f>
        <v/>
      </c>
      <c r="W45" s="55" t="str">
        <f t="array" ref="W45">_xlfn.XLOOKUP(B45,'Up Min'!A:A,'Up Min'!F:F,)</f>
        <v/>
      </c>
      <c r="X45" s="55" t="str">
        <f t="array" ref="X45">_xlfn.XLOOKUP(B45,'Up Max'!A:A,'Up Max'!F:F,)</f>
        <v/>
      </c>
      <c r="Y45" s="57" t="str">
        <f t="array" ref="Y45">_xlfn.XLOOKUP(B45,'Up Stats'!A:A,'Up Stats'!G:G,)</f>
        <v/>
      </c>
      <c r="Z45" s="54" t="str">
        <f>IFERROR(__xludf.DUMMYFUNCTION("if(AND(AA45=FALSE,AB45=FALSE),,if(AA45=AB45,JOIN("""",""Static: "",AA45),JOIN("""",""Min:  "",AA45, CHAR(10),""Max: "",AB45)))"),"")</f>
        <v/>
      </c>
      <c r="AA45" s="55" t="str">
        <f t="array" ref="AA45">_xlfn.XLOOKUP(B45,'Up Min'!A:A,'Up Min'!G:G,)</f>
        <v/>
      </c>
      <c r="AB45" s="55" t="str">
        <f t="array" ref="AB45">_xlfn.XLOOKUP(B45,'Up Max'!A:A,'Up Max'!G:G,)</f>
        <v/>
      </c>
      <c r="AC45" s="57" t="str">
        <f t="array" ref="AC45">_xlfn.XLOOKUP(B45,'Up Stats'!A:A,'Up Stats'!H:H,)</f>
        <v/>
      </c>
      <c r="AD45" s="54" t="str">
        <f>IFERROR(__xludf.DUMMYFUNCTION("if(AND(AE45=FALSE,AF45=FALSE),,if(AE45=AF45,JOIN("""",""Static: "",AE45),JOIN("""",""Min:  "",AE45, CHAR(10),""Max: "",AF45)))"),"")</f>
        <v/>
      </c>
      <c r="AE45" s="55" t="str">
        <f t="array" ref="AE45">_xlfn.XLOOKUP(B45,'Up Min'!A:A,'Up Min'!H:H,)</f>
        <v/>
      </c>
      <c r="AF45" s="55" t="str">
        <f t="array" ref="AF45">_xlfn.XLOOKUP(B45,'Up Max'!A:A,'Up Max'!H:H,)</f>
        <v/>
      </c>
      <c r="AG45" s="57" t="str">
        <f t="array" ref="AG45">_xlfn.XLOOKUP(B45,'Up Stats'!A:A,'Up Stats'!I:I,)</f>
        <v/>
      </c>
      <c r="AH45" s="54" t="str">
        <f>IFERROR(__xludf.DUMMYFUNCTION("if(AND(AI45=FALSE,AJ45=FALSE),,if(AI45=AJ45,JOIN("""",""Static: "",AI45),JOIN("""",""Min:  "",AI45, CHAR(10),""Max: "",AJ45)))"),"")</f>
        <v/>
      </c>
      <c r="AI45" s="55" t="str">
        <f t="array" ref="AI45">_xlfn.XLOOKUP(B45,'Up Min'!A:A,'Up Min'!I:I,)</f>
        <v/>
      </c>
      <c r="AJ45" s="55" t="str">
        <f t="array" ref="AJ45">_xlfn.XLOOKUP(B45,'Up Max'!A:A,'Up Max'!I:I,)</f>
        <v/>
      </c>
      <c r="AK45" s="57" t="str">
        <f t="array" ref="AK45">_xlfn.XLOOKUP(B45,'Up Stats'!A:A,'Up Stats'!J:J,)</f>
        <v/>
      </c>
      <c r="AL45" s="54" t="str">
        <f>IFERROR(__xludf.DUMMYFUNCTION("if(AND(AM45=FALSE,AN45=FALSE),,if(AM45=AN45,JOIN("""",""Static: "",AM45),JOIN("""",""Min:  "",AM45, CHAR(10),""Max: "",AN45)))"),"")</f>
        <v/>
      </c>
      <c r="AM45" s="55" t="str">
        <f t="array" ref="AM45">_xlfn.XLOOKUP(B45,'Up Min'!A:A,'Up Min'!J:J,)</f>
        <v/>
      </c>
      <c r="AN45" s="55" t="str">
        <f t="array" ref="AN45">_xlfn.XLOOKUP(B45,'Up Max'!A:A,'Up Max'!J:J,)</f>
        <v/>
      </c>
      <c r="AO45" s="51" t="str">
        <f t="array" ref="AO45">CONCATENATE(_xlfn.XLOOKUP(B45,'Up Cells'!A:A,'Up Cells'!B:B,))</f>
        <v/>
      </c>
      <c r="AP45" s="61" t="str">
        <f t="array" ref="AP45">CONCATENATE(_xlfn.XLOOKUP(B45,'Up Rarity'!A:A,'Up Rarity'!B:B,),CHAR(10),"-")</f>
        <v>
-</v>
      </c>
    </row>
    <row r="46">
      <c r="A46" s="87" t="str">
        <f t="array" ref="A46">_xlfn.XLOOKUP(B46,'Up Icon'!A:A,'Up Icon'!B:B,)</f>
        <v/>
      </c>
      <c r="B46" s="58" t="str">
        <f t="array" ref="B46">HYPERLINK(_xlfn.XLOOKUP('Up Names'!R46,'Up Wiki'!A:A,'Up Wiki'!B:B,),'Up Names'!R46)</f>
        <v/>
      </c>
      <c r="C46" s="37" t="str">
        <f t="array" ref="C46">_xlfn.XLOOKUP(B46,'Up Desc'!A:A,'Up Desc'!B:B,)</f>
        <v/>
      </c>
      <c r="D46" s="37" t="str">
        <f t="array" ref="D46">_xlfn.XLOOKUP(B46,'Up Turbo'!A:A,'Up Turbo'!B:B,)</f>
        <v/>
      </c>
      <c r="E46" s="39" t="str">
        <f t="array" ref="E46">_xlfn.XLOOKUP(B46,'Up Stats'!A:A,'Up Stats'!B:B,)</f>
        <v/>
      </c>
      <c r="F46" s="40" t="str">
        <f>IFERROR(__xludf.DUMMYFUNCTION("if(AND(G46=FALSE,H46=FALSE),,if(G46=H46,JOIN("""",""Static: "",G46),JOIN("""",""Min:  "",G46, CHAR(10),""Max: "",H46)))"),"")</f>
        <v/>
      </c>
      <c r="G46" s="42" t="str">
        <f t="array" ref="G46">_xlfn.XLOOKUP(B46,'Up Min'!A:A,'Up Min'!B:B,)</f>
        <v/>
      </c>
      <c r="H46" s="45" t="str">
        <f t="array" ref="H46">_xlfn.XLOOKUP(B46,'Up Max'!A:A,'Up Max'!B:B,)</f>
        <v/>
      </c>
      <c r="I46" s="39" t="str">
        <f t="array" ref="I46">_xlfn.XLOOKUP(B46,'Up Stats'!A:A,'Up Stats'!C:C,)</f>
        <v/>
      </c>
      <c r="J46" s="40" t="str">
        <f>IFERROR(__xludf.DUMMYFUNCTION("if(AND(K46=FALSE,L46=FALSE),,if(K46=L46,JOIN("""",""Static: "",K46),JOIN("""",""Min:  "",K46, CHAR(10),""Max: "",L46)))"),"")</f>
        <v/>
      </c>
      <c r="K46" s="42" t="str">
        <f t="array" ref="K46">_xlfn.XLOOKUP(B46,'Up Min'!A:A,'Up Min'!C:C,)</f>
        <v/>
      </c>
      <c r="L46" s="42" t="str">
        <f t="array" ref="L46">_xlfn.XLOOKUP(B46,'Up Max'!A:A,'Up Max'!C:C,)</f>
        <v/>
      </c>
      <c r="M46" s="48" t="str">
        <f t="array" ref="M46">_xlfn.XLOOKUP(B46,'Up Stats'!A:A,'Up Stats'!D:D,)</f>
        <v/>
      </c>
      <c r="N46" s="40" t="str">
        <f>IFERROR(__xludf.DUMMYFUNCTION("if(AND(O46=FALSE,P46=FALSE),,if(O46=P46,JOIN("""",""Static: "",O46),JOIN("""",""Min:  "",O46, CHAR(10),""Max: "",P46)))"),"")</f>
        <v/>
      </c>
      <c r="O46" s="42" t="str">
        <f t="array" ref="O46">_xlfn.XLOOKUP(B46,'Up Min'!A:A,'Up Min'!D:D,)</f>
        <v/>
      </c>
      <c r="P46" s="42" t="str">
        <f t="array" ref="P46">_xlfn.XLOOKUP(B46,'Up Max'!A:A,'Up Max'!D:D,)</f>
        <v/>
      </c>
      <c r="Q46" s="48" t="str">
        <f t="array" ref="Q46">_xlfn.XLOOKUP(B46,'Up Stats'!A:A,'Up Stats'!E:E,)</f>
        <v/>
      </c>
      <c r="R46" s="40" t="str">
        <f>IFERROR(__xludf.DUMMYFUNCTION("if(AND(S46=FALSE,T46=FALSE),,if(S46=T46,JOIN("""",""Static: "",S46),JOIN("""",""Min:  "",S46, CHAR(10),""Max: "",T46)))"),"")</f>
        <v/>
      </c>
      <c r="S46" s="42" t="str">
        <f t="array" ref="S46">_xlfn.XLOOKUP(B46,'Up Min'!A:A,'Up Min'!E:E,)</f>
        <v/>
      </c>
      <c r="T46" s="42" t="str">
        <f t="array" ref="T46">_xlfn.XLOOKUP(B46,'Up Max'!A:A,'Up Max'!E:E,)</f>
        <v/>
      </c>
      <c r="U46" s="48" t="str">
        <f t="array" ref="U46">_xlfn.XLOOKUP(B46,'Up Stats'!A:A,'Up Stats'!F:F,)</f>
        <v/>
      </c>
      <c r="V46" s="40" t="str">
        <f>IFERROR(__xludf.DUMMYFUNCTION("if(AND(W46=FALSE,X46=FALSE),,if(W46=X46,JOIN("""",""Static: "",W46),JOIN("""",""Min:  "",W46, CHAR(10),""Max: "",X46)))"),"")</f>
        <v/>
      </c>
      <c r="W46" s="42" t="str">
        <f t="array" ref="W46">_xlfn.XLOOKUP(B46,'Up Min'!A:A,'Up Min'!F:F,)</f>
        <v/>
      </c>
      <c r="X46" s="42" t="str">
        <f t="array" ref="X46">_xlfn.XLOOKUP(B46,'Up Max'!A:A,'Up Max'!F:F,)</f>
        <v/>
      </c>
      <c r="Y46" s="48" t="str">
        <f t="array" ref="Y46">_xlfn.XLOOKUP(B46,'Up Stats'!A:A,'Up Stats'!G:G,)</f>
        <v/>
      </c>
      <c r="Z46" s="40" t="str">
        <f>IFERROR(__xludf.DUMMYFUNCTION("if(AND(AA46=FALSE,AB46=FALSE),,if(AA46=AB46,JOIN("""",""Static: "",AA46),JOIN("""",""Min:  "",AA46, CHAR(10),""Max: "",AB46)))"),"")</f>
        <v/>
      </c>
      <c r="AA46" s="42" t="str">
        <f t="array" ref="AA46">_xlfn.XLOOKUP(B46,'Up Min'!A:A,'Up Min'!G:G,)</f>
        <v/>
      </c>
      <c r="AB46" s="42" t="str">
        <f t="array" ref="AB46">_xlfn.XLOOKUP(B46,'Up Max'!A:A,'Up Max'!G:G,)</f>
        <v/>
      </c>
      <c r="AC46" s="48" t="str">
        <f t="array" ref="AC46">_xlfn.XLOOKUP(B46,'Up Stats'!A:A,'Up Stats'!H:H,)</f>
        <v/>
      </c>
      <c r="AD46" s="40" t="str">
        <f>IFERROR(__xludf.DUMMYFUNCTION("if(AND(AE46=FALSE,AF46=FALSE),,if(AE46=AF46,JOIN("""",""Static: "",AE46),JOIN("""",""Min:  "",AE46, CHAR(10),""Max: "",AF46)))"),"")</f>
        <v/>
      </c>
      <c r="AE46" s="42" t="str">
        <f t="array" ref="AE46">_xlfn.XLOOKUP(B46,'Up Min'!A:A,'Up Min'!H:H,)</f>
        <v/>
      </c>
      <c r="AF46" s="42" t="str">
        <f t="array" ref="AF46">_xlfn.XLOOKUP(B46,'Up Max'!A:A,'Up Max'!H:H,)</f>
        <v/>
      </c>
      <c r="AG46" s="48" t="str">
        <f t="array" ref="AG46">_xlfn.XLOOKUP(B46,'Up Stats'!A:A,'Up Stats'!I:I,)</f>
        <v/>
      </c>
      <c r="AH46" s="40" t="str">
        <f>IFERROR(__xludf.DUMMYFUNCTION("if(AND(AI46=FALSE,AJ46=FALSE),,if(AI46=AJ46,JOIN("""",""Static: "",AI46),JOIN("""",""Min:  "",AI46, CHAR(10),""Max: "",AJ46)))"),"")</f>
        <v/>
      </c>
      <c r="AI46" s="42" t="str">
        <f t="array" ref="AI46">_xlfn.XLOOKUP(B46,'Up Min'!A:A,'Up Min'!I:I,)</f>
        <v/>
      </c>
      <c r="AJ46" s="42" t="str">
        <f t="array" ref="AJ46">_xlfn.XLOOKUP(B46,'Up Max'!A:A,'Up Max'!I:I,)</f>
        <v/>
      </c>
      <c r="AK46" s="48" t="str">
        <f t="array" ref="AK46">_xlfn.XLOOKUP(B46,'Up Stats'!A:A,'Up Stats'!J:J,)</f>
        <v/>
      </c>
      <c r="AL46" s="40" t="str">
        <f>IFERROR(__xludf.DUMMYFUNCTION("if(AND(AM46=FALSE,AN46=FALSE),,if(AM46=AN46,JOIN("""",""Static: "",AM46),JOIN("""",""Min:  "",AM46, CHAR(10),""Max: "",AN46)))"),"")</f>
        <v/>
      </c>
      <c r="AM46" s="42" t="str">
        <f t="array" ref="AM46">_xlfn.XLOOKUP(B46,'Up Min'!A:A,'Up Min'!J:J,)</f>
        <v/>
      </c>
      <c r="AN46" s="42" t="str">
        <f t="array" ref="AN46">_xlfn.XLOOKUP(B46,'Up Max'!A:A,'Up Max'!J:J,)</f>
        <v/>
      </c>
      <c r="AO46" s="34" t="str">
        <f t="array" ref="AO46">CONCATENATE(_xlfn.XLOOKUP(B46,'Up Cells'!A:A,'Up Cells'!B:B,))</f>
        <v/>
      </c>
      <c r="AP46" s="58" t="str">
        <f t="array" ref="AP46">CONCATENATE(_xlfn.XLOOKUP(B46,'Up Rarity'!A:A,'Up Rarity'!B:B,),CHAR(10),"-")</f>
        <v>
-</v>
      </c>
    </row>
    <row r="47">
      <c r="A47" s="86" t="str">
        <f t="array" ref="A47">_xlfn.XLOOKUP(B47,'Up Icon'!A:A,'Up Icon'!B:B,)</f>
        <v/>
      </c>
      <c r="B47" s="61" t="str">
        <f t="array" ref="B47">HYPERLINK(_xlfn.XLOOKUP('Up Names'!R47,'Up Wiki'!A:A,'Up Wiki'!B:B,),'Up Names'!R47)</f>
        <v/>
      </c>
      <c r="C47" s="52" t="str">
        <f t="array" ref="C47">_xlfn.XLOOKUP(B47,'Up Desc'!A:A,'Up Desc'!B:B,)</f>
        <v/>
      </c>
      <c r="D47" s="52" t="str">
        <f t="array" ref="D47">_xlfn.XLOOKUP(B47,'Up Turbo'!A:A,'Up Turbo'!B:B,)</f>
        <v/>
      </c>
      <c r="E47" s="53" t="str">
        <f t="array" ref="E47">_xlfn.XLOOKUP(B47,'Up Stats'!A:A,'Up Stats'!B:B,)</f>
        <v/>
      </c>
      <c r="F47" s="54" t="str">
        <f>IFERROR(__xludf.DUMMYFUNCTION("if(AND(G47=FALSE,H47=FALSE),,if(G47=H47,JOIN("""",""Static: "",G47),JOIN("""",""Min:  "",G47, CHAR(10),""Max: "",H47)))"),"")</f>
        <v/>
      </c>
      <c r="G47" s="55" t="str">
        <f t="array" ref="G47">_xlfn.XLOOKUP(B47,'Up Min'!A:A,'Up Min'!B:B,)</f>
        <v/>
      </c>
      <c r="H47" s="56" t="str">
        <f t="array" ref="H47">_xlfn.XLOOKUP(B47,'Up Max'!A:A,'Up Max'!B:B,)</f>
        <v/>
      </c>
      <c r="I47" s="53" t="str">
        <f t="array" ref="I47">_xlfn.XLOOKUP(B47,'Up Stats'!A:A,'Up Stats'!C:C,)</f>
        <v/>
      </c>
      <c r="J47" s="54" t="str">
        <f>IFERROR(__xludf.DUMMYFUNCTION("if(AND(K47=FALSE,L47=FALSE),,if(K47=L47,JOIN("""",""Static: "",K47),JOIN("""",""Min:  "",K47, CHAR(10),""Max: "",L47)))"),"")</f>
        <v/>
      </c>
      <c r="K47" s="55" t="str">
        <f t="array" ref="K47">_xlfn.XLOOKUP(B47,'Up Min'!A:A,'Up Min'!C:C,)</f>
        <v/>
      </c>
      <c r="L47" s="55" t="str">
        <f t="array" ref="L47">_xlfn.XLOOKUP(B47,'Up Max'!A:A,'Up Max'!C:C,)</f>
        <v/>
      </c>
      <c r="M47" s="57" t="str">
        <f t="array" ref="M47">_xlfn.XLOOKUP(B47,'Up Stats'!A:A,'Up Stats'!D:D,)</f>
        <v/>
      </c>
      <c r="N47" s="54" t="str">
        <f>IFERROR(__xludf.DUMMYFUNCTION("if(AND(O47=FALSE,P47=FALSE),,if(O47=P47,JOIN("""",""Static: "",O47),JOIN("""",""Min:  "",O47, CHAR(10),""Max: "",P47)))"),"")</f>
        <v/>
      </c>
      <c r="O47" s="55" t="str">
        <f t="array" ref="O47">_xlfn.XLOOKUP(B47,'Up Min'!A:A,'Up Min'!D:D,)</f>
        <v/>
      </c>
      <c r="P47" s="55" t="str">
        <f t="array" ref="P47">_xlfn.XLOOKUP(B47,'Up Max'!A:A,'Up Max'!D:D,)</f>
        <v/>
      </c>
      <c r="Q47" s="57" t="str">
        <f t="array" ref="Q47">_xlfn.XLOOKUP(B47,'Up Stats'!A:A,'Up Stats'!E:E,)</f>
        <v/>
      </c>
      <c r="R47" s="54" t="str">
        <f>IFERROR(__xludf.DUMMYFUNCTION("if(AND(S47=FALSE,T47=FALSE),,if(S47=T47,JOIN("""",""Static: "",S47),JOIN("""",""Min:  "",S47, CHAR(10),""Max: "",T47)))"),"")</f>
        <v/>
      </c>
      <c r="S47" s="55" t="str">
        <f t="array" ref="S47">_xlfn.XLOOKUP(B47,'Up Min'!A:A,'Up Min'!E:E,)</f>
        <v/>
      </c>
      <c r="T47" s="55" t="str">
        <f t="array" ref="T47">_xlfn.XLOOKUP(B47,'Up Max'!A:A,'Up Max'!E:E,)</f>
        <v/>
      </c>
      <c r="U47" s="57" t="str">
        <f t="array" ref="U47">_xlfn.XLOOKUP(B47,'Up Stats'!A:A,'Up Stats'!F:F,)</f>
        <v/>
      </c>
      <c r="V47" s="54" t="str">
        <f>IFERROR(__xludf.DUMMYFUNCTION("if(AND(W47=FALSE,X47=FALSE),,if(W47=X47,JOIN("""",""Static: "",W47),JOIN("""",""Min:  "",W47, CHAR(10),""Max: "",X47)))"),"")</f>
        <v/>
      </c>
      <c r="W47" s="55" t="str">
        <f t="array" ref="W47">_xlfn.XLOOKUP(B47,'Up Min'!A:A,'Up Min'!F:F,)</f>
        <v/>
      </c>
      <c r="X47" s="55" t="str">
        <f t="array" ref="X47">_xlfn.XLOOKUP(B47,'Up Max'!A:A,'Up Max'!F:F,)</f>
        <v/>
      </c>
      <c r="Y47" s="57" t="str">
        <f t="array" ref="Y47">_xlfn.XLOOKUP(B47,'Up Stats'!A:A,'Up Stats'!G:G,)</f>
        <v/>
      </c>
      <c r="Z47" s="54" t="str">
        <f>IFERROR(__xludf.DUMMYFUNCTION("if(AND(AA47=FALSE,AB47=FALSE),,if(AA47=AB47,JOIN("""",""Static: "",AA47),JOIN("""",""Min:  "",AA47, CHAR(10),""Max: "",AB47)))"),"")</f>
        <v/>
      </c>
      <c r="AA47" s="55" t="str">
        <f t="array" ref="AA47">_xlfn.XLOOKUP(B47,'Up Min'!A:A,'Up Min'!G:G,)</f>
        <v/>
      </c>
      <c r="AB47" s="55" t="str">
        <f t="array" ref="AB47">_xlfn.XLOOKUP(B47,'Up Max'!A:A,'Up Max'!G:G,)</f>
        <v/>
      </c>
      <c r="AC47" s="57" t="str">
        <f t="array" ref="AC47">_xlfn.XLOOKUP(B47,'Up Stats'!A:A,'Up Stats'!H:H,)</f>
        <v/>
      </c>
      <c r="AD47" s="54" t="str">
        <f>IFERROR(__xludf.DUMMYFUNCTION("if(AND(AE47=FALSE,AF47=FALSE),,if(AE47=AF47,JOIN("""",""Static: "",AE47),JOIN("""",""Min:  "",AE47, CHAR(10),""Max: "",AF47)))"),"")</f>
        <v/>
      </c>
      <c r="AE47" s="55" t="str">
        <f t="array" ref="AE47">_xlfn.XLOOKUP(B47,'Up Min'!A:A,'Up Min'!H:H,)</f>
        <v/>
      </c>
      <c r="AF47" s="55" t="str">
        <f t="array" ref="AF47">_xlfn.XLOOKUP(B47,'Up Max'!A:A,'Up Max'!H:H,)</f>
        <v/>
      </c>
      <c r="AG47" s="57" t="str">
        <f t="array" ref="AG47">_xlfn.XLOOKUP(B47,'Up Stats'!A:A,'Up Stats'!I:I,)</f>
        <v/>
      </c>
      <c r="AH47" s="54" t="str">
        <f>IFERROR(__xludf.DUMMYFUNCTION("if(AND(AI47=FALSE,AJ47=FALSE),,if(AI47=AJ47,JOIN("""",""Static: "",AI47),JOIN("""",""Min:  "",AI47, CHAR(10),""Max: "",AJ47)))"),"")</f>
        <v/>
      </c>
      <c r="AI47" s="55" t="str">
        <f t="array" ref="AI47">_xlfn.XLOOKUP(B47,'Up Min'!A:A,'Up Min'!I:I,)</f>
        <v/>
      </c>
      <c r="AJ47" s="55" t="str">
        <f t="array" ref="AJ47">_xlfn.XLOOKUP(B47,'Up Max'!A:A,'Up Max'!I:I,)</f>
        <v/>
      </c>
      <c r="AK47" s="57" t="str">
        <f t="array" ref="AK47">_xlfn.XLOOKUP(B47,'Up Stats'!A:A,'Up Stats'!J:J,)</f>
        <v/>
      </c>
      <c r="AL47" s="54" t="str">
        <f>IFERROR(__xludf.DUMMYFUNCTION("if(AND(AM47=FALSE,AN47=FALSE),,if(AM47=AN47,JOIN("""",""Static: "",AM47),JOIN("""",""Min:  "",AM47, CHAR(10),""Max: "",AN47)))"),"")</f>
        <v/>
      </c>
      <c r="AM47" s="55" t="str">
        <f t="array" ref="AM47">_xlfn.XLOOKUP(B47,'Up Min'!A:A,'Up Min'!J:J,)</f>
        <v/>
      </c>
      <c r="AN47" s="55" t="str">
        <f t="array" ref="AN47">_xlfn.XLOOKUP(B47,'Up Max'!A:A,'Up Max'!J:J,)</f>
        <v/>
      </c>
      <c r="AO47" s="51" t="str">
        <f t="array" ref="AO47">CONCATENATE(_xlfn.XLOOKUP(B47,'Up Cells'!A:A,'Up Cells'!B:B,))</f>
        <v/>
      </c>
      <c r="AP47" s="61" t="str">
        <f t="array" ref="AP47">CONCATENATE(_xlfn.XLOOKUP(B47,'Up Rarity'!A:A,'Up Rarity'!B:B,),CHAR(10),"-")</f>
        <v>
-</v>
      </c>
    </row>
  </sheetData>
  <autoFilter ref="$A$1:$AP$47">
    <sortState ref="A1:AP47">
      <sortCondition descending="1" sortBy="cellColor" ref="AP1:AP47" dxfId="13"/>
      <sortCondition ref="B1:B47"/>
    </sortState>
  </autoFilter>
  <conditionalFormatting sqref="AO1:AP47">
    <cfRule type="containsText" dxfId="3" priority="1" operator="containsText" text="Oddity">
      <formula>NOT(ISERROR(SEARCH(("Oddity"),(AO1))))</formula>
    </cfRule>
  </conditionalFormatting>
  <conditionalFormatting sqref="AO1:AP47">
    <cfRule type="containsText" dxfId="4" priority="2" operator="containsText" text="Exotic">
      <formula>NOT(ISERROR(SEARCH(("Exotic"),(AO1))))</formula>
    </cfRule>
  </conditionalFormatting>
  <conditionalFormatting sqref="AO1:AP47">
    <cfRule type="containsText" dxfId="5" priority="3" operator="containsText" text="Epic">
      <formula>NOT(ISERROR(SEARCH(("Epic"),(AO1))))</formula>
    </cfRule>
  </conditionalFormatting>
  <conditionalFormatting sqref="AO1:AP47">
    <cfRule type="containsText" dxfId="6" priority="4" operator="containsText" text="Rare">
      <formula>NOT(ISERROR(SEARCH(("Rare"),(AO1))))</formula>
    </cfRule>
  </conditionalFormatting>
  <conditionalFormatting sqref="AO1:AP47">
    <cfRule type="containsText" dxfId="7" priority="5" operator="containsText" text="Standard">
      <formula>NOT(ISERROR(SEARCH(("Standard"),(AO1))))</formula>
    </cfRule>
  </conditionalFormatting>
  <conditionalFormatting sqref="AO1:AP47">
    <cfRule type="containsText" dxfId="8" priority="6" operator="containsText" text="Contraband">
      <formula>NOT(ISERROR(SEARCH(("Contraband"),(AO1))))</formula>
    </cfRule>
  </conditionalFormatting>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12.63"/>
    <col customWidth="1" min="3" max="4" width="31.38"/>
    <col customWidth="1" min="5" max="6" width="12.63"/>
    <col customWidth="1" hidden="1" min="7" max="8" width="12.63"/>
    <col customWidth="1" min="9" max="10" width="12.63"/>
    <col customWidth="1" hidden="1" min="11" max="12" width="12.63"/>
    <col customWidth="1" min="13" max="14" width="12.63"/>
    <col customWidth="1" hidden="1" min="15" max="16" width="12.63"/>
    <col customWidth="1" min="17" max="18" width="12.63"/>
    <col customWidth="1" hidden="1" min="19" max="20" width="12.63"/>
    <col customWidth="1" min="21" max="22" width="12.63"/>
    <col customWidth="1" hidden="1" min="23" max="24" width="12.63"/>
    <col customWidth="1" min="25" max="26" width="12.63"/>
    <col customWidth="1" hidden="1" min="27" max="28" width="12.63"/>
    <col customWidth="1" min="29" max="30" width="12.63"/>
    <col customWidth="1" hidden="1" min="31" max="32" width="12.63"/>
    <col customWidth="1" min="33" max="34" width="12.63"/>
    <col customWidth="1" hidden="1" min="35" max="36" width="12.63"/>
    <col customWidth="1" min="37" max="38" width="12.63"/>
    <col customWidth="1" hidden="1" min="39" max="40" width="12.63"/>
    <col customWidth="1" min="41" max="42" width="8.25"/>
  </cols>
  <sheetData>
    <row r="1">
      <c r="A1" s="28" t="s">
        <v>1</v>
      </c>
      <c r="B1" s="9" t="s">
        <v>2</v>
      </c>
      <c r="C1" s="9" t="s">
        <v>3</v>
      </c>
      <c r="D1" s="11" t="s">
        <v>4</v>
      </c>
      <c r="E1" s="16" t="s">
        <v>6</v>
      </c>
      <c r="F1" s="19" t="s">
        <v>7</v>
      </c>
      <c r="G1" s="21" t="s">
        <v>8</v>
      </c>
      <c r="H1" s="25" t="s">
        <v>9</v>
      </c>
      <c r="I1" s="29" t="s">
        <v>6</v>
      </c>
      <c r="J1" s="19" t="s">
        <v>7</v>
      </c>
      <c r="K1" s="21" t="s">
        <v>8</v>
      </c>
      <c r="L1" s="21" t="s">
        <v>9</v>
      </c>
      <c r="M1" s="16" t="s">
        <v>6</v>
      </c>
      <c r="N1" s="19" t="s">
        <v>7</v>
      </c>
      <c r="O1" s="21" t="s">
        <v>8</v>
      </c>
      <c r="P1" s="21" t="s">
        <v>9</v>
      </c>
      <c r="Q1" s="16" t="s">
        <v>6</v>
      </c>
      <c r="R1" s="19" t="s">
        <v>7</v>
      </c>
      <c r="S1" s="21" t="s">
        <v>8</v>
      </c>
      <c r="T1" s="21" t="s">
        <v>9</v>
      </c>
      <c r="U1" s="16" t="s">
        <v>6</v>
      </c>
      <c r="V1" s="19" t="s">
        <v>7</v>
      </c>
      <c r="W1" s="21" t="s">
        <v>8</v>
      </c>
      <c r="X1" s="21" t="s">
        <v>9</v>
      </c>
      <c r="Y1" s="16" t="s">
        <v>6</v>
      </c>
      <c r="Z1" s="19" t="s">
        <v>7</v>
      </c>
      <c r="AA1" s="21" t="s">
        <v>8</v>
      </c>
      <c r="AB1" s="21" t="s">
        <v>9</v>
      </c>
      <c r="AC1" s="16" t="s">
        <v>6</v>
      </c>
      <c r="AD1" s="19" t="s">
        <v>7</v>
      </c>
      <c r="AE1" s="21" t="s">
        <v>8</v>
      </c>
      <c r="AF1" s="21" t="s">
        <v>9</v>
      </c>
      <c r="AG1" s="16" t="s">
        <v>6</v>
      </c>
      <c r="AH1" s="19" t="s">
        <v>7</v>
      </c>
      <c r="AI1" s="21" t="s">
        <v>8</v>
      </c>
      <c r="AJ1" s="21" t="s">
        <v>9</v>
      </c>
      <c r="AK1" s="16" t="s">
        <v>6</v>
      </c>
      <c r="AL1" s="19" t="s">
        <v>7</v>
      </c>
      <c r="AM1" s="21" t="s">
        <v>8</v>
      </c>
      <c r="AN1" s="21" t="s">
        <v>9</v>
      </c>
      <c r="AO1" s="11" t="s">
        <v>12</v>
      </c>
      <c r="AP1" s="22" t="s">
        <v>13</v>
      </c>
    </row>
    <row r="2">
      <c r="A2" s="60" t="str">
        <f t="array" ref="A2">_xlfn.XLOOKUP(B2,'Up Icon'!A:A,'Up Icon'!B:B,)</f>
        <v/>
      </c>
      <c r="B2" s="89" t="str">
        <f t="array" ref="B2">HYPERLINK(_xlfn.XLOOKUP('Up Names'!S2,'Up Wiki'!A:A,'Up Wiki'!B:B,),'Up Names'!S2)</f>
        <v>Upside Down</v>
      </c>
      <c r="C2" s="67" t="str">
        <f t="array" ref="C2">_xlfn.XLOOKUP(B2,'Up Desc'!A:A,'Up Desc'!B:B,)</f>
        <v>Feeling a little lightheaded?</v>
      </c>
      <c r="D2" s="37" t="str">
        <f t="array" ref="D2">_xlfn.XLOOKUP(B2,'Up Turbo'!A:A,'Up Turbo'!B:B,)</f>
        <v>n/a</v>
      </c>
      <c r="E2" s="39" t="str">
        <f t="array" ref="E2">_xlfn.XLOOKUP(B2,'Up Stats'!A:A,'Up Stats'!B:B,)</f>
        <v>Force</v>
      </c>
      <c r="F2" s="40" t="str">
        <f>IFERROR(__xludf.DUMMYFUNCTION("if(AND(G2=FALSE,H2=FALSE),,if(G2=H2,JOIN("""",""Static: "",G2),JOIN("""",""Min:  "",G2, CHAR(10),""Max: "",H2)))"),"Static: 0")</f>
        <v>Static: 0</v>
      </c>
      <c r="G2" s="69">
        <f t="array" ref="G2">_xlfn.XLOOKUP(B2,'Up Min'!A:A,'Up Min'!B:B,)</f>
        <v>0</v>
      </c>
      <c r="H2" s="68">
        <f t="array" ref="H2">_xlfn.XLOOKUP(B2,'Up Max'!A:A,'Up Max'!B:B,)</f>
        <v>0</v>
      </c>
      <c r="I2" s="39" t="str">
        <f t="array" ref="I2">_xlfn.XLOOKUP(B2,'Up Stats'!A:A,'Up Stats'!C:C,)</f>
        <v>Initial Force</v>
      </c>
      <c r="J2" s="40" t="str">
        <f>IFERROR(__xludf.DUMMYFUNCTION("if(AND(K2=FALSE,L2=FALSE),,if(K2=L2,JOIN("""",""Static: "",K2),JOIN("""",""Min:  "",K2, CHAR(10),""Max: "",L2)))"),"Static: 0")</f>
        <v>Static: 0</v>
      </c>
      <c r="K2" s="68">
        <f t="array" ref="K2">_xlfn.XLOOKUP(B2,'Up Min'!A:A,'Up Min'!C:C,)</f>
        <v>0</v>
      </c>
      <c r="L2" s="69">
        <f t="array" ref="L2">_xlfn.XLOOKUP(B2,'Up Max'!A:A,'Up Max'!C:C,)</f>
        <v>0</v>
      </c>
      <c r="M2" s="39" t="str">
        <f t="array" ref="M2">_xlfn.XLOOKUP(B2,'Up Stats'!A:A,'Up Stats'!D:D,)</f>
        <v>Jetpack Duration</v>
      </c>
      <c r="N2" s="40" t="str">
        <f>IFERROR(__xludf.DUMMYFUNCTION("if(AND(O2=FALSE,P2=FALSE),,if(O2=P2,JOIN("""",""Static: "",O2),JOIN("""",""Min:  "",O2, CHAR(10),""Max: "",P2)))"),"Static: 300%")</f>
        <v>Static: 300%</v>
      </c>
      <c r="O2" s="41">
        <f t="array" ref="O2">_xlfn.XLOOKUP(B2,'Up Min'!A:A,'Up Min'!D:D,)</f>
        <v>3</v>
      </c>
      <c r="P2" s="41">
        <f t="array" ref="P2">_xlfn.XLOOKUP(B2,'Up Max'!A:A,'Up Max'!D:D,)</f>
        <v>3</v>
      </c>
      <c r="Q2" s="48" t="str">
        <f t="array" ref="Q2">_xlfn.XLOOKUP(B2,'Up Stats'!A:A,'Up Stats'!E:E,)</f>
        <v/>
      </c>
      <c r="R2" s="40" t="str">
        <f>IFERROR(__xludf.DUMMYFUNCTION("if(AND(S2=FALSE,T2=FALSE),,if(S2=T2,JOIN("""",""Static: "",S2),JOIN("""",""Min:  "",S2, CHAR(10),""Max: "",T2)))"),"")</f>
        <v/>
      </c>
      <c r="S2" s="42" t="str">
        <f t="array" ref="S2">_xlfn.XLOOKUP(B2,'Up Min'!A:A,'Up Min'!E:E,)</f>
        <v/>
      </c>
      <c r="T2" s="42" t="str">
        <f t="array" ref="T2">_xlfn.XLOOKUP(B2,'Up Max'!A:A,'Up Max'!E:E,)</f>
        <v/>
      </c>
      <c r="U2" s="48" t="str">
        <f t="array" ref="U2">_xlfn.XLOOKUP(B2,'Up Stats'!A:A,'Up Stats'!F:F,)</f>
        <v/>
      </c>
      <c r="V2" s="40" t="str">
        <f>IFERROR(__xludf.DUMMYFUNCTION("if(AND(W2=FALSE,X2=FALSE),,if(W2=X2,JOIN("""",""Static: "",W2),JOIN("""",""Min:  "",W2, CHAR(10),""Max: "",X2)))"),"")</f>
        <v/>
      </c>
      <c r="W2" s="42" t="str">
        <f t="array" ref="W2">_xlfn.XLOOKUP(B2,'Up Min'!A:A,'Up Min'!F:F,)</f>
        <v/>
      </c>
      <c r="X2" s="42" t="str">
        <f t="array" ref="X2">_xlfn.XLOOKUP(B2,'Up Max'!A:A,'Up Max'!F:F,)</f>
        <v/>
      </c>
      <c r="Y2" s="48" t="str">
        <f t="array" ref="Y2">_xlfn.XLOOKUP(B2,'Up Stats'!A:A,'Up Stats'!G:G,)</f>
        <v/>
      </c>
      <c r="Z2" s="40" t="str">
        <f>IFERROR(__xludf.DUMMYFUNCTION("if(AND(AA2=FALSE,AB2=FALSE),,if(AA2=AB2,JOIN("""",""Static: "",AA2),JOIN("""",""Min:  "",AA2, CHAR(10),""Max: "",AB2)))"),"")</f>
        <v/>
      </c>
      <c r="AA2" s="42" t="str">
        <f t="array" ref="AA2">_xlfn.XLOOKUP(B2,'Up Min'!A:A,'Up Min'!G:G,)</f>
        <v/>
      </c>
      <c r="AB2" s="42" t="str">
        <f t="array" ref="AB2">_xlfn.XLOOKUP(B2,'Up Max'!A:A,'Up Max'!G:G,)</f>
        <v/>
      </c>
      <c r="AC2" s="48" t="str">
        <f t="array" ref="AC2">_xlfn.XLOOKUP(B2,'Up Stats'!A:A,'Up Stats'!H:H,)</f>
        <v/>
      </c>
      <c r="AD2" s="40" t="str">
        <f>IFERROR(__xludf.DUMMYFUNCTION("if(AND(AE2=FALSE,AF2=FALSE),,if(AE2=AF2,JOIN("""",""Static: "",AE2),JOIN("""",""Min:  "",AE2, CHAR(10),""Max: "",AF2)))"),"")</f>
        <v/>
      </c>
      <c r="AE2" s="42" t="str">
        <f t="array" ref="AE2">_xlfn.XLOOKUP(B2,'Up Min'!A:A,'Up Min'!H:H,)</f>
        <v/>
      </c>
      <c r="AF2" s="42" t="str">
        <f t="array" ref="AF2">_xlfn.XLOOKUP(B2,'Up Max'!A:A,'Up Max'!H:H,)</f>
        <v/>
      </c>
      <c r="AG2" s="48" t="str">
        <f t="array" ref="AG2">_xlfn.XLOOKUP(B2,'Up Stats'!A:A,'Up Stats'!I:I,)</f>
        <v/>
      </c>
      <c r="AH2" s="40" t="str">
        <f>IFERROR(__xludf.DUMMYFUNCTION("if(AND(AI2=FALSE,AJ2=FALSE),,if(AI2=AJ2,JOIN("""",""Static: "",AI2),JOIN("""",""Min:  "",AI2, CHAR(10),""Max: "",AJ2)))"),"")</f>
        <v/>
      </c>
      <c r="AI2" s="42" t="str">
        <f t="array" ref="AI2">_xlfn.XLOOKUP(B2,'Up Min'!A:A,'Up Min'!I:I,)</f>
        <v/>
      </c>
      <c r="AJ2" s="42" t="str">
        <f t="array" ref="AJ2">_xlfn.XLOOKUP(B2,'Up Max'!A:A,'Up Max'!I:I,)</f>
        <v/>
      </c>
      <c r="AK2" s="48" t="str">
        <f t="array" ref="AK2">_xlfn.XLOOKUP(B2,'Up Stats'!A:A,'Up Stats'!J:J,)</f>
        <v/>
      </c>
      <c r="AL2" s="40" t="str">
        <f>IFERROR(__xludf.DUMMYFUNCTION("if(AND(AM2=FALSE,AN2=FALSE),,if(AM2=AN2,JOIN("""",""Static: "",AM2),JOIN("""",""Min:  "",AM2, CHAR(10),""Max: "",AN2)))"),"")</f>
        <v/>
      </c>
      <c r="AM2" s="42" t="str">
        <f t="array" ref="AM2">_xlfn.XLOOKUP(B2,'Up Min'!A:A,'Up Min'!J:J,)</f>
        <v/>
      </c>
      <c r="AN2" s="42" t="str">
        <f t="array" ref="AN2">_xlfn.XLOOKUP(B2,'Up Max'!A:A,'Up Max'!J:J,)</f>
        <v/>
      </c>
      <c r="AO2" s="34" t="str">
        <f t="array" ref="AO2">CONCATENATE(_xlfn.XLOOKUP(B2,'Up Cells'!A:A,'Up Cells'!B:B,))</f>
        <v>6</v>
      </c>
      <c r="AP2" s="34" t="str">
        <f t="array" ref="AP2">CONCATENATE(_xlfn.XLOOKUP(B2,'Up Rarity'!A:A,'Up Rarity'!B:B,),CHAR(10),"-")</f>
        <v>Oddity
-</v>
      </c>
    </row>
    <row r="3">
      <c r="A3" s="62" t="str">
        <f t="array" ref="A3">_xlfn.XLOOKUP(B3,'Up Icon'!A:A,'Up Icon'!B:B,)</f>
        <v/>
      </c>
      <c r="B3" s="88" t="str">
        <f t="array" ref="B3">HYPERLINK(_xlfn.XLOOKUP('Up Names'!S3,'Up Wiki'!A:A,'Up Wiki'!B:B,),'Up Names'!S3)</f>
        <v>Beehive!</v>
      </c>
      <c r="C3" s="52" t="str">
        <f t="array" ref="C3">_xlfn.XLOOKUP(B3,'Up Desc'!A:A,'Up Desc'!B:B,)</f>
        <v>The first time you melee while attached to your Grapple Pole, you throw out a beehive that causes a bee explosion on impact.</v>
      </c>
      <c r="D3" s="52" t="str">
        <f t="array" ref="D3">_xlfn.XLOOKUP(B3,'Up Turbo'!A:A,'Up Turbo'!B:B,)</f>
        <v>Additional melee attacks throw out smaller beehives.</v>
      </c>
      <c r="E3" s="53" t="str">
        <f t="array" ref="E3">_xlfn.XLOOKUP(B3,'Up Stats'!A:A,'Up Stats'!B:B,)</f>
        <v>Explosion Size</v>
      </c>
      <c r="F3" s="54" t="str">
        <f>IFERROR(__xludf.DUMMYFUNCTION("if(AND(G3=FALSE,H3=FALSE),,if(G3=H3,JOIN("""",""Static: "",G3),JOIN("""",""Min:  "",G3, CHAR(10),""Max: "",H3)))"),"Min:  8
Max: 11")</f>
        <v>Min:  8
Max: 11</v>
      </c>
      <c r="G3" s="64">
        <f t="array" ref="G3">_xlfn.XLOOKUP(B3,'Up Min'!A:A,'Up Min'!B:B,)</f>
        <v>8</v>
      </c>
      <c r="H3" s="65">
        <f t="array" ref="H3">_xlfn.XLOOKUP(B3,'Up Max'!A:A,'Up Max'!B:B,)</f>
        <v>11</v>
      </c>
      <c r="I3" s="53" t="str">
        <f t="array" ref="I3">_xlfn.XLOOKUP(B3,'Up Stats'!A:A,'Up Stats'!C:C,)</f>
        <v/>
      </c>
      <c r="J3" s="54" t="str">
        <f>IFERROR(__xludf.DUMMYFUNCTION("if(AND(K3=FALSE,L3=FALSE),,if(K3=L3,JOIN("""",""Static: "",K3),JOIN("""",""Min:  "",K3, CHAR(10),""Max: "",L3)))"),"")</f>
        <v/>
      </c>
      <c r="K3" s="72" t="str">
        <f t="array" ref="K3">_xlfn.XLOOKUP(B3,'Up Min'!A:A,'Up Min'!C:C,)</f>
        <v/>
      </c>
      <c r="L3" s="72" t="str">
        <f t="array" ref="L3">_xlfn.XLOOKUP(B3,'Up Max'!A:A,'Up Max'!C:C,)</f>
        <v/>
      </c>
      <c r="M3" s="57" t="str">
        <f t="array" ref="M3">_xlfn.XLOOKUP(B3,'Up Stats'!A:A,'Up Stats'!D:D,)</f>
        <v/>
      </c>
      <c r="N3" s="54" t="str">
        <f>IFERROR(__xludf.DUMMYFUNCTION("if(AND(O3=FALSE,P3=FALSE),,if(O3=P3,JOIN("""",""Static: "",O3),JOIN("""",""Min:  "",O3, CHAR(10),""Max: "",P3)))"),"")</f>
        <v/>
      </c>
      <c r="O3" s="55" t="str">
        <f t="array" ref="O3">_xlfn.XLOOKUP(B3,'Up Min'!A:A,'Up Min'!D:D,)</f>
        <v/>
      </c>
      <c r="P3" s="55" t="str">
        <f t="array" ref="P3">_xlfn.XLOOKUP(B3,'Up Max'!A:A,'Up Max'!D:D,)</f>
        <v/>
      </c>
      <c r="Q3" s="57" t="str">
        <f t="array" ref="Q3">_xlfn.XLOOKUP(B3,'Up Stats'!A:A,'Up Stats'!E:E,)</f>
        <v/>
      </c>
      <c r="R3" s="54" t="str">
        <f>IFERROR(__xludf.DUMMYFUNCTION("if(AND(S3=FALSE,T3=FALSE),,if(S3=T3,JOIN("""",""Static: "",S3),JOIN("""",""Min:  "",S3, CHAR(10),""Max: "",T3)))"),"")</f>
        <v/>
      </c>
      <c r="S3" s="55" t="str">
        <f t="array" ref="S3">_xlfn.XLOOKUP(B3,'Up Min'!A:A,'Up Min'!E:E,)</f>
        <v/>
      </c>
      <c r="T3" s="55" t="str">
        <f t="array" ref="T3">_xlfn.XLOOKUP(B3,'Up Max'!A:A,'Up Max'!E:E,)</f>
        <v/>
      </c>
      <c r="U3" s="57" t="str">
        <f t="array" ref="U3">_xlfn.XLOOKUP(B3,'Up Stats'!A:A,'Up Stats'!F:F,)</f>
        <v/>
      </c>
      <c r="V3" s="54" t="str">
        <f>IFERROR(__xludf.DUMMYFUNCTION("if(AND(W3=FALSE,X3=FALSE),,if(W3=X3,JOIN("""",""Static: "",W3),JOIN("""",""Min:  "",W3, CHAR(10),""Max: "",X3)))"),"")</f>
        <v/>
      </c>
      <c r="W3" s="55" t="str">
        <f t="array" ref="W3">_xlfn.XLOOKUP(B3,'Up Min'!A:A,'Up Min'!F:F,)</f>
        <v/>
      </c>
      <c r="X3" s="55" t="str">
        <f t="array" ref="X3">_xlfn.XLOOKUP(B3,'Up Max'!A:A,'Up Max'!F:F,)</f>
        <v/>
      </c>
      <c r="Y3" s="57" t="str">
        <f t="array" ref="Y3">_xlfn.XLOOKUP(B3,'Up Stats'!A:A,'Up Stats'!G:G,)</f>
        <v/>
      </c>
      <c r="Z3" s="54" t="str">
        <f>IFERROR(__xludf.DUMMYFUNCTION("if(AND(AA3=FALSE,AB3=FALSE),,if(AA3=AB3,JOIN("""",""Static: "",AA3),JOIN("""",""Min:  "",AA3, CHAR(10),""Max: "",AB3)))"),"")</f>
        <v/>
      </c>
      <c r="AA3" s="55" t="str">
        <f t="array" ref="AA3">_xlfn.XLOOKUP(B3,'Up Min'!A:A,'Up Min'!G:G,)</f>
        <v/>
      </c>
      <c r="AB3" s="55" t="str">
        <f t="array" ref="AB3">_xlfn.XLOOKUP(B3,'Up Max'!A:A,'Up Max'!G:G,)</f>
        <v/>
      </c>
      <c r="AC3" s="57" t="str">
        <f t="array" ref="AC3">_xlfn.XLOOKUP(B3,'Up Stats'!A:A,'Up Stats'!H:H,)</f>
        <v/>
      </c>
      <c r="AD3" s="54" t="str">
        <f>IFERROR(__xludf.DUMMYFUNCTION("if(AND(AE3=FALSE,AF3=FALSE),,if(AE3=AF3,JOIN("""",""Static: "",AE3),JOIN("""",""Min:  "",AE3, CHAR(10),""Max: "",AF3)))"),"")</f>
        <v/>
      </c>
      <c r="AE3" s="55" t="str">
        <f t="array" ref="AE3">_xlfn.XLOOKUP(B3,'Up Min'!A:A,'Up Min'!H:H,)</f>
        <v/>
      </c>
      <c r="AF3" s="55" t="str">
        <f t="array" ref="AF3">_xlfn.XLOOKUP(B3,'Up Max'!A:A,'Up Max'!H:H,)</f>
        <v/>
      </c>
      <c r="AG3" s="57" t="str">
        <f t="array" ref="AG3">_xlfn.XLOOKUP(B3,'Up Stats'!A:A,'Up Stats'!I:I,)</f>
        <v/>
      </c>
      <c r="AH3" s="54" t="str">
        <f>IFERROR(__xludf.DUMMYFUNCTION("if(AND(AI3=FALSE,AJ3=FALSE),,if(AI3=AJ3,JOIN("""",""Static: "",AI3),JOIN("""",""Min:  "",AI3, CHAR(10),""Max: "",AJ3)))"),"")</f>
        <v/>
      </c>
      <c r="AI3" s="55" t="str">
        <f t="array" ref="AI3">_xlfn.XLOOKUP(B3,'Up Min'!A:A,'Up Min'!I:I,)</f>
        <v/>
      </c>
      <c r="AJ3" s="55" t="str">
        <f t="array" ref="AJ3">_xlfn.XLOOKUP(B3,'Up Max'!A:A,'Up Max'!I:I,)</f>
        <v/>
      </c>
      <c r="AK3" s="57" t="str">
        <f t="array" ref="AK3">_xlfn.XLOOKUP(B3,'Up Stats'!A:A,'Up Stats'!J:J,)</f>
        <v/>
      </c>
      <c r="AL3" s="54" t="str">
        <f>IFERROR(__xludf.DUMMYFUNCTION("if(AND(AM3=FALSE,AN3=FALSE),,if(AM3=AN3,JOIN("""",""Static: "",AM3),JOIN("""",""Min:  "",AM3, CHAR(10),""Max: "",AN3)))"),"")</f>
        <v/>
      </c>
      <c r="AM3" s="55" t="str">
        <f t="array" ref="AM3">_xlfn.XLOOKUP(B3,'Up Min'!A:A,'Up Min'!J:J,)</f>
        <v/>
      </c>
      <c r="AN3" s="55" t="str">
        <f t="array" ref="AN3">_xlfn.XLOOKUP(B3,'Up Max'!A:A,'Up Max'!J:J,)</f>
        <v/>
      </c>
      <c r="AO3" s="51" t="str">
        <f t="array" ref="AO3">CONCATENATE(_xlfn.XLOOKUP(B3,'Up Cells'!A:A,'Up Cells'!B:B,))</f>
        <v>4</v>
      </c>
      <c r="AP3" s="51" t="str">
        <f t="array" ref="AP3">CONCATENATE(_xlfn.XLOOKUP(B3,'Up Rarity'!A:A,'Up Rarity'!B:B,),CHAR(10),"-")</f>
        <v>Exotic
-</v>
      </c>
    </row>
    <row r="4">
      <c r="A4" s="62" t="str">
        <f t="array" ref="A4">_xlfn.XLOOKUP(B4,'Up Icon'!A:A,'Up Icon'!B:B,)</f>
        <v/>
      </c>
      <c r="B4" s="58" t="str">
        <f t="array" ref="B4">HYPERLINK(_xlfn.XLOOKUP('Up Names'!S35,'Up Wiki'!A:A,'Up Wiki'!B:B,),'Up Names'!S35)</f>
        <v>Explosive Personality</v>
      </c>
      <c r="C4" s="37" t="str">
        <f t="array" ref="C4">_xlfn.XLOOKUP(B4,'Up Desc'!A:A,'Up Desc'!B:B,)</f>
        <v>Create an elemental explosion when you collect a large health chunk. Collecting smaller health chunks provides a stacking damage boost. Enemy cores always drop at least 1 health chunk.</v>
      </c>
      <c r="D4" s="37" t="str">
        <f t="array" ref="D4">_xlfn.XLOOKUP(B4,'Up Turbo'!A:A,'Up Turbo'!B:B,)</f>
        <v/>
      </c>
      <c r="E4" s="39" t="str">
        <f t="array" ref="E4">_xlfn.XLOOKUP(B4,'Up Stats'!A:A,'Up Stats'!B:B,)</f>
        <v/>
      </c>
      <c r="F4" s="40" t="str">
        <f>IFERROR(__xludf.DUMMYFUNCTION("if(AND(G4=FALSE,H4=FALSE),,if(G4=H4,JOIN("""",""Static: "",G4),JOIN("""",""Min:  "",G4, CHAR(10),""Max: "",H4)))"),"")</f>
        <v/>
      </c>
      <c r="G4" s="42" t="str">
        <f t="array" ref="G4">_xlfn.XLOOKUP(B4,'Up Min'!A:A,'Up Min'!B:B,)</f>
        <v/>
      </c>
      <c r="H4" s="45" t="str">
        <f t="array" ref="H4">_xlfn.XLOOKUP(B4,'Up Max'!A:A,'Up Max'!B:B,)</f>
        <v/>
      </c>
      <c r="I4" s="39" t="str">
        <f t="array" ref="I4">_xlfn.XLOOKUP(B4,'Up Stats'!A:A,'Up Stats'!C:C,)</f>
        <v/>
      </c>
      <c r="J4" s="40" t="str">
        <f>IFERROR(__xludf.DUMMYFUNCTION("if(AND(K4=FALSE,L4=FALSE),,if(K4=L4,JOIN("""",""Static: "",K4),JOIN("""",""Min:  "",K4, CHAR(10),""Max: "",L4)))"),"")</f>
        <v/>
      </c>
      <c r="K4" s="74" t="str">
        <f t="array" ref="K4">_xlfn.XLOOKUP(B4,'Up Min'!A:A,'Up Min'!C:C,)</f>
        <v/>
      </c>
      <c r="L4" s="74" t="str">
        <f t="array" ref="L4">_xlfn.XLOOKUP(B4,'Up Max'!A:A,'Up Max'!C:C,)</f>
        <v/>
      </c>
      <c r="M4" s="48" t="str">
        <f t="array" ref="M4">_xlfn.XLOOKUP(B4,'Up Stats'!A:A,'Up Stats'!D:D,)</f>
        <v/>
      </c>
      <c r="N4" s="40" t="str">
        <f>IFERROR(__xludf.DUMMYFUNCTION("if(AND(O4=FALSE,P4=FALSE),,if(O4=P4,JOIN("""",""Static: "",O4),JOIN("""",""Min:  "",O4, CHAR(10),""Max: "",P4)))"),"")</f>
        <v/>
      </c>
      <c r="O4" s="42" t="str">
        <f t="array" ref="O4">_xlfn.XLOOKUP(B4,'Up Min'!A:A,'Up Min'!D:D,)</f>
        <v/>
      </c>
      <c r="P4" s="42" t="str">
        <f t="array" ref="P4">_xlfn.XLOOKUP(B4,'Up Max'!A:A,'Up Max'!D:D,)</f>
        <v/>
      </c>
      <c r="Q4" s="48" t="str">
        <f t="array" ref="Q4">_xlfn.XLOOKUP(B4,'Up Stats'!A:A,'Up Stats'!E:E,)</f>
        <v/>
      </c>
      <c r="R4" s="40" t="str">
        <f>IFERROR(__xludf.DUMMYFUNCTION("if(AND(S4=FALSE,T4=FALSE),,if(S4=T4,JOIN("""",""Static: "",S4),JOIN("""",""Min:  "",S4, CHAR(10),""Max: "",T4)))"),"")</f>
        <v/>
      </c>
      <c r="S4" s="42" t="str">
        <f t="array" ref="S4">_xlfn.XLOOKUP(B4,'Up Min'!A:A,'Up Min'!E:E,)</f>
        <v/>
      </c>
      <c r="T4" s="42" t="str">
        <f t="array" ref="T4">_xlfn.XLOOKUP(B4,'Up Max'!A:A,'Up Max'!E:E,)</f>
        <v/>
      </c>
      <c r="U4" s="48" t="str">
        <f t="array" ref="U4">_xlfn.XLOOKUP(B4,'Up Stats'!A:A,'Up Stats'!F:F,)</f>
        <v/>
      </c>
      <c r="V4" s="40" t="str">
        <f>IFERROR(__xludf.DUMMYFUNCTION("if(AND(W4=FALSE,X4=FALSE),,if(W4=X4,JOIN("""",""Static: "",W4),JOIN("""",""Min:  "",W4, CHAR(10),""Max: "",X4)))"),"")</f>
        <v/>
      </c>
      <c r="W4" s="42" t="str">
        <f t="array" ref="W4">_xlfn.XLOOKUP(B4,'Up Min'!A:A,'Up Min'!F:F,)</f>
        <v/>
      </c>
      <c r="X4" s="42" t="str">
        <f t="array" ref="X4">_xlfn.XLOOKUP(B4,'Up Max'!A:A,'Up Max'!F:F,)</f>
        <v/>
      </c>
      <c r="Y4" s="48" t="str">
        <f t="array" ref="Y4">_xlfn.XLOOKUP(B4,'Up Stats'!A:A,'Up Stats'!G:G,)</f>
        <v/>
      </c>
      <c r="Z4" s="40" t="str">
        <f>IFERROR(__xludf.DUMMYFUNCTION("if(AND(AA4=FALSE,AB4=FALSE),,if(AA4=AB4,JOIN("""",""Static: "",AA4),JOIN("""",""Min:  "",AA4, CHAR(10),""Max: "",AB4)))"),"")</f>
        <v/>
      </c>
      <c r="AA4" s="42" t="str">
        <f t="array" ref="AA4">_xlfn.XLOOKUP(B4,'Up Min'!A:A,'Up Min'!G:G,)</f>
        <v/>
      </c>
      <c r="AB4" s="42" t="str">
        <f t="array" ref="AB4">_xlfn.XLOOKUP(B4,'Up Max'!A:A,'Up Max'!G:G,)</f>
        <v/>
      </c>
      <c r="AC4" s="48" t="str">
        <f t="array" ref="AC4">_xlfn.XLOOKUP(B4,'Up Stats'!A:A,'Up Stats'!H:H,)</f>
        <v/>
      </c>
      <c r="AD4" s="40" t="str">
        <f>IFERROR(__xludf.DUMMYFUNCTION("if(AND(AE4=FALSE,AF4=FALSE),,if(AE4=AF4,JOIN("""",""Static: "",AE4),JOIN("""",""Min:  "",AE4, CHAR(10),""Max: "",AF4)))"),"")</f>
        <v/>
      </c>
      <c r="AE4" s="42" t="str">
        <f t="array" ref="AE4">_xlfn.XLOOKUP(B4,'Up Min'!A:A,'Up Min'!H:H,)</f>
        <v/>
      </c>
      <c r="AF4" s="42" t="str">
        <f t="array" ref="AF4">_xlfn.XLOOKUP(B4,'Up Max'!A:A,'Up Max'!H:H,)</f>
        <v/>
      </c>
      <c r="AG4" s="48" t="str">
        <f t="array" ref="AG4">_xlfn.XLOOKUP(B4,'Up Stats'!A:A,'Up Stats'!I:I,)</f>
        <v/>
      </c>
      <c r="AH4" s="40" t="str">
        <f>IFERROR(__xludf.DUMMYFUNCTION("if(AND(AI4=FALSE,AJ4=FALSE),,if(AI4=AJ4,JOIN("""",""Static: "",AI4),JOIN("""",""Min:  "",AI4, CHAR(10),""Max: "",AJ4)))"),"")</f>
        <v/>
      </c>
      <c r="AI4" s="42" t="str">
        <f t="array" ref="AI4">_xlfn.XLOOKUP(B4,'Up Min'!A:A,'Up Min'!I:I,)</f>
        <v/>
      </c>
      <c r="AJ4" s="42" t="str">
        <f t="array" ref="AJ4">_xlfn.XLOOKUP(B4,'Up Max'!A:A,'Up Max'!I:I,)</f>
        <v/>
      </c>
      <c r="AK4" s="48" t="str">
        <f t="array" ref="AK4">_xlfn.XLOOKUP(B4,'Up Stats'!A:A,'Up Stats'!J:J,)</f>
        <v/>
      </c>
      <c r="AL4" s="40" t="str">
        <f>IFERROR(__xludf.DUMMYFUNCTION("if(AND(AM4=FALSE,AN4=FALSE),,if(AM4=AN4,JOIN("""",""Static: "",AM4),JOIN("""",""Min:  "",AM4, CHAR(10),""Max: "",AN4)))"),"")</f>
        <v/>
      </c>
      <c r="AM4" s="42" t="str">
        <f t="array" ref="AM4">_xlfn.XLOOKUP(B4,'Up Min'!A:A,'Up Min'!J:J,)</f>
        <v/>
      </c>
      <c r="AN4" s="42" t="str">
        <f t="array" ref="AN4">_xlfn.XLOOKUP(B4,'Up Max'!A:A,'Up Max'!J:J,)</f>
        <v/>
      </c>
      <c r="AO4" s="34" t="str">
        <f t="array" ref="AO4">CONCATENATE(_xlfn.XLOOKUP(B4,'Up Cells'!A:A,'Up Cells'!B:B,))</f>
        <v>4</v>
      </c>
      <c r="AP4" s="34" t="str">
        <f t="array" ref="AP4">CONCATENATE(_xlfn.XLOOKUP(B4,'Up Rarity'!A:A,'Up Rarity'!B:B,),CHAR(10),"-")</f>
        <v>Exotic
-</v>
      </c>
    </row>
    <row r="5">
      <c r="A5" s="62" t="str">
        <f t="array" ref="A5">_xlfn.XLOOKUP(B5,'Up Icon'!A:A,'Up Icon'!B:B,)</f>
        <v/>
      </c>
      <c r="B5" s="88" t="str">
        <f t="array" ref="B5">HYPERLINK(_xlfn.XLOOKUP('Up Names'!S4,'Up Wiki'!A:A,'Up Wiki'!B:B,),'Up Names'!S4)</f>
        <v>Eye in the Sky</v>
      </c>
      <c r="C5" s="70" t="str">
        <f t="array" ref="C5">_xlfn.XLOOKUP(B5,'Up Desc'!A:A,'Up Desc'!B:B,)</f>
        <v>Converts your Grapple Pole into a hovering eyeball. Press PING to redirect the eyeball to a new position.</v>
      </c>
      <c r="D5" s="52" t="str">
        <f t="array" ref="D5">_xlfn.XLOOKUP(B5,'Up Turbo'!A:A,'Up Turbo'!B:B,)</f>
        <v>Grapple Range: [+7 - +8.6]
Grapple Time: [+14% - +23%]
Recharge Speed: [-16.67% - -18.7%]</v>
      </c>
      <c r="E5" s="53" t="str">
        <f t="array" ref="E5">_xlfn.XLOOKUP(B5,'Up Stats'!A:A,'Up Stats'!B:B,)</f>
        <v>Speed</v>
      </c>
      <c r="F5" s="54" t="str">
        <f>IFERROR(__xludf.DUMMYFUNCTION("if(AND(G5=FALSE,H5=FALSE),,if(G5=H5,JOIN("""",""Static: "",G5),JOIN("""",""Min:  "",G5, CHAR(10),""Max: "",H5)))"),"Min:  28.5
Max: 37.5")</f>
        <v>Min:  28.5
Max: 37.5</v>
      </c>
      <c r="G5" s="64">
        <f t="array" ref="G5">_xlfn.XLOOKUP(B5,'Up Min'!A:A,'Up Min'!B:B,)</f>
        <v>28.5</v>
      </c>
      <c r="H5" s="65">
        <f t="array" ref="H5">_xlfn.XLOOKUP(B5,'Up Max'!A:A,'Up Max'!B:B,)</f>
        <v>37.5</v>
      </c>
      <c r="I5" s="53" t="str">
        <f t="array" ref="I5">_xlfn.XLOOKUP(B5,'Up Stats'!A:A,'Up Stats'!C:C,)</f>
        <v>Grapple Time</v>
      </c>
      <c r="J5" s="54" t="str">
        <f>IFERROR(__xludf.DUMMYFUNCTION("if(AND(K5=FALSE,L5=FALSE),,if(K5=L5,JOIN("""",""Static: "",K5),JOIN("""",""Min:  "",K5, CHAR(10),""Max: "",L5)))"),"Min:  14%
Max: 23%")</f>
        <v>Min:  14%
Max: 23%</v>
      </c>
      <c r="K5" s="59">
        <f t="array" ref="K5">_xlfn.XLOOKUP(B5,'Up Min'!A:A,'Up Min'!C:C,)</f>
        <v>0.14</v>
      </c>
      <c r="L5" s="59">
        <f t="array" ref="L5">_xlfn.XLOOKUP(B5,'Up Max'!A:A,'Up Max'!C:C,)</f>
        <v>0.23</v>
      </c>
      <c r="M5" s="57" t="str">
        <f t="array" ref="M5">_xlfn.XLOOKUP(B5,'Up Stats'!A:A,'Up Stats'!D:D,)</f>
        <v/>
      </c>
      <c r="N5" s="54" t="str">
        <f>IFERROR(__xludf.DUMMYFUNCTION("if(AND(O5=FALSE,P5=FALSE),,if(O5=P5,JOIN("""",""Static: "",O5),JOIN("""",""Min:  "",O5, CHAR(10),""Max: "",P5)))"),"")</f>
        <v/>
      </c>
      <c r="O5" s="55" t="str">
        <f t="array" ref="O5">_xlfn.XLOOKUP(B5,'Up Min'!A:A,'Up Min'!D:D,)</f>
        <v/>
      </c>
      <c r="P5" s="55" t="str">
        <f t="array" ref="P5">_xlfn.XLOOKUP(B5,'Up Max'!A:A,'Up Max'!D:D,)</f>
        <v/>
      </c>
      <c r="Q5" s="57" t="str">
        <f t="array" ref="Q5">_xlfn.XLOOKUP(B5,'Up Stats'!A:A,'Up Stats'!E:E,)</f>
        <v/>
      </c>
      <c r="R5" s="54" t="str">
        <f>IFERROR(__xludf.DUMMYFUNCTION("if(AND(S5=FALSE,T5=FALSE),,if(S5=T5,JOIN("""",""Static: "",S5),JOIN("""",""Min:  "",S5, CHAR(10),""Max: "",T5)))"),"")</f>
        <v/>
      </c>
      <c r="S5" s="55" t="str">
        <f t="array" ref="S5">_xlfn.XLOOKUP(B5,'Up Min'!A:A,'Up Min'!E:E,)</f>
        <v/>
      </c>
      <c r="T5" s="55" t="str">
        <f t="array" ref="T5">_xlfn.XLOOKUP(B5,'Up Max'!A:A,'Up Max'!E:E,)</f>
        <v/>
      </c>
      <c r="U5" s="57" t="str">
        <f t="array" ref="U5">_xlfn.XLOOKUP(B5,'Up Stats'!A:A,'Up Stats'!F:F,)</f>
        <v/>
      </c>
      <c r="V5" s="54" t="str">
        <f>IFERROR(__xludf.DUMMYFUNCTION("if(AND(W5=FALSE,X5=FALSE),,if(W5=X5,JOIN("""",""Static: "",W5),JOIN("""",""Min:  "",W5, CHAR(10),""Max: "",X5)))"),"")</f>
        <v/>
      </c>
      <c r="W5" s="55" t="str">
        <f t="array" ref="W5">_xlfn.XLOOKUP(B5,'Up Min'!A:A,'Up Min'!F:F,)</f>
        <v/>
      </c>
      <c r="X5" s="55" t="str">
        <f t="array" ref="X5">_xlfn.XLOOKUP(B5,'Up Max'!A:A,'Up Max'!F:F,)</f>
        <v/>
      </c>
      <c r="Y5" s="57" t="str">
        <f t="array" ref="Y5">_xlfn.XLOOKUP(B5,'Up Stats'!A:A,'Up Stats'!G:G,)</f>
        <v/>
      </c>
      <c r="Z5" s="54" t="str">
        <f>IFERROR(__xludf.DUMMYFUNCTION("if(AND(AA5=FALSE,AB5=FALSE),,if(AA5=AB5,JOIN("""",""Static: "",AA5),JOIN("""",""Min:  "",AA5, CHAR(10),""Max: "",AB5)))"),"")</f>
        <v/>
      </c>
      <c r="AA5" s="55" t="str">
        <f t="array" ref="AA5">_xlfn.XLOOKUP(B5,'Up Min'!A:A,'Up Min'!G:G,)</f>
        <v/>
      </c>
      <c r="AB5" s="55" t="str">
        <f t="array" ref="AB5">_xlfn.XLOOKUP(B5,'Up Max'!A:A,'Up Max'!G:G,)</f>
        <v/>
      </c>
      <c r="AC5" s="57" t="str">
        <f t="array" ref="AC5">_xlfn.XLOOKUP(B5,'Up Stats'!A:A,'Up Stats'!H:H,)</f>
        <v/>
      </c>
      <c r="AD5" s="54" t="str">
        <f>IFERROR(__xludf.DUMMYFUNCTION("if(AND(AE5=FALSE,AF5=FALSE),,if(AE5=AF5,JOIN("""",""Static: "",AE5),JOIN("""",""Min:  "",AE5, CHAR(10),""Max: "",AF5)))"),"")</f>
        <v/>
      </c>
      <c r="AE5" s="55" t="str">
        <f t="array" ref="AE5">_xlfn.XLOOKUP(B5,'Up Min'!A:A,'Up Min'!H:H,)</f>
        <v/>
      </c>
      <c r="AF5" s="55" t="str">
        <f t="array" ref="AF5">_xlfn.XLOOKUP(B5,'Up Max'!A:A,'Up Max'!H:H,)</f>
        <v/>
      </c>
      <c r="AG5" s="57" t="str">
        <f t="array" ref="AG5">_xlfn.XLOOKUP(B5,'Up Stats'!A:A,'Up Stats'!I:I,)</f>
        <v/>
      </c>
      <c r="AH5" s="54" t="str">
        <f>IFERROR(__xludf.DUMMYFUNCTION("if(AND(AI5=FALSE,AJ5=FALSE),,if(AI5=AJ5,JOIN("""",""Static: "",AI5),JOIN("""",""Min:  "",AI5, CHAR(10),""Max: "",AJ5)))"),"")</f>
        <v/>
      </c>
      <c r="AI5" s="55" t="str">
        <f t="array" ref="AI5">_xlfn.XLOOKUP(B5,'Up Min'!A:A,'Up Min'!I:I,)</f>
        <v/>
      </c>
      <c r="AJ5" s="55" t="str">
        <f t="array" ref="AJ5">_xlfn.XLOOKUP(B5,'Up Max'!A:A,'Up Max'!I:I,)</f>
        <v/>
      </c>
      <c r="AK5" s="57" t="str">
        <f t="array" ref="AK5">_xlfn.XLOOKUP(B5,'Up Stats'!A:A,'Up Stats'!J:J,)</f>
        <v/>
      </c>
      <c r="AL5" s="54" t="str">
        <f>IFERROR(__xludf.DUMMYFUNCTION("if(AND(AM5=FALSE,AN5=FALSE),,if(AM5=AN5,JOIN("""",""Static: "",AM5),JOIN("""",""Min:  "",AM5, CHAR(10),""Max: "",AN5)))"),"")</f>
        <v/>
      </c>
      <c r="AM5" s="55" t="str">
        <f t="array" ref="AM5">_xlfn.XLOOKUP(B5,'Up Min'!A:A,'Up Min'!J:J,)</f>
        <v/>
      </c>
      <c r="AN5" s="55" t="str">
        <f t="array" ref="AN5">_xlfn.XLOOKUP(B5,'Up Max'!A:A,'Up Max'!J:J,)</f>
        <v/>
      </c>
      <c r="AO5" s="51" t="str">
        <f t="array" ref="AO5">CONCATENATE(_xlfn.XLOOKUP(B5,'Up Cells'!A:A,'Up Cells'!B:B,))</f>
        <v>4</v>
      </c>
      <c r="AP5" s="51" t="str">
        <f t="array" ref="AP5">CONCATENATE(_xlfn.XLOOKUP(B5,'Up Rarity'!A:A,'Up Rarity'!B:B,),CHAR(10),"-")</f>
        <v>Exotic
-</v>
      </c>
    </row>
    <row r="6">
      <c r="A6" s="62" t="str">
        <f t="array" ref="A6">_xlfn.XLOOKUP(B6,'Up Icon'!A:A,'Up Icon'!B:B,)</f>
        <v/>
      </c>
      <c r="B6" s="89" t="str">
        <f t="array" ref="B6">HYPERLINK(_xlfn.XLOOKUP('Up Names'!S5,'Up Wiki'!A:A,'Up Wiki'!B:B,),'Up Names'!S5)</f>
        <v>Jungle Jim</v>
      </c>
      <c r="C6" s="37" t="str">
        <f t="array" ref="C6">_xlfn.XLOOKUP(B6,'Up Desc'!A:A,'Up Desc'!B:B,)</f>
        <v>You can place up to two Grapple Poles at once.</v>
      </c>
      <c r="D6" s="37" t="str">
        <f t="array" ref="D6">_xlfn.XLOOKUP(B6,'Up Turbo'!A:A,'Up Turbo'!B:B,)</f>
        <v>Grappling recharges your other placed poles over time.
Recharge Speed: [+0.4]</v>
      </c>
      <c r="E6" s="39" t="str">
        <f t="array" ref="E6">_xlfn.XLOOKUP(B6,'Up Stats'!A:A,'Up Stats'!B:B,)</f>
        <v>Max Poles</v>
      </c>
      <c r="F6" s="40" t="str">
        <f>IFERROR(__xludf.DUMMYFUNCTION("if(AND(G6=FALSE,H6=FALSE),,if(G6=H6,JOIN("""",""Static: "",G6),JOIN("""",""Min:  "",G6, CHAR(10),""Max: "",H6)))"),"Static: 1")</f>
        <v>Static: 1</v>
      </c>
      <c r="G6" s="69">
        <f t="array" ref="G6">_xlfn.XLOOKUP(B6,'Up Min'!A:A,'Up Min'!B:B,)</f>
        <v>1</v>
      </c>
      <c r="H6" s="68">
        <f t="array" ref="H6">_xlfn.XLOOKUP(B6,'Up Max'!A:A,'Up Max'!B:B,)</f>
        <v>1</v>
      </c>
      <c r="I6" s="39" t="str">
        <f t="array" ref="I6">_xlfn.XLOOKUP(B6,'Up Stats'!A:A,'Up Stats'!C:C,)</f>
        <v>Recharge Speed</v>
      </c>
      <c r="J6" s="40" t="str">
        <f>IFERROR(__xludf.DUMMYFUNCTION("if(AND(K6=FALSE,L6=FALSE),,if(K6=L6,JOIN("""",""Static: "",K6),JOIN("""",""Min:  "",K6, CHAR(10),""Max: "",L6)))"),"Min:  1.01%
Max: -8.26%")</f>
        <v>Min:  1.01%
Max: -8.26%</v>
      </c>
      <c r="K6" s="78">
        <f t="array" ref="K6">_xlfn.XLOOKUP(B6,'Up Min'!A:A,'Up Min'!C:C,)</f>
        <v>0.0101</v>
      </c>
      <c r="L6" s="78">
        <f t="array" ref="L6">_xlfn.XLOOKUP(B6,'Up Max'!A:A,'Up Max'!C:C,)</f>
        <v>-0.0826</v>
      </c>
      <c r="M6" s="39" t="str">
        <f t="array" ref="M6">_xlfn.XLOOKUP(B6,'Up Stats'!A:A,'Up Stats'!D:D,)</f>
        <v>Charges</v>
      </c>
      <c r="N6" s="40" t="str">
        <f>IFERROR(__xludf.DUMMYFUNCTION("if(AND(O6=FALSE,P6=FALSE),,if(O6=P6,JOIN("""",""Static: "",O6),JOIN("""",""Min:  "",O6, CHAR(10),""Max: "",P6)))"),"Static: 1")</f>
        <v>Static: 1</v>
      </c>
      <c r="O6" s="68">
        <f t="array" ref="O6">_xlfn.XLOOKUP(B6,'Up Min'!A:A,'Up Min'!D:D,)</f>
        <v>1</v>
      </c>
      <c r="P6" s="68">
        <f t="array" ref="P6">_xlfn.XLOOKUP(B6,'Up Max'!A:A,'Up Max'!D:D,)</f>
        <v>1</v>
      </c>
      <c r="Q6" s="48" t="str">
        <f t="array" ref="Q6">_xlfn.XLOOKUP(B6,'Up Stats'!A:A,'Up Stats'!E:E,)</f>
        <v/>
      </c>
      <c r="R6" s="40" t="str">
        <f>IFERROR(__xludf.DUMMYFUNCTION("if(AND(S6=FALSE,T6=FALSE),,if(S6=T6,JOIN("""",""Static: "",S6),JOIN("""",""Min:  "",S6, CHAR(10),""Max: "",T6)))"),"")</f>
        <v/>
      </c>
      <c r="S6" s="42" t="str">
        <f t="array" ref="S6">_xlfn.XLOOKUP(B6,'Up Min'!A:A,'Up Min'!E:E,)</f>
        <v/>
      </c>
      <c r="T6" s="42" t="str">
        <f t="array" ref="T6">_xlfn.XLOOKUP(B6,'Up Max'!A:A,'Up Max'!E:E,)</f>
        <v/>
      </c>
      <c r="U6" s="48" t="str">
        <f t="array" ref="U6">_xlfn.XLOOKUP(B6,'Up Stats'!A:A,'Up Stats'!F:F,)</f>
        <v/>
      </c>
      <c r="V6" s="40" t="str">
        <f>IFERROR(__xludf.DUMMYFUNCTION("if(AND(W6=FALSE,X6=FALSE),,if(W6=X6,JOIN("""",""Static: "",W6),JOIN("""",""Min:  "",W6, CHAR(10),""Max: "",X6)))"),"")</f>
        <v/>
      </c>
      <c r="W6" s="42" t="str">
        <f t="array" ref="W6">_xlfn.XLOOKUP(B6,'Up Min'!A:A,'Up Min'!F:F,)</f>
        <v/>
      </c>
      <c r="X6" s="42" t="str">
        <f t="array" ref="X6">_xlfn.XLOOKUP(B6,'Up Max'!A:A,'Up Max'!F:F,)</f>
        <v/>
      </c>
      <c r="Y6" s="48" t="str">
        <f t="array" ref="Y6">_xlfn.XLOOKUP(B6,'Up Stats'!A:A,'Up Stats'!G:G,)</f>
        <v/>
      </c>
      <c r="Z6" s="40" t="str">
        <f>IFERROR(__xludf.DUMMYFUNCTION("if(AND(AA6=FALSE,AB6=FALSE),,if(AA6=AB6,JOIN("""",""Static: "",AA6),JOIN("""",""Min:  "",AA6, CHAR(10),""Max: "",AB6)))"),"")</f>
        <v/>
      </c>
      <c r="AA6" s="42" t="str">
        <f t="array" ref="AA6">_xlfn.XLOOKUP(B6,'Up Min'!A:A,'Up Min'!G:G,)</f>
        <v/>
      </c>
      <c r="AB6" s="42" t="str">
        <f t="array" ref="AB6">_xlfn.XLOOKUP(B6,'Up Max'!A:A,'Up Max'!G:G,)</f>
        <v/>
      </c>
      <c r="AC6" s="48" t="str">
        <f t="array" ref="AC6">_xlfn.XLOOKUP(B6,'Up Stats'!A:A,'Up Stats'!H:H,)</f>
        <v/>
      </c>
      <c r="AD6" s="40" t="str">
        <f>IFERROR(__xludf.DUMMYFUNCTION("if(AND(AE6=FALSE,AF6=FALSE),,if(AE6=AF6,JOIN("""",""Static: "",AE6),JOIN("""",""Min:  "",AE6, CHAR(10),""Max: "",AF6)))"),"")</f>
        <v/>
      </c>
      <c r="AE6" s="42" t="str">
        <f t="array" ref="AE6">_xlfn.XLOOKUP(B6,'Up Min'!A:A,'Up Min'!H:H,)</f>
        <v/>
      </c>
      <c r="AF6" s="42" t="str">
        <f t="array" ref="AF6">_xlfn.XLOOKUP(B6,'Up Max'!A:A,'Up Max'!H:H,)</f>
        <v/>
      </c>
      <c r="AG6" s="48" t="str">
        <f t="array" ref="AG6">_xlfn.XLOOKUP(B6,'Up Stats'!A:A,'Up Stats'!I:I,)</f>
        <v/>
      </c>
      <c r="AH6" s="40" t="str">
        <f>IFERROR(__xludf.DUMMYFUNCTION("if(AND(AI6=FALSE,AJ6=FALSE),,if(AI6=AJ6,JOIN("""",""Static: "",AI6),JOIN("""",""Min:  "",AI6, CHAR(10),""Max: "",AJ6)))"),"")</f>
        <v/>
      </c>
      <c r="AI6" s="42" t="str">
        <f t="array" ref="AI6">_xlfn.XLOOKUP(B6,'Up Min'!A:A,'Up Min'!I:I,)</f>
        <v/>
      </c>
      <c r="AJ6" s="42" t="str">
        <f t="array" ref="AJ6">_xlfn.XLOOKUP(B6,'Up Max'!A:A,'Up Max'!I:I,)</f>
        <v/>
      </c>
      <c r="AK6" s="48" t="str">
        <f t="array" ref="AK6">_xlfn.XLOOKUP(B6,'Up Stats'!A:A,'Up Stats'!J:J,)</f>
        <v/>
      </c>
      <c r="AL6" s="40" t="str">
        <f>IFERROR(__xludf.DUMMYFUNCTION("if(AND(AM6=FALSE,AN6=FALSE),,if(AM6=AN6,JOIN("""",""Static: "",AM6),JOIN("""",""Min:  "",AM6, CHAR(10),""Max: "",AN6)))"),"")</f>
        <v/>
      </c>
      <c r="AM6" s="42" t="str">
        <f t="array" ref="AM6">_xlfn.XLOOKUP(B6,'Up Min'!A:A,'Up Min'!J:J,)</f>
        <v/>
      </c>
      <c r="AN6" s="42" t="str">
        <f t="array" ref="AN6">_xlfn.XLOOKUP(B6,'Up Max'!A:A,'Up Max'!J:J,)</f>
        <v/>
      </c>
      <c r="AO6" s="34" t="str">
        <f t="array" ref="AO6">CONCATENATE(_xlfn.XLOOKUP(B6,'Up Cells'!A:A,'Up Cells'!B:B,))</f>
        <v>6</v>
      </c>
      <c r="AP6" s="34" t="str">
        <f t="array" ref="AP6">CONCATENATE(_xlfn.XLOOKUP(B6,'Up Rarity'!A:A,'Up Rarity'!B:B,),CHAR(10),"-")</f>
        <v>Exotic
-</v>
      </c>
    </row>
    <row r="7">
      <c r="A7" s="62" t="str">
        <f t="array" ref="A7">_xlfn.XLOOKUP(B7,'Up Icon'!A:A,'Up Icon'!B:B,)</f>
        <v/>
      </c>
      <c r="B7" s="88" t="str">
        <f t="array" ref="B7">HYPERLINK(_xlfn.XLOOKUP('Up Names'!S6,'Up Wiki'!A:A,'Up Wiki'!B:B,),'Up Names'!S6)</f>
        <v>On the Go</v>
      </c>
      <c r="C7" s="52" t="str">
        <f t="array" ref="C7">_xlfn.XLOOKUP(B7,'Up Desc'!A:A,'Up Desc'!B:B,)</f>
        <v>Attach your Grapple Pole to a player to turn them into a grapple node.</v>
      </c>
      <c r="D7" s="52" t="str">
        <f t="array" ref="D7">_xlfn.XLOOKUP(B7,'Up Turbo'!A:A,'Up Turbo'!B:B,)</f>
        <v>Player nodes can be grappled from further away.
Grapple Range: [+19 - +24]</v>
      </c>
      <c r="E7" s="57" t="str">
        <f t="array" ref="E7">_xlfn.XLOOKUP(B7,'Up Stats'!A:A,'Up Stats'!B:B,)</f>
        <v/>
      </c>
      <c r="F7" s="54" t="str">
        <f>IFERROR(__xludf.DUMMYFUNCTION("if(AND(G7=FALSE,H7=FALSE),,if(G7=H7,JOIN("""",""Static: "",G7),JOIN("""",""Min:  "",G7, CHAR(10),""Max: "",H7)))"),"")</f>
        <v/>
      </c>
      <c r="G7" s="55" t="str">
        <f t="array" ref="G7">_xlfn.XLOOKUP(B7,'Up Min'!A:A,'Up Min'!B:B,)</f>
        <v/>
      </c>
      <c r="H7" s="55" t="str">
        <f t="array" ref="H7">_xlfn.XLOOKUP(B7,'Up Max'!A:A,'Up Max'!B:B,)</f>
        <v/>
      </c>
      <c r="I7" s="57" t="str">
        <f t="array" ref="I7">_xlfn.XLOOKUP(B7,'Up Stats'!A:A,'Up Stats'!C:C,)</f>
        <v/>
      </c>
      <c r="J7" s="54" t="str">
        <f>IFERROR(__xludf.DUMMYFUNCTION("if(AND(K7=FALSE,L7=FALSE),,if(K7=L7,JOIN("""",""Static: "",K7),JOIN("""",""Min:  "",K7, CHAR(10),""Max: "",L7)))"),"")</f>
        <v/>
      </c>
      <c r="K7" s="72" t="str">
        <f t="array" ref="K7">_xlfn.XLOOKUP(B7,'Up Min'!A:A,'Up Min'!C:C,)</f>
        <v/>
      </c>
      <c r="L7" s="72" t="str">
        <f t="array" ref="L7">_xlfn.XLOOKUP(B7,'Up Max'!A:A,'Up Max'!C:C,)</f>
        <v/>
      </c>
      <c r="M7" s="57" t="str">
        <f t="array" ref="M7">_xlfn.XLOOKUP(B7,'Up Stats'!A:A,'Up Stats'!D:D,)</f>
        <v/>
      </c>
      <c r="N7" s="54" t="str">
        <f>IFERROR(__xludf.DUMMYFUNCTION("if(AND(O7=FALSE,P7=FALSE),,if(O7=P7,JOIN("""",""Static: "",O7),JOIN("""",""Min:  "",O7, CHAR(10),""Max: "",P7)))"),"")</f>
        <v/>
      </c>
      <c r="O7" s="55" t="str">
        <f t="array" ref="O7">_xlfn.XLOOKUP(B7,'Up Min'!A:A,'Up Min'!D:D,)</f>
        <v/>
      </c>
      <c r="P7" s="55" t="str">
        <f t="array" ref="P7">_xlfn.XLOOKUP(B7,'Up Max'!A:A,'Up Max'!D:D,)</f>
        <v/>
      </c>
      <c r="Q7" s="57" t="str">
        <f t="array" ref="Q7">_xlfn.XLOOKUP(B7,'Up Stats'!A:A,'Up Stats'!E:E,)</f>
        <v/>
      </c>
      <c r="R7" s="54" t="str">
        <f>IFERROR(__xludf.DUMMYFUNCTION("if(AND(S7=FALSE,T7=FALSE),,if(S7=T7,JOIN("""",""Static: "",S7),JOIN("""",""Min:  "",S7, CHAR(10),""Max: "",T7)))"),"")</f>
        <v/>
      </c>
      <c r="S7" s="55" t="str">
        <f t="array" ref="S7">_xlfn.XLOOKUP(B7,'Up Min'!A:A,'Up Min'!E:E,)</f>
        <v/>
      </c>
      <c r="T7" s="55" t="str">
        <f t="array" ref="T7">_xlfn.XLOOKUP(B7,'Up Max'!A:A,'Up Max'!E:E,)</f>
        <v/>
      </c>
      <c r="U7" s="57" t="str">
        <f t="array" ref="U7">_xlfn.XLOOKUP(B7,'Up Stats'!A:A,'Up Stats'!F:F,)</f>
        <v/>
      </c>
      <c r="V7" s="54" t="str">
        <f>IFERROR(__xludf.DUMMYFUNCTION("if(AND(W7=FALSE,X7=FALSE),,if(W7=X7,JOIN("""",""Static: "",W7),JOIN("""",""Min:  "",W7, CHAR(10),""Max: "",X7)))"),"")</f>
        <v/>
      </c>
      <c r="W7" s="55" t="str">
        <f t="array" ref="W7">_xlfn.XLOOKUP(B7,'Up Min'!A:A,'Up Min'!F:F,)</f>
        <v/>
      </c>
      <c r="X7" s="55" t="str">
        <f t="array" ref="X7">_xlfn.XLOOKUP(B7,'Up Max'!A:A,'Up Max'!F:F,)</f>
        <v/>
      </c>
      <c r="Y7" s="57" t="str">
        <f t="array" ref="Y7">_xlfn.XLOOKUP(B7,'Up Stats'!A:A,'Up Stats'!G:G,)</f>
        <v/>
      </c>
      <c r="Z7" s="54" t="str">
        <f>IFERROR(__xludf.DUMMYFUNCTION("if(AND(AA7=FALSE,AB7=FALSE),,if(AA7=AB7,JOIN("""",""Static: "",AA7),JOIN("""",""Min:  "",AA7, CHAR(10),""Max: "",AB7)))"),"")</f>
        <v/>
      </c>
      <c r="AA7" s="55" t="str">
        <f t="array" ref="AA7">_xlfn.XLOOKUP(B7,'Up Min'!A:A,'Up Min'!G:G,)</f>
        <v/>
      </c>
      <c r="AB7" s="55" t="str">
        <f t="array" ref="AB7">_xlfn.XLOOKUP(B7,'Up Max'!A:A,'Up Max'!G:G,)</f>
        <v/>
      </c>
      <c r="AC7" s="57" t="str">
        <f t="array" ref="AC7">_xlfn.XLOOKUP(B7,'Up Stats'!A:A,'Up Stats'!H:H,)</f>
        <v/>
      </c>
      <c r="AD7" s="54" t="str">
        <f>IFERROR(__xludf.DUMMYFUNCTION("if(AND(AE7=FALSE,AF7=FALSE),,if(AE7=AF7,JOIN("""",""Static: "",AE7),JOIN("""",""Min:  "",AE7, CHAR(10),""Max: "",AF7)))"),"")</f>
        <v/>
      </c>
      <c r="AE7" s="55" t="str">
        <f t="array" ref="AE7">_xlfn.XLOOKUP(B7,'Up Min'!A:A,'Up Min'!H:H,)</f>
        <v/>
      </c>
      <c r="AF7" s="55" t="str">
        <f t="array" ref="AF7">_xlfn.XLOOKUP(B7,'Up Max'!A:A,'Up Max'!H:H,)</f>
        <v/>
      </c>
      <c r="AG7" s="57" t="str">
        <f t="array" ref="AG7">_xlfn.XLOOKUP(B7,'Up Stats'!A:A,'Up Stats'!I:I,)</f>
        <v/>
      </c>
      <c r="AH7" s="54" t="str">
        <f>IFERROR(__xludf.DUMMYFUNCTION("if(AND(AI7=FALSE,AJ7=FALSE),,if(AI7=AJ7,JOIN("""",""Static: "",AI7),JOIN("""",""Min:  "",AI7, CHAR(10),""Max: "",AJ7)))"),"")</f>
        <v/>
      </c>
      <c r="AI7" s="55" t="str">
        <f t="array" ref="AI7">_xlfn.XLOOKUP(B7,'Up Min'!A:A,'Up Min'!I:I,)</f>
        <v/>
      </c>
      <c r="AJ7" s="55" t="str">
        <f t="array" ref="AJ7">_xlfn.XLOOKUP(B7,'Up Max'!A:A,'Up Max'!I:I,)</f>
        <v/>
      </c>
      <c r="AK7" s="57" t="str">
        <f t="array" ref="AK7">_xlfn.XLOOKUP(B7,'Up Stats'!A:A,'Up Stats'!J:J,)</f>
        <v/>
      </c>
      <c r="AL7" s="54" t="str">
        <f>IFERROR(__xludf.DUMMYFUNCTION("if(AND(AM7=FALSE,AN7=FALSE),,if(AM7=AN7,JOIN("""",""Static: "",AM7),JOIN("""",""Min:  "",AM7, CHAR(10),""Max: "",AN7)))"),"")</f>
        <v/>
      </c>
      <c r="AM7" s="55" t="str">
        <f t="array" ref="AM7">_xlfn.XLOOKUP(B7,'Up Min'!A:A,'Up Min'!J:J,)</f>
        <v/>
      </c>
      <c r="AN7" s="55" t="str">
        <f t="array" ref="AN7">_xlfn.XLOOKUP(B7,'Up Max'!A:A,'Up Max'!J:J,)</f>
        <v/>
      </c>
      <c r="AO7" s="51" t="str">
        <f t="array" ref="AO7">CONCATENATE(_xlfn.XLOOKUP(B7,'Up Cells'!A:A,'Up Cells'!B:B,))</f>
        <v>3</v>
      </c>
      <c r="AP7" s="51" t="str">
        <f t="array" ref="AP7">CONCATENATE(_xlfn.XLOOKUP(B7,'Up Rarity'!A:A,'Up Rarity'!B:B,),CHAR(10),"-")</f>
        <v>Exotic
-</v>
      </c>
    </row>
    <row r="8">
      <c r="A8" s="62" t="str">
        <f t="array" ref="A8">_xlfn.XLOOKUP(B8,'Up Icon'!A:A,'Up Icon'!B:B,)</f>
        <v/>
      </c>
      <c r="B8" s="89" t="str">
        <f t="array" ref="B8">HYPERLINK(_xlfn.XLOOKUP('Up Names'!S7,'Up Wiki'!A:A,'Up Wiki'!B:B,),'Up Names'!S7)</f>
        <v>Stream Jets</v>
      </c>
      <c r="C8" s="37" t="str">
        <f t="array" ref="C8">_xlfn.XLOOKUP(B8,'Up Desc'!A:A,'Up Desc'!B:B,)</f>
        <v>Your Jetpack creates a large plume of fire that ignites any targets below you.</v>
      </c>
      <c r="D8" s="37" t="str">
        <f t="array" ref="D8">_xlfn.XLOOKUP(B8,'Up Turbo'!A:A,'Up Turbo'!B:B,)</f>
        <v>Igniting a target with your jetpack refunds some fuel.
Fuel Refunded: [+0.1 - +0.12]</v>
      </c>
      <c r="E8" s="39" t="str">
        <f t="array" ref="E8">_xlfn.XLOOKUP(B8,'Up Stats'!A:A,'Up Stats'!B:B,)</f>
        <v>Fire</v>
      </c>
      <c r="F8" s="40" t="str">
        <f>IFERROR(__xludf.DUMMYFUNCTION("if(AND(G8=FALSE,H8=FALSE),,if(G8=H8,JOIN("""",""Static: "",G8),JOIN("""",""Min:  "",G8, CHAR(10),""Max: "",H8)))"),"Min:  19
Max: 30")</f>
        <v>Min:  19
Max: 30</v>
      </c>
      <c r="G8" s="69">
        <f t="array" ref="G8">_xlfn.XLOOKUP(B8,'Up Min'!A:A,'Up Min'!B:B,)</f>
        <v>19</v>
      </c>
      <c r="H8" s="68">
        <f t="array" ref="H8">_xlfn.XLOOKUP(B8,'Up Max'!A:A,'Up Max'!B:B,)</f>
        <v>30</v>
      </c>
      <c r="I8" s="39" t="str">
        <f t="array" ref="I8">_xlfn.XLOOKUP(B8,'Up Stats'!A:A,'Up Stats'!C:C,)</f>
        <v>Size</v>
      </c>
      <c r="J8" s="40" t="str">
        <f>IFERROR(__xludf.DUMMYFUNCTION("if(AND(K8=FALSE,L8=FALSE),,if(K8=L8,JOIN("""",""Static: "",K8),JOIN("""",""Min:  "",K8, CHAR(10),""Max: "",L8)))"),"Min:  3
Max: 5")</f>
        <v>Min:  3
Max: 5</v>
      </c>
      <c r="K8" s="68">
        <f t="array" ref="K8">_xlfn.XLOOKUP(B8,'Up Min'!A:A,'Up Min'!C:C,)</f>
        <v>3</v>
      </c>
      <c r="L8" s="69">
        <f t="array" ref="L8">_xlfn.XLOOKUP(B8,'Up Max'!A:A,'Up Max'!C:C,)</f>
        <v>5</v>
      </c>
      <c r="M8" s="39" t="str">
        <f t="array" ref="M8">_xlfn.XLOOKUP(B8,'Up Stats'!A:A,'Up Stats'!D:D,)</f>
        <v>Distance</v>
      </c>
      <c r="N8" s="40" t="str">
        <f>IFERROR(__xludf.DUMMYFUNCTION("if(AND(O8=FALSE,P8=FALSE),,if(O8=P8,JOIN("""",""Static: "",O8),JOIN("""",""Min:  "",O8, CHAR(10),""Max: "",P8)))"),"Min:  8.5
Max: 12.5")</f>
        <v>Min:  8.5
Max: 12.5</v>
      </c>
      <c r="O8" s="68">
        <f t="array" ref="O8">_xlfn.XLOOKUP(B8,'Up Min'!A:A,'Up Min'!D:D,)</f>
        <v>8.5</v>
      </c>
      <c r="P8" s="68">
        <f t="array" ref="P8">_xlfn.XLOOKUP(B8,'Up Max'!A:A,'Up Max'!D:D,)</f>
        <v>12.5</v>
      </c>
      <c r="Q8" s="48" t="str">
        <f t="array" ref="Q8">_xlfn.XLOOKUP(B8,'Up Stats'!A:A,'Up Stats'!E:E,)</f>
        <v>Jetpack Duration</v>
      </c>
      <c r="R8" s="40" t="str">
        <f>IFERROR(__xludf.DUMMYFUNCTION("if(AND(S8=FALSE,T8=FALSE),,if(S8=T8,JOIN("""",""Static: "",S8),JOIN("""",""Min:  "",S8, CHAR(10),""Max: "",T8)))"),"Min:  84%
Max: 96%")</f>
        <v>Min:  84%
Max: 96%</v>
      </c>
      <c r="S8" s="41">
        <f t="array" ref="S8">_xlfn.XLOOKUP(B8,'Up Min'!A:A,'Up Min'!E:E,)</f>
        <v>0.84</v>
      </c>
      <c r="T8" s="41">
        <f t="array" ref="T8">_xlfn.XLOOKUP(B8,'Up Max'!A:A,'Up Max'!E:E,)</f>
        <v>0.96</v>
      </c>
      <c r="U8" s="48" t="str">
        <f t="array" ref="U8">_xlfn.XLOOKUP(B8,'Up Stats'!A:A,'Up Stats'!F:F,)</f>
        <v>Initial Force</v>
      </c>
      <c r="V8" s="40" t="str">
        <f>IFERROR(__xludf.DUMMYFUNCTION("if(AND(W8=FALSE,X8=FALSE),,if(W8=X8,JOIN("""",""Static: "",W8),JOIN("""",""Min:  "",W8, CHAR(10),""Max: "",X8)))"),"Min:  -58%
Max: -56%")</f>
        <v>Min:  -58%
Max: -56%</v>
      </c>
      <c r="W8" s="41">
        <f t="array" ref="W8">_xlfn.XLOOKUP(B8,'Up Min'!A:A,'Up Min'!F:F,)</f>
        <v>-0.58</v>
      </c>
      <c r="X8" s="41">
        <f t="array" ref="X8">_xlfn.XLOOKUP(B8,'Up Max'!A:A,'Up Max'!F:F,)</f>
        <v>-0.56</v>
      </c>
      <c r="Y8" s="48" t="str">
        <f t="array" ref="Y8">_xlfn.XLOOKUP(B8,'Up Stats'!A:A,'Up Stats'!G:G,)</f>
        <v/>
      </c>
      <c r="Z8" s="40" t="str">
        <f>IFERROR(__xludf.DUMMYFUNCTION("if(AND(AA8=FALSE,AB8=FALSE),,if(AA8=AB8,JOIN("""",""Static: "",AA8),JOIN("""",""Min:  "",AA8, CHAR(10),""Max: "",AB8)))"),"")</f>
        <v/>
      </c>
      <c r="AA8" s="42" t="str">
        <f t="array" ref="AA8">_xlfn.XLOOKUP(B8,'Up Min'!A:A,'Up Min'!G:G,)</f>
        <v/>
      </c>
      <c r="AB8" s="42" t="str">
        <f t="array" ref="AB8">_xlfn.XLOOKUP(B8,'Up Max'!A:A,'Up Max'!G:G,)</f>
        <v/>
      </c>
      <c r="AC8" s="48" t="str">
        <f t="array" ref="AC8">_xlfn.XLOOKUP(B8,'Up Stats'!A:A,'Up Stats'!H:H,)</f>
        <v/>
      </c>
      <c r="AD8" s="40" t="str">
        <f>IFERROR(__xludf.DUMMYFUNCTION("if(AND(AE8=FALSE,AF8=FALSE),,if(AE8=AF8,JOIN("""",""Static: "",AE8),JOIN("""",""Min:  "",AE8, CHAR(10),""Max: "",AF8)))"),"")</f>
        <v/>
      </c>
      <c r="AE8" s="42" t="str">
        <f t="array" ref="AE8">_xlfn.XLOOKUP(B8,'Up Min'!A:A,'Up Min'!H:H,)</f>
        <v/>
      </c>
      <c r="AF8" s="42" t="str">
        <f t="array" ref="AF8">_xlfn.XLOOKUP(B8,'Up Max'!A:A,'Up Max'!H:H,)</f>
        <v/>
      </c>
      <c r="AG8" s="48" t="str">
        <f t="array" ref="AG8">_xlfn.XLOOKUP(B8,'Up Stats'!A:A,'Up Stats'!I:I,)</f>
        <v/>
      </c>
      <c r="AH8" s="40" t="str">
        <f>IFERROR(__xludf.DUMMYFUNCTION("if(AND(AI8=FALSE,AJ8=FALSE),,if(AI8=AJ8,JOIN("""",""Static: "",AI8),JOIN("""",""Min:  "",AI8, CHAR(10),""Max: "",AJ8)))"),"")</f>
        <v/>
      </c>
      <c r="AI8" s="42" t="str">
        <f t="array" ref="AI8">_xlfn.XLOOKUP(B8,'Up Min'!A:A,'Up Min'!I:I,)</f>
        <v/>
      </c>
      <c r="AJ8" s="42" t="str">
        <f t="array" ref="AJ8">_xlfn.XLOOKUP(B8,'Up Max'!A:A,'Up Max'!I:I,)</f>
        <v/>
      </c>
      <c r="AK8" s="48" t="str">
        <f t="array" ref="AK8">_xlfn.XLOOKUP(B8,'Up Stats'!A:A,'Up Stats'!J:J,)</f>
        <v/>
      </c>
      <c r="AL8" s="40" t="str">
        <f>IFERROR(__xludf.DUMMYFUNCTION("if(AND(AM8=FALSE,AN8=FALSE),,if(AM8=AN8,JOIN("""",""Static: "",AM8),JOIN("""",""Min:  "",AM8, CHAR(10),""Max: "",AN8)))"),"")</f>
        <v/>
      </c>
      <c r="AM8" s="42" t="str">
        <f t="array" ref="AM8">_xlfn.XLOOKUP(B8,'Up Min'!A:A,'Up Min'!J:J,)</f>
        <v/>
      </c>
      <c r="AN8" s="42" t="str">
        <f t="array" ref="AN8">_xlfn.XLOOKUP(B8,'Up Max'!A:A,'Up Max'!J:J,)</f>
        <v/>
      </c>
      <c r="AO8" s="34" t="str">
        <f t="array" ref="AO8">CONCATENATE(_xlfn.XLOOKUP(B8,'Up Cells'!A:A,'Up Cells'!B:B,))</f>
        <v>4</v>
      </c>
      <c r="AP8" s="34" t="str">
        <f t="array" ref="AP8">CONCATENATE(_xlfn.XLOOKUP(B8,'Up Rarity'!A:A,'Up Rarity'!B:B,),CHAR(10),"-")</f>
        <v>Exotic
-</v>
      </c>
    </row>
    <row r="9">
      <c r="A9" s="75" t="str">
        <f t="array" ref="A9">_xlfn.XLOOKUP(B9,'Up Icon'!A:A,'Up Icon'!B:B,)</f>
        <v/>
      </c>
      <c r="B9" s="88" t="str">
        <f t="array" ref="B9">HYPERLINK(_xlfn.XLOOKUP('Up Names'!S8,'Up Wiki'!A:A,'Up Wiki'!B:B,),'Up Names'!S8)</f>
        <v>Dynamite Deployment</v>
      </c>
      <c r="C9" s="52" t="str">
        <f t="array" ref="C9">_xlfn.XLOOKUP(B9,'Up Desc'!A:A,'Up Desc'!B:B,)</f>
        <v>Create an elemental explosion at your position the first time you use your Grapple Pole.</v>
      </c>
      <c r="D9" s="52" t="str">
        <f t="array" ref="D9">_xlfn.XLOOKUP(B9,'Up Turbo'!A:A,'Up Turbo'!B:B,)</f>
        <v>n/a</v>
      </c>
      <c r="E9" s="53" t="str">
        <f t="array" ref="E9">_xlfn.XLOOKUP(B9,'Up Stats'!A:A,'Up Stats'!B:B,)</f>
        <v>Explosion Size</v>
      </c>
      <c r="F9" s="54" t="str">
        <f>IFERROR(__xludf.DUMMYFUNCTION("if(AND(G9=FALSE,H9=FALSE),,if(G9=H9,JOIN("""",""Static: "",G9),JOIN("""",""Min:  "",G9, CHAR(10),""Max: "",H9)))"),"Min:  4.5
Max: 8.54")</f>
        <v>Min:  4.5
Max: 8.54</v>
      </c>
      <c r="G9" s="64">
        <f t="array" ref="G9">_xlfn.XLOOKUP(B9,'Up Min'!A:A,'Up Min'!B:B,)</f>
        <v>4.5</v>
      </c>
      <c r="H9" s="65">
        <f t="array" ref="H9">_xlfn.XLOOKUP(B9,'Up Max'!A:A,'Up Max'!B:B,)</f>
        <v>8.54</v>
      </c>
      <c r="I9" s="53" t="str">
        <f t="array" ref="I9">_xlfn.XLOOKUP(B9,'Up Stats'!A:A,'Up Stats'!C:C,)</f>
        <v>Element</v>
      </c>
      <c r="J9" s="54" t="str">
        <f>IFERROR(__xludf.DUMMYFUNCTION("if(AND(K9=FALSE,L9=FALSE),,if(K9=L9,JOIN("""",""Static: "",K9),JOIN("""",""Min:  "",K9, CHAR(10),""Max: "",L9)))"),"Static: element")</f>
        <v>Static: element</v>
      </c>
      <c r="K9" s="59" t="str">
        <f t="array" ref="K9">_xlfn.XLOOKUP(B9,'Up Min'!A:A,'Up Min'!C:C,)</f>
        <v>element</v>
      </c>
      <c r="L9" s="59" t="str">
        <f t="array" ref="L9">_xlfn.XLOOKUP(B9,'Up Max'!A:A,'Up Max'!C:C,)</f>
        <v>element</v>
      </c>
      <c r="M9" s="53" t="str">
        <f t="array" ref="M9">_xlfn.XLOOKUP(B9,'Up Stats'!A:A,'Up Stats'!D:D,)</f>
        <v/>
      </c>
      <c r="N9" s="54" t="str">
        <f>IFERROR(__xludf.DUMMYFUNCTION("if(AND(O9=FALSE,P9=FALSE),,if(O9=P9,JOIN("""",""Static: "",O9),JOIN("""",""Min:  "",O9, CHAR(10),""Max: "",P9)))"),"")</f>
        <v/>
      </c>
      <c r="O9" s="55" t="str">
        <f t="array" ref="O9">_xlfn.XLOOKUP(B9,'Up Min'!A:A,'Up Min'!D:D,)</f>
        <v/>
      </c>
      <c r="P9" s="55" t="str">
        <f t="array" ref="P9">_xlfn.XLOOKUP(B9,'Up Max'!A:A,'Up Max'!D:D,)</f>
        <v/>
      </c>
      <c r="Q9" s="57" t="str">
        <f t="array" ref="Q9">_xlfn.XLOOKUP(B9,'Up Stats'!A:A,'Up Stats'!E:E,)</f>
        <v/>
      </c>
      <c r="R9" s="54" t="str">
        <f>IFERROR(__xludf.DUMMYFUNCTION("if(AND(S9=FALSE,T9=FALSE),,if(S9=T9,JOIN("""",""Static: "",S9),JOIN("""",""Min:  "",S9, CHAR(10),""Max: "",T9)))"),"")</f>
        <v/>
      </c>
      <c r="S9" s="55" t="str">
        <f t="array" ref="S9">_xlfn.XLOOKUP(B9,'Up Min'!A:A,'Up Min'!E:E,)</f>
        <v/>
      </c>
      <c r="T9" s="55" t="str">
        <f t="array" ref="T9">_xlfn.XLOOKUP(B9,'Up Max'!A:A,'Up Max'!E:E,)</f>
        <v/>
      </c>
      <c r="U9" s="57" t="str">
        <f t="array" ref="U9">_xlfn.XLOOKUP(B9,'Up Stats'!A:A,'Up Stats'!F:F,)</f>
        <v/>
      </c>
      <c r="V9" s="54" t="str">
        <f>IFERROR(__xludf.DUMMYFUNCTION("if(AND(W9=FALSE,X9=FALSE),,if(W9=X9,JOIN("""",""Static: "",W9),JOIN("""",""Min:  "",W9, CHAR(10),""Max: "",X9)))"),"")</f>
        <v/>
      </c>
      <c r="W9" s="55" t="str">
        <f t="array" ref="W9">_xlfn.XLOOKUP(B9,'Up Min'!A:A,'Up Min'!F:F,)</f>
        <v/>
      </c>
      <c r="X9" s="55" t="str">
        <f t="array" ref="X9">_xlfn.XLOOKUP(B9,'Up Max'!A:A,'Up Max'!F:F,)</f>
        <v/>
      </c>
      <c r="Y9" s="57" t="str">
        <f t="array" ref="Y9">_xlfn.XLOOKUP(B9,'Up Stats'!A:A,'Up Stats'!G:G,)</f>
        <v/>
      </c>
      <c r="Z9" s="54" t="str">
        <f>IFERROR(__xludf.DUMMYFUNCTION("if(AND(AA9=FALSE,AB9=FALSE),,if(AA9=AB9,JOIN("""",""Static: "",AA9),JOIN("""",""Min:  "",AA9, CHAR(10),""Max: "",AB9)))"),"")</f>
        <v/>
      </c>
      <c r="AA9" s="55" t="str">
        <f t="array" ref="AA9">_xlfn.XLOOKUP(B9,'Up Min'!A:A,'Up Min'!G:G,)</f>
        <v/>
      </c>
      <c r="AB9" s="55" t="str">
        <f t="array" ref="AB9">_xlfn.XLOOKUP(B9,'Up Max'!A:A,'Up Max'!G:G,)</f>
        <v/>
      </c>
      <c r="AC9" s="57" t="str">
        <f t="array" ref="AC9">_xlfn.XLOOKUP(B9,'Up Stats'!A:A,'Up Stats'!H:H,)</f>
        <v/>
      </c>
      <c r="AD9" s="54" t="str">
        <f>IFERROR(__xludf.DUMMYFUNCTION("if(AND(AE9=FALSE,AF9=FALSE),,if(AE9=AF9,JOIN("""",""Static: "",AE9),JOIN("""",""Min:  "",AE9, CHAR(10),""Max: "",AF9)))"),"")</f>
        <v/>
      </c>
      <c r="AE9" s="55" t="str">
        <f t="array" ref="AE9">_xlfn.XLOOKUP(B9,'Up Min'!A:A,'Up Min'!H:H,)</f>
        <v/>
      </c>
      <c r="AF9" s="55" t="str">
        <f t="array" ref="AF9">_xlfn.XLOOKUP(B9,'Up Max'!A:A,'Up Max'!H:H,)</f>
        <v/>
      </c>
      <c r="AG9" s="57" t="str">
        <f t="array" ref="AG9">_xlfn.XLOOKUP(B9,'Up Stats'!A:A,'Up Stats'!I:I,)</f>
        <v/>
      </c>
      <c r="AH9" s="54" t="str">
        <f>IFERROR(__xludf.DUMMYFUNCTION("if(AND(AI9=FALSE,AJ9=FALSE),,if(AI9=AJ9,JOIN("""",""Static: "",AI9),JOIN("""",""Min:  "",AI9, CHAR(10),""Max: "",AJ9)))"),"")</f>
        <v/>
      </c>
      <c r="AI9" s="55" t="str">
        <f t="array" ref="AI9">_xlfn.XLOOKUP(B9,'Up Min'!A:A,'Up Min'!I:I,)</f>
        <v/>
      </c>
      <c r="AJ9" s="55" t="str">
        <f t="array" ref="AJ9">_xlfn.XLOOKUP(B9,'Up Max'!A:A,'Up Max'!I:I,)</f>
        <v/>
      </c>
      <c r="AK9" s="57" t="str">
        <f t="array" ref="AK9">_xlfn.XLOOKUP(B9,'Up Stats'!A:A,'Up Stats'!J:J,)</f>
        <v/>
      </c>
      <c r="AL9" s="54" t="str">
        <f>IFERROR(__xludf.DUMMYFUNCTION("if(AND(AM9=FALSE,AN9=FALSE),,if(AM9=AN9,JOIN("""",""Static: "",AM9),JOIN("""",""Min:  "",AM9, CHAR(10),""Max: "",AN9)))"),"")</f>
        <v/>
      </c>
      <c r="AM9" s="55" t="str">
        <f t="array" ref="AM9">_xlfn.XLOOKUP(B9,'Up Min'!A:A,'Up Min'!J:J,)</f>
        <v/>
      </c>
      <c r="AN9" s="55" t="str">
        <f t="array" ref="AN9">_xlfn.XLOOKUP(B9,'Up Max'!A:A,'Up Max'!J:J,)</f>
        <v/>
      </c>
      <c r="AO9" s="51" t="str">
        <f t="array" ref="AO9">CONCATENATE(_xlfn.XLOOKUP(B9,'Up Cells'!A:A,'Up Cells'!B:B,))</f>
        <v>4</v>
      </c>
      <c r="AP9" s="51" t="str">
        <f t="array" ref="AP9">CONCATENATE(_xlfn.XLOOKUP(B9,'Up Rarity'!A:A,'Up Rarity'!B:B,),CHAR(10),"-")</f>
        <v>Epic
-</v>
      </c>
    </row>
    <row r="10">
      <c r="A10" s="75" t="str">
        <f t="array" ref="A10">_xlfn.XLOOKUP(B10,'Up Icon'!A:A,'Up Icon'!B:B,)</f>
        <v/>
      </c>
      <c r="B10" s="89" t="str">
        <f t="array" ref="B10">HYPERLINK(_xlfn.XLOOKUP('Up Names'!S9,'Up Wiki'!A:A,'Up Wiki'!B:B,),'Up Names'!S9)</f>
        <v>Elemental Overheat</v>
      </c>
      <c r="C10" s="37" t="str">
        <f t="array" ref="C10">_xlfn.XLOOKUP(B10,'Up Desc'!A:A,'Up Desc'!B:B,)</f>
        <v>Use less grapple pole energy while the chosen element is fully applied to you.</v>
      </c>
      <c r="D10" s="37" t="str">
        <f t="array" ref="D10">_xlfn.XLOOKUP(B10,'Up Turbo'!A:A,'Up Turbo'!B:B,)</f>
        <v>n/a</v>
      </c>
      <c r="E10" s="39" t="str">
        <f t="array" ref="E10">_xlfn.XLOOKUP(B10,'Up Stats'!A:A,'Up Stats'!B:B,)</f>
        <v>Energy Used</v>
      </c>
      <c r="F10" s="40" t="str">
        <f>IFERROR(__xludf.DUMMYFUNCTION("if(AND(G10=FALSE,H10=FALSE),,if(G10=H10,JOIN("""",""Static: "",G10),JOIN("""",""Min:  "",G10, CHAR(10),""Max: "",H10)))"),"Min:  -83%
Max: -76%")</f>
        <v>Min:  -83%
Max: -76%</v>
      </c>
      <c r="G10" s="41">
        <f t="array" ref="G10">_xlfn.XLOOKUP(B10,'Up Min'!A:A,'Up Min'!B:B,)</f>
        <v>-0.83</v>
      </c>
      <c r="H10" s="41">
        <f t="array" ref="H10">_xlfn.XLOOKUP(B10,'Up Max'!A:A,'Up Max'!B:B,)</f>
        <v>-0.76</v>
      </c>
      <c r="I10" s="39" t="str">
        <f t="array" ref="I10">_xlfn.XLOOKUP(B10,'Up Stats'!A:A,'Up Stats'!C:C,)</f>
        <v>Element</v>
      </c>
      <c r="J10" s="40" t="str">
        <f>IFERROR(__xludf.DUMMYFUNCTION("if(AND(K10=FALSE,L10=FALSE),,if(K10=L10,JOIN("""",""Static: "",K10),JOIN("""",""Min:  "",K10, CHAR(10),""Max: "",L10)))"),"Static: element")</f>
        <v>Static: element</v>
      </c>
      <c r="K10" s="41" t="str">
        <f t="array" ref="K10">_xlfn.XLOOKUP(B10,'Up Min'!A:A,'Up Min'!C:C,)</f>
        <v>element</v>
      </c>
      <c r="L10" s="41" t="str">
        <f t="array" ref="L10">_xlfn.XLOOKUP(B10,'Up Max'!A:A,'Up Max'!C:C,)</f>
        <v>element</v>
      </c>
      <c r="M10" s="39" t="str">
        <f t="array" ref="M10">_xlfn.XLOOKUP(B10,'Up Stats'!A:A,'Up Stats'!D:D,)</f>
        <v/>
      </c>
      <c r="N10" s="40" t="str">
        <f>IFERROR(__xludf.DUMMYFUNCTION("if(AND(O10=FALSE,P10=FALSE),,if(O10=P10,JOIN("""",""Static: "",O10),JOIN("""",""Min:  "",O10, CHAR(10),""Max: "",P10)))"),"")</f>
        <v/>
      </c>
      <c r="O10" s="42" t="str">
        <f t="array" ref="O10">_xlfn.XLOOKUP(B10,'Up Min'!A:A,'Up Min'!D:D,)</f>
        <v/>
      </c>
      <c r="P10" s="42" t="str">
        <f t="array" ref="P10">_xlfn.XLOOKUP(B10,'Up Max'!A:A,'Up Max'!D:D,)</f>
        <v/>
      </c>
      <c r="Q10" s="48" t="str">
        <f t="array" ref="Q10">_xlfn.XLOOKUP(B10,'Up Stats'!A:A,'Up Stats'!E:E,)</f>
        <v/>
      </c>
      <c r="R10" s="40" t="str">
        <f>IFERROR(__xludf.DUMMYFUNCTION("if(AND(S10=FALSE,T10=FALSE),,if(S10=T10,JOIN("""",""Static: "",S10),JOIN("""",""Min:  "",S10, CHAR(10),""Max: "",T10)))"),"")</f>
        <v/>
      </c>
      <c r="S10" s="42" t="str">
        <f t="array" ref="S10">_xlfn.XLOOKUP(B10,'Up Min'!A:A,'Up Min'!E:E,)</f>
        <v/>
      </c>
      <c r="T10" s="42" t="str">
        <f t="array" ref="T10">_xlfn.XLOOKUP(B10,'Up Max'!A:A,'Up Max'!E:E,)</f>
        <v/>
      </c>
      <c r="U10" s="48" t="str">
        <f t="array" ref="U10">_xlfn.XLOOKUP(B10,'Up Stats'!A:A,'Up Stats'!F:F,)</f>
        <v/>
      </c>
      <c r="V10" s="40" t="str">
        <f>IFERROR(__xludf.DUMMYFUNCTION("if(AND(W10=FALSE,X10=FALSE),,if(W10=X10,JOIN("""",""Static: "",W10),JOIN("""",""Min:  "",W10, CHAR(10),""Max: "",X10)))"),"")</f>
        <v/>
      </c>
      <c r="W10" s="42" t="str">
        <f t="array" ref="W10">_xlfn.XLOOKUP(B10,'Up Min'!A:A,'Up Min'!F:F,)</f>
        <v/>
      </c>
      <c r="X10" s="42" t="str">
        <f t="array" ref="X10">_xlfn.XLOOKUP(B10,'Up Max'!A:A,'Up Max'!F:F,)</f>
        <v/>
      </c>
      <c r="Y10" s="48" t="str">
        <f t="array" ref="Y10">_xlfn.XLOOKUP(B10,'Up Stats'!A:A,'Up Stats'!G:G,)</f>
        <v/>
      </c>
      <c r="Z10" s="40" t="str">
        <f>IFERROR(__xludf.DUMMYFUNCTION("if(AND(AA10=FALSE,AB10=FALSE),,if(AA10=AB10,JOIN("""",""Static: "",AA10),JOIN("""",""Min:  "",AA10, CHAR(10),""Max: "",AB10)))"),"")</f>
        <v/>
      </c>
      <c r="AA10" s="42" t="str">
        <f t="array" ref="AA10">_xlfn.XLOOKUP(B10,'Up Min'!A:A,'Up Min'!G:G,)</f>
        <v/>
      </c>
      <c r="AB10" s="42" t="str">
        <f t="array" ref="AB10">_xlfn.XLOOKUP(B10,'Up Max'!A:A,'Up Max'!G:G,)</f>
        <v/>
      </c>
      <c r="AC10" s="48" t="str">
        <f t="array" ref="AC10">_xlfn.XLOOKUP(B10,'Up Stats'!A:A,'Up Stats'!H:H,)</f>
        <v/>
      </c>
      <c r="AD10" s="40" t="str">
        <f>IFERROR(__xludf.DUMMYFUNCTION("if(AND(AE10=FALSE,AF10=FALSE),,if(AE10=AF10,JOIN("""",""Static: "",AE10),JOIN("""",""Min:  "",AE10, CHAR(10),""Max: "",AF10)))"),"")</f>
        <v/>
      </c>
      <c r="AE10" s="42" t="str">
        <f t="array" ref="AE10">_xlfn.XLOOKUP(B10,'Up Min'!A:A,'Up Min'!H:H,)</f>
        <v/>
      </c>
      <c r="AF10" s="42" t="str">
        <f t="array" ref="AF10">_xlfn.XLOOKUP(B10,'Up Max'!A:A,'Up Max'!H:H,)</f>
        <v/>
      </c>
      <c r="AG10" s="48" t="str">
        <f t="array" ref="AG10">_xlfn.XLOOKUP(B10,'Up Stats'!A:A,'Up Stats'!I:I,)</f>
        <v/>
      </c>
      <c r="AH10" s="40" t="str">
        <f>IFERROR(__xludf.DUMMYFUNCTION("if(AND(AI10=FALSE,AJ10=FALSE),,if(AI10=AJ10,JOIN("""",""Static: "",AI10),JOIN("""",""Min:  "",AI10, CHAR(10),""Max: "",AJ10)))"),"")</f>
        <v/>
      </c>
      <c r="AI10" s="42" t="str">
        <f t="array" ref="AI10">_xlfn.XLOOKUP(B10,'Up Min'!A:A,'Up Min'!I:I,)</f>
        <v/>
      </c>
      <c r="AJ10" s="42" t="str">
        <f t="array" ref="AJ10">_xlfn.XLOOKUP(B10,'Up Max'!A:A,'Up Max'!I:I,)</f>
        <v/>
      </c>
      <c r="AK10" s="48" t="str">
        <f t="array" ref="AK10">_xlfn.XLOOKUP(B10,'Up Stats'!A:A,'Up Stats'!J:J,)</f>
        <v/>
      </c>
      <c r="AL10" s="40" t="str">
        <f>IFERROR(__xludf.DUMMYFUNCTION("if(AND(AM10=FALSE,AN10=FALSE),,if(AM10=AN10,JOIN("""",""Static: "",AM10),JOIN("""",""Min:  "",AM10, CHAR(10),""Max: "",AN10)))"),"")</f>
        <v/>
      </c>
      <c r="AM10" s="42" t="str">
        <f t="array" ref="AM10">_xlfn.XLOOKUP(B10,'Up Min'!A:A,'Up Min'!J:J,)</f>
        <v/>
      </c>
      <c r="AN10" s="42" t="str">
        <f t="array" ref="AN10">_xlfn.XLOOKUP(B10,'Up Max'!A:A,'Up Max'!J:J,)</f>
        <v/>
      </c>
      <c r="AO10" s="34" t="str">
        <f t="array" ref="AO10">CONCATENATE(_xlfn.XLOOKUP(B10,'Up Cells'!A:A,'Up Cells'!B:B,))</f>
        <v>3</v>
      </c>
      <c r="AP10" s="34" t="str">
        <f t="array" ref="AP10">CONCATENATE(_xlfn.XLOOKUP(B10,'Up Rarity'!A:A,'Up Rarity'!B:B,),CHAR(10),"-")</f>
        <v>Epic
-</v>
      </c>
    </row>
    <row r="11">
      <c r="A11" s="75" t="str">
        <f t="array" ref="A11">_xlfn.XLOOKUP(B11,'Up Icon'!A:A,'Up Icon'!B:B,)</f>
        <v/>
      </c>
      <c r="B11" s="88" t="str">
        <f t="array" ref="B11">HYPERLINK(_xlfn.XLOOKUP('Up Names'!S10,'Up Wiki'!A:A,'Up Wiki'!B:B,),'Up Names'!S10)</f>
        <v>Frantic Mechanism</v>
      </c>
      <c r="C11" s="52" t="str">
        <f t="array" ref="C11">_xlfn.XLOOKUP(B11,'Up Desc'!A:A,'Up Desc'!B:B,)</f>
        <v>You move faster for each stack of scrap you have. Scrap decays faster.</v>
      </c>
      <c r="D11" s="52" t="str">
        <f t="array" ref="D11">_xlfn.XLOOKUP(B11,'Up Turbo'!A:A,'Up Turbo'!B:B,)</f>
        <v>n/a</v>
      </c>
      <c r="E11" s="53" t="str">
        <f t="array" ref="E11">_xlfn.XLOOKUP(B11,'Up Stats'!A:A,'Up Stats'!B:B,)</f>
        <v>Speed per Stack</v>
      </c>
      <c r="F11" s="54" t="str">
        <f>IFERROR(__xludf.DUMMYFUNCTION("if(AND(G11=FALSE,H11=FALSE),,if(G11=H11,JOIN("""",""Static: "",G11),JOIN("""",""Min:  "",G11, CHAR(10),""Max: "",H11)))"),"Min:  0.18
Max: 0.22")</f>
        <v>Min:  0.18
Max: 0.22</v>
      </c>
      <c r="G11" s="64">
        <f t="array" ref="G11">_xlfn.XLOOKUP(B11,'Up Min'!A:A,'Up Min'!B:B,)</f>
        <v>0.18</v>
      </c>
      <c r="H11" s="65">
        <f t="array" ref="H11">_xlfn.XLOOKUP(B11,'Up Max'!A:A,'Up Max'!B:B,)</f>
        <v>0.22</v>
      </c>
      <c r="I11" s="53" t="str">
        <f t="array" ref="I11">_xlfn.XLOOKUP(B11,'Up Stats'!A:A,'Up Stats'!C:C,)</f>
        <v>Decay Interval</v>
      </c>
      <c r="J11" s="54" t="str">
        <f>IFERROR(__xludf.DUMMYFUNCTION("if(AND(K11=FALSE,L11=FALSE),,if(K11=L11,JOIN("""",""Static: "",K11),JOIN("""",""Min:  "",K11, CHAR(10),""Max: "",L11)))"),"Min:  0.8
Max: 1.2")</f>
        <v>Min:  0.8
Max: 1.2</v>
      </c>
      <c r="K11" s="65">
        <f t="array" ref="K11">_xlfn.XLOOKUP(B11,'Up Min'!A:A,'Up Min'!C:C,)</f>
        <v>0.8</v>
      </c>
      <c r="L11" s="64">
        <f t="array" ref="L11">_xlfn.XLOOKUP(B11,'Up Max'!A:A,'Up Max'!C:C,)</f>
        <v>1.2</v>
      </c>
      <c r="M11" s="53" t="str">
        <f t="array" ref="M11">_xlfn.XLOOKUP(B11,'Up Stats'!A:A,'Up Stats'!D:D,)</f>
        <v/>
      </c>
      <c r="N11" s="54" t="str">
        <f>IFERROR(__xludf.DUMMYFUNCTION("if(AND(O11=FALSE,P11=FALSE),,if(O11=P11,JOIN("""",""Static: "",O11),JOIN("""",""Min:  "",O11, CHAR(10),""Max: "",P11)))"),"")</f>
        <v/>
      </c>
      <c r="O11" s="55" t="str">
        <f t="array" ref="O11">_xlfn.XLOOKUP(B11,'Up Min'!A:A,'Up Min'!D:D,)</f>
        <v/>
      </c>
      <c r="P11" s="55" t="str">
        <f t="array" ref="P11">_xlfn.XLOOKUP(B11,'Up Max'!A:A,'Up Max'!D:D,)</f>
        <v/>
      </c>
      <c r="Q11" s="57" t="str">
        <f t="array" ref="Q11">_xlfn.XLOOKUP(B11,'Up Stats'!A:A,'Up Stats'!E:E,)</f>
        <v/>
      </c>
      <c r="R11" s="54" t="str">
        <f>IFERROR(__xludf.DUMMYFUNCTION("if(AND(S11=FALSE,T11=FALSE),,if(S11=T11,JOIN("""",""Static: "",S11),JOIN("""",""Min:  "",S11, CHAR(10),""Max: "",T11)))"),"")</f>
        <v/>
      </c>
      <c r="S11" s="55" t="str">
        <f t="array" ref="S11">_xlfn.XLOOKUP(B11,'Up Min'!A:A,'Up Min'!E:E,)</f>
        <v/>
      </c>
      <c r="T11" s="55" t="str">
        <f t="array" ref="T11">_xlfn.XLOOKUP(B11,'Up Max'!A:A,'Up Max'!E:E,)</f>
        <v/>
      </c>
      <c r="U11" s="57" t="str">
        <f t="array" ref="U11">_xlfn.XLOOKUP(B11,'Up Stats'!A:A,'Up Stats'!F:F,)</f>
        <v/>
      </c>
      <c r="V11" s="54" t="str">
        <f>IFERROR(__xludf.DUMMYFUNCTION("if(AND(W11=FALSE,X11=FALSE),,if(W11=X11,JOIN("""",""Static: "",W11),JOIN("""",""Min:  "",W11, CHAR(10),""Max: "",X11)))"),"")</f>
        <v/>
      </c>
      <c r="W11" s="55" t="str">
        <f t="array" ref="W11">_xlfn.XLOOKUP(B11,'Up Min'!A:A,'Up Min'!F:F,)</f>
        <v/>
      </c>
      <c r="X11" s="55" t="str">
        <f t="array" ref="X11">_xlfn.XLOOKUP(B11,'Up Max'!A:A,'Up Max'!F:F,)</f>
        <v/>
      </c>
      <c r="Y11" s="57" t="str">
        <f t="array" ref="Y11">_xlfn.XLOOKUP(B11,'Up Stats'!A:A,'Up Stats'!G:G,)</f>
        <v/>
      </c>
      <c r="Z11" s="54" t="str">
        <f>IFERROR(__xludf.DUMMYFUNCTION("if(AND(AA11=FALSE,AB11=FALSE),,if(AA11=AB11,JOIN("""",""Static: "",AA11),JOIN("""",""Min:  "",AA11, CHAR(10),""Max: "",AB11)))"),"")</f>
        <v/>
      </c>
      <c r="AA11" s="55" t="str">
        <f t="array" ref="AA11">_xlfn.XLOOKUP(B11,'Up Min'!A:A,'Up Min'!G:G,)</f>
        <v/>
      </c>
      <c r="AB11" s="55" t="str">
        <f t="array" ref="AB11">_xlfn.XLOOKUP(B11,'Up Max'!A:A,'Up Max'!G:G,)</f>
        <v/>
      </c>
      <c r="AC11" s="57" t="str">
        <f t="array" ref="AC11">_xlfn.XLOOKUP(B11,'Up Stats'!A:A,'Up Stats'!H:H,)</f>
        <v/>
      </c>
      <c r="AD11" s="54" t="str">
        <f>IFERROR(__xludf.DUMMYFUNCTION("if(AND(AE11=FALSE,AF11=FALSE),,if(AE11=AF11,JOIN("""",""Static: "",AE11),JOIN("""",""Min:  "",AE11, CHAR(10),""Max: "",AF11)))"),"")</f>
        <v/>
      </c>
      <c r="AE11" s="55" t="str">
        <f t="array" ref="AE11">_xlfn.XLOOKUP(B11,'Up Min'!A:A,'Up Min'!H:H,)</f>
        <v/>
      </c>
      <c r="AF11" s="55" t="str">
        <f t="array" ref="AF11">_xlfn.XLOOKUP(B11,'Up Max'!A:A,'Up Max'!H:H,)</f>
        <v/>
      </c>
      <c r="AG11" s="57" t="str">
        <f t="array" ref="AG11">_xlfn.XLOOKUP(B11,'Up Stats'!A:A,'Up Stats'!I:I,)</f>
        <v/>
      </c>
      <c r="AH11" s="54" t="str">
        <f>IFERROR(__xludf.DUMMYFUNCTION("if(AND(AI11=FALSE,AJ11=FALSE),,if(AI11=AJ11,JOIN("""",""Static: "",AI11),JOIN("""",""Min:  "",AI11, CHAR(10),""Max: "",AJ11)))"),"")</f>
        <v/>
      </c>
      <c r="AI11" s="55" t="str">
        <f t="array" ref="AI11">_xlfn.XLOOKUP(B11,'Up Min'!A:A,'Up Min'!I:I,)</f>
        <v/>
      </c>
      <c r="AJ11" s="55" t="str">
        <f t="array" ref="AJ11">_xlfn.XLOOKUP(B11,'Up Max'!A:A,'Up Max'!I:I,)</f>
        <v/>
      </c>
      <c r="AK11" s="57" t="str">
        <f t="array" ref="AK11">_xlfn.XLOOKUP(B11,'Up Stats'!A:A,'Up Stats'!J:J,)</f>
        <v/>
      </c>
      <c r="AL11" s="54" t="str">
        <f>IFERROR(__xludf.DUMMYFUNCTION("if(AND(AM11=FALSE,AN11=FALSE),,if(AM11=AN11,JOIN("""",""Static: "",AM11),JOIN("""",""Min:  "",AM11, CHAR(10),""Max: "",AN11)))"),"")</f>
        <v/>
      </c>
      <c r="AM11" s="55" t="str">
        <f t="array" ref="AM11">_xlfn.XLOOKUP(B11,'Up Min'!A:A,'Up Min'!J:J,)</f>
        <v/>
      </c>
      <c r="AN11" s="55" t="str">
        <f t="array" ref="AN11">_xlfn.XLOOKUP(B11,'Up Max'!A:A,'Up Max'!J:J,)</f>
        <v/>
      </c>
      <c r="AO11" s="51" t="str">
        <f t="array" ref="AO11">CONCATENATE(_xlfn.XLOOKUP(B11,'Up Cells'!A:A,'Up Cells'!B:B,))</f>
        <v>6</v>
      </c>
      <c r="AP11" s="51" t="str">
        <f t="array" ref="AP11">CONCATENATE(_xlfn.XLOOKUP(B11,'Up Rarity'!A:A,'Up Rarity'!B:B,),CHAR(10),"-")</f>
        <v>Epic
-</v>
      </c>
    </row>
    <row r="12">
      <c r="A12" s="75" t="str">
        <f t="array" ref="A12">_xlfn.XLOOKUP(B12,'Up Icon'!A:A,'Up Icon'!B:B,)</f>
        <v/>
      </c>
      <c r="B12" s="89" t="str">
        <f t="array" ref="B12">HYPERLINK(_xlfn.XLOOKUP('Up Names'!S11,'Up Wiki'!A:A,'Up Wiki'!B:B,),'Up Names'!S11)</f>
        <v>Fueling Station</v>
      </c>
      <c r="C12" s="37" t="str">
        <f t="array" ref="C12">_xlfn.XLOOKUP(B12,'Up Desc'!A:A,'Up Desc'!B:B,)</f>
        <v>While using your Grapple Pole, your Jetpack recharges faster.</v>
      </c>
      <c r="D12" s="37" t="str">
        <f t="array" ref="D12">_xlfn.XLOOKUP(B12,'Up Turbo'!A:A,'Up Turbo'!B:B,)</f>
        <v>n/a</v>
      </c>
      <c r="E12" s="39" t="str">
        <f t="array" ref="E12">_xlfn.XLOOKUP(B12,'Up Stats'!A:A,'Up Stats'!B:B,)</f>
        <v>Charge per Second</v>
      </c>
      <c r="F12" s="40" t="str">
        <f>IFERROR(__xludf.DUMMYFUNCTION("if(AND(G12=FALSE,H12=FALSE),,if(G12=H12,JOIN("""",""Static: "",G12),JOIN("""",""Min:  "",G12, CHAR(10),""Max: "",H12)))"),"Min:  0.4
Max: 0.61")</f>
        <v>Min:  0.4
Max: 0.61</v>
      </c>
      <c r="G12" s="69">
        <f t="array" ref="G12">_xlfn.XLOOKUP(B12,'Up Min'!A:A,'Up Min'!B:B,)</f>
        <v>0.4</v>
      </c>
      <c r="H12" s="68">
        <f t="array" ref="H12">_xlfn.XLOOKUP(B12,'Up Max'!A:A,'Up Max'!B:B,)</f>
        <v>0.61</v>
      </c>
      <c r="I12" s="39" t="str">
        <f t="array" ref="I12">_xlfn.XLOOKUP(B12,'Up Stats'!A:A,'Up Stats'!C:C,)</f>
        <v/>
      </c>
      <c r="J12" s="40" t="str">
        <f>IFERROR(__xludf.DUMMYFUNCTION("if(AND(K12=FALSE,L12=FALSE),,if(K12=L12,JOIN("""",""Static: "",K12),JOIN("""",""Min:  "",K12, CHAR(10),""Max: "",L12)))"),"")</f>
        <v/>
      </c>
      <c r="K12" s="74" t="str">
        <f t="array" ref="K12">_xlfn.XLOOKUP(B12,'Up Min'!A:A,'Up Min'!C:C,)</f>
        <v/>
      </c>
      <c r="L12" s="74" t="str">
        <f t="array" ref="L12">_xlfn.XLOOKUP(B12,'Up Max'!A:A,'Up Max'!C:C,)</f>
        <v/>
      </c>
      <c r="M12" s="48" t="str">
        <f t="array" ref="M12">_xlfn.XLOOKUP(B12,'Up Stats'!A:A,'Up Stats'!D:D,)</f>
        <v/>
      </c>
      <c r="N12" s="40" t="str">
        <f>IFERROR(__xludf.DUMMYFUNCTION("if(AND(O12=FALSE,P12=FALSE),,if(O12=P12,JOIN("""",""Static: "",O12),JOIN("""",""Min:  "",O12, CHAR(10),""Max: "",P12)))"),"")</f>
        <v/>
      </c>
      <c r="O12" s="42" t="str">
        <f t="array" ref="O12">_xlfn.XLOOKUP(B12,'Up Min'!A:A,'Up Min'!D:D,)</f>
        <v/>
      </c>
      <c r="P12" s="42" t="str">
        <f t="array" ref="P12">_xlfn.XLOOKUP(B12,'Up Max'!A:A,'Up Max'!D:D,)</f>
        <v/>
      </c>
      <c r="Q12" s="48" t="str">
        <f t="array" ref="Q12">_xlfn.XLOOKUP(B12,'Up Stats'!A:A,'Up Stats'!E:E,)</f>
        <v/>
      </c>
      <c r="R12" s="40" t="str">
        <f>IFERROR(__xludf.DUMMYFUNCTION("if(AND(S12=FALSE,T12=FALSE),,if(S12=T12,JOIN("""",""Static: "",S12),JOIN("""",""Min:  "",S12, CHAR(10),""Max: "",T12)))"),"")</f>
        <v/>
      </c>
      <c r="S12" s="42" t="str">
        <f t="array" ref="S12">_xlfn.XLOOKUP(B12,'Up Min'!A:A,'Up Min'!E:E,)</f>
        <v/>
      </c>
      <c r="T12" s="42" t="str">
        <f t="array" ref="T12">_xlfn.XLOOKUP(B12,'Up Max'!A:A,'Up Max'!E:E,)</f>
        <v/>
      </c>
      <c r="U12" s="48" t="str">
        <f t="array" ref="U12">_xlfn.XLOOKUP(B12,'Up Stats'!A:A,'Up Stats'!F:F,)</f>
        <v/>
      </c>
      <c r="V12" s="40" t="str">
        <f>IFERROR(__xludf.DUMMYFUNCTION("if(AND(W12=FALSE,X12=FALSE),,if(W12=X12,JOIN("""",""Static: "",W12),JOIN("""",""Min:  "",W12, CHAR(10),""Max: "",X12)))"),"")</f>
        <v/>
      </c>
      <c r="W12" s="42" t="str">
        <f t="array" ref="W12">_xlfn.XLOOKUP(B12,'Up Min'!A:A,'Up Min'!F:F,)</f>
        <v/>
      </c>
      <c r="X12" s="42" t="str">
        <f t="array" ref="X12">_xlfn.XLOOKUP(B12,'Up Max'!A:A,'Up Max'!F:F,)</f>
        <v/>
      </c>
      <c r="Y12" s="48" t="str">
        <f t="array" ref="Y12">_xlfn.XLOOKUP(B12,'Up Stats'!A:A,'Up Stats'!G:G,)</f>
        <v/>
      </c>
      <c r="Z12" s="40" t="str">
        <f>IFERROR(__xludf.DUMMYFUNCTION("if(AND(AA12=FALSE,AB12=FALSE),,if(AA12=AB12,JOIN("""",""Static: "",AA12),JOIN("""",""Min:  "",AA12, CHAR(10),""Max: "",AB12)))"),"")</f>
        <v/>
      </c>
      <c r="AA12" s="42" t="str">
        <f t="array" ref="AA12">_xlfn.XLOOKUP(B12,'Up Min'!A:A,'Up Min'!G:G,)</f>
        <v/>
      </c>
      <c r="AB12" s="42" t="str">
        <f t="array" ref="AB12">_xlfn.XLOOKUP(B12,'Up Max'!A:A,'Up Max'!G:G,)</f>
        <v/>
      </c>
      <c r="AC12" s="48" t="str">
        <f t="array" ref="AC12">_xlfn.XLOOKUP(B12,'Up Stats'!A:A,'Up Stats'!H:H,)</f>
        <v/>
      </c>
      <c r="AD12" s="40" t="str">
        <f>IFERROR(__xludf.DUMMYFUNCTION("if(AND(AE12=FALSE,AF12=FALSE),,if(AE12=AF12,JOIN("""",""Static: "",AE12),JOIN("""",""Min:  "",AE12, CHAR(10),""Max: "",AF12)))"),"")</f>
        <v/>
      </c>
      <c r="AE12" s="42" t="str">
        <f t="array" ref="AE12">_xlfn.XLOOKUP(B12,'Up Min'!A:A,'Up Min'!H:H,)</f>
        <v/>
      </c>
      <c r="AF12" s="42" t="str">
        <f t="array" ref="AF12">_xlfn.XLOOKUP(B12,'Up Max'!A:A,'Up Max'!H:H,)</f>
        <v/>
      </c>
      <c r="AG12" s="48" t="str">
        <f t="array" ref="AG12">_xlfn.XLOOKUP(B12,'Up Stats'!A:A,'Up Stats'!I:I,)</f>
        <v/>
      </c>
      <c r="AH12" s="40" t="str">
        <f>IFERROR(__xludf.DUMMYFUNCTION("if(AND(AI12=FALSE,AJ12=FALSE),,if(AI12=AJ12,JOIN("""",""Static: "",AI12),JOIN("""",""Min:  "",AI12, CHAR(10),""Max: "",AJ12)))"),"")</f>
        <v/>
      </c>
      <c r="AI12" s="42" t="str">
        <f t="array" ref="AI12">_xlfn.XLOOKUP(B12,'Up Min'!A:A,'Up Min'!I:I,)</f>
        <v/>
      </c>
      <c r="AJ12" s="42" t="str">
        <f t="array" ref="AJ12">_xlfn.XLOOKUP(B12,'Up Max'!A:A,'Up Max'!I:I,)</f>
        <v/>
      </c>
      <c r="AK12" s="48" t="str">
        <f t="array" ref="AK12">_xlfn.XLOOKUP(B12,'Up Stats'!A:A,'Up Stats'!J:J,)</f>
        <v/>
      </c>
      <c r="AL12" s="40" t="str">
        <f>IFERROR(__xludf.DUMMYFUNCTION("if(AND(AM12=FALSE,AN12=FALSE),,if(AM12=AN12,JOIN("""",""Static: "",AM12),JOIN("""",""Min:  "",AM12, CHAR(10),""Max: "",AN12)))"),"")</f>
        <v/>
      </c>
      <c r="AM12" s="42" t="str">
        <f t="array" ref="AM12">_xlfn.XLOOKUP(B12,'Up Min'!A:A,'Up Min'!J:J,)</f>
        <v/>
      </c>
      <c r="AN12" s="42" t="str">
        <f t="array" ref="AN12">_xlfn.XLOOKUP(B12,'Up Max'!A:A,'Up Max'!J:J,)</f>
        <v/>
      </c>
      <c r="AO12" s="34" t="str">
        <f t="array" ref="AO12">CONCATENATE(_xlfn.XLOOKUP(B12,'Up Cells'!A:A,'Up Cells'!B:B,))</f>
        <v>4</v>
      </c>
      <c r="AP12" s="34" t="str">
        <f t="array" ref="AP12">CONCATENATE(_xlfn.XLOOKUP(B12,'Up Rarity'!A:A,'Up Rarity'!B:B,),CHAR(10),"-")</f>
        <v>Epic
-</v>
      </c>
    </row>
    <row r="13">
      <c r="A13" s="75" t="str">
        <f t="array" ref="A13">_xlfn.XLOOKUP(B13,'Up Icon'!A:A,'Up Icon'!B:B,)</f>
        <v/>
      </c>
      <c r="B13" s="88" t="str">
        <f t="array" ref="B13">HYPERLINK(_xlfn.XLOOKUP('Up Names'!S12,'Up Wiki'!A:A,'Up Wiki'!B:B,),'Up Names'!S12)</f>
        <v>Fulmination Core</v>
      </c>
      <c r="C13" s="52" t="str">
        <f t="array" ref="C13">_xlfn.XLOOKUP(B13,'Up Desc'!A:A,'Up Desc'!B:B,)</f>
        <v>The first time your Grapple Pole runs out of energy, its energy is partially recharged and the given element is fully applied to you.</v>
      </c>
      <c r="D13" s="52" t="str">
        <f t="array" ref="D13">_xlfn.XLOOKUP(B13,'Up Turbo'!A:A,'Up Turbo'!B:B,)</f>
        <v>n/a</v>
      </c>
      <c r="E13" s="53" t="str">
        <f t="array" ref="E13">_xlfn.XLOOKUP(B13,'Up Stats'!A:A,'Up Stats'!B:B,)</f>
        <v>Added Duration</v>
      </c>
      <c r="F13" s="54" t="str">
        <f>IFERROR(__xludf.DUMMYFUNCTION("if(AND(G13=FALSE,H13=FALSE),,if(G13=H13,JOIN("""",""Static: "",G13),JOIN("""",""Min:  "",G13, CHAR(10),""Max: "",H13)))"),"Min:  45%
Max: 85%")</f>
        <v>Min:  45%
Max: 85%</v>
      </c>
      <c r="G13" s="59">
        <f t="array" ref="G13">_xlfn.XLOOKUP(B13,'Up Min'!A:A,'Up Min'!B:B,)</f>
        <v>0.45</v>
      </c>
      <c r="H13" s="59">
        <f t="array" ref="H13">_xlfn.XLOOKUP(B13,'Up Max'!A:A,'Up Max'!B:B,)</f>
        <v>0.85</v>
      </c>
      <c r="I13" s="53" t="str">
        <f t="array" ref="I13">_xlfn.XLOOKUP(B13,'Up Stats'!A:A,'Up Stats'!C:C,)</f>
        <v>Element</v>
      </c>
      <c r="J13" s="54" t="str">
        <f>IFERROR(__xludf.DUMMYFUNCTION("if(AND(K13=FALSE,L13=FALSE),,if(K13=L13,JOIN("""",""Static: "",K13),JOIN("""",""Min:  "",K13, CHAR(10),""Max: "",L13)))"),"Static: element")</f>
        <v>Static: element</v>
      </c>
      <c r="K13" s="59" t="str">
        <f t="array" ref="K13">_xlfn.XLOOKUP(B13,'Up Min'!A:A,'Up Min'!C:C,)</f>
        <v>element</v>
      </c>
      <c r="L13" s="59" t="str">
        <f t="array" ref="L13">_xlfn.XLOOKUP(B13,'Up Max'!A:A,'Up Max'!C:C,)</f>
        <v>element</v>
      </c>
      <c r="M13" s="53" t="str">
        <f t="array" ref="M13">_xlfn.XLOOKUP(B13,'Up Stats'!A:A,'Up Stats'!D:D,)</f>
        <v/>
      </c>
      <c r="N13" s="54" t="str">
        <f>IFERROR(__xludf.DUMMYFUNCTION("if(AND(O13=FALSE,P13=FALSE),,if(O13=P13,JOIN("""",""Static: "",O13),JOIN("""",""Min:  "",O13, CHAR(10),""Max: "",P13)))"),"")</f>
        <v/>
      </c>
      <c r="O13" s="55" t="str">
        <f t="array" ref="O13">_xlfn.XLOOKUP(B13,'Up Min'!A:A,'Up Min'!D:D,)</f>
        <v/>
      </c>
      <c r="P13" s="55" t="str">
        <f t="array" ref="P13">_xlfn.XLOOKUP(B13,'Up Max'!A:A,'Up Max'!D:D,)</f>
        <v/>
      </c>
      <c r="Q13" s="57" t="str">
        <f t="array" ref="Q13">_xlfn.XLOOKUP(B13,'Up Stats'!A:A,'Up Stats'!E:E,)</f>
        <v/>
      </c>
      <c r="R13" s="54" t="str">
        <f>IFERROR(__xludf.DUMMYFUNCTION("if(AND(S13=FALSE,T13=FALSE),,if(S13=T13,JOIN("""",""Static: "",S13),JOIN("""",""Min:  "",S13, CHAR(10),""Max: "",T13)))"),"")</f>
        <v/>
      </c>
      <c r="S13" s="55" t="str">
        <f t="array" ref="S13">_xlfn.XLOOKUP(B13,'Up Min'!A:A,'Up Min'!E:E,)</f>
        <v/>
      </c>
      <c r="T13" s="55" t="str">
        <f t="array" ref="T13">_xlfn.XLOOKUP(B13,'Up Max'!A:A,'Up Max'!E:E,)</f>
        <v/>
      </c>
      <c r="U13" s="57" t="str">
        <f t="array" ref="U13">_xlfn.XLOOKUP(B13,'Up Stats'!A:A,'Up Stats'!F:F,)</f>
        <v/>
      </c>
      <c r="V13" s="54" t="str">
        <f>IFERROR(__xludf.DUMMYFUNCTION("if(AND(W13=FALSE,X13=FALSE),,if(W13=X13,JOIN("""",""Static: "",W13),JOIN("""",""Min:  "",W13, CHAR(10),""Max: "",X13)))"),"")</f>
        <v/>
      </c>
      <c r="W13" s="55" t="str">
        <f t="array" ref="W13">_xlfn.XLOOKUP(B13,'Up Min'!A:A,'Up Min'!F:F,)</f>
        <v/>
      </c>
      <c r="X13" s="55" t="str">
        <f t="array" ref="X13">_xlfn.XLOOKUP(B13,'Up Max'!A:A,'Up Max'!F:F,)</f>
        <v/>
      </c>
      <c r="Y13" s="57" t="str">
        <f t="array" ref="Y13">_xlfn.XLOOKUP(B13,'Up Stats'!A:A,'Up Stats'!G:G,)</f>
        <v/>
      </c>
      <c r="Z13" s="54" t="str">
        <f>IFERROR(__xludf.DUMMYFUNCTION("if(AND(AA13=FALSE,AB13=FALSE),,if(AA13=AB13,JOIN("""",""Static: "",AA13),JOIN("""",""Min:  "",AA13, CHAR(10),""Max: "",AB13)))"),"")</f>
        <v/>
      </c>
      <c r="AA13" s="55" t="str">
        <f t="array" ref="AA13">_xlfn.XLOOKUP(B13,'Up Min'!A:A,'Up Min'!G:G,)</f>
        <v/>
      </c>
      <c r="AB13" s="55" t="str">
        <f t="array" ref="AB13">_xlfn.XLOOKUP(B13,'Up Max'!A:A,'Up Max'!G:G,)</f>
        <v/>
      </c>
      <c r="AC13" s="57" t="str">
        <f t="array" ref="AC13">_xlfn.XLOOKUP(B13,'Up Stats'!A:A,'Up Stats'!H:H,)</f>
        <v/>
      </c>
      <c r="AD13" s="54" t="str">
        <f>IFERROR(__xludf.DUMMYFUNCTION("if(AND(AE13=FALSE,AF13=FALSE),,if(AE13=AF13,JOIN("""",""Static: "",AE13),JOIN("""",""Min:  "",AE13, CHAR(10),""Max: "",AF13)))"),"")</f>
        <v/>
      </c>
      <c r="AE13" s="55" t="str">
        <f t="array" ref="AE13">_xlfn.XLOOKUP(B13,'Up Min'!A:A,'Up Min'!H:H,)</f>
        <v/>
      </c>
      <c r="AF13" s="55" t="str">
        <f t="array" ref="AF13">_xlfn.XLOOKUP(B13,'Up Max'!A:A,'Up Max'!H:H,)</f>
        <v/>
      </c>
      <c r="AG13" s="57" t="str">
        <f t="array" ref="AG13">_xlfn.XLOOKUP(B13,'Up Stats'!A:A,'Up Stats'!I:I,)</f>
        <v/>
      </c>
      <c r="AH13" s="54" t="str">
        <f>IFERROR(__xludf.DUMMYFUNCTION("if(AND(AI13=FALSE,AJ13=FALSE),,if(AI13=AJ13,JOIN("""",""Static: "",AI13),JOIN("""",""Min:  "",AI13, CHAR(10),""Max: "",AJ13)))"),"")</f>
        <v/>
      </c>
      <c r="AI13" s="55" t="str">
        <f t="array" ref="AI13">_xlfn.XLOOKUP(B13,'Up Min'!A:A,'Up Min'!I:I,)</f>
        <v/>
      </c>
      <c r="AJ13" s="55" t="str">
        <f t="array" ref="AJ13">_xlfn.XLOOKUP(B13,'Up Max'!A:A,'Up Max'!I:I,)</f>
        <v/>
      </c>
      <c r="AK13" s="57" t="str">
        <f t="array" ref="AK13">_xlfn.XLOOKUP(B13,'Up Stats'!A:A,'Up Stats'!J:J,)</f>
        <v/>
      </c>
      <c r="AL13" s="54" t="str">
        <f>IFERROR(__xludf.DUMMYFUNCTION("if(AND(AM13=FALSE,AN13=FALSE),,if(AM13=AN13,JOIN("""",""Static: "",AM13),JOIN("""",""Min:  "",AM13, CHAR(10),""Max: "",AN13)))"),"")</f>
        <v/>
      </c>
      <c r="AM13" s="55" t="str">
        <f t="array" ref="AM13">_xlfn.XLOOKUP(B13,'Up Min'!A:A,'Up Min'!J:J,)</f>
        <v/>
      </c>
      <c r="AN13" s="55" t="str">
        <f t="array" ref="AN13">_xlfn.XLOOKUP(B13,'Up Max'!A:A,'Up Max'!J:J,)</f>
        <v/>
      </c>
      <c r="AO13" s="51" t="str">
        <f t="array" ref="AO13">CONCATENATE(_xlfn.XLOOKUP(B13,'Up Cells'!A:A,'Up Cells'!B:B,))</f>
        <v>4</v>
      </c>
      <c r="AP13" s="51" t="str">
        <f t="array" ref="AP13">CONCATENATE(_xlfn.XLOOKUP(B13,'Up Rarity'!A:A,'Up Rarity'!B:B,),CHAR(10),"-")</f>
        <v>Epic
-</v>
      </c>
    </row>
    <row r="14">
      <c r="A14" s="75" t="str">
        <f t="array" ref="A14">_xlfn.XLOOKUP(B14,'Up Icon'!A:A,'Up Icon'!B:B,)</f>
        <v/>
      </c>
      <c r="B14" s="89" t="str">
        <f t="array" ref="B14">HYPERLINK(_xlfn.XLOOKUP('Up Names'!S13,'Up Wiki'!A:A,'Up Wiki'!B:B,),'Up Names'!S13)</f>
        <v>Parallel Wiring</v>
      </c>
      <c r="C14" s="37" t="str">
        <f t="array" ref="C14">_xlfn.XLOOKUP(B14,'Up Desc'!A:A,'Up Desc'!B:B,)</f>
        <v>Grapple duration is increased for each unique upgrade that touches this one.</v>
      </c>
      <c r="D14" s="37" t="str">
        <f t="array" ref="D14">_xlfn.XLOOKUP(B14,'Up Turbo'!A:A,'Up Turbo'!B:B,)</f>
        <v>n/a</v>
      </c>
      <c r="E14" s="39" t="str">
        <f t="array" ref="E14">_xlfn.XLOOKUP(B14,'Up Stats'!A:A,'Up Stats'!B:B,)</f>
        <v>Duration per Upgrade</v>
      </c>
      <c r="F14" s="40" t="str">
        <f>IFERROR(__xludf.DUMMYFUNCTION("if(AND(G14=FALSE,H14=FALSE),,if(G14=H14,JOIN("""",""Static: "",G14),JOIN("""",""Min:  "",G14, CHAR(10),""Max: "",H14)))"),"Min:  0.4
Max: 0.61")</f>
        <v>Min:  0.4
Max: 0.61</v>
      </c>
      <c r="G14" s="69">
        <f t="array" ref="G14">_xlfn.XLOOKUP(B14,'Up Min'!A:A,'Up Min'!B:B,)</f>
        <v>0.4</v>
      </c>
      <c r="H14" s="68">
        <f t="array" ref="H14">_xlfn.XLOOKUP(B14,'Up Max'!A:A,'Up Max'!B:B,)</f>
        <v>0.61</v>
      </c>
      <c r="I14" s="39" t="str">
        <f t="array" ref="I14">_xlfn.XLOOKUP(B14,'Up Stats'!A:A,'Up Stats'!C:C,)</f>
        <v/>
      </c>
      <c r="J14" s="40" t="str">
        <f>IFERROR(__xludf.DUMMYFUNCTION("if(AND(K14=FALSE,L14=FALSE),,if(K14=L14,JOIN("""",""Static: "",K14),JOIN("""",""Min:  "",K14, CHAR(10),""Max: "",L14)))"),"")</f>
        <v/>
      </c>
      <c r="K14" s="74" t="str">
        <f t="array" ref="K14">_xlfn.XLOOKUP(B14,'Up Min'!A:A,'Up Min'!C:C,)</f>
        <v/>
      </c>
      <c r="L14" s="74" t="str">
        <f t="array" ref="L14">_xlfn.XLOOKUP(B14,'Up Max'!A:A,'Up Max'!C:C,)</f>
        <v/>
      </c>
      <c r="M14" s="48" t="str">
        <f t="array" ref="M14">_xlfn.XLOOKUP(B14,'Up Stats'!A:A,'Up Stats'!D:D,)</f>
        <v/>
      </c>
      <c r="N14" s="40" t="str">
        <f>IFERROR(__xludf.DUMMYFUNCTION("if(AND(O14=FALSE,P14=FALSE),,if(O14=P14,JOIN("""",""Static: "",O14),JOIN("""",""Min:  "",O14, CHAR(10),""Max: "",P14)))"),"")</f>
        <v/>
      </c>
      <c r="O14" s="42" t="str">
        <f t="array" ref="O14">_xlfn.XLOOKUP(B14,'Up Min'!A:A,'Up Min'!D:D,)</f>
        <v/>
      </c>
      <c r="P14" s="42" t="str">
        <f t="array" ref="P14">_xlfn.XLOOKUP(B14,'Up Max'!A:A,'Up Max'!D:D,)</f>
        <v/>
      </c>
      <c r="Q14" s="48" t="str">
        <f t="array" ref="Q14">_xlfn.XLOOKUP(B14,'Up Stats'!A:A,'Up Stats'!E:E,)</f>
        <v/>
      </c>
      <c r="R14" s="40" t="str">
        <f>IFERROR(__xludf.DUMMYFUNCTION("if(AND(S14=FALSE,T14=FALSE),,if(S14=T14,JOIN("""",""Static: "",S14),JOIN("""",""Min:  "",S14, CHAR(10),""Max: "",T14)))"),"")</f>
        <v/>
      </c>
      <c r="S14" s="42" t="str">
        <f t="array" ref="S14">_xlfn.XLOOKUP(B14,'Up Min'!A:A,'Up Min'!E:E,)</f>
        <v/>
      </c>
      <c r="T14" s="42" t="str">
        <f t="array" ref="T14">_xlfn.XLOOKUP(B14,'Up Max'!A:A,'Up Max'!E:E,)</f>
        <v/>
      </c>
      <c r="U14" s="48" t="str">
        <f t="array" ref="U14">_xlfn.XLOOKUP(B14,'Up Stats'!A:A,'Up Stats'!F:F,)</f>
        <v/>
      </c>
      <c r="V14" s="40" t="str">
        <f>IFERROR(__xludf.DUMMYFUNCTION("if(AND(W14=FALSE,X14=FALSE),,if(W14=X14,JOIN("""",""Static: "",W14),JOIN("""",""Min:  "",W14, CHAR(10),""Max: "",X14)))"),"")</f>
        <v/>
      </c>
      <c r="W14" s="42" t="str">
        <f t="array" ref="W14">_xlfn.XLOOKUP(B14,'Up Min'!A:A,'Up Min'!F:F,)</f>
        <v/>
      </c>
      <c r="X14" s="42" t="str">
        <f t="array" ref="X14">_xlfn.XLOOKUP(B14,'Up Max'!A:A,'Up Max'!F:F,)</f>
        <v/>
      </c>
      <c r="Y14" s="48" t="str">
        <f t="array" ref="Y14">_xlfn.XLOOKUP(B14,'Up Stats'!A:A,'Up Stats'!G:G,)</f>
        <v/>
      </c>
      <c r="Z14" s="40" t="str">
        <f>IFERROR(__xludf.DUMMYFUNCTION("if(AND(AA14=FALSE,AB14=FALSE),,if(AA14=AB14,JOIN("""",""Static: "",AA14),JOIN("""",""Min:  "",AA14, CHAR(10),""Max: "",AB14)))"),"")</f>
        <v/>
      </c>
      <c r="AA14" s="42" t="str">
        <f t="array" ref="AA14">_xlfn.XLOOKUP(B14,'Up Min'!A:A,'Up Min'!G:G,)</f>
        <v/>
      </c>
      <c r="AB14" s="42" t="str">
        <f t="array" ref="AB14">_xlfn.XLOOKUP(B14,'Up Max'!A:A,'Up Max'!G:G,)</f>
        <v/>
      </c>
      <c r="AC14" s="48" t="str">
        <f t="array" ref="AC14">_xlfn.XLOOKUP(B14,'Up Stats'!A:A,'Up Stats'!H:H,)</f>
        <v/>
      </c>
      <c r="AD14" s="40" t="str">
        <f>IFERROR(__xludf.DUMMYFUNCTION("if(AND(AE14=FALSE,AF14=FALSE),,if(AE14=AF14,JOIN("""",""Static: "",AE14),JOIN("""",""Min:  "",AE14, CHAR(10),""Max: "",AF14)))"),"")</f>
        <v/>
      </c>
      <c r="AE14" s="42" t="str">
        <f t="array" ref="AE14">_xlfn.XLOOKUP(B14,'Up Min'!A:A,'Up Min'!H:H,)</f>
        <v/>
      </c>
      <c r="AF14" s="42" t="str">
        <f t="array" ref="AF14">_xlfn.XLOOKUP(B14,'Up Max'!A:A,'Up Max'!H:H,)</f>
        <v/>
      </c>
      <c r="AG14" s="48" t="str">
        <f t="array" ref="AG14">_xlfn.XLOOKUP(B14,'Up Stats'!A:A,'Up Stats'!I:I,)</f>
        <v/>
      </c>
      <c r="AH14" s="40" t="str">
        <f>IFERROR(__xludf.DUMMYFUNCTION("if(AND(AI14=FALSE,AJ14=FALSE),,if(AI14=AJ14,JOIN("""",""Static: "",AI14),JOIN("""",""Min:  "",AI14, CHAR(10),""Max: "",AJ14)))"),"")</f>
        <v/>
      </c>
      <c r="AI14" s="42" t="str">
        <f t="array" ref="AI14">_xlfn.XLOOKUP(B14,'Up Min'!A:A,'Up Min'!I:I,)</f>
        <v/>
      </c>
      <c r="AJ14" s="42" t="str">
        <f t="array" ref="AJ14">_xlfn.XLOOKUP(B14,'Up Max'!A:A,'Up Max'!I:I,)</f>
        <v/>
      </c>
      <c r="AK14" s="48" t="str">
        <f t="array" ref="AK14">_xlfn.XLOOKUP(B14,'Up Stats'!A:A,'Up Stats'!J:J,)</f>
        <v/>
      </c>
      <c r="AL14" s="40" t="str">
        <f>IFERROR(__xludf.DUMMYFUNCTION("if(AND(AM14=FALSE,AN14=FALSE),,if(AM14=AN14,JOIN("""",""Static: "",AM14),JOIN("""",""Min:  "",AM14, CHAR(10),""Max: "",AN14)))"),"")</f>
        <v/>
      </c>
      <c r="AM14" s="42" t="str">
        <f t="array" ref="AM14">_xlfn.XLOOKUP(B14,'Up Min'!A:A,'Up Min'!J:J,)</f>
        <v/>
      </c>
      <c r="AN14" s="42" t="str">
        <f t="array" ref="AN14">_xlfn.XLOOKUP(B14,'Up Max'!A:A,'Up Max'!J:J,)</f>
        <v/>
      </c>
      <c r="AO14" s="34" t="str">
        <f t="array" ref="AO14">CONCATENATE(_xlfn.XLOOKUP(B14,'Up Cells'!A:A,'Up Cells'!B:B,))</f>
        <v>2</v>
      </c>
      <c r="AP14" s="34" t="str">
        <f t="array" ref="AP14">CONCATENATE(_xlfn.XLOOKUP(B14,'Up Rarity'!A:A,'Up Rarity'!B:B,),CHAR(10),"-")</f>
        <v>Epic
-</v>
      </c>
    </row>
    <row r="15">
      <c r="A15" s="75" t="str">
        <f t="array" ref="A15">_xlfn.XLOOKUP(B15,'Up Icon'!A:A,'Up Icon'!B:B,)</f>
        <v/>
      </c>
      <c r="B15" s="88" t="str">
        <f t="array" ref="B15">HYPERLINK(_xlfn.XLOOKUP('Up Names'!S14,'Up Wiki'!A:A,'Up Wiki'!B:B,),'Up Names'!S14)</f>
        <v>Saxonite Power Cell</v>
      </c>
      <c r="C15" s="52" t="str">
        <f t="array" ref="C15">_xlfn.XLOOKUP(B15,'Up Desc'!A:A,'Up Desc'!B:B,)</f>
        <v>Your Grapple Pole emits an antigravity field.</v>
      </c>
      <c r="D15" s="52" t="str">
        <f t="array" ref="D15">_xlfn.XLOOKUP(B15,'Up Turbo'!A:A,'Up Turbo'!B:B,)</f>
        <v>n/a</v>
      </c>
      <c r="E15" s="53" t="str">
        <f t="array" ref="E15">_xlfn.XLOOKUP(B15,'Up Stats'!A:A,'Up Stats'!B:B,)</f>
        <v>Gravity</v>
      </c>
      <c r="F15" s="54" t="str">
        <f>IFERROR(__xludf.DUMMYFUNCTION("if(AND(G15=FALSE,H15=FALSE),,if(G15=H15,JOIN("""",""Static: "",G15),JOIN("""",""Min:  "",G15, CHAR(10),""Max: "",H15)))"),"Min:  -85%
Max: -76%")</f>
        <v>Min:  -85%
Max: -76%</v>
      </c>
      <c r="G15" s="59">
        <f t="array" ref="G15">_xlfn.XLOOKUP(B15,'Up Min'!A:A,'Up Min'!B:B,)</f>
        <v>-0.85</v>
      </c>
      <c r="H15" s="59">
        <f t="array" ref="H15">_xlfn.XLOOKUP(B15,'Up Max'!A:A,'Up Max'!B:B,)</f>
        <v>-0.76</v>
      </c>
      <c r="I15" s="53" t="str">
        <f t="array" ref="I15">_xlfn.XLOOKUP(B15,'Up Stats'!A:A,'Up Stats'!C:C,)</f>
        <v>Size</v>
      </c>
      <c r="J15" s="54" t="str">
        <f>IFERROR(__xludf.DUMMYFUNCTION("if(AND(K15=FALSE,L15=FALSE),,if(K15=L15,JOIN("""",""Static: "",K15),JOIN("""",""Min:  "",K15, CHAR(10),""Max: "",L15)))"),"Min:  13
Max: 21")</f>
        <v>Min:  13
Max: 21</v>
      </c>
      <c r="K15" s="65">
        <f t="array" ref="K15">_xlfn.XLOOKUP(B15,'Up Min'!A:A,'Up Min'!C:C,)</f>
        <v>13</v>
      </c>
      <c r="L15" s="64">
        <f t="array" ref="L15">_xlfn.XLOOKUP(B15,'Up Max'!A:A,'Up Max'!C:C,)</f>
        <v>21</v>
      </c>
      <c r="M15" s="53" t="str">
        <f t="array" ref="M15">_xlfn.XLOOKUP(B15,'Up Stats'!A:A,'Up Stats'!D:D,)</f>
        <v/>
      </c>
      <c r="N15" s="54" t="str">
        <f>IFERROR(__xludf.DUMMYFUNCTION("if(AND(O15=FALSE,P15=FALSE),,if(O15=P15,JOIN("""",""Static: "",O15),JOIN("""",""Min:  "",O15, CHAR(10),""Max: "",P15)))"),"")</f>
        <v/>
      </c>
      <c r="O15" s="55" t="str">
        <f t="array" ref="O15">_xlfn.XLOOKUP(B15,'Up Min'!A:A,'Up Min'!D:D,)</f>
        <v/>
      </c>
      <c r="P15" s="55" t="str">
        <f t="array" ref="P15">_xlfn.XLOOKUP(B15,'Up Max'!A:A,'Up Max'!D:D,)</f>
        <v/>
      </c>
      <c r="Q15" s="57" t="str">
        <f t="array" ref="Q15">_xlfn.XLOOKUP(B15,'Up Stats'!A:A,'Up Stats'!E:E,)</f>
        <v/>
      </c>
      <c r="R15" s="54" t="str">
        <f>IFERROR(__xludf.DUMMYFUNCTION("if(AND(S15=FALSE,T15=FALSE),,if(S15=T15,JOIN("""",""Static: "",S15),JOIN("""",""Min:  "",S15, CHAR(10),""Max: "",T15)))"),"")</f>
        <v/>
      </c>
      <c r="S15" s="55" t="str">
        <f t="array" ref="S15">_xlfn.XLOOKUP(B15,'Up Min'!A:A,'Up Min'!E:E,)</f>
        <v/>
      </c>
      <c r="T15" s="55" t="str">
        <f t="array" ref="T15">_xlfn.XLOOKUP(B15,'Up Max'!A:A,'Up Max'!E:E,)</f>
        <v/>
      </c>
      <c r="U15" s="57" t="str">
        <f t="array" ref="U15">_xlfn.XLOOKUP(B15,'Up Stats'!A:A,'Up Stats'!F:F,)</f>
        <v/>
      </c>
      <c r="V15" s="54" t="str">
        <f>IFERROR(__xludf.DUMMYFUNCTION("if(AND(W15=FALSE,X15=FALSE),,if(W15=X15,JOIN("""",""Static: "",W15),JOIN("""",""Min:  "",W15, CHAR(10),""Max: "",X15)))"),"")</f>
        <v/>
      </c>
      <c r="W15" s="55" t="str">
        <f t="array" ref="W15">_xlfn.XLOOKUP(B15,'Up Min'!A:A,'Up Min'!F:F,)</f>
        <v/>
      </c>
      <c r="X15" s="55" t="str">
        <f t="array" ref="X15">_xlfn.XLOOKUP(B15,'Up Max'!A:A,'Up Max'!F:F,)</f>
        <v/>
      </c>
      <c r="Y15" s="57" t="str">
        <f t="array" ref="Y15">_xlfn.XLOOKUP(B15,'Up Stats'!A:A,'Up Stats'!G:G,)</f>
        <v/>
      </c>
      <c r="Z15" s="54" t="str">
        <f>IFERROR(__xludf.DUMMYFUNCTION("if(AND(AA15=FALSE,AB15=FALSE),,if(AA15=AB15,JOIN("""",""Static: "",AA15),JOIN("""",""Min:  "",AA15, CHAR(10),""Max: "",AB15)))"),"")</f>
        <v/>
      </c>
      <c r="AA15" s="55" t="str">
        <f t="array" ref="AA15">_xlfn.XLOOKUP(B15,'Up Min'!A:A,'Up Min'!G:G,)</f>
        <v/>
      </c>
      <c r="AB15" s="55" t="str">
        <f t="array" ref="AB15">_xlfn.XLOOKUP(B15,'Up Max'!A:A,'Up Max'!G:G,)</f>
        <v/>
      </c>
      <c r="AC15" s="57" t="str">
        <f t="array" ref="AC15">_xlfn.XLOOKUP(B15,'Up Stats'!A:A,'Up Stats'!H:H,)</f>
        <v/>
      </c>
      <c r="AD15" s="54" t="str">
        <f>IFERROR(__xludf.DUMMYFUNCTION("if(AND(AE15=FALSE,AF15=FALSE),,if(AE15=AF15,JOIN("""",""Static: "",AE15),JOIN("""",""Min:  "",AE15, CHAR(10),""Max: "",AF15)))"),"")</f>
        <v/>
      </c>
      <c r="AE15" s="55" t="str">
        <f t="array" ref="AE15">_xlfn.XLOOKUP(B15,'Up Min'!A:A,'Up Min'!H:H,)</f>
        <v/>
      </c>
      <c r="AF15" s="55" t="str">
        <f t="array" ref="AF15">_xlfn.XLOOKUP(B15,'Up Max'!A:A,'Up Max'!H:H,)</f>
        <v/>
      </c>
      <c r="AG15" s="57" t="str">
        <f t="array" ref="AG15">_xlfn.XLOOKUP(B15,'Up Stats'!A:A,'Up Stats'!I:I,)</f>
        <v/>
      </c>
      <c r="AH15" s="54" t="str">
        <f>IFERROR(__xludf.DUMMYFUNCTION("if(AND(AI15=FALSE,AJ15=FALSE),,if(AI15=AJ15,JOIN("""",""Static: "",AI15),JOIN("""",""Min:  "",AI15, CHAR(10),""Max: "",AJ15)))"),"")</f>
        <v/>
      </c>
      <c r="AI15" s="55" t="str">
        <f t="array" ref="AI15">_xlfn.XLOOKUP(B15,'Up Min'!A:A,'Up Min'!I:I,)</f>
        <v/>
      </c>
      <c r="AJ15" s="55" t="str">
        <f t="array" ref="AJ15">_xlfn.XLOOKUP(B15,'Up Max'!A:A,'Up Max'!I:I,)</f>
        <v/>
      </c>
      <c r="AK15" s="57" t="str">
        <f t="array" ref="AK15">_xlfn.XLOOKUP(B15,'Up Stats'!A:A,'Up Stats'!J:J,)</f>
        <v/>
      </c>
      <c r="AL15" s="54" t="str">
        <f>IFERROR(__xludf.DUMMYFUNCTION("if(AND(AM15=FALSE,AN15=FALSE),,if(AM15=AN15,JOIN("""",""Static: "",AM15),JOIN("""",""Min:  "",AM15, CHAR(10),""Max: "",AN15)))"),"")</f>
        <v/>
      </c>
      <c r="AM15" s="55" t="str">
        <f t="array" ref="AM15">_xlfn.XLOOKUP(B15,'Up Min'!A:A,'Up Min'!J:J,)</f>
        <v/>
      </c>
      <c r="AN15" s="55" t="str">
        <f t="array" ref="AN15">_xlfn.XLOOKUP(B15,'Up Max'!A:A,'Up Max'!J:J,)</f>
        <v/>
      </c>
      <c r="AO15" s="51" t="str">
        <f t="array" ref="AO15">CONCATENATE(_xlfn.XLOOKUP(B15,'Up Cells'!A:A,'Up Cells'!B:B,))</f>
        <v>4</v>
      </c>
      <c r="AP15" s="51" t="str">
        <f t="array" ref="AP15">CONCATENATE(_xlfn.XLOOKUP(B15,'Up Rarity'!A:A,'Up Rarity'!B:B,),CHAR(10),"-")</f>
        <v>Epic
-</v>
      </c>
    </row>
    <row r="16">
      <c r="A16" s="75" t="str">
        <f t="array" ref="A16">_xlfn.XLOOKUP(B16,'Up Icon'!A:A,'Up Icon'!B:B,)</f>
        <v/>
      </c>
      <c r="B16" s="89" t="str">
        <f t="array" ref="B16">HYPERLINK(_xlfn.XLOOKUP('Up Names'!S15,'Up Wiki'!A:A,'Up Wiki'!B:B,),'Up Names'!S15)</f>
        <v>Scrap Funnel</v>
      </c>
      <c r="C16" s="37" t="str">
        <f t="array" ref="C16">_xlfn.XLOOKUP(B16,'Up Desc'!A:A,'Up Desc'!B:B,)</f>
        <v>Consume scrap to continue using your jetpack after its fuel has been depleted.</v>
      </c>
      <c r="D16" s="37" t="str">
        <f t="array" ref="D16">_xlfn.XLOOKUP(B16,'Up Turbo'!A:A,'Up Turbo'!B:B,)</f>
        <v>n/a</v>
      </c>
      <c r="E16" s="39" t="str">
        <f t="array" ref="E16">_xlfn.XLOOKUP(B16,'Up Stats'!A:A,'Up Stats'!B:B,)</f>
        <v>Scrap per Second</v>
      </c>
      <c r="F16" s="40" t="str">
        <f>IFERROR(__xludf.DUMMYFUNCTION("if(AND(G16=FALSE,H16=FALSE),,if(G16=H16,JOIN("""",""Static: "",G16),JOIN("""",""Min:  "",G16, CHAR(10),""Max: "",H16)))"),"Min:  4
Max: 7")</f>
        <v>Min:  4
Max: 7</v>
      </c>
      <c r="G16" s="69">
        <f t="array" ref="G16">_xlfn.XLOOKUP(B16,'Up Min'!A:A,'Up Min'!B:B,)</f>
        <v>4</v>
      </c>
      <c r="H16" s="68">
        <f t="array" ref="H16">_xlfn.XLOOKUP(B16,'Up Max'!A:A,'Up Max'!B:B,)</f>
        <v>7</v>
      </c>
      <c r="I16" s="39" t="str">
        <f t="array" ref="I16">_xlfn.XLOOKUP(B16,'Up Stats'!A:A,'Up Stats'!C:C,)</f>
        <v/>
      </c>
      <c r="J16" s="40" t="str">
        <f>IFERROR(__xludf.DUMMYFUNCTION("if(AND(K16=FALSE,L16=FALSE),,if(K16=L16,JOIN("""",""Static: "",K16),JOIN("""",""Min:  "",K16, CHAR(10),""Max: "",L16)))"),"")</f>
        <v/>
      </c>
      <c r="K16" s="74" t="str">
        <f t="array" ref="K16">_xlfn.XLOOKUP(B16,'Up Min'!A:A,'Up Min'!C:C,)</f>
        <v/>
      </c>
      <c r="L16" s="74" t="str">
        <f t="array" ref="L16">_xlfn.XLOOKUP(B16,'Up Max'!A:A,'Up Max'!C:C,)</f>
        <v/>
      </c>
      <c r="M16" s="48" t="str">
        <f t="array" ref="M16">_xlfn.XLOOKUP(B16,'Up Stats'!A:A,'Up Stats'!D:D,)</f>
        <v/>
      </c>
      <c r="N16" s="40" t="str">
        <f>IFERROR(__xludf.DUMMYFUNCTION("if(AND(O16=FALSE,P16=FALSE),,if(O16=P16,JOIN("""",""Static: "",O16),JOIN("""",""Min:  "",O16, CHAR(10),""Max: "",P16)))"),"")</f>
        <v/>
      </c>
      <c r="O16" s="42" t="str">
        <f t="array" ref="O16">_xlfn.XLOOKUP(B16,'Up Min'!A:A,'Up Min'!D:D,)</f>
        <v/>
      </c>
      <c r="P16" s="42" t="str">
        <f t="array" ref="P16">_xlfn.XLOOKUP(B16,'Up Max'!A:A,'Up Max'!D:D,)</f>
        <v/>
      </c>
      <c r="Q16" s="48" t="str">
        <f t="array" ref="Q16">_xlfn.XLOOKUP(B16,'Up Stats'!A:A,'Up Stats'!E:E,)</f>
        <v/>
      </c>
      <c r="R16" s="40" t="str">
        <f>IFERROR(__xludf.DUMMYFUNCTION("if(AND(S16=FALSE,T16=FALSE),,if(S16=T16,JOIN("""",""Static: "",S16),JOIN("""",""Min:  "",S16, CHAR(10),""Max: "",T16)))"),"")</f>
        <v/>
      </c>
      <c r="S16" s="42" t="str">
        <f t="array" ref="S16">_xlfn.XLOOKUP(B16,'Up Min'!A:A,'Up Min'!E:E,)</f>
        <v/>
      </c>
      <c r="T16" s="42" t="str">
        <f t="array" ref="T16">_xlfn.XLOOKUP(B16,'Up Max'!A:A,'Up Max'!E:E,)</f>
        <v/>
      </c>
      <c r="U16" s="48" t="str">
        <f t="array" ref="U16">_xlfn.XLOOKUP(B16,'Up Stats'!A:A,'Up Stats'!F:F,)</f>
        <v/>
      </c>
      <c r="V16" s="40" t="str">
        <f>IFERROR(__xludf.DUMMYFUNCTION("if(AND(W16=FALSE,X16=FALSE),,if(W16=X16,JOIN("""",""Static: "",W16),JOIN("""",""Min:  "",W16, CHAR(10),""Max: "",X16)))"),"")</f>
        <v/>
      </c>
      <c r="W16" s="42" t="str">
        <f t="array" ref="W16">_xlfn.XLOOKUP(B16,'Up Min'!A:A,'Up Min'!F:F,)</f>
        <v/>
      </c>
      <c r="X16" s="42" t="str">
        <f t="array" ref="X16">_xlfn.XLOOKUP(B16,'Up Max'!A:A,'Up Max'!F:F,)</f>
        <v/>
      </c>
      <c r="Y16" s="48" t="str">
        <f t="array" ref="Y16">_xlfn.XLOOKUP(B16,'Up Stats'!A:A,'Up Stats'!G:G,)</f>
        <v/>
      </c>
      <c r="Z16" s="40" t="str">
        <f>IFERROR(__xludf.DUMMYFUNCTION("if(AND(AA16=FALSE,AB16=FALSE),,if(AA16=AB16,JOIN("""",""Static: "",AA16),JOIN("""",""Min:  "",AA16, CHAR(10),""Max: "",AB16)))"),"")</f>
        <v/>
      </c>
      <c r="AA16" s="42" t="str">
        <f t="array" ref="AA16">_xlfn.XLOOKUP(B16,'Up Min'!A:A,'Up Min'!G:G,)</f>
        <v/>
      </c>
      <c r="AB16" s="42" t="str">
        <f t="array" ref="AB16">_xlfn.XLOOKUP(B16,'Up Max'!A:A,'Up Max'!G:G,)</f>
        <v/>
      </c>
      <c r="AC16" s="48" t="str">
        <f t="array" ref="AC16">_xlfn.XLOOKUP(B16,'Up Stats'!A:A,'Up Stats'!H:H,)</f>
        <v/>
      </c>
      <c r="AD16" s="40" t="str">
        <f>IFERROR(__xludf.DUMMYFUNCTION("if(AND(AE16=FALSE,AF16=FALSE),,if(AE16=AF16,JOIN("""",""Static: "",AE16),JOIN("""",""Min:  "",AE16, CHAR(10),""Max: "",AF16)))"),"")</f>
        <v/>
      </c>
      <c r="AE16" s="42" t="str">
        <f t="array" ref="AE16">_xlfn.XLOOKUP(B16,'Up Min'!A:A,'Up Min'!H:H,)</f>
        <v/>
      </c>
      <c r="AF16" s="42" t="str">
        <f t="array" ref="AF16">_xlfn.XLOOKUP(B16,'Up Max'!A:A,'Up Max'!H:H,)</f>
        <v/>
      </c>
      <c r="AG16" s="48" t="str">
        <f t="array" ref="AG16">_xlfn.XLOOKUP(B16,'Up Stats'!A:A,'Up Stats'!I:I,)</f>
        <v/>
      </c>
      <c r="AH16" s="40" t="str">
        <f>IFERROR(__xludf.DUMMYFUNCTION("if(AND(AI16=FALSE,AJ16=FALSE),,if(AI16=AJ16,JOIN("""",""Static: "",AI16),JOIN("""",""Min:  "",AI16, CHAR(10),""Max: "",AJ16)))"),"")</f>
        <v/>
      </c>
      <c r="AI16" s="42" t="str">
        <f t="array" ref="AI16">_xlfn.XLOOKUP(B16,'Up Min'!A:A,'Up Min'!I:I,)</f>
        <v/>
      </c>
      <c r="AJ16" s="42" t="str">
        <f t="array" ref="AJ16">_xlfn.XLOOKUP(B16,'Up Max'!A:A,'Up Max'!I:I,)</f>
        <v/>
      </c>
      <c r="AK16" s="48" t="str">
        <f t="array" ref="AK16">_xlfn.XLOOKUP(B16,'Up Stats'!A:A,'Up Stats'!J:J,)</f>
        <v/>
      </c>
      <c r="AL16" s="40" t="str">
        <f>IFERROR(__xludf.DUMMYFUNCTION("if(AND(AM16=FALSE,AN16=FALSE),,if(AM16=AN16,JOIN("""",""Static: "",AM16),JOIN("""",""Min:  "",AM16, CHAR(10),""Max: "",AN16)))"),"")</f>
        <v/>
      </c>
      <c r="AM16" s="42" t="str">
        <f t="array" ref="AM16">_xlfn.XLOOKUP(B16,'Up Min'!A:A,'Up Min'!J:J,)</f>
        <v/>
      </c>
      <c r="AN16" s="42" t="str">
        <f t="array" ref="AN16">_xlfn.XLOOKUP(B16,'Up Max'!A:A,'Up Max'!J:J,)</f>
        <v/>
      </c>
      <c r="AO16" s="34" t="str">
        <f t="array" ref="AO16">CONCATENATE(_xlfn.XLOOKUP(B16,'Up Cells'!A:A,'Up Cells'!B:B,))</f>
        <v>6</v>
      </c>
      <c r="AP16" s="34" t="str">
        <f t="array" ref="AP16">CONCATENATE(_xlfn.XLOOKUP(B16,'Up Rarity'!A:A,'Up Rarity'!B:B,),CHAR(10),"-")</f>
        <v>Epic
-</v>
      </c>
    </row>
    <row r="17">
      <c r="A17" s="75" t="str">
        <f t="array" ref="A17">_xlfn.XLOOKUP(B17,'Up Icon'!A:A,'Up Icon'!B:B,)</f>
        <v/>
      </c>
      <c r="B17" s="88" t="str">
        <f t="array" ref="B17">HYPERLINK(_xlfn.XLOOKUP('Up Names'!S16,'Up Wiki'!A:A,'Up Wiki'!B:B,),'Up Names'!S16)</f>
        <v>Upset Stomach</v>
      </c>
      <c r="C17" s="52" t="str">
        <f t="array" ref="C17">_xlfn.XLOOKUP(B17,'Up Desc'!A:A,'Up Desc'!B:B,)</f>
        <v>Hold your grenade key to barf up a damaging stream of spare parts.</v>
      </c>
      <c r="D17" s="52" t="str">
        <f t="array" ref="D17">_xlfn.XLOOKUP(B17,'Up Turbo'!A:A,'Up Turbo'!B:B,)</f>
        <v>n/a</v>
      </c>
      <c r="E17" s="53" t="str">
        <f t="array" ref="E17">_xlfn.XLOOKUP(B17,'Up Stats'!A:A,'Up Stats'!B:B,)</f>
        <v>Cooldown</v>
      </c>
      <c r="F17" s="54" t="str">
        <f>IFERROR(__xludf.DUMMYFUNCTION("if(AND(G17=FALSE,H17=FALSE),,if(G17=H17,JOIN("""",""Static: "",G17),JOIN("""",""Min:  "",G17, CHAR(10),""Max: "",H17)))"),"Static: 5")</f>
        <v>Static: 5</v>
      </c>
      <c r="G17" s="64">
        <f t="array" ref="G17">_xlfn.XLOOKUP(B17,'Up Min'!A:A,'Up Min'!B:B,)</f>
        <v>5</v>
      </c>
      <c r="H17" s="65">
        <f t="array" ref="H17">_xlfn.XLOOKUP(B17,'Up Max'!A:A,'Up Max'!B:B,)</f>
        <v>5</v>
      </c>
      <c r="I17" s="53" t="str">
        <f t="array" ref="I17">_xlfn.XLOOKUP(B17,'Up Stats'!A:A,'Up Stats'!C:C,)</f>
        <v>Barf Duration</v>
      </c>
      <c r="J17" s="54" t="str">
        <f>IFERROR(__xludf.DUMMYFUNCTION("if(AND(K17=FALSE,L17=FALSE),,if(K17=L17,JOIN("""",""Static: "",K17),JOIN("""",""Min:  "",K17, CHAR(10),""Max: "",L17)))"),"Min:  2
Max: 4")</f>
        <v>Min:  2
Max: 4</v>
      </c>
      <c r="K17" s="65">
        <f t="array" ref="K17">_xlfn.XLOOKUP(B17,'Up Min'!A:A,'Up Min'!C:C,)</f>
        <v>2</v>
      </c>
      <c r="L17" s="64">
        <f t="array" ref="L17">_xlfn.XLOOKUP(B17,'Up Max'!A:A,'Up Max'!C:C,)</f>
        <v>4</v>
      </c>
      <c r="M17" s="53" t="str">
        <f t="array" ref="M17">_xlfn.XLOOKUP(B17,'Up Stats'!A:A,'Up Stats'!D:D,)</f>
        <v>Range</v>
      </c>
      <c r="N17" s="54" t="str">
        <f>IFERROR(__xludf.DUMMYFUNCTION("if(AND(O17=FALSE,P17=FALSE),,if(O17=P17,JOIN("""",""Static: "",O17),JOIN("""",""Min:  "",O17, CHAR(10),""Max: "",P17)))"),"Min:  9.1
Max: 11.96")</f>
        <v>Min:  9.1
Max: 11.96</v>
      </c>
      <c r="O17" s="65">
        <f t="array" ref="O17">_xlfn.XLOOKUP(B17,'Up Min'!A:A,'Up Min'!D:D,)</f>
        <v>9.1</v>
      </c>
      <c r="P17" s="65">
        <f t="array" ref="P17">_xlfn.XLOOKUP(B17,'Up Max'!A:A,'Up Max'!D:D,)</f>
        <v>11.96</v>
      </c>
      <c r="Q17" s="57" t="str">
        <f t="array" ref="Q17">_xlfn.XLOOKUP(B17,'Up Stats'!A:A,'Up Stats'!E:E,)</f>
        <v/>
      </c>
      <c r="R17" s="54" t="str">
        <f>IFERROR(__xludf.DUMMYFUNCTION("if(AND(S17=FALSE,T17=FALSE),,if(S17=T17,JOIN("""",""Static: "",S17),JOIN("""",""Min:  "",S17, CHAR(10),""Max: "",T17)))"),"")</f>
        <v/>
      </c>
      <c r="S17" s="55" t="str">
        <f t="array" ref="S17">_xlfn.XLOOKUP(B17,'Up Min'!A:A,'Up Min'!E:E,)</f>
        <v/>
      </c>
      <c r="T17" s="55" t="str">
        <f t="array" ref="T17">_xlfn.XLOOKUP(B17,'Up Max'!A:A,'Up Max'!E:E,)</f>
        <v/>
      </c>
      <c r="U17" s="57" t="str">
        <f t="array" ref="U17">_xlfn.XLOOKUP(B17,'Up Stats'!A:A,'Up Stats'!F:F,)</f>
        <v/>
      </c>
      <c r="V17" s="54" t="str">
        <f>IFERROR(__xludf.DUMMYFUNCTION("if(AND(W17=FALSE,X17=FALSE),,if(W17=X17,JOIN("""",""Static: "",W17),JOIN("""",""Min:  "",W17, CHAR(10),""Max: "",X17)))"),"")</f>
        <v/>
      </c>
      <c r="W17" s="55" t="str">
        <f t="array" ref="W17">_xlfn.XLOOKUP(B17,'Up Min'!A:A,'Up Min'!F:F,)</f>
        <v/>
      </c>
      <c r="X17" s="55" t="str">
        <f t="array" ref="X17">_xlfn.XLOOKUP(B17,'Up Max'!A:A,'Up Max'!F:F,)</f>
        <v/>
      </c>
      <c r="Y17" s="57" t="str">
        <f t="array" ref="Y17">_xlfn.XLOOKUP(B17,'Up Stats'!A:A,'Up Stats'!G:G,)</f>
        <v/>
      </c>
      <c r="Z17" s="54" t="str">
        <f>IFERROR(__xludf.DUMMYFUNCTION("if(AND(AA17=FALSE,AB17=FALSE),,if(AA17=AB17,JOIN("""",""Static: "",AA17),JOIN("""",""Min:  "",AA17, CHAR(10),""Max: "",AB17)))"),"")</f>
        <v/>
      </c>
      <c r="AA17" s="55" t="str">
        <f t="array" ref="AA17">_xlfn.XLOOKUP(B17,'Up Min'!A:A,'Up Min'!G:G,)</f>
        <v/>
      </c>
      <c r="AB17" s="55" t="str">
        <f t="array" ref="AB17">_xlfn.XLOOKUP(B17,'Up Max'!A:A,'Up Max'!G:G,)</f>
        <v/>
      </c>
      <c r="AC17" s="57" t="str">
        <f t="array" ref="AC17">_xlfn.XLOOKUP(B17,'Up Stats'!A:A,'Up Stats'!H:H,)</f>
        <v/>
      </c>
      <c r="AD17" s="54" t="str">
        <f>IFERROR(__xludf.DUMMYFUNCTION("if(AND(AE17=FALSE,AF17=FALSE),,if(AE17=AF17,JOIN("""",""Static: "",AE17),JOIN("""",""Min:  "",AE17, CHAR(10),""Max: "",AF17)))"),"")</f>
        <v/>
      </c>
      <c r="AE17" s="55" t="str">
        <f t="array" ref="AE17">_xlfn.XLOOKUP(B17,'Up Min'!A:A,'Up Min'!H:H,)</f>
        <v/>
      </c>
      <c r="AF17" s="55" t="str">
        <f t="array" ref="AF17">_xlfn.XLOOKUP(B17,'Up Max'!A:A,'Up Max'!H:H,)</f>
        <v/>
      </c>
      <c r="AG17" s="57" t="str">
        <f t="array" ref="AG17">_xlfn.XLOOKUP(B17,'Up Stats'!A:A,'Up Stats'!I:I,)</f>
        <v/>
      </c>
      <c r="AH17" s="54" t="str">
        <f>IFERROR(__xludf.DUMMYFUNCTION("if(AND(AI17=FALSE,AJ17=FALSE),,if(AI17=AJ17,JOIN("""",""Static: "",AI17),JOIN("""",""Min:  "",AI17, CHAR(10),""Max: "",AJ17)))"),"")</f>
        <v/>
      </c>
      <c r="AI17" s="55" t="str">
        <f t="array" ref="AI17">_xlfn.XLOOKUP(B17,'Up Min'!A:A,'Up Min'!I:I,)</f>
        <v/>
      </c>
      <c r="AJ17" s="55" t="str">
        <f t="array" ref="AJ17">_xlfn.XLOOKUP(B17,'Up Max'!A:A,'Up Max'!I:I,)</f>
        <v/>
      </c>
      <c r="AK17" s="57" t="str">
        <f t="array" ref="AK17">_xlfn.XLOOKUP(B17,'Up Stats'!A:A,'Up Stats'!J:J,)</f>
        <v/>
      </c>
      <c r="AL17" s="54" t="str">
        <f>IFERROR(__xludf.DUMMYFUNCTION("if(AND(AM17=FALSE,AN17=FALSE),,if(AM17=AN17,JOIN("""",""Static: "",AM17),JOIN("""",""Min:  "",AM17, CHAR(10),""Max: "",AN17)))"),"")</f>
        <v/>
      </c>
      <c r="AM17" s="55" t="str">
        <f t="array" ref="AM17">_xlfn.XLOOKUP(B17,'Up Min'!A:A,'Up Min'!J:J,)</f>
        <v/>
      </c>
      <c r="AN17" s="55" t="str">
        <f t="array" ref="AN17">_xlfn.XLOOKUP(B17,'Up Max'!A:A,'Up Max'!J:J,)</f>
        <v/>
      </c>
      <c r="AO17" s="51" t="str">
        <f t="array" ref="AO17">CONCATENATE(_xlfn.XLOOKUP(B17,'Up Cells'!A:A,'Up Cells'!B:B,))</f>
        <v>2</v>
      </c>
      <c r="AP17" s="51" t="str">
        <f t="array" ref="AP17">CONCATENATE(_xlfn.XLOOKUP(B17,'Up Rarity'!A:A,'Up Rarity'!B:B,),CHAR(10),"-")</f>
        <v>Epic
-</v>
      </c>
    </row>
    <row r="18">
      <c r="A18" s="75" t="str">
        <f t="array" ref="A18">_xlfn.XLOOKUP(B18,'Up Icon'!A:A,'Up Icon'!B:B,)</f>
        <v/>
      </c>
      <c r="B18" s="58" t="str">
        <f t="array" ref="B18">HYPERLINK(_xlfn.XLOOKUP('Up Names'!S36,'Up Wiki'!A:A,'Up Wiki'!B:B,),'Up Names'!S36)</f>
        <v>Vending Machine</v>
      </c>
      <c r="C18" s="37" t="str">
        <f t="array" ref="C18">_xlfn.XLOOKUP(B18,'Up Desc'!A:A,'Up Desc'!B:B,)</f>
        <v>Your Grapple Pole creates a health chunk when placed, and creates more small chunks while grappling. Depleting a pole's enemy creates a bunch of health chunks.</v>
      </c>
      <c r="D18" s="37" t="str">
        <f t="array" ref="D18">_xlfn.XLOOKUP(B18,'Up Turbo'!A:A,'Up Turbo'!B:B,)</f>
        <v>n/a</v>
      </c>
      <c r="E18" s="39" t="str">
        <f t="array" ref="E18">_xlfn.XLOOKUP(B18,'Up Stats'!A:A,'Up Stats'!B:B,)</f>
        <v/>
      </c>
      <c r="F18" s="40" t="str">
        <f>IFERROR(__xludf.DUMMYFUNCTION("if(AND(G18=FALSE,H18=FALSE),,if(G18=H18,JOIN("""",""Static: "",G18),JOIN("""",""Min:  "",G18, CHAR(10),""Max: "",H18)))"),"")</f>
        <v/>
      </c>
      <c r="G18" s="42" t="str">
        <f t="array" ref="G18">_xlfn.XLOOKUP(B18,'Up Min'!A:A,'Up Min'!B:B,)</f>
        <v/>
      </c>
      <c r="H18" s="45" t="str">
        <f t="array" ref="H18">_xlfn.XLOOKUP(B18,'Up Max'!A:A,'Up Max'!B:B,)</f>
        <v/>
      </c>
      <c r="I18" s="39" t="str">
        <f t="array" ref="I18">_xlfn.XLOOKUP(B18,'Up Stats'!A:A,'Up Stats'!C:C,)</f>
        <v/>
      </c>
      <c r="J18" s="40" t="str">
        <f>IFERROR(__xludf.DUMMYFUNCTION("if(AND(K18=FALSE,L18=FALSE),,if(K18=L18,JOIN("""",""Static: "",K18),JOIN("""",""Min:  "",K18, CHAR(10),""Max: "",L18)))"),"")</f>
        <v/>
      </c>
      <c r="K18" s="74" t="str">
        <f t="array" ref="K18">_xlfn.XLOOKUP(B18,'Up Min'!A:A,'Up Min'!C:C,)</f>
        <v/>
      </c>
      <c r="L18" s="74" t="str">
        <f t="array" ref="L18">_xlfn.XLOOKUP(B18,'Up Max'!A:A,'Up Max'!C:C,)</f>
        <v/>
      </c>
      <c r="M18" s="48" t="str">
        <f t="array" ref="M18">_xlfn.XLOOKUP(B18,'Up Stats'!A:A,'Up Stats'!D:D,)</f>
        <v/>
      </c>
      <c r="N18" s="40" t="str">
        <f>IFERROR(__xludf.DUMMYFUNCTION("if(AND(O18=FALSE,P18=FALSE),,if(O18=P18,JOIN("""",""Static: "",O18),JOIN("""",""Min:  "",O18, CHAR(10),""Max: "",P18)))"),"")</f>
        <v/>
      </c>
      <c r="O18" s="42" t="str">
        <f t="array" ref="O18">_xlfn.XLOOKUP(B18,'Up Min'!A:A,'Up Min'!D:D,)</f>
        <v/>
      </c>
      <c r="P18" s="42" t="str">
        <f t="array" ref="P18">_xlfn.XLOOKUP(B18,'Up Max'!A:A,'Up Max'!D:D,)</f>
        <v/>
      </c>
      <c r="Q18" s="48" t="str">
        <f t="array" ref="Q18">_xlfn.XLOOKUP(B18,'Up Stats'!A:A,'Up Stats'!E:E,)</f>
        <v/>
      </c>
      <c r="R18" s="40" t="str">
        <f>IFERROR(__xludf.DUMMYFUNCTION("if(AND(S18=FALSE,T18=FALSE),,if(S18=T18,JOIN("""",""Static: "",S18),JOIN("""",""Min:  "",S18, CHAR(10),""Max: "",T18)))"),"")</f>
        <v/>
      </c>
      <c r="S18" s="42" t="str">
        <f t="array" ref="S18">_xlfn.XLOOKUP(B18,'Up Min'!A:A,'Up Min'!E:E,)</f>
        <v/>
      </c>
      <c r="T18" s="42" t="str">
        <f t="array" ref="T18">_xlfn.XLOOKUP(B18,'Up Max'!A:A,'Up Max'!E:E,)</f>
        <v/>
      </c>
      <c r="U18" s="48" t="str">
        <f t="array" ref="U18">_xlfn.XLOOKUP(B18,'Up Stats'!A:A,'Up Stats'!F:F,)</f>
        <v/>
      </c>
      <c r="V18" s="40" t="str">
        <f>IFERROR(__xludf.DUMMYFUNCTION("if(AND(W18=FALSE,X18=FALSE),,if(W18=X18,JOIN("""",""Static: "",W18),JOIN("""",""Min:  "",W18, CHAR(10),""Max: "",X18)))"),"")</f>
        <v/>
      </c>
      <c r="W18" s="42" t="str">
        <f t="array" ref="W18">_xlfn.XLOOKUP(B18,'Up Min'!A:A,'Up Min'!F:F,)</f>
        <v/>
      </c>
      <c r="X18" s="42" t="str">
        <f t="array" ref="X18">_xlfn.XLOOKUP(B18,'Up Max'!A:A,'Up Max'!F:F,)</f>
        <v/>
      </c>
      <c r="Y18" s="48" t="str">
        <f t="array" ref="Y18">_xlfn.XLOOKUP(B18,'Up Stats'!A:A,'Up Stats'!G:G,)</f>
        <v/>
      </c>
      <c r="Z18" s="40" t="str">
        <f>IFERROR(__xludf.DUMMYFUNCTION("if(AND(AA18=FALSE,AB18=FALSE),,if(AA18=AB18,JOIN("""",""Static: "",AA18),JOIN("""",""Min:  "",AA18, CHAR(10),""Max: "",AB18)))"),"")</f>
        <v/>
      </c>
      <c r="AA18" s="42" t="str">
        <f t="array" ref="AA18">_xlfn.XLOOKUP(B18,'Up Min'!A:A,'Up Min'!G:G,)</f>
        <v/>
      </c>
      <c r="AB18" s="42" t="str">
        <f t="array" ref="AB18">_xlfn.XLOOKUP(B18,'Up Max'!A:A,'Up Max'!G:G,)</f>
        <v/>
      </c>
      <c r="AC18" s="48" t="str">
        <f t="array" ref="AC18">_xlfn.XLOOKUP(B18,'Up Stats'!A:A,'Up Stats'!H:H,)</f>
        <v/>
      </c>
      <c r="AD18" s="40" t="str">
        <f>IFERROR(__xludf.DUMMYFUNCTION("if(AND(AE18=FALSE,AF18=FALSE),,if(AE18=AF18,JOIN("""",""Static: "",AE18),JOIN("""",""Min:  "",AE18, CHAR(10),""Max: "",AF18)))"),"")</f>
        <v/>
      </c>
      <c r="AE18" s="42" t="str">
        <f t="array" ref="AE18">_xlfn.XLOOKUP(B18,'Up Min'!A:A,'Up Min'!H:H,)</f>
        <v/>
      </c>
      <c r="AF18" s="42" t="str">
        <f t="array" ref="AF18">_xlfn.XLOOKUP(B18,'Up Max'!A:A,'Up Max'!H:H,)</f>
        <v/>
      </c>
      <c r="AG18" s="48" t="str">
        <f t="array" ref="AG18">_xlfn.XLOOKUP(B18,'Up Stats'!A:A,'Up Stats'!I:I,)</f>
        <v/>
      </c>
      <c r="AH18" s="40" t="str">
        <f>IFERROR(__xludf.DUMMYFUNCTION("if(AND(AI18=FALSE,AJ18=FALSE),,if(AI18=AJ18,JOIN("""",""Static: "",AI18),JOIN("""",""Min:  "",AI18, CHAR(10),""Max: "",AJ18)))"),"")</f>
        <v/>
      </c>
      <c r="AI18" s="42" t="str">
        <f t="array" ref="AI18">_xlfn.XLOOKUP(B18,'Up Min'!A:A,'Up Min'!I:I,)</f>
        <v/>
      </c>
      <c r="AJ18" s="42" t="str">
        <f t="array" ref="AJ18">_xlfn.XLOOKUP(B18,'Up Max'!A:A,'Up Max'!I:I,)</f>
        <v/>
      </c>
      <c r="AK18" s="48" t="str">
        <f t="array" ref="AK18">_xlfn.XLOOKUP(B18,'Up Stats'!A:A,'Up Stats'!J:J,)</f>
        <v/>
      </c>
      <c r="AL18" s="40" t="str">
        <f>IFERROR(__xludf.DUMMYFUNCTION("if(AND(AM18=FALSE,AN18=FALSE),,if(AM18=AN18,JOIN("""",""Static: "",AM18),JOIN("""",""Min:  "",AM18, CHAR(10),""Max: "",AN18)))"),"")</f>
        <v/>
      </c>
      <c r="AM18" s="42" t="str">
        <f t="array" ref="AM18">_xlfn.XLOOKUP(B18,'Up Min'!A:A,'Up Min'!J:J,)</f>
        <v/>
      </c>
      <c r="AN18" s="42" t="str">
        <f t="array" ref="AN18">_xlfn.XLOOKUP(B18,'Up Max'!A:A,'Up Max'!J:J,)</f>
        <v/>
      </c>
      <c r="AO18" s="34" t="str">
        <f t="array" ref="AO18">CONCATENATE(_xlfn.XLOOKUP(B18,'Up Cells'!A:A,'Up Cells'!B:B,))</f>
        <v>4</v>
      </c>
      <c r="AP18" s="34" t="str">
        <f t="array" ref="AP18">CONCATENATE(_xlfn.XLOOKUP(B18,'Up Rarity'!A:A,'Up Rarity'!B:B,),CHAR(10),"-")</f>
        <v>Epic
-</v>
      </c>
    </row>
    <row r="19">
      <c r="A19" s="75" t="str">
        <f t="array" ref="A19">_xlfn.XLOOKUP(B19,'Up Icon'!A:A,'Up Icon'!B:B,)</f>
        <v/>
      </c>
      <c r="B19" s="88" t="str">
        <f t="array" ref="B19">HYPERLINK(_xlfn.XLOOKUP('Up Names'!S17,'Up Wiki'!A:A,'Up Wiki'!B:B,),'Up Names'!S17)</f>
        <v>Wrecking Ball</v>
      </c>
      <c r="C19" s="52" t="str">
        <f t="array" ref="C19">_xlfn.XLOOKUP(B19,'Up Desc'!A:A,'Up Desc'!B:B,)</f>
        <v>Swing into enemies to damage them.</v>
      </c>
      <c r="D19" s="52" t="str">
        <f t="array" ref="D19">_xlfn.XLOOKUP(B19,'Up Turbo'!A:A,'Up Turbo'!B:B,)</f>
        <v>n/a</v>
      </c>
      <c r="E19" s="53" t="str">
        <f t="array" ref="E19">_xlfn.XLOOKUP(B19,'Up Stats'!A:A,'Up Stats'!B:B,)</f>
        <v>Damage</v>
      </c>
      <c r="F19" s="54" t="str">
        <f>IFERROR(__xludf.DUMMYFUNCTION("if(AND(G19=FALSE,H19=FALSE),,if(G19=H19,JOIN("""",""Static: "",G19),JOIN("""",""Min:  "",G19, CHAR(10),""Max: "",H19)))"),"Min:  280
Max: 310")</f>
        <v>Min:  280
Max: 310</v>
      </c>
      <c r="G19" s="64">
        <f t="array" ref="G19">_xlfn.XLOOKUP(B19,'Up Min'!A:A,'Up Min'!B:B,)</f>
        <v>280</v>
      </c>
      <c r="H19" s="65">
        <f t="array" ref="H19">_xlfn.XLOOKUP(B19,'Up Max'!A:A,'Up Max'!B:B,)</f>
        <v>310</v>
      </c>
      <c r="I19" s="53" t="str">
        <f t="array" ref="I19">_xlfn.XLOOKUP(B19,'Up Stats'!A:A,'Up Stats'!C:C,)</f>
        <v/>
      </c>
      <c r="J19" s="54" t="str">
        <f>IFERROR(__xludf.DUMMYFUNCTION("if(AND(K19=FALSE,L19=FALSE),,if(K19=L19,JOIN("""",""Static: "",K19),JOIN("""",""Min:  "",K19, CHAR(10),""Max: "",L19)))"),"")</f>
        <v/>
      </c>
      <c r="K19" s="72" t="str">
        <f t="array" ref="K19">_xlfn.XLOOKUP(B19,'Up Min'!A:A,'Up Min'!C:C,)</f>
        <v/>
      </c>
      <c r="L19" s="72" t="str">
        <f t="array" ref="L19">_xlfn.XLOOKUP(B19,'Up Max'!A:A,'Up Max'!C:C,)</f>
        <v/>
      </c>
      <c r="M19" s="57" t="str">
        <f t="array" ref="M19">_xlfn.XLOOKUP(B19,'Up Stats'!A:A,'Up Stats'!D:D,)</f>
        <v/>
      </c>
      <c r="N19" s="54" t="str">
        <f>IFERROR(__xludf.DUMMYFUNCTION("if(AND(O19=FALSE,P19=FALSE),,if(O19=P19,JOIN("""",""Static: "",O19),JOIN("""",""Min:  "",O19, CHAR(10),""Max: "",P19)))"),"")</f>
        <v/>
      </c>
      <c r="O19" s="55" t="str">
        <f t="array" ref="O19">_xlfn.XLOOKUP(B19,'Up Min'!A:A,'Up Min'!D:D,)</f>
        <v/>
      </c>
      <c r="P19" s="55" t="str">
        <f t="array" ref="P19">_xlfn.XLOOKUP(B19,'Up Max'!A:A,'Up Max'!D:D,)</f>
        <v/>
      </c>
      <c r="Q19" s="57" t="str">
        <f t="array" ref="Q19">_xlfn.XLOOKUP(B19,'Up Stats'!A:A,'Up Stats'!E:E,)</f>
        <v/>
      </c>
      <c r="R19" s="54" t="str">
        <f>IFERROR(__xludf.DUMMYFUNCTION("if(AND(S19=FALSE,T19=FALSE),,if(S19=T19,JOIN("""",""Static: "",S19),JOIN("""",""Min:  "",S19, CHAR(10),""Max: "",T19)))"),"")</f>
        <v/>
      </c>
      <c r="S19" s="55" t="str">
        <f t="array" ref="S19">_xlfn.XLOOKUP(B19,'Up Min'!A:A,'Up Min'!E:E,)</f>
        <v/>
      </c>
      <c r="T19" s="55" t="str">
        <f t="array" ref="T19">_xlfn.XLOOKUP(B19,'Up Max'!A:A,'Up Max'!E:E,)</f>
        <v/>
      </c>
      <c r="U19" s="57" t="str">
        <f t="array" ref="U19">_xlfn.XLOOKUP(B19,'Up Stats'!A:A,'Up Stats'!F:F,)</f>
        <v/>
      </c>
      <c r="V19" s="54" t="str">
        <f>IFERROR(__xludf.DUMMYFUNCTION("if(AND(W19=FALSE,X19=FALSE),,if(W19=X19,JOIN("""",""Static: "",W19),JOIN("""",""Min:  "",W19, CHAR(10),""Max: "",X19)))"),"")</f>
        <v/>
      </c>
      <c r="W19" s="55" t="str">
        <f t="array" ref="W19">_xlfn.XLOOKUP(B19,'Up Min'!A:A,'Up Min'!F:F,)</f>
        <v/>
      </c>
      <c r="X19" s="55" t="str">
        <f t="array" ref="X19">_xlfn.XLOOKUP(B19,'Up Max'!A:A,'Up Max'!F:F,)</f>
        <v/>
      </c>
      <c r="Y19" s="57" t="str">
        <f t="array" ref="Y19">_xlfn.XLOOKUP(B19,'Up Stats'!A:A,'Up Stats'!G:G,)</f>
        <v/>
      </c>
      <c r="Z19" s="54" t="str">
        <f>IFERROR(__xludf.DUMMYFUNCTION("if(AND(AA19=FALSE,AB19=FALSE),,if(AA19=AB19,JOIN("""",""Static: "",AA19),JOIN("""",""Min:  "",AA19, CHAR(10),""Max: "",AB19)))"),"")</f>
        <v/>
      </c>
      <c r="AA19" s="55" t="str">
        <f t="array" ref="AA19">_xlfn.XLOOKUP(B19,'Up Min'!A:A,'Up Min'!G:G,)</f>
        <v/>
      </c>
      <c r="AB19" s="55" t="str">
        <f t="array" ref="AB19">_xlfn.XLOOKUP(B19,'Up Max'!A:A,'Up Max'!G:G,)</f>
        <v/>
      </c>
      <c r="AC19" s="57" t="str">
        <f t="array" ref="AC19">_xlfn.XLOOKUP(B19,'Up Stats'!A:A,'Up Stats'!H:H,)</f>
        <v/>
      </c>
      <c r="AD19" s="54" t="str">
        <f>IFERROR(__xludf.DUMMYFUNCTION("if(AND(AE19=FALSE,AF19=FALSE),,if(AE19=AF19,JOIN("""",""Static: "",AE19),JOIN("""",""Min:  "",AE19, CHAR(10),""Max: "",AF19)))"),"")</f>
        <v/>
      </c>
      <c r="AE19" s="55" t="str">
        <f t="array" ref="AE19">_xlfn.XLOOKUP(B19,'Up Min'!A:A,'Up Min'!H:H,)</f>
        <v/>
      </c>
      <c r="AF19" s="55" t="str">
        <f t="array" ref="AF19">_xlfn.XLOOKUP(B19,'Up Max'!A:A,'Up Max'!H:H,)</f>
        <v/>
      </c>
      <c r="AG19" s="57" t="str">
        <f t="array" ref="AG19">_xlfn.XLOOKUP(B19,'Up Stats'!A:A,'Up Stats'!I:I,)</f>
        <v/>
      </c>
      <c r="AH19" s="54" t="str">
        <f>IFERROR(__xludf.DUMMYFUNCTION("if(AND(AI19=FALSE,AJ19=FALSE),,if(AI19=AJ19,JOIN("""",""Static: "",AI19),JOIN("""",""Min:  "",AI19, CHAR(10),""Max: "",AJ19)))"),"")</f>
        <v/>
      </c>
      <c r="AI19" s="55" t="str">
        <f t="array" ref="AI19">_xlfn.XLOOKUP(B19,'Up Min'!A:A,'Up Min'!I:I,)</f>
        <v/>
      </c>
      <c r="AJ19" s="55" t="str">
        <f t="array" ref="AJ19">_xlfn.XLOOKUP(B19,'Up Max'!A:A,'Up Max'!I:I,)</f>
        <v/>
      </c>
      <c r="AK19" s="57" t="str">
        <f t="array" ref="AK19">_xlfn.XLOOKUP(B19,'Up Stats'!A:A,'Up Stats'!J:J,)</f>
        <v/>
      </c>
      <c r="AL19" s="54" t="str">
        <f>IFERROR(__xludf.DUMMYFUNCTION("if(AND(AM19=FALSE,AN19=FALSE),,if(AM19=AN19,JOIN("""",""Static: "",AM19),JOIN("""",""Min:  "",AM19, CHAR(10),""Max: "",AN19)))"),"")</f>
        <v/>
      </c>
      <c r="AM19" s="55" t="str">
        <f t="array" ref="AM19">_xlfn.XLOOKUP(B19,'Up Min'!A:A,'Up Min'!J:J,)</f>
        <v/>
      </c>
      <c r="AN19" s="55" t="str">
        <f t="array" ref="AN19">_xlfn.XLOOKUP(B19,'Up Max'!A:A,'Up Max'!J:J,)</f>
        <v/>
      </c>
      <c r="AO19" s="51" t="str">
        <f t="array" ref="AO19">CONCATENATE(_xlfn.XLOOKUP(B19,'Up Cells'!A:A,'Up Cells'!B:B,))</f>
        <v>4</v>
      </c>
      <c r="AP19" s="51" t="str">
        <f t="array" ref="AP19">CONCATENATE(_xlfn.XLOOKUP(B19,'Up Rarity'!A:A,'Up Rarity'!B:B,),CHAR(10),"-")</f>
        <v>Epic
-</v>
      </c>
    </row>
    <row r="20">
      <c r="A20" s="83" t="str">
        <f t="array" ref="A20">_xlfn.XLOOKUP(B20,'Up Icon'!A:A,'Up Icon'!B:B,)</f>
        <v/>
      </c>
      <c r="B20" s="89" t="str">
        <f t="array" ref="B20">HYPERLINK(_xlfn.XLOOKUP('Up Names'!S18,'Up Wiki'!A:A,'Up Wiki'!B:B,),'Up Names'!S18)</f>
        <v>Aft Thrusters</v>
      </c>
      <c r="C20" s="37" t="str">
        <f t="array" ref="C20">_xlfn.XLOOKUP(B20,'Up Desc'!A:A,'Up Desc'!B:B,)</f>
        <v>Your Jetpack pushes you forward.</v>
      </c>
      <c r="D20" s="37" t="str">
        <f t="array" ref="D20">_xlfn.XLOOKUP(B20,'Up Turbo'!A:A,'Up Turbo'!B:B,)</f>
        <v>n/a</v>
      </c>
      <c r="E20" s="39" t="str">
        <f t="array" ref="E20">_xlfn.XLOOKUP(B20,'Up Stats'!A:A,'Up Stats'!B:B,)</f>
        <v>Forward Speed</v>
      </c>
      <c r="F20" s="40" t="str">
        <f>IFERROR(__xludf.DUMMYFUNCTION("if(AND(G20=FALSE,H20=FALSE),,if(G20=H20,JOIN("""",""Static: "",G20),JOIN("""",""Min:  "",G20, CHAR(10),""Max: "",H20)))"),"Min:  4.6
Max: 7.5")</f>
        <v>Min:  4.6
Max: 7.5</v>
      </c>
      <c r="G20" s="69">
        <f t="array" ref="G20">_xlfn.XLOOKUP(B20,'Up Min'!A:A,'Up Min'!B:B,)</f>
        <v>4.6</v>
      </c>
      <c r="H20" s="68">
        <f t="array" ref="H20">_xlfn.XLOOKUP(B20,'Up Max'!A:A,'Up Max'!B:B,)</f>
        <v>7.5</v>
      </c>
      <c r="I20" s="39" t="str">
        <f t="array" ref="I20">_xlfn.XLOOKUP(B20,'Up Stats'!A:A,'Up Stats'!C:C,)</f>
        <v/>
      </c>
      <c r="J20" s="40" t="str">
        <f>IFERROR(__xludf.DUMMYFUNCTION("if(AND(K20=FALSE,L20=FALSE),,if(K20=L20,JOIN("""",""Static: "",K20),JOIN("""",""Min:  "",K20, CHAR(10),""Max: "",L20)))"),"")</f>
        <v/>
      </c>
      <c r="K20" s="74" t="str">
        <f t="array" ref="K20">_xlfn.XLOOKUP(B20,'Up Min'!A:A,'Up Min'!C:C,)</f>
        <v/>
      </c>
      <c r="L20" s="74" t="str">
        <f t="array" ref="L20">_xlfn.XLOOKUP(B20,'Up Max'!A:A,'Up Max'!C:C,)</f>
        <v/>
      </c>
      <c r="M20" s="48" t="str">
        <f t="array" ref="M20">_xlfn.XLOOKUP(B20,'Up Stats'!A:A,'Up Stats'!D:D,)</f>
        <v/>
      </c>
      <c r="N20" s="40" t="str">
        <f>IFERROR(__xludf.DUMMYFUNCTION("if(AND(O20=FALSE,P20=FALSE),,if(O20=P20,JOIN("""",""Static: "",O20),JOIN("""",""Min:  "",O20, CHAR(10),""Max: "",P20)))"),"")</f>
        <v/>
      </c>
      <c r="O20" s="42" t="str">
        <f t="array" ref="O20">_xlfn.XLOOKUP(B20,'Up Min'!A:A,'Up Min'!D:D,)</f>
        <v/>
      </c>
      <c r="P20" s="42" t="str">
        <f t="array" ref="P20">_xlfn.XLOOKUP(B20,'Up Max'!A:A,'Up Max'!D:D,)</f>
        <v/>
      </c>
      <c r="Q20" s="48" t="str">
        <f t="array" ref="Q20">_xlfn.XLOOKUP(B20,'Up Stats'!A:A,'Up Stats'!E:E,)</f>
        <v/>
      </c>
      <c r="R20" s="40" t="str">
        <f>IFERROR(__xludf.DUMMYFUNCTION("if(AND(S20=FALSE,T20=FALSE),,if(S20=T20,JOIN("""",""Static: "",S20),JOIN("""",""Min:  "",S20, CHAR(10),""Max: "",T20)))"),"")</f>
        <v/>
      </c>
      <c r="S20" s="42" t="str">
        <f t="array" ref="S20">_xlfn.XLOOKUP(B20,'Up Min'!A:A,'Up Min'!E:E,)</f>
        <v/>
      </c>
      <c r="T20" s="42" t="str">
        <f t="array" ref="T20">_xlfn.XLOOKUP(B20,'Up Max'!A:A,'Up Max'!E:E,)</f>
        <v/>
      </c>
      <c r="U20" s="48" t="str">
        <f t="array" ref="U20">_xlfn.XLOOKUP(B20,'Up Stats'!A:A,'Up Stats'!F:F,)</f>
        <v/>
      </c>
      <c r="V20" s="40" t="str">
        <f>IFERROR(__xludf.DUMMYFUNCTION("if(AND(W20=FALSE,X20=FALSE),,if(W20=X20,JOIN("""",""Static: "",W20),JOIN("""",""Min:  "",W20, CHAR(10),""Max: "",X20)))"),"")</f>
        <v/>
      </c>
      <c r="W20" s="42" t="str">
        <f t="array" ref="W20">_xlfn.XLOOKUP(B20,'Up Min'!A:A,'Up Min'!F:F,)</f>
        <v/>
      </c>
      <c r="X20" s="42" t="str">
        <f t="array" ref="X20">_xlfn.XLOOKUP(B20,'Up Max'!A:A,'Up Max'!F:F,)</f>
        <v/>
      </c>
      <c r="Y20" s="48" t="str">
        <f t="array" ref="Y20">_xlfn.XLOOKUP(B20,'Up Stats'!A:A,'Up Stats'!G:G,)</f>
        <v/>
      </c>
      <c r="Z20" s="40" t="str">
        <f>IFERROR(__xludf.DUMMYFUNCTION("if(AND(AA20=FALSE,AB20=FALSE),,if(AA20=AB20,JOIN("""",""Static: "",AA20),JOIN("""",""Min:  "",AA20, CHAR(10),""Max: "",AB20)))"),"")</f>
        <v/>
      </c>
      <c r="AA20" s="42" t="str">
        <f t="array" ref="AA20">_xlfn.XLOOKUP(B20,'Up Min'!A:A,'Up Min'!G:G,)</f>
        <v/>
      </c>
      <c r="AB20" s="42" t="str">
        <f t="array" ref="AB20">_xlfn.XLOOKUP(B20,'Up Max'!A:A,'Up Max'!G:G,)</f>
        <v/>
      </c>
      <c r="AC20" s="48" t="str">
        <f t="array" ref="AC20">_xlfn.XLOOKUP(B20,'Up Stats'!A:A,'Up Stats'!H:H,)</f>
        <v/>
      </c>
      <c r="AD20" s="40" t="str">
        <f>IFERROR(__xludf.DUMMYFUNCTION("if(AND(AE20=FALSE,AF20=FALSE),,if(AE20=AF20,JOIN("""",""Static: "",AE20),JOIN("""",""Min:  "",AE20, CHAR(10),""Max: "",AF20)))"),"")</f>
        <v/>
      </c>
      <c r="AE20" s="42" t="str">
        <f t="array" ref="AE20">_xlfn.XLOOKUP(B20,'Up Min'!A:A,'Up Min'!H:H,)</f>
        <v/>
      </c>
      <c r="AF20" s="42" t="str">
        <f t="array" ref="AF20">_xlfn.XLOOKUP(B20,'Up Max'!A:A,'Up Max'!H:H,)</f>
        <v/>
      </c>
      <c r="AG20" s="48" t="str">
        <f t="array" ref="AG20">_xlfn.XLOOKUP(B20,'Up Stats'!A:A,'Up Stats'!I:I,)</f>
        <v/>
      </c>
      <c r="AH20" s="40" t="str">
        <f>IFERROR(__xludf.DUMMYFUNCTION("if(AND(AI20=FALSE,AJ20=FALSE),,if(AI20=AJ20,JOIN("""",""Static: "",AI20),JOIN("""",""Min:  "",AI20, CHAR(10),""Max: "",AJ20)))"),"")</f>
        <v/>
      </c>
      <c r="AI20" s="42" t="str">
        <f t="array" ref="AI20">_xlfn.XLOOKUP(B20,'Up Min'!A:A,'Up Min'!I:I,)</f>
        <v/>
      </c>
      <c r="AJ20" s="42" t="str">
        <f t="array" ref="AJ20">_xlfn.XLOOKUP(B20,'Up Max'!A:A,'Up Max'!I:I,)</f>
        <v/>
      </c>
      <c r="AK20" s="48" t="str">
        <f t="array" ref="AK20">_xlfn.XLOOKUP(B20,'Up Stats'!A:A,'Up Stats'!J:J,)</f>
        <v/>
      </c>
      <c r="AL20" s="40" t="str">
        <f>IFERROR(__xludf.DUMMYFUNCTION("if(AND(AM20=FALSE,AN20=FALSE),,if(AM20=AN20,JOIN("""",""Static: "",AM20),JOIN("""",""Min:  "",AM20, CHAR(10),""Max: "",AN20)))"),"")</f>
        <v/>
      </c>
      <c r="AM20" s="42" t="str">
        <f t="array" ref="AM20">_xlfn.XLOOKUP(B20,'Up Min'!A:A,'Up Min'!J:J,)</f>
        <v/>
      </c>
      <c r="AN20" s="42" t="str">
        <f t="array" ref="AN20">_xlfn.XLOOKUP(B20,'Up Max'!A:A,'Up Max'!J:J,)</f>
        <v/>
      </c>
      <c r="AO20" s="34" t="str">
        <f t="array" ref="AO20">CONCATENATE(_xlfn.XLOOKUP(B20,'Up Cells'!A:A,'Up Cells'!B:B,))</f>
        <v>4</v>
      </c>
      <c r="AP20" s="34" t="str">
        <f t="array" ref="AP20">CONCATENATE(_xlfn.XLOOKUP(B20,'Up Rarity'!A:A,'Up Rarity'!B:B,),CHAR(10),"-")</f>
        <v>Rare
-</v>
      </c>
    </row>
    <row r="21">
      <c r="A21" s="83" t="str">
        <f t="array" ref="A21">_xlfn.XLOOKUP(B21,'Up Icon'!A:A,'Up Icon'!B:B,)</f>
        <v/>
      </c>
      <c r="B21" s="88" t="str">
        <f t="array" ref="B21">HYPERLINK(_xlfn.XLOOKUP('Up Names'!S19,'Up Wiki'!A:A,'Up Wiki'!B:B,),'Up Names'!S19)</f>
        <v>Burst Release</v>
      </c>
      <c r="C21" s="52" t="str">
        <f t="array" ref="C21">_xlfn.XLOOKUP(B21,'Up Desc'!A:A,'Up Desc'!B:B,)</f>
        <v>Release your fuel much faster in a stronger burst of speed.</v>
      </c>
      <c r="D21" s="52" t="str">
        <f t="array" ref="D21">_xlfn.XLOOKUP(B21,'Up Turbo'!A:A,'Up Turbo'!B:B,)</f>
        <v>n/a</v>
      </c>
      <c r="E21" s="53" t="str">
        <f t="array" ref="E21">_xlfn.XLOOKUP(B21,'Up Stats'!A:A,'Up Stats'!B:B,)</f>
        <v>Initial Force</v>
      </c>
      <c r="F21" s="54" t="str">
        <f>IFERROR(__xludf.DUMMYFUNCTION("if(AND(G21=FALSE,H21=FALSE),,if(G21=H21,JOIN("""",""Static: "",G21),JOIN("""",""Min:  "",G21, CHAR(10),""Max: "",H21)))"),"Min:  200%
Max: 300%")</f>
        <v>Min:  200%
Max: 300%</v>
      </c>
      <c r="G21" s="59">
        <f t="array" ref="G21">_xlfn.XLOOKUP(B21,'Up Min'!A:A,'Up Min'!B:B,)</f>
        <v>2</v>
      </c>
      <c r="H21" s="59">
        <f t="array" ref="H21">_xlfn.XLOOKUP(B21,'Up Max'!A:A,'Up Max'!B:B,)</f>
        <v>3</v>
      </c>
      <c r="I21" s="80" t="str">
        <f t="array" ref="I21">_xlfn.XLOOKUP(B21,'Up Stats'!A:A,'Up Stats'!C:C,)</f>
        <v>Jetpack Duration</v>
      </c>
      <c r="J21" s="54" t="str">
        <f>IFERROR(__xludf.DUMMYFUNCTION("if(AND(K21=FALSE,L21=FALSE),,if(K21=L21,JOIN("""",""Static: "",K21),JOIN("""",""Min:  "",K21, CHAR(10),""Max: "",L21)))"),"Min:  -72%
Max: -67%")</f>
        <v>Min:  -72%
Max: -67%</v>
      </c>
      <c r="K21" s="59">
        <f t="array" ref="K21">_xlfn.XLOOKUP(B21,'Up Min'!A:A,'Up Min'!C:C,)</f>
        <v>-0.72</v>
      </c>
      <c r="L21" s="59">
        <f t="array" ref="L21">_xlfn.XLOOKUP(B21,'Up Max'!A:A,'Up Max'!C:C,)</f>
        <v>-0.67</v>
      </c>
      <c r="M21" s="53" t="str">
        <f t="array" ref="M21">_xlfn.XLOOKUP(B21,'Up Stats'!A:A,'Up Stats'!D:D,)</f>
        <v/>
      </c>
      <c r="N21" s="54" t="str">
        <f>IFERROR(__xludf.DUMMYFUNCTION("if(AND(O21=FALSE,P21=FALSE),,if(O21=P21,JOIN("""",""Static: "",O21),JOIN("""",""Min:  "",O21, CHAR(10),""Max: "",P21)))"),"")</f>
        <v/>
      </c>
      <c r="O21" s="55" t="str">
        <f t="array" ref="O21">_xlfn.XLOOKUP(B21,'Up Min'!A:A,'Up Min'!D:D,)</f>
        <v/>
      </c>
      <c r="P21" s="55" t="str">
        <f t="array" ref="P21">_xlfn.XLOOKUP(B21,'Up Max'!A:A,'Up Max'!D:D,)</f>
        <v/>
      </c>
      <c r="Q21" s="57" t="str">
        <f t="array" ref="Q21">_xlfn.XLOOKUP(B21,'Up Stats'!A:A,'Up Stats'!E:E,)</f>
        <v/>
      </c>
      <c r="R21" s="54" t="str">
        <f>IFERROR(__xludf.DUMMYFUNCTION("if(AND(S21=FALSE,T21=FALSE),,if(S21=T21,JOIN("""",""Static: "",S21),JOIN("""",""Min:  "",S21, CHAR(10),""Max: "",T21)))"),"")</f>
        <v/>
      </c>
      <c r="S21" s="55" t="str">
        <f t="array" ref="S21">_xlfn.XLOOKUP(B21,'Up Min'!A:A,'Up Min'!E:E,)</f>
        <v/>
      </c>
      <c r="T21" s="55" t="str">
        <f t="array" ref="T21">_xlfn.XLOOKUP(B21,'Up Max'!A:A,'Up Max'!E:E,)</f>
        <v/>
      </c>
      <c r="U21" s="57" t="str">
        <f t="array" ref="U21">_xlfn.XLOOKUP(B21,'Up Stats'!A:A,'Up Stats'!F:F,)</f>
        <v/>
      </c>
      <c r="V21" s="54" t="str">
        <f>IFERROR(__xludf.DUMMYFUNCTION("if(AND(W21=FALSE,X21=FALSE),,if(W21=X21,JOIN("""",""Static: "",W21),JOIN("""",""Min:  "",W21, CHAR(10),""Max: "",X21)))"),"")</f>
        <v/>
      </c>
      <c r="W21" s="55" t="str">
        <f t="array" ref="W21">_xlfn.XLOOKUP(B21,'Up Min'!A:A,'Up Min'!F:F,)</f>
        <v/>
      </c>
      <c r="X21" s="55" t="str">
        <f t="array" ref="X21">_xlfn.XLOOKUP(B21,'Up Max'!A:A,'Up Max'!F:F,)</f>
        <v/>
      </c>
      <c r="Y21" s="57" t="str">
        <f t="array" ref="Y21">_xlfn.XLOOKUP(B21,'Up Stats'!A:A,'Up Stats'!G:G,)</f>
        <v/>
      </c>
      <c r="Z21" s="54" t="str">
        <f>IFERROR(__xludf.DUMMYFUNCTION("if(AND(AA21=FALSE,AB21=FALSE),,if(AA21=AB21,JOIN("""",""Static: "",AA21),JOIN("""",""Min:  "",AA21, CHAR(10),""Max: "",AB21)))"),"")</f>
        <v/>
      </c>
      <c r="AA21" s="55" t="str">
        <f t="array" ref="AA21">_xlfn.XLOOKUP(B21,'Up Min'!A:A,'Up Min'!G:G,)</f>
        <v/>
      </c>
      <c r="AB21" s="55" t="str">
        <f t="array" ref="AB21">_xlfn.XLOOKUP(B21,'Up Max'!A:A,'Up Max'!G:G,)</f>
        <v/>
      </c>
      <c r="AC21" s="57" t="str">
        <f t="array" ref="AC21">_xlfn.XLOOKUP(B21,'Up Stats'!A:A,'Up Stats'!H:H,)</f>
        <v/>
      </c>
      <c r="AD21" s="54" t="str">
        <f>IFERROR(__xludf.DUMMYFUNCTION("if(AND(AE21=FALSE,AF21=FALSE),,if(AE21=AF21,JOIN("""",""Static: "",AE21),JOIN("""",""Min:  "",AE21, CHAR(10),""Max: "",AF21)))"),"")</f>
        <v/>
      </c>
      <c r="AE21" s="55" t="str">
        <f t="array" ref="AE21">_xlfn.XLOOKUP(B21,'Up Min'!A:A,'Up Min'!H:H,)</f>
        <v/>
      </c>
      <c r="AF21" s="55" t="str">
        <f t="array" ref="AF21">_xlfn.XLOOKUP(B21,'Up Max'!A:A,'Up Max'!H:H,)</f>
        <v/>
      </c>
      <c r="AG21" s="57" t="str">
        <f t="array" ref="AG21">_xlfn.XLOOKUP(B21,'Up Stats'!A:A,'Up Stats'!I:I,)</f>
        <v/>
      </c>
      <c r="AH21" s="54" t="str">
        <f>IFERROR(__xludf.DUMMYFUNCTION("if(AND(AI21=FALSE,AJ21=FALSE),,if(AI21=AJ21,JOIN("""",""Static: "",AI21),JOIN("""",""Min:  "",AI21, CHAR(10),""Max: "",AJ21)))"),"")</f>
        <v/>
      </c>
      <c r="AI21" s="55" t="str">
        <f t="array" ref="AI21">_xlfn.XLOOKUP(B21,'Up Min'!A:A,'Up Min'!I:I,)</f>
        <v/>
      </c>
      <c r="AJ21" s="55" t="str">
        <f t="array" ref="AJ21">_xlfn.XLOOKUP(B21,'Up Max'!A:A,'Up Max'!I:I,)</f>
        <v/>
      </c>
      <c r="AK21" s="57" t="str">
        <f t="array" ref="AK21">_xlfn.XLOOKUP(B21,'Up Stats'!A:A,'Up Stats'!J:J,)</f>
        <v/>
      </c>
      <c r="AL21" s="54" t="str">
        <f>IFERROR(__xludf.DUMMYFUNCTION("if(AND(AM21=FALSE,AN21=FALSE),,if(AM21=AN21,JOIN("""",""Static: "",AM21),JOIN("""",""Min:  "",AM21, CHAR(10),""Max: "",AN21)))"),"")</f>
        <v/>
      </c>
      <c r="AM21" s="55" t="str">
        <f t="array" ref="AM21">_xlfn.XLOOKUP(B21,'Up Min'!A:A,'Up Min'!J:J,)</f>
        <v/>
      </c>
      <c r="AN21" s="55" t="str">
        <f t="array" ref="AN21">_xlfn.XLOOKUP(B21,'Up Max'!A:A,'Up Max'!J:J,)</f>
        <v/>
      </c>
      <c r="AO21" s="51" t="str">
        <f t="array" ref="AO21">CONCATENATE(_xlfn.XLOOKUP(B21,'Up Cells'!A:A,'Up Cells'!B:B,))</f>
        <v>6</v>
      </c>
      <c r="AP21" s="51" t="str">
        <f t="array" ref="AP21">CONCATENATE(_xlfn.XLOOKUP(B21,'Up Rarity'!A:A,'Up Rarity'!B:B,),CHAR(10),"-")</f>
        <v>Rare
-</v>
      </c>
    </row>
    <row r="22">
      <c r="A22" s="83" t="str">
        <f t="array" ref="A22">_xlfn.XLOOKUP(B22,'Up Icon'!A:A,'Up Icon'!B:B,)</f>
        <v/>
      </c>
      <c r="B22" s="89" t="str">
        <f t="array" ref="B22">HYPERLINK(_xlfn.XLOOKUP('Up Names'!S20,'Up Wiki'!A:A,'Up Wiki'!B:B,),'Up Names'!S20)</f>
        <v>Coil Springs</v>
      </c>
      <c r="C22" s="37" t="str">
        <f t="array" ref="C22">_xlfn.XLOOKUP(B22,'Up Desc'!A:A,'Up Desc'!B:B,)</f>
        <v>Jump force is greatly increased when crouching.</v>
      </c>
      <c r="D22" s="37" t="str">
        <f t="array" ref="D22">_xlfn.XLOOKUP(B22,'Up Turbo'!A:A,'Up Turbo'!B:B,)</f>
        <v>n/a</v>
      </c>
      <c r="E22" s="39" t="str">
        <f t="array" ref="E22">_xlfn.XLOOKUP(B22,'Up Stats'!A:A,'Up Stats'!B:B,)</f>
        <v>Force</v>
      </c>
      <c r="F22" s="40" t="str">
        <f>IFERROR(__xludf.DUMMYFUNCTION("if(AND(G22=FALSE,H22=FALSE),,if(G22=H22,JOIN("""",""Static: "",G22),JOIN("""",""Min:  "",G22, CHAR(10),""Max: "",H22)))"),"Min:  15
Max: 30")</f>
        <v>Min:  15
Max: 30</v>
      </c>
      <c r="G22" s="69">
        <f t="array" ref="G22">_xlfn.XLOOKUP(B22,'Up Min'!A:A,'Up Min'!B:B,)</f>
        <v>15</v>
      </c>
      <c r="H22" s="68">
        <f t="array" ref="H22">_xlfn.XLOOKUP(B22,'Up Max'!A:A,'Up Max'!B:B,)</f>
        <v>30</v>
      </c>
      <c r="I22" s="39" t="str">
        <f t="array" ref="I22">_xlfn.XLOOKUP(B22,'Up Stats'!A:A,'Up Stats'!C:C,)</f>
        <v/>
      </c>
      <c r="J22" s="40" t="str">
        <f>IFERROR(__xludf.DUMMYFUNCTION("if(AND(K22=FALSE,L22=FALSE),,if(K22=L22,JOIN("""",""Static: "",K22),JOIN("""",""Min:  "",K22, CHAR(10),""Max: "",L22)))"),"")</f>
        <v/>
      </c>
      <c r="K22" s="74" t="str">
        <f t="array" ref="K22">_xlfn.XLOOKUP(B22,'Up Min'!A:A,'Up Min'!C:C,)</f>
        <v/>
      </c>
      <c r="L22" s="74" t="str">
        <f t="array" ref="L22">_xlfn.XLOOKUP(B22,'Up Max'!A:A,'Up Max'!C:C,)</f>
        <v/>
      </c>
      <c r="M22" s="48" t="str">
        <f t="array" ref="M22">_xlfn.XLOOKUP(B22,'Up Stats'!A:A,'Up Stats'!D:D,)</f>
        <v/>
      </c>
      <c r="N22" s="40" t="str">
        <f>IFERROR(__xludf.DUMMYFUNCTION("if(AND(O22=FALSE,P22=FALSE),,if(O22=P22,JOIN("""",""Static: "",O22),JOIN("""",""Min:  "",O22, CHAR(10),""Max: "",P22)))"),"")</f>
        <v/>
      </c>
      <c r="O22" s="42" t="str">
        <f t="array" ref="O22">_xlfn.XLOOKUP(B22,'Up Min'!A:A,'Up Min'!D:D,)</f>
        <v/>
      </c>
      <c r="P22" s="42" t="str">
        <f t="array" ref="P22">_xlfn.XLOOKUP(B22,'Up Max'!A:A,'Up Max'!D:D,)</f>
        <v/>
      </c>
      <c r="Q22" s="48" t="str">
        <f t="array" ref="Q22">_xlfn.XLOOKUP(B22,'Up Stats'!A:A,'Up Stats'!E:E,)</f>
        <v/>
      </c>
      <c r="R22" s="40" t="str">
        <f>IFERROR(__xludf.DUMMYFUNCTION("if(AND(S22=FALSE,T22=FALSE),,if(S22=T22,JOIN("""",""Static: "",S22),JOIN("""",""Min:  "",S22, CHAR(10),""Max: "",T22)))"),"")</f>
        <v/>
      </c>
      <c r="S22" s="42" t="str">
        <f t="array" ref="S22">_xlfn.XLOOKUP(B22,'Up Min'!A:A,'Up Min'!E:E,)</f>
        <v/>
      </c>
      <c r="T22" s="42" t="str">
        <f t="array" ref="T22">_xlfn.XLOOKUP(B22,'Up Max'!A:A,'Up Max'!E:E,)</f>
        <v/>
      </c>
      <c r="U22" s="48" t="str">
        <f t="array" ref="U22">_xlfn.XLOOKUP(B22,'Up Stats'!A:A,'Up Stats'!F:F,)</f>
        <v/>
      </c>
      <c r="V22" s="40" t="str">
        <f>IFERROR(__xludf.DUMMYFUNCTION("if(AND(W22=FALSE,X22=FALSE),,if(W22=X22,JOIN("""",""Static: "",W22),JOIN("""",""Min:  "",W22, CHAR(10),""Max: "",X22)))"),"")</f>
        <v/>
      </c>
      <c r="W22" s="42" t="str">
        <f t="array" ref="W22">_xlfn.XLOOKUP(B22,'Up Min'!A:A,'Up Min'!F:F,)</f>
        <v/>
      </c>
      <c r="X22" s="42" t="str">
        <f t="array" ref="X22">_xlfn.XLOOKUP(B22,'Up Max'!A:A,'Up Max'!F:F,)</f>
        <v/>
      </c>
      <c r="Y22" s="48" t="str">
        <f t="array" ref="Y22">_xlfn.XLOOKUP(B22,'Up Stats'!A:A,'Up Stats'!G:G,)</f>
        <v/>
      </c>
      <c r="Z22" s="40" t="str">
        <f>IFERROR(__xludf.DUMMYFUNCTION("if(AND(AA22=FALSE,AB22=FALSE),,if(AA22=AB22,JOIN("""",""Static: "",AA22),JOIN("""",""Min:  "",AA22, CHAR(10),""Max: "",AB22)))"),"")</f>
        <v/>
      </c>
      <c r="AA22" s="42" t="str">
        <f t="array" ref="AA22">_xlfn.XLOOKUP(B22,'Up Min'!A:A,'Up Min'!G:G,)</f>
        <v/>
      </c>
      <c r="AB22" s="42" t="str">
        <f t="array" ref="AB22">_xlfn.XLOOKUP(B22,'Up Max'!A:A,'Up Max'!G:G,)</f>
        <v/>
      </c>
      <c r="AC22" s="48" t="str">
        <f t="array" ref="AC22">_xlfn.XLOOKUP(B22,'Up Stats'!A:A,'Up Stats'!H:H,)</f>
        <v/>
      </c>
      <c r="AD22" s="40" t="str">
        <f>IFERROR(__xludf.DUMMYFUNCTION("if(AND(AE22=FALSE,AF22=FALSE),,if(AE22=AF22,JOIN("""",""Static: "",AE22),JOIN("""",""Min:  "",AE22, CHAR(10),""Max: "",AF22)))"),"")</f>
        <v/>
      </c>
      <c r="AE22" s="42" t="str">
        <f t="array" ref="AE22">_xlfn.XLOOKUP(B22,'Up Min'!A:A,'Up Min'!H:H,)</f>
        <v/>
      </c>
      <c r="AF22" s="42" t="str">
        <f t="array" ref="AF22">_xlfn.XLOOKUP(B22,'Up Max'!A:A,'Up Max'!H:H,)</f>
        <v/>
      </c>
      <c r="AG22" s="48" t="str">
        <f t="array" ref="AG22">_xlfn.XLOOKUP(B22,'Up Stats'!A:A,'Up Stats'!I:I,)</f>
        <v/>
      </c>
      <c r="AH22" s="40" t="str">
        <f>IFERROR(__xludf.DUMMYFUNCTION("if(AND(AI22=FALSE,AJ22=FALSE),,if(AI22=AJ22,JOIN("""",""Static: "",AI22),JOIN("""",""Min:  "",AI22, CHAR(10),""Max: "",AJ22)))"),"")</f>
        <v/>
      </c>
      <c r="AI22" s="42" t="str">
        <f t="array" ref="AI22">_xlfn.XLOOKUP(B22,'Up Min'!A:A,'Up Min'!I:I,)</f>
        <v/>
      </c>
      <c r="AJ22" s="42" t="str">
        <f t="array" ref="AJ22">_xlfn.XLOOKUP(B22,'Up Max'!A:A,'Up Max'!I:I,)</f>
        <v/>
      </c>
      <c r="AK22" s="48" t="str">
        <f t="array" ref="AK22">_xlfn.XLOOKUP(B22,'Up Stats'!A:A,'Up Stats'!J:J,)</f>
        <v/>
      </c>
      <c r="AL22" s="40" t="str">
        <f>IFERROR(__xludf.DUMMYFUNCTION("if(AND(AM22=FALSE,AN22=FALSE),,if(AM22=AN22,JOIN("""",""Static: "",AM22),JOIN("""",""Min:  "",AM22, CHAR(10),""Max: "",AN22)))"),"")</f>
        <v/>
      </c>
      <c r="AM22" s="42" t="str">
        <f t="array" ref="AM22">_xlfn.XLOOKUP(B22,'Up Min'!A:A,'Up Min'!J:J,)</f>
        <v/>
      </c>
      <c r="AN22" s="42" t="str">
        <f t="array" ref="AN22">_xlfn.XLOOKUP(B22,'Up Max'!A:A,'Up Max'!J:J,)</f>
        <v/>
      </c>
      <c r="AO22" s="34" t="str">
        <f t="array" ref="AO22">CONCATENATE(_xlfn.XLOOKUP(B22,'Up Cells'!A:A,'Up Cells'!B:B,))</f>
        <v>5</v>
      </c>
      <c r="AP22" s="34" t="str">
        <f t="array" ref="AP22">CONCATENATE(_xlfn.XLOOKUP(B22,'Up Rarity'!A:A,'Up Rarity'!B:B,),CHAR(10),"-")</f>
        <v>Rare
-</v>
      </c>
    </row>
    <row r="23">
      <c r="A23" s="83" t="str">
        <f t="array" ref="A23">_xlfn.XLOOKUP(B23,'Up Icon'!A:A,'Up Icon'!B:B,)</f>
        <v/>
      </c>
      <c r="B23" s="88" t="str">
        <f t="array" ref="B23">HYPERLINK(_xlfn.XLOOKUP('Up Names'!S21,'Up Wiki'!A:A,'Up Wiki'!B:B,),'Up Names'!S21)</f>
        <v>Deliberate Mistake</v>
      </c>
      <c r="C23" s="52" t="str">
        <f t="array" ref="C23">_xlfn.XLOOKUP(B23,'Up Desc'!A:A,'Up Desc'!B:B,)</f>
        <v>Melee an explosive part to instantly start its fuse and increase its explosion size.</v>
      </c>
      <c r="D23" s="52" t="str">
        <f t="array" ref="D23">_xlfn.XLOOKUP(B23,'Up Turbo'!A:A,'Up Turbo'!B:B,)</f>
        <v>n/a</v>
      </c>
      <c r="E23" s="57" t="str">
        <f t="array" ref="E23">_xlfn.XLOOKUP(B23,'Up Stats'!A:A,'Up Stats'!B:B,)</f>
        <v/>
      </c>
      <c r="F23" s="54" t="str">
        <f>IFERROR(__xludf.DUMMYFUNCTION("if(AND(G23=FALSE,H23=FALSE),,if(G23=H23,JOIN("""",""Static: "",G23),JOIN("""",""Min:  "",G23, CHAR(10),""Max: "",H23)))"),"")</f>
        <v/>
      </c>
      <c r="G23" s="55" t="str">
        <f t="array" ref="G23">_xlfn.XLOOKUP(B23,'Up Min'!A:A,'Up Min'!B:B,)</f>
        <v/>
      </c>
      <c r="H23" s="55" t="str">
        <f t="array" ref="H23">_xlfn.XLOOKUP(B23,'Up Max'!A:A,'Up Max'!B:B,)</f>
        <v/>
      </c>
      <c r="I23" s="57" t="str">
        <f t="array" ref="I23">_xlfn.XLOOKUP(B23,'Up Stats'!A:A,'Up Stats'!C:C,)</f>
        <v/>
      </c>
      <c r="J23" s="54" t="str">
        <f>IFERROR(__xludf.DUMMYFUNCTION("if(AND(K23=FALSE,L23=FALSE),,if(K23=L23,JOIN("""",""Static: "",K23),JOIN("""",""Min:  "",K23, CHAR(10),""Max: "",L23)))"),"")</f>
        <v/>
      </c>
      <c r="K23" s="72" t="str">
        <f t="array" ref="K23">_xlfn.XLOOKUP(B23,'Up Min'!A:A,'Up Min'!C:C,)</f>
        <v/>
      </c>
      <c r="L23" s="72" t="str">
        <f t="array" ref="L23">_xlfn.XLOOKUP(B23,'Up Max'!A:A,'Up Max'!C:C,)</f>
        <v/>
      </c>
      <c r="M23" s="57" t="str">
        <f t="array" ref="M23">_xlfn.XLOOKUP(B23,'Up Stats'!A:A,'Up Stats'!D:D,)</f>
        <v/>
      </c>
      <c r="N23" s="54" t="str">
        <f>IFERROR(__xludf.DUMMYFUNCTION("if(AND(O23=FALSE,P23=FALSE),,if(O23=P23,JOIN("""",""Static: "",O23),JOIN("""",""Min:  "",O23, CHAR(10),""Max: "",P23)))"),"")</f>
        <v/>
      </c>
      <c r="O23" s="55" t="str">
        <f t="array" ref="O23">_xlfn.XLOOKUP(B23,'Up Min'!A:A,'Up Min'!D:D,)</f>
        <v/>
      </c>
      <c r="P23" s="55" t="str">
        <f t="array" ref="P23">_xlfn.XLOOKUP(B23,'Up Max'!A:A,'Up Max'!D:D,)</f>
        <v/>
      </c>
      <c r="Q23" s="57" t="str">
        <f t="array" ref="Q23">_xlfn.XLOOKUP(B23,'Up Stats'!A:A,'Up Stats'!E:E,)</f>
        <v/>
      </c>
      <c r="R23" s="54" t="str">
        <f>IFERROR(__xludf.DUMMYFUNCTION("if(AND(S23=FALSE,T23=FALSE),,if(S23=T23,JOIN("""",""Static: "",S23),JOIN("""",""Min:  "",S23, CHAR(10),""Max: "",T23)))"),"")</f>
        <v/>
      </c>
      <c r="S23" s="55" t="str">
        <f t="array" ref="S23">_xlfn.XLOOKUP(B23,'Up Min'!A:A,'Up Min'!E:E,)</f>
        <v/>
      </c>
      <c r="T23" s="55" t="str">
        <f t="array" ref="T23">_xlfn.XLOOKUP(B23,'Up Max'!A:A,'Up Max'!E:E,)</f>
        <v/>
      </c>
      <c r="U23" s="57" t="str">
        <f t="array" ref="U23">_xlfn.XLOOKUP(B23,'Up Stats'!A:A,'Up Stats'!F:F,)</f>
        <v/>
      </c>
      <c r="V23" s="54" t="str">
        <f>IFERROR(__xludf.DUMMYFUNCTION("if(AND(W23=FALSE,X23=FALSE),,if(W23=X23,JOIN("""",""Static: "",W23),JOIN("""",""Min:  "",W23, CHAR(10),""Max: "",X23)))"),"")</f>
        <v/>
      </c>
      <c r="W23" s="55" t="str">
        <f t="array" ref="W23">_xlfn.XLOOKUP(B23,'Up Min'!A:A,'Up Min'!F:F,)</f>
        <v/>
      </c>
      <c r="X23" s="55" t="str">
        <f t="array" ref="X23">_xlfn.XLOOKUP(B23,'Up Max'!A:A,'Up Max'!F:F,)</f>
        <v/>
      </c>
      <c r="Y23" s="57" t="str">
        <f t="array" ref="Y23">_xlfn.XLOOKUP(B23,'Up Stats'!A:A,'Up Stats'!G:G,)</f>
        <v/>
      </c>
      <c r="Z23" s="54" t="str">
        <f>IFERROR(__xludf.DUMMYFUNCTION("if(AND(AA23=FALSE,AB23=FALSE),,if(AA23=AB23,JOIN("""",""Static: "",AA23),JOIN("""",""Min:  "",AA23, CHAR(10),""Max: "",AB23)))"),"")</f>
        <v/>
      </c>
      <c r="AA23" s="55" t="str">
        <f t="array" ref="AA23">_xlfn.XLOOKUP(B23,'Up Min'!A:A,'Up Min'!G:G,)</f>
        <v/>
      </c>
      <c r="AB23" s="55" t="str">
        <f t="array" ref="AB23">_xlfn.XLOOKUP(B23,'Up Max'!A:A,'Up Max'!G:G,)</f>
        <v/>
      </c>
      <c r="AC23" s="57" t="str">
        <f t="array" ref="AC23">_xlfn.XLOOKUP(B23,'Up Stats'!A:A,'Up Stats'!H:H,)</f>
        <v/>
      </c>
      <c r="AD23" s="54" t="str">
        <f>IFERROR(__xludf.DUMMYFUNCTION("if(AND(AE23=FALSE,AF23=FALSE),,if(AE23=AF23,JOIN("""",""Static: "",AE23),JOIN("""",""Min:  "",AE23, CHAR(10),""Max: "",AF23)))"),"")</f>
        <v/>
      </c>
      <c r="AE23" s="55" t="str">
        <f t="array" ref="AE23">_xlfn.XLOOKUP(B23,'Up Min'!A:A,'Up Min'!H:H,)</f>
        <v/>
      </c>
      <c r="AF23" s="55" t="str">
        <f t="array" ref="AF23">_xlfn.XLOOKUP(B23,'Up Max'!A:A,'Up Max'!H:H,)</f>
        <v/>
      </c>
      <c r="AG23" s="57" t="str">
        <f t="array" ref="AG23">_xlfn.XLOOKUP(B23,'Up Stats'!A:A,'Up Stats'!I:I,)</f>
        <v/>
      </c>
      <c r="AH23" s="54" t="str">
        <f>IFERROR(__xludf.DUMMYFUNCTION("if(AND(AI23=FALSE,AJ23=FALSE),,if(AI23=AJ23,JOIN("""",""Static: "",AI23),JOIN("""",""Min:  "",AI23, CHAR(10),""Max: "",AJ23)))"),"")</f>
        <v/>
      </c>
      <c r="AI23" s="55" t="str">
        <f t="array" ref="AI23">_xlfn.XLOOKUP(B23,'Up Min'!A:A,'Up Min'!I:I,)</f>
        <v/>
      </c>
      <c r="AJ23" s="55" t="str">
        <f t="array" ref="AJ23">_xlfn.XLOOKUP(B23,'Up Max'!A:A,'Up Max'!I:I,)</f>
        <v/>
      </c>
      <c r="AK23" s="57" t="str">
        <f t="array" ref="AK23">_xlfn.XLOOKUP(B23,'Up Stats'!A:A,'Up Stats'!J:J,)</f>
        <v/>
      </c>
      <c r="AL23" s="54" t="str">
        <f>IFERROR(__xludf.DUMMYFUNCTION("if(AND(AM23=FALSE,AN23=FALSE),,if(AM23=AN23,JOIN("""",""Static: "",AM23),JOIN("""",""Min:  "",AM23, CHAR(10),""Max: "",AN23)))"),"")</f>
        <v/>
      </c>
      <c r="AM23" s="55" t="str">
        <f t="array" ref="AM23">_xlfn.XLOOKUP(B23,'Up Min'!A:A,'Up Min'!J:J,)</f>
        <v/>
      </c>
      <c r="AN23" s="55" t="str">
        <f t="array" ref="AN23">_xlfn.XLOOKUP(B23,'Up Max'!A:A,'Up Max'!J:J,)</f>
        <v/>
      </c>
      <c r="AO23" s="51" t="str">
        <f t="array" ref="AO23">CONCATENATE(_xlfn.XLOOKUP(B23,'Up Cells'!A:A,'Up Cells'!B:B,))</f>
        <v>4</v>
      </c>
      <c r="AP23" s="51" t="str">
        <f t="array" ref="AP23">CONCATENATE(_xlfn.XLOOKUP(B23,'Up Rarity'!A:A,'Up Rarity'!B:B,),CHAR(10),"-")</f>
        <v>Rare
-</v>
      </c>
    </row>
    <row r="24">
      <c r="A24" s="83" t="str">
        <f t="array" ref="A24">_xlfn.XLOOKUP(B24,'Up Icon'!A:A,'Up Icon'!B:B,)</f>
        <v/>
      </c>
      <c r="B24" s="89" t="str">
        <f t="array" ref="B24">HYPERLINK(_xlfn.XLOOKUP('Up Names'!S22,'Up Wiki'!A:A,'Up Wiki'!B:B,),'Up Names'!S22)</f>
        <v>Feedback Relay</v>
      </c>
      <c r="C24" s="37" t="str">
        <f t="array" ref="C24">_xlfn.XLOOKUP(B24,'Up Desc'!A:A,'Up Desc'!B:B,)</f>
        <v>Your Grapple Pole is partially recharged when the given element is fully applied to you.</v>
      </c>
      <c r="D24" s="37" t="str">
        <f t="array" ref="D24">_xlfn.XLOOKUP(B24,'Up Turbo'!A:A,'Up Turbo'!B:B,)</f>
        <v>n/a</v>
      </c>
      <c r="E24" s="39" t="str">
        <f t="array" ref="E24">_xlfn.XLOOKUP(B24,'Up Stats'!A:A,'Up Stats'!B:B,)</f>
        <v>Charge</v>
      </c>
      <c r="F24" s="40" t="str">
        <f>IFERROR(__xludf.DUMMYFUNCTION("if(AND(G24=FALSE,H24=FALSE),,if(G24=H24,JOIN("""",""Static: "",G24),JOIN("""",""Min:  "",G24, CHAR(10),""Max: "",H24)))"),"Min:  7.5
Max: 15")</f>
        <v>Min:  7.5
Max: 15</v>
      </c>
      <c r="G24" s="69">
        <f t="array" ref="G24">_xlfn.XLOOKUP(B24,'Up Min'!A:A,'Up Min'!B:B,)</f>
        <v>7.5</v>
      </c>
      <c r="H24" s="68">
        <f t="array" ref="H24">_xlfn.XLOOKUP(B24,'Up Max'!A:A,'Up Max'!B:B,)</f>
        <v>15</v>
      </c>
      <c r="I24" s="39" t="str">
        <f t="array" ref="I24">_xlfn.XLOOKUP(B24,'Up Stats'!A:A,'Up Stats'!C:C,)</f>
        <v>Element</v>
      </c>
      <c r="J24" s="40" t="str">
        <f>IFERROR(__xludf.DUMMYFUNCTION("if(AND(K24=FALSE,L24=FALSE),,if(K24=L24,JOIN("""",""Static: "",K24),JOIN("""",""Min:  "",K24, CHAR(10),""Max: "",L24)))"),"Static: element")</f>
        <v>Static: element</v>
      </c>
      <c r="K24" s="41" t="str">
        <f t="array" ref="K24">_xlfn.XLOOKUP(B24,'Up Min'!A:A,'Up Min'!C:C,)</f>
        <v>element</v>
      </c>
      <c r="L24" s="41" t="str">
        <f t="array" ref="L24">_xlfn.XLOOKUP(B24,'Up Max'!A:A,'Up Max'!C:C,)</f>
        <v>element</v>
      </c>
      <c r="M24" s="48" t="str">
        <f t="array" ref="M24">_xlfn.XLOOKUP(B24,'Up Stats'!A:A,'Up Stats'!D:D,)</f>
        <v/>
      </c>
      <c r="N24" s="40" t="str">
        <f>IFERROR(__xludf.DUMMYFUNCTION("if(AND(O24=FALSE,P24=FALSE),,if(O24=P24,JOIN("""",""Static: "",O24),JOIN("""",""Min:  "",O24, CHAR(10),""Max: "",P24)))"),"")</f>
        <v/>
      </c>
      <c r="O24" s="42" t="str">
        <f t="array" ref="O24">_xlfn.XLOOKUP(B24,'Up Min'!A:A,'Up Min'!D:D,)</f>
        <v/>
      </c>
      <c r="P24" s="42" t="str">
        <f t="array" ref="P24">_xlfn.XLOOKUP(B24,'Up Max'!A:A,'Up Max'!D:D,)</f>
        <v/>
      </c>
      <c r="Q24" s="48" t="str">
        <f t="array" ref="Q24">_xlfn.XLOOKUP(B24,'Up Stats'!A:A,'Up Stats'!E:E,)</f>
        <v/>
      </c>
      <c r="R24" s="40" t="str">
        <f>IFERROR(__xludf.DUMMYFUNCTION("if(AND(S24=FALSE,T24=FALSE),,if(S24=T24,JOIN("""",""Static: "",S24),JOIN("""",""Min:  "",S24, CHAR(10),""Max: "",T24)))"),"")</f>
        <v/>
      </c>
      <c r="S24" s="42" t="str">
        <f t="array" ref="S24">_xlfn.XLOOKUP(B24,'Up Min'!A:A,'Up Min'!E:E,)</f>
        <v/>
      </c>
      <c r="T24" s="42" t="str">
        <f t="array" ref="T24">_xlfn.XLOOKUP(B24,'Up Max'!A:A,'Up Max'!E:E,)</f>
        <v/>
      </c>
      <c r="U24" s="48" t="str">
        <f t="array" ref="U24">_xlfn.XLOOKUP(B24,'Up Stats'!A:A,'Up Stats'!F:F,)</f>
        <v/>
      </c>
      <c r="V24" s="40" t="str">
        <f>IFERROR(__xludf.DUMMYFUNCTION("if(AND(W24=FALSE,X24=FALSE),,if(W24=X24,JOIN("""",""Static: "",W24),JOIN("""",""Min:  "",W24, CHAR(10),""Max: "",X24)))"),"")</f>
        <v/>
      </c>
      <c r="W24" s="42" t="str">
        <f t="array" ref="W24">_xlfn.XLOOKUP(B24,'Up Min'!A:A,'Up Min'!F:F,)</f>
        <v/>
      </c>
      <c r="X24" s="42" t="str">
        <f t="array" ref="X24">_xlfn.XLOOKUP(B24,'Up Max'!A:A,'Up Max'!F:F,)</f>
        <v/>
      </c>
      <c r="Y24" s="48" t="str">
        <f t="array" ref="Y24">_xlfn.XLOOKUP(B24,'Up Stats'!A:A,'Up Stats'!G:G,)</f>
        <v/>
      </c>
      <c r="Z24" s="40" t="str">
        <f>IFERROR(__xludf.DUMMYFUNCTION("if(AND(AA24=FALSE,AB24=FALSE),,if(AA24=AB24,JOIN("""",""Static: "",AA24),JOIN("""",""Min:  "",AA24, CHAR(10),""Max: "",AB24)))"),"")</f>
        <v/>
      </c>
      <c r="AA24" s="42" t="str">
        <f t="array" ref="AA24">_xlfn.XLOOKUP(B24,'Up Min'!A:A,'Up Min'!G:G,)</f>
        <v/>
      </c>
      <c r="AB24" s="42" t="str">
        <f t="array" ref="AB24">_xlfn.XLOOKUP(B24,'Up Max'!A:A,'Up Max'!G:G,)</f>
        <v/>
      </c>
      <c r="AC24" s="48" t="str">
        <f t="array" ref="AC24">_xlfn.XLOOKUP(B24,'Up Stats'!A:A,'Up Stats'!H:H,)</f>
        <v/>
      </c>
      <c r="AD24" s="40" t="str">
        <f>IFERROR(__xludf.DUMMYFUNCTION("if(AND(AE24=FALSE,AF24=FALSE),,if(AE24=AF24,JOIN("""",""Static: "",AE24),JOIN("""",""Min:  "",AE24, CHAR(10),""Max: "",AF24)))"),"")</f>
        <v/>
      </c>
      <c r="AE24" s="42" t="str">
        <f t="array" ref="AE24">_xlfn.XLOOKUP(B24,'Up Min'!A:A,'Up Min'!H:H,)</f>
        <v/>
      </c>
      <c r="AF24" s="42" t="str">
        <f t="array" ref="AF24">_xlfn.XLOOKUP(B24,'Up Max'!A:A,'Up Max'!H:H,)</f>
        <v/>
      </c>
      <c r="AG24" s="48" t="str">
        <f t="array" ref="AG24">_xlfn.XLOOKUP(B24,'Up Stats'!A:A,'Up Stats'!I:I,)</f>
        <v/>
      </c>
      <c r="AH24" s="40" t="str">
        <f>IFERROR(__xludf.DUMMYFUNCTION("if(AND(AI24=FALSE,AJ24=FALSE),,if(AI24=AJ24,JOIN("""",""Static: "",AI24),JOIN("""",""Min:  "",AI24, CHAR(10),""Max: "",AJ24)))"),"")</f>
        <v/>
      </c>
      <c r="AI24" s="42" t="str">
        <f t="array" ref="AI24">_xlfn.XLOOKUP(B24,'Up Min'!A:A,'Up Min'!I:I,)</f>
        <v/>
      </c>
      <c r="AJ24" s="42" t="str">
        <f t="array" ref="AJ24">_xlfn.XLOOKUP(B24,'Up Max'!A:A,'Up Max'!I:I,)</f>
        <v/>
      </c>
      <c r="AK24" s="48" t="str">
        <f t="array" ref="AK24">_xlfn.XLOOKUP(B24,'Up Stats'!A:A,'Up Stats'!J:J,)</f>
        <v/>
      </c>
      <c r="AL24" s="40" t="str">
        <f>IFERROR(__xludf.DUMMYFUNCTION("if(AND(AM24=FALSE,AN24=FALSE),,if(AM24=AN24,JOIN("""",""Static: "",AM24),JOIN("""",""Min:  "",AM24, CHAR(10),""Max: "",AN24)))"),"")</f>
        <v/>
      </c>
      <c r="AM24" s="42" t="str">
        <f t="array" ref="AM24">_xlfn.XLOOKUP(B24,'Up Min'!A:A,'Up Min'!J:J,)</f>
        <v/>
      </c>
      <c r="AN24" s="42" t="str">
        <f t="array" ref="AN24">_xlfn.XLOOKUP(B24,'Up Max'!A:A,'Up Max'!J:J,)</f>
        <v/>
      </c>
      <c r="AO24" s="34" t="str">
        <f t="array" ref="AO24">CONCATENATE(_xlfn.XLOOKUP(B24,'Up Cells'!A:A,'Up Cells'!B:B,))</f>
        <v>3</v>
      </c>
      <c r="AP24" s="34" t="str">
        <f t="array" ref="AP24">CONCATENATE(_xlfn.XLOOKUP(B24,'Up Rarity'!A:A,'Up Rarity'!B:B,),CHAR(10),"-")</f>
        <v>Rare
-</v>
      </c>
    </row>
    <row r="25">
      <c r="A25" s="83" t="str">
        <f t="array" ref="A25">_xlfn.XLOOKUP(B25,'Up Icon'!A:A,'Up Icon'!B:B,)</f>
        <v/>
      </c>
      <c r="B25" s="88" t="str">
        <f t="array" ref="B25">HYPERLINK(_xlfn.XLOOKUP('Up Names'!S23,'Up Wiki'!A:A,'Up Wiki'!B:B,),'Up Names'!S23)</f>
        <v>Ideal Conditions</v>
      </c>
      <c r="C25" s="52" t="str">
        <f t="array" ref="C25">_xlfn.XLOOKUP(B25,'Up Desc'!A:A,'Up Desc'!B:B,)</f>
        <v>Grapple duration is greatly increased when out of combat. This applies to any player who uses your grapple pole.</v>
      </c>
      <c r="D25" s="52" t="str">
        <f t="array" ref="D25">_xlfn.XLOOKUP(B25,'Up Turbo'!A:A,'Up Turbo'!B:B,)</f>
        <v>n/a</v>
      </c>
      <c r="E25" s="53" t="str">
        <f t="array" ref="E25">_xlfn.XLOOKUP(B25,'Up Stats'!A:A,'Up Stats'!B:B,)</f>
        <v>Grapple Time</v>
      </c>
      <c r="F25" s="54" t="str">
        <f>IFERROR(__xludf.DUMMYFUNCTION("if(AND(G25=FALSE,H25=FALSE),,if(G25=H25,JOIN("""",""Static: "",G25),JOIN("""",""Min:  "",G25, CHAR(10),""Max: "",H25)))"),"Min:  450%
Max: 900%")</f>
        <v>Min:  450%
Max: 900%</v>
      </c>
      <c r="G25" s="59">
        <f t="array" ref="G25">_xlfn.XLOOKUP(B25,'Up Min'!A:A,'Up Min'!B:B,)</f>
        <v>4.5</v>
      </c>
      <c r="H25" s="59">
        <f t="array" ref="H25">_xlfn.XLOOKUP(B25,'Up Max'!A:A,'Up Max'!B:B,)</f>
        <v>9</v>
      </c>
      <c r="I25" s="53" t="str">
        <f t="array" ref="I25">_xlfn.XLOOKUP(B25,'Up Stats'!A:A,'Up Stats'!C:C,)</f>
        <v/>
      </c>
      <c r="J25" s="54" t="str">
        <f>IFERROR(__xludf.DUMMYFUNCTION("if(AND(K25=FALSE,L25=FALSE),,if(K25=L25,JOIN("""",""Static: "",K25),JOIN("""",""Min:  "",K25, CHAR(10),""Max: "",L25)))"),"")</f>
        <v/>
      </c>
      <c r="K25" s="72" t="str">
        <f t="array" ref="K25">_xlfn.XLOOKUP(B25,'Up Min'!A:A,'Up Min'!C:C,)</f>
        <v/>
      </c>
      <c r="L25" s="72" t="str">
        <f t="array" ref="L25">_xlfn.XLOOKUP(B25,'Up Max'!A:A,'Up Max'!C:C,)</f>
        <v/>
      </c>
      <c r="M25" s="57" t="str">
        <f t="array" ref="M25">_xlfn.XLOOKUP(B25,'Up Stats'!A:A,'Up Stats'!D:D,)</f>
        <v/>
      </c>
      <c r="N25" s="54" t="str">
        <f>IFERROR(__xludf.DUMMYFUNCTION("if(AND(O25=FALSE,P25=FALSE),,if(O25=P25,JOIN("""",""Static: "",O25),JOIN("""",""Min:  "",O25, CHAR(10),""Max: "",P25)))"),"")</f>
        <v/>
      </c>
      <c r="O25" s="55" t="str">
        <f t="array" ref="O25">_xlfn.XLOOKUP(B25,'Up Min'!A:A,'Up Min'!D:D,)</f>
        <v/>
      </c>
      <c r="P25" s="55" t="str">
        <f t="array" ref="P25">_xlfn.XLOOKUP(B25,'Up Max'!A:A,'Up Max'!D:D,)</f>
        <v/>
      </c>
      <c r="Q25" s="57" t="str">
        <f t="array" ref="Q25">_xlfn.XLOOKUP(B25,'Up Stats'!A:A,'Up Stats'!E:E,)</f>
        <v/>
      </c>
      <c r="R25" s="54" t="str">
        <f>IFERROR(__xludf.DUMMYFUNCTION("if(AND(S25=FALSE,T25=FALSE),,if(S25=T25,JOIN("""",""Static: "",S25),JOIN("""",""Min:  "",S25, CHAR(10),""Max: "",T25)))"),"")</f>
        <v/>
      </c>
      <c r="S25" s="55" t="str">
        <f t="array" ref="S25">_xlfn.XLOOKUP(B25,'Up Min'!A:A,'Up Min'!E:E,)</f>
        <v/>
      </c>
      <c r="T25" s="55" t="str">
        <f t="array" ref="T25">_xlfn.XLOOKUP(B25,'Up Max'!A:A,'Up Max'!E:E,)</f>
        <v/>
      </c>
      <c r="U25" s="57" t="str">
        <f t="array" ref="U25">_xlfn.XLOOKUP(B25,'Up Stats'!A:A,'Up Stats'!F:F,)</f>
        <v/>
      </c>
      <c r="V25" s="54" t="str">
        <f>IFERROR(__xludf.DUMMYFUNCTION("if(AND(W25=FALSE,X25=FALSE),,if(W25=X25,JOIN("""",""Static: "",W25),JOIN("""",""Min:  "",W25, CHAR(10),""Max: "",X25)))"),"")</f>
        <v/>
      </c>
      <c r="W25" s="55" t="str">
        <f t="array" ref="W25">_xlfn.XLOOKUP(B25,'Up Min'!A:A,'Up Min'!F:F,)</f>
        <v/>
      </c>
      <c r="X25" s="55" t="str">
        <f t="array" ref="X25">_xlfn.XLOOKUP(B25,'Up Max'!A:A,'Up Max'!F:F,)</f>
        <v/>
      </c>
      <c r="Y25" s="57" t="str">
        <f t="array" ref="Y25">_xlfn.XLOOKUP(B25,'Up Stats'!A:A,'Up Stats'!G:G,)</f>
        <v/>
      </c>
      <c r="Z25" s="54" t="str">
        <f>IFERROR(__xludf.DUMMYFUNCTION("if(AND(AA25=FALSE,AB25=FALSE),,if(AA25=AB25,JOIN("""",""Static: "",AA25),JOIN("""",""Min:  "",AA25, CHAR(10),""Max: "",AB25)))"),"")</f>
        <v/>
      </c>
      <c r="AA25" s="55" t="str">
        <f t="array" ref="AA25">_xlfn.XLOOKUP(B25,'Up Min'!A:A,'Up Min'!G:G,)</f>
        <v/>
      </c>
      <c r="AB25" s="55" t="str">
        <f t="array" ref="AB25">_xlfn.XLOOKUP(B25,'Up Max'!A:A,'Up Max'!G:G,)</f>
        <v/>
      </c>
      <c r="AC25" s="57" t="str">
        <f t="array" ref="AC25">_xlfn.XLOOKUP(B25,'Up Stats'!A:A,'Up Stats'!H:H,)</f>
        <v/>
      </c>
      <c r="AD25" s="54" t="str">
        <f>IFERROR(__xludf.DUMMYFUNCTION("if(AND(AE25=FALSE,AF25=FALSE),,if(AE25=AF25,JOIN("""",""Static: "",AE25),JOIN("""",""Min:  "",AE25, CHAR(10),""Max: "",AF25)))"),"")</f>
        <v/>
      </c>
      <c r="AE25" s="55" t="str">
        <f t="array" ref="AE25">_xlfn.XLOOKUP(B25,'Up Min'!A:A,'Up Min'!H:H,)</f>
        <v/>
      </c>
      <c r="AF25" s="55" t="str">
        <f t="array" ref="AF25">_xlfn.XLOOKUP(B25,'Up Max'!A:A,'Up Max'!H:H,)</f>
        <v/>
      </c>
      <c r="AG25" s="57" t="str">
        <f t="array" ref="AG25">_xlfn.XLOOKUP(B25,'Up Stats'!A:A,'Up Stats'!I:I,)</f>
        <v/>
      </c>
      <c r="AH25" s="54" t="str">
        <f>IFERROR(__xludf.DUMMYFUNCTION("if(AND(AI25=FALSE,AJ25=FALSE),,if(AI25=AJ25,JOIN("""",""Static: "",AI25),JOIN("""",""Min:  "",AI25, CHAR(10),""Max: "",AJ25)))"),"")</f>
        <v/>
      </c>
      <c r="AI25" s="55" t="str">
        <f t="array" ref="AI25">_xlfn.XLOOKUP(B25,'Up Min'!A:A,'Up Min'!I:I,)</f>
        <v/>
      </c>
      <c r="AJ25" s="55" t="str">
        <f t="array" ref="AJ25">_xlfn.XLOOKUP(B25,'Up Max'!A:A,'Up Max'!I:I,)</f>
        <v/>
      </c>
      <c r="AK25" s="57" t="str">
        <f t="array" ref="AK25">_xlfn.XLOOKUP(B25,'Up Stats'!A:A,'Up Stats'!J:J,)</f>
        <v/>
      </c>
      <c r="AL25" s="54" t="str">
        <f>IFERROR(__xludf.DUMMYFUNCTION("if(AND(AM25=FALSE,AN25=FALSE),,if(AM25=AN25,JOIN("""",""Static: "",AM25),JOIN("""",""Min:  "",AM25, CHAR(10),""Max: "",AN25)))"),"")</f>
        <v/>
      </c>
      <c r="AM25" s="55" t="str">
        <f t="array" ref="AM25">_xlfn.XLOOKUP(B25,'Up Min'!A:A,'Up Min'!J:J,)</f>
        <v/>
      </c>
      <c r="AN25" s="55" t="str">
        <f t="array" ref="AN25">_xlfn.XLOOKUP(B25,'Up Max'!A:A,'Up Max'!J:J,)</f>
        <v/>
      </c>
      <c r="AO25" s="51" t="str">
        <f t="array" ref="AO25">CONCATENATE(_xlfn.XLOOKUP(B25,'Up Cells'!A:A,'Up Cells'!B:B,))</f>
        <v>4</v>
      </c>
      <c r="AP25" s="51" t="str">
        <f t="array" ref="AP25">CONCATENATE(_xlfn.XLOOKUP(B25,'Up Rarity'!A:A,'Up Rarity'!B:B,),CHAR(10),"-")</f>
        <v>Rare
-</v>
      </c>
    </row>
    <row r="26">
      <c r="A26" s="83" t="str">
        <f t="array" ref="A26">_xlfn.XLOOKUP(B26,'Up Icon'!A:A,'Up Icon'!B:B,)</f>
        <v/>
      </c>
      <c r="B26" s="89" t="str">
        <f t="array" ref="B26">HYPERLINK(_xlfn.XLOOKUP('Up Names'!S24,'Up Wiki'!A:A,'Up Wiki'!B:B,),'Up Names'!S24)</f>
        <v>Impulse Vault</v>
      </c>
      <c r="C26" s="37" t="str">
        <f t="array" ref="C26">_xlfn.XLOOKUP(B26,'Up Desc'!A:A,'Up Desc'!B:B,)</f>
        <v>Players gain a burst of speed when detaching from your Grapple Pole.</v>
      </c>
      <c r="D26" s="37" t="str">
        <f t="array" ref="D26">_xlfn.XLOOKUP(B26,'Up Turbo'!A:A,'Up Turbo'!B:B,)</f>
        <v>n/a</v>
      </c>
      <c r="E26" s="39" t="str">
        <f t="array" ref="E26">_xlfn.XLOOKUP(B26,'Up Stats'!A:A,'Up Stats'!B:B,)</f>
        <v>Speed</v>
      </c>
      <c r="F26" s="40" t="str">
        <f>IFERROR(__xludf.DUMMYFUNCTION("if(AND(G26=FALSE,H26=FALSE),,if(G26=H26,JOIN("""",""Static: "",G26),JOIN("""",""Min:  "",G26, CHAR(10),""Max: "",H26)))"),"Min:  20
Max: 30")</f>
        <v>Min:  20
Max: 30</v>
      </c>
      <c r="G26" s="69">
        <f t="array" ref="G26">_xlfn.XLOOKUP(B26,'Up Min'!A:A,'Up Min'!B:B,)</f>
        <v>20</v>
      </c>
      <c r="H26" s="68">
        <f t="array" ref="H26">_xlfn.XLOOKUP(B26,'Up Max'!A:A,'Up Max'!B:B,)</f>
        <v>30</v>
      </c>
      <c r="I26" s="39" t="str">
        <f t="array" ref="I26">_xlfn.XLOOKUP(B26,'Up Stats'!A:A,'Up Stats'!C:C,)</f>
        <v/>
      </c>
      <c r="J26" s="40" t="str">
        <f>IFERROR(__xludf.DUMMYFUNCTION("if(AND(K26=FALSE,L26=FALSE),,if(K26=L26,JOIN("""",""Static: "",K26),JOIN("""",""Min:  "",K26, CHAR(10),""Max: "",L26)))"),"")</f>
        <v/>
      </c>
      <c r="K26" s="74" t="str">
        <f t="array" ref="K26">_xlfn.XLOOKUP(B26,'Up Min'!A:A,'Up Min'!C:C,)</f>
        <v/>
      </c>
      <c r="L26" s="74" t="str">
        <f t="array" ref="L26">_xlfn.XLOOKUP(B26,'Up Max'!A:A,'Up Max'!C:C,)</f>
        <v/>
      </c>
      <c r="M26" s="48" t="str">
        <f t="array" ref="M26">_xlfn.XLOOKUP(B26,'Up Stats'!A:A,'Up Stats'!D:D,)</f>
        <v/>
      </c>
      <c r="N26" s="40" t="str">
        <f>IFERROR(__xludf.DUMMYFUNCTION("if(AND(O26=FALSE,P26=FALSE),,if(O26=P26,JOIN("""",""Static: "",O26),JOIN("""",""Min:  "",O26, CHAR(10),""Max: "",P26)))"),"")</f>
        <v/>
      </c>
      <c r="O26" s="42" t="str">
        <f t="array" ref="O26">_xlfn.XLOOKUP(B26,'Up Min'!A:A,'Up Min'!D:D,)</f>
        <v/>
      </c>
      <c r="P26" s="42" t="str">
        <f t="array" ref="P26">_xlfn.XLOOKUP(B26,'Up Max'!A:A,'Up Max'!D:D,)</f>
        <v/>
      </c>
      <c r="Q26" s="48" t="str">
        <f t="array" ref="Q26">_xlfn.XLOOKUP(B26,'Up Stats'!A:A,'Up Stats'!E:E,)</f>
        <v/>
      </c>
      <c r="R26" s="40" t="str">
        <f>IFERROR(__xludf.DUMMYFUNCTION("if(AND(S26=FALSE,T26=FALSE),,if(S26=T26,JOIN("""",""Static: "",S26),JOIN("""",""Min:  "",S26, CHAR(10),""Max: "",T26)))"),"")</f>
        <v/>
      </c>
      <c r="S26" s="42" t="str">
        <f t="array" ref="S26">_xlfn.XLOOKUP(B26,'Up Min'!A:A,'Up Min'!E:E,)</f>
        <v/>
      </c>
      <c r="T26" s="42" t="str">
        <f t="array" ref="T26">_xlfn.XLOOKUP(B26,'Up Max'!A:A,'Up Max'!E:E,)</f>
        <v/>
      </c>
      <c r="U26" s="48" t="str">
        <f t="array" ref="U26">_xlfn.XLOOKUP(B26,'Up Stats'!A:A,'Up Stats'!F:F,)</f>
        <v/>
      </c>
      <c r="V26" s="40" t="str">
        <f>IFERROR(__xludf.DUMMYFUNCTION("if(AND(W26=FALSE,X26=FALSE),,if(W26=X26,JOIN("""",""Static: "",W26),JOIN("""",""Min:  "",W26, CHAR(10),""Max: "",X26)))"),"")</f>
        <v/>
      </c>
      <c r="W26" s="42" t="str">
        <f t="array" ref="W26">_xlfn.XLOOKUP(B26,'Up Min'!A:A,'Up Min'!F:F,)</f>
        <v/>
      </c>
      <c r="X26" s="42" t="str">
        <f t="array" ref="X26">_xlfn.XLOOKUP(B26,'Up Max'!A:A,'Up Max'!F:F,)</f>
        <v/>
      </c>
      <c r="Y26" s="48" t="str">
        <f t="array" ref="Y26">_xlfn.XLOOKUP(B26,'Up Stats'!A:A,'Up Stats'!G:G,)</f>
        <v/>
      </c>
      <c r="Z26" s="40" t="str">
        <f>IFERROR(__xludf.DUMMYFUNCTION("if(AND(AA26=FALSE,AB26=FALSE),,if(AA26=AB26,JOIN("""",""Static: "",AA26),JOIN("""",""Min:  "",AA26, CHAR(10),""Max: "",AB26)))"),"")</f>
        <v/>
      </c>
      <c r="AA26" s="42" t="str">
        <f t="array" ref="AA26">_xlfn.XLOOKUP(B26,'Up Min'!A:A,'Up Min'!G:G,)</f>
        <v/>
      </c>
      <c r="AB26" s="42" t="str">
        <f t="array" ref="AB26">_xlfn.XLOOKUP(B26,'Up Max'!A:A,'Up Max'!G:G,)</f>
        <v/>
      </c>
      <c r="AC26" s="48" t="str">
        <f t="array" ref="AC26">_xlfn.XLOOKUP(B26,'Up Stats'!A:A,'Up Stats'!H:H,)</f>
        <v/>
      </c>
      <c r="AD26" s="40" t="str">
        <f>IFERROR(__xludf.DUMMYFUNCTION("if(AND(AE26=FALSE,AF26=FALSE),,if(AE26=AF26,JOIN("""",""Static: "",AE26),JOIN("""",""Min:  "",AE26, CHAR(10),""Max: "",AF26)))"),"")</f>
        <v/>
      </c>
      <c r="AE26" s="42" t="str">
        <f t="array" ref="AE26">_xlfn.XLOOKUP(B26,'Up Min'!A:A,'Up Min'!H:H,)</f>
        <v/>
      </c>
      <c r="AF26" s="42" t="str">
        <f t="array" ref="AF26">_xlfn.XLOOKUP(B26,'Up Max'!A:A,'Up Max'!H:H,)</f>
        <v/>
      </c>
      <c r="AG26" s="48" t="str">
        <f t="array" ref="AG26">_xlfn.XLOOKUP(B26,'Up Stats'!A:A,'Up Stats'!I:I,)</f>
        <v/>
      </c>
      <c r="AH26" s="40" t="str">
        <f>IFERROR(__xludf.DUMMYFUNCTION("if(AND(AI26=FALSE,AJ26=FALSE),,if(AI26=AJ26,JOIN("""",""Static: "",AI26),JOIN("""",""Min:  "",AI26, CHAR(10),""Max: "",AJ26)))"),"")</f>
        <v/>
      </c>
      <c r="AI26" s="42" t="str">
        <f t="array" ref="AI26">_xlfn.XLOOKUP(B26,'Up Min'!A:A,'Up Min'!I:I,)</f>
        <v/>
      </c>
      <c r="AJ26" s="42" t="str">
        <f t="array" ref="AJ26">_xlfn.XLOOKUP(B26,'Up Max'!A:A,'Up Max'!I:I,)</f>
        <v/>
      </c>
      <c r="AK26" s="48" t="str">
        <f t="array" ref="AK26">_xlfn.XLOOKUP(B26,'Up Stats'!A:A,'Up Stats'!J:J,)</f>
        <v/>
      </c>
      <c r="AL26" s="40" t="str">
        <f>IFERROR(__xludf.DUMMYFUNCTION("if(AND(AM26=FALSE,AN26=FALSE),,if(AM26=AN26,JOIN("""",""Static: "",AM26),JOIN("""",""Min:  "",AM26, CHAR(10),""Max: "",AN26)))"),"")</f>
        <v/>
      </c>
      <c r="AM26" s="42" t="str">
        <f t="array" ref="AM26">_xlfn.XLOOKUP(B26,'Up Min'!A:A,'Up Min'!J:J,)</f>
        <v/>
      </c>
      <c r="AN26" s="42" t="str">
        <f t="array" ref="AN26">_xlfn.XLOOKUP(B26,'Up Max'!A:A,'Up Max'!J:J,)</f>
        <v/>
      </c>
      <c r="AO26" s="34" t="str">
        <f t="array" ref="AO26">CONCATENATE(_xlfn.XLOOKUP(B26,'Up Cells'!A:A,'Up Cells'!B:B,))</f>
        <v>4</v>
      </c>
      <c r="AP26" s="34" t="str">
        <f t="array" ref="AP26">CONCATENATE(_xlfn.XLOOKUP(B26,'Up Rarity'!A:A,'Up Rarity'!B:B,),CHAR(10),"-")</f>
        <v>Rare
-</v>
      </c>
    </row>
    <row r="27">
      <c r="A27" s="83" t="str">
        <f t="array" ref="A27">_xlfn.XLOOKUP(B27,'Up Icon'!A:A,'Up Icon'!B:B,)</f>
        <v/>
      </c>
      <c r="B27" s="88" t="str">
        <f t="array" ref="B27">HYPERLINK(_xlfn.XLOOKUP('Up Names'!S25,'Up Wiki'!A:A,'Up Wiki'!B:B,),'Up Names'!S25)</f>
        <v>Multithread</v>
      </c>
      <c r="C27" s="52" t="str">
        <f t="array" ref="C27">_xlfn.XLOOKUP(B27,'Up Desc'!A:A,'Up Desc'!B:B,)</f>
        <v>Use less grapple pole energy while using your grapple pole at the same time as another player.</v>
      </c>
      <c r="D27" s="52" t="str">
        <f t="array" ref="D27">_xlfn.XLOOKUP(B27,'Up Turbo'!A:A,'Up Turbo'!B:B,)</f>
        <v>n/a</v>
      </c>
      <c r="E27" s="53" t="str">
        <f t="array" ref="E27">_xlfn.XLOOKUP(B27,'Up Stats'!A:A,'Up Stats'!B:B,)</f>
        <v>Energy Used</v>
      </c>
      <c r="F27" s="54" t="str">
        <f>IFERROR(__xludf.DUMMYFUNCTION("if(AND(G27=FALSE,H27=FALSE),,if(G27=H27,JOIN("""",""Static: "",G27),JOIN("""",""Min:  "",G27, CHAR(10),""Max: "",H27)))"),"Min:  -93%
Max: -80%")</f>
        <v>Min:  -93%
Max: -80%</v>
      </c>
      <c r="G27" s="59">
        <f t="array" ref="G27">_xlfn.XLOOKUP(B27,'Up Min'!A:A,'Up Min'!B:B,)</f>
        <v>-0.93</v>
      </c>
      <c r="H27" s="59">
        <f t="array" ref="H27">_xlfn.XLOOKUP(B27,'Up Max'!A:A,'Up Max'!B:B,)</f>
        <v>-0.8</v>
      </c>
      <c r="I27" s="53" t="str">
        <f t="array" ref="I27">_xlfn.XLOOKUP(B27,'Up Stats'!A:A,'Up Stats'!C:C,)</f>
        <v/>
      </c>
      <c r="J27" s="54" t="str">
        <f>IFERROR(__xludf.DUMMYFUNCTION("if(AND(K27=FALSE,L27=FALSE),,if(K27=L27,JOIN("""",""Static: "",K27),JOIN("""",""Min:  "",K27, CHAR(10),""Max: "",L27)))"),"")</f>
        <v/>
      </c>
      <c r="K27" s="72" t="str">
        <f t="array" ref="K27">_xlfn.XLOOKUP(B27,'Up Min'!A:A,'Up Min'!C:C,)</f>
        <v/>
      </c>
      <c r="L27" s="72" t="str">
        <f t="array" ref="L27">_xlfn.XLOOKUP(B27,'Up Max'!A:A,'Up Max'!C:C,)</f>
        <v/>
      </c>
      <c r="M27" s="57" t="str">
        <f t="array" ref="M27">_xlfn.XLOOKUP(B27,'Up Stats'!A:A,'Up Stats'!D:D,)</f>
        <v/>
      </c>
      <c r="N27" s="54" t="str">
        <f>IFERROR(__xludf.DUMMYFUNCTION("if(AND(O27=FALSE,P27=FALSE),,if(O27=P27,JOIN("""",""Static: "",O27),JOIN("""",""Min:  "",O27, CHAR(10),""Max: "",P27)))"),"")</f>
        <v/>
      </c>
      <c r="O27" s="55" t="str">
        <f t="array" ref="O27">_xlfn.XLOOKUP(B27,'Up Min'!A:A,'Up Min'!D:D,)</f>
        <v/>
      </c>
      <c r="P27" s="55" t="str">
        <f t="array" ref="P27">_xlfn.XLOOKUP(B27,'Up Max'!A:A,'Up Max'!D:D,)</f>
        <v/>
      </c>
      <c r="Q27" s="57" t="str">
        <f t="array" ref="Q27">_xlfn.XLOOKUP(B27,'Up Stats'!A:A,'Up Stats'!E:E,)</f>
        <v/>
      </c>
      <c r="R27" s="54" t="str">
        <f>IFERROR(__xludf.DUMMYFUNCTION("if(AND(S27=FALSE,T27=FALSE),,if(S27=T27,JOIN("""",""Static: "",S27),JOIN("""",""Min:  "",S27, CHAR(10),""Max: "",T27)))"),"")</f>
        <v/>
      </c>
      <c r="S27" s="55" t="str">
        <f t="array" ref="S27">_xlfn.XLOOKUP(B27,'Up Min'!A:A,'Up Min'!E:E,)</f>
        <v/>
      </c>
      <c r="T27" s="55" t="str">
        <f t="array" ref="T27">_xlfn.XLOOKUP(B27,'Up Max'!A:A,'Up Max'!E:E,)</f>
        <v/>
      </c>
      <c r="U27" s="57" t="str">
        <f t="array" ref="U27">_xlfn.XLOOKUP(B27,'Up Stats'!A:A,'Up Stats'!F:F,)</f>
        <v/>
      </c>
      <c r="V27" s="54" t="str">
        <f>IFERROR(__xludf.DUMMYFUNCTION("if(AND(W27=FALSE,X27=FALSE),,if(W27=X27,JOIN("""",""Static: "",W27),JOIN("""",""Min:  "",W27, CHAR(10),""Max: "",X27)))"),"")</f>
        <v/>
      </c>
      <c r="W27" s="55" t="str">
        <f t="array" ref="W27">_xlfn.XLOOKUP(B27,'Up Min'!A:A,'Up Min'!F:F,)</f>
        <v/>
      </c>
      <c r="X27" s="55" t="str">
        <f t="array" ref="X27">_xlfn.XLOOKUP(B27,'Up Max'!A:A,'Up Max'!F:F,)</f>
        <v/>
      </c>
      <c r="Y27" s="57" t="str">
        <f t="array" ref="Y27">_xlfn.XLOOKUP(B27,'Up Stats'!A:A,'Up Stats'!G:G,)</f>
        <v/>
      </c>
      <c r="Z27" s="54" t="str">
        <f>IFERROR(__xludf.DUMMYFUNCTION("if(AND(AA27=FALSE,AB27=FALSE),,if(AA27=AB27,JOIN("""",""Static: "",AA27),JOIN("""",""Min:  "",AA27, CHAR(10),""Max: "",AB27)))"),"")</f>
        <v/>
      </c>
      <c r="AA27" s="55" t="str">
        <f t="array" ref="AA27">_xlfn.XLOOKUP(B27,'Up Min'!A:A,'Up Min'!G:G,)</f>
        <v/>
      </c>
      <c r="AB27" s="55" t="str">
        <f t="array" ref="AB27">_xlfn.XLOOKUP(B27,'Up Max'!A:A,'Up Max'!G:G,)</f>
        <v/>
      </c>
      <c r="AC27" s="57" t="str">
        <f t="array" ref="AC27">_xlfn.XLOOKUP(B27,'Up Stats'!A:A,'Up Stats'!H:H,)</f>
        <v/>
      </c>
      <c r="AD27" s="54" t="str">
        <f>IFERROR(__xludf.DUMMYFUNCTION("if(AND(AE27=FALSE,AF27=FALSE),,if(AE27=AF27,JOIN("""",""Static: "",AE27),JOIN("""",""Min:  "",AE27, CHAR(10),""Max: "",AF27)))"),"")</f>
        <v/>
      </c>
      <c r="AE27" s="55" t="str">
        <f t="array" ref="AE27">_xlfn.XLOOKUP(B27,'Up Min'!A:A,'Up Min'!H:H,)</f>
        <v/>
      </c>
      <c r="AF27" s="55" t="str">
        <f t="array" ref="AF27">_xlfn.XLOOKUP(B27,'Up Max'!A:A,'Up Max'!H:H,)</f>
        <v/>
      </c>
      <c r="AG27" s="57" t="str">
        <f t="array" ref="AG27">_xlfn.XLOOKUP(B27,'Up Stats'!A:A,'Up Stats'!I:I,)</f>
        <v/>
      </c>
      <c r="AH27" s="54" t="str">
        <f>IFERROR(__xludf.DUMMYFUNCTION("if(AND(AI27=FALSE,AJ27=FALSE),,if(AI27=AJ27,JOIN("""",""Static: "",AI27),JOIN("""",""Min:  "",AI27, CHAR(10),""Max: "",AJ27)))"),"")</f>
        <v/>
      </c>
      <c r="AI27" s="55" t="str">
        <f t="array" ref="AI27">_xlfn.XLOOKUP(B27,'Up Min'!A:A,'Up Min'!I:I,)</f>
        <v/>
      </c>
      <c r="AJ27" s="55" t="str">
        <f t="array" ref="AJ27">_xlfn.XLOOKUP(B27,'Up Max'!A:A,'Up Max'!I:I,)</f>
        <v/>
      </c>
      <c r="AK27" s="57" t="str">
        <f t="array" ref="AK27">_xlfn.XLOOKUP(B27,'Up Stats'!A:A,'Up Stats'!J:J,)</f>
        <v/>
      </c>
      <c r="AL27" s="54" t="str">
        <f>IFERROR(__xludf.DUMMYFUNCTION("if(AND(AM27=FALSE,AN27=FALSE),,if(AM27=AN27,JOIN("""",""Static: "",AM27),JOIN("""",""Min:  "",AM27, CHAR(10),""Max: "",AN27)))"),"")</f>
        <v/>
      </c>
      <c r="AM27" s="55" t="str">
        <f t="array" ref="AM27">_xlfn.XLOOKUP(B27,'Up Min'!A:A,'Up Min'!J:J,)</f>
        <v/>
      </c>
      <c r="AN27" s="55" t="str">
        <f t="array" ref="AN27">_xlfn.XLOOKUP(B27,'Up Max'!A:A,'Up Max'!J:J,)</f>
        <v/>
      </c>
      <c r="AO27" s="51" t="str">
        <f t="array" ref="AO27">CONCATENATE(_xlfn.XLOOKUP(B27,'Up Cells'!A:A,'Up Cells'!B:B,))</f>
        <v>4</v>
      </c>
      <c r="AP27" s="51" t="str">
        <f t="array" ref="AP27">CONCATENATE(_xlfn.XLOOKUP(B27,'Up Rarity'!A:A,'Up Rarity'!B:B,),CHAR(10),"-")</f>
        <v>Rare
-</v>
      </c>
    </row>
    <row r="28">
      <c r="A28" s="83" t="str">
        <f t="array" ref="A28">_xlfn.XLOOKUP(B28,'Up Icon'!A:A,'Up Icon'!B:B,)</f>
        <v/>
      </c>
      <c r="B28" s="89" t="str">
        <f t="array" ref="B28">HYPERLINK(_xlfn.XLOOKUP('Up Names'!S26,'Up Wiki'!A:A,'Up Wiki'!B:B,),'Up Names'!S26)</f>
        <v>Recycled Fuel</v>
      </c>
      <c r="C28" s="37" t="str">
        <f t="array" ref="C28">_xlfn.XLOOKUP(B28,'Up Desc'!A:A,'Up Desc'!B:B,)</f>
        <v>Your Jetpack lasts longer but is less stable.</v>
      </c>
      <c r="D28" s="37" t="str">
        <f t="array" ref="D28">_xlfn.XLOOKUP(B28,'Up Turbo'!A:A,'Up Turbo'!B:B,)</f>
        <v>n/a</v>
      </c>
      <c r="E28" s="39" t="str">
        <f t="array" ref="E28">_xlfn.XLOOKUP(B28,'Up Stats'!A:A,'Up Stats'!B:B,)</f>
        <v>Jetpack Duration</v>
      </c>
      <c r="F28" s="40" t="str">
        <f>IFERROR(__xludf.DUMMYFUNCTION("if(AND(G28=FALSE,H28=FALSE),,if(G28=H28,JOIN("""",""Static: "",G28),JOIN("""",""Min:  "",G28, CHAR(10),""Max: "",H28)))"),"Min:  23%
Max: 33%")</f>
        <v>Min:  23%
Max: 33%</v>
      </c>
      <c r="G28" s="41">
        <f t="array" ref="G28">_xlfn.XLOOKUP(B28,'Up Min'!A:A,'Up Min'!B:B,)</f>
        <v>0.23</v>
      </c>
      <c r="H28" s="41">
        <f t="array" ref="H28">_xlfn.XLOOKUP(B28,'Up Max'!A:A,'Up Max'!B:B,)</f>
        <v>0.33</v>
      </c>
      <c r="I28" s="39" t="str">
        <f t="array" ref="I28">_xlfn.XLOOKUP(B28,'Up Stats'!A:A,'Up Stats'!C:C,)</f>
        <v>Burp Force</v>
      </c>
      <c r="J28" s="40" t="str">
        <f>IFERROR(__xludf.DUMMYFUNCTION("if(AND(K28=FALSE,L28=FALSE),,if(K28=L28,JOIN("""",""Static: "",K28),JOIN("""",""Min:  "",K28, CHAR(10),""Max: "",L28)))"),"Min:  300%
Max: 420%")</f>
        <v>Min:  300%
Max: 420%</v>
      </c>
      <c r="K28" s="41">
        <f t="array" ref="K28">_xlfn.XLOOKUP(B28,'Up Min'!A:A,'Up Min'!C:C,)</f>
        <v>3</v>
      </c>
      <c r="L28" s="41">
        <f t="array" ref="L28">_xlfn.XLOOKUP(B28,'Up Max'!A:A,'Up Max'!C:C,)</f>
        <v>4.2</v>
      </c>
      <c r="M28" s="39" t="str">
        <f t="array" ref="M28">_xlfn.XLOOKUP(B28,'Up Stats'!A:A,'Up Stats'!D:D,)</f>
        <v/>
      </c>
      <c r="N28" s="40" t="str">
        <f>IFERROR(__xludf.DUMMYFUNCTION("if(AND(O28=FALSE,P28=FALSE),,if(O28=P28,JOIN("""",""Static: "",O28),JOIN("""",""Min:  "",O28, CHAR(10),""Max: "",P28)))"),"")</f>
        <v/>
      </c>
      <c r="O28" s="45" t="str">
        <f t="array" ref="O28">_xlfn.XLOOKUP(B28,'Up Min'!A:A,'Up Min'!D:D,)</f>
        <v/>
      </c>
      <c r="P28" s="42" t="str">
        <f t="array" ref="P28">_xlfn.XLOOKUP(B28,'Up Max'!A:A,'Up Max'!D:D,)</f>
        <v/>
      </c>
      <c r="Q28" s="48" t="str">
        <f t="array" ref="Q28">_xlfn.XLOOKUP(B28,'Up Stats'!A:A,'Up Stats'!E:E,)</f>
        <v/>
      </c>
      <c r="R28" s="40" t="str">
        <f>IFERROR(__xludf.DUMMYFUNCTION("if(AND(S28=FALSE,T28=FALSE),,if(S28=T28,JOIN("""",""Static: "",S28),JOIN("""",""Min:  "",S28, CHAR(10),""Max: "",T28)))"),"")</f>
        <v/>
      </c>
      <c r="S28" s="42" t="str">
        <f t="array" ref="S28">_xlfn.XLOOKUP(B28,'Up Min'!A:A,'Up Min'!E:E,)</f>
        <v/>
      </c>
      <c r="T28" s="42" t="str">
        <f t="array" ref="T28">_xlfn.XLOOKUP(B28,'Up Max'!A:A,'Up Max'!E:E,)</f>
        <v/>
      </c>
      <c r="U28" s="48" t="str">
        <f t="array" ref="U28">_xlfn.XLOOKUP(B28,'Up Stats'!A:A,'Up Stats'!F:F,)</f>
        <v/>
      </c>
      <c r="V28" s="40" t="str">
        <f>IFERROR(__xludf.DUMMYFUNCTION("if(AND(W28=FALSE,X28=FALSE),,if(W28=X28,JOIN("""",""Static: "",W28),JOIN("""",""Min:  "",W28, CHAR(10),""Max: "",X28)))"),"")</f>
        <v/>
      </c>
      <c r="W28" s="42" t="str">
        <f t="array" ref="W28">_xlfn.XLOOKUP(B28,'Up Min'!A:A,'Up Min'!F:F,)</f>
        <v/>
      </c>
      <c r="X28" s="42" t="str">
        <f t="array" ref="X28">_xlfn.XLOOKUP(B28,'Up Max'!A:A,'Up Max'!F:F,)</f>
        <v/>
      </c>
      <c r="Y28" s="48" t="str">
        <f t="array" ref="Y28">_xlfn.XLOOKUP(B28,'Up Stats'!A:A,'Up Stats'!G:G,)</f>
        <v/>
      </c>
      <c r="Z28" s="40" t="str">
        <f>IFERROR(__xludf.DUMMYFUNCTION("if(AND(AA28=FALSE,AB28=FALSE),,if(AA28=AB28,JOIN("""",""Static: "",AA28),JOIN("""",""Min:  "",AA28, CHAR(10),""Max: "",AB28)))"),"")</f>
        <v/>
      </c>
      <c r="AA28" s="42" t="str">
        <f t="array" ref="AA28">_xlfn.XLOOKUP(B28,'Up Min'!A:A,'Up Min'!G:G,)</f>
        <v/>
      </c>
      <c r="AB28" s="42" t="str">
        <f t="array" ref="AB28">_xlfn.XLOOKUP(B28,'Up Max'!A:A,'Up Max'!G:G,)</f>
        <v/>
      </c>
      <c r="AC28" s="48" t="str">
        <f t="array" ref="AC28">_xlfn.XLOOKUP(B28,'Up Stats'!A:A,'Up Stats'!H:H,)</f>
        <v/>
      </c>
      <c r="AD28" s="40" t="str">
        <f>IFERROR(__xludf.DUMMYFUNCTION("if(AND(AE28=FALSE,AF28=FALSE),,if(AE28=AF28,JOIN("""",""Static: "",AE28),JOIN("""",""Min:  "",AE28, CHAR(10),""Max: "",AF28)))"),"")</f>
        <v/>
      </c>
      <c r="AE28" s="42" t="str">
        <f t="array" ref="AE28">_xlfn.XLOOKUP(B28,'Up Min'!A:A,'Up Min'!H:H,)</f>
        <v/>
      </c>
      <c r="AF28" s="42" t="str">
        <f t="array" ref="AF28">_xlfn.XLOOKUP(B28,'Up Max'!A:A,'Up Max'!H:H,)</f>
        <v/>
      </c>
      <c r="AG28" s="48" t="str">
        <f t="array" ref="AG28">_xlfn.XLOOKUP(B28,'Up Stats'!A:A,'Up Stats'!I:I,)</f>
        <v/>
      </c>
      <c r="AH28" s="40" t="str">
        <f>IFERROR(__xludf.DUMMYFUNCTION("if(AND(AI28=FALSE,AJ28=FALSE),,if(AI28=AJ28,JOIN("""",""Static: "",AI28),JOIN("""",""Min:  "",AI28, CHAR(10),""Max: "",AJ28)))"),"")</f>
        <v/>
      </c>
      <c r="AI28" s="42" t="str">
        <f t="array" ref="AI28">_xlfn.XLOOKUP(B28,'Up Min'!A:A,'Up Min'!I:I,)</f>
        <v/>
      </c>
      <c r="AJ28" s="42" t="str">
        <f t="array" ref="AJ28">_xlfn.XLOOKUP(B28,'Up Max'!A:A,'Up Max'!I:I,)</f>
        <v/>
      </c>
      <c r="AK28" s="48" t="str">
        <f t="array" ref="AK28">_xlfn.XLOOKUP(B28,'Up Stats'!A:A,'Up Stats'!J:J,)</f>
        <v/>
      </c>
      <c r="AL28" s="40" t="str">
        <f>IFERROR(__xludf.DUMMYFUNCTION("if(AND(AM28=FALSE,AN28=FALSE),,if(AM28=AN28,JOIN("""",""Static: "",AM28),JOIN("""",""Min:  "",AM28, CHAR(10),""Max: "",AN28)))"),"")</f>
        <v/>
      </c>
      <c r="AM28" s="42" t="str">
        <f t="array" ref="AM28">_xlfn.XLOOKUP(B28,'Up Min'!A:A,'Up Min'!J:J,)</f>
        <v/>
      </c>
      <c r="AN28" s="42" t="str">
        <f t="array" ref="AN28">_xlfn.XLOOKUP(B28,'Up Max'!A:A,'Up Max'!J:J,)</f>
        <v/>
      </c>
      <c r="AO28" s="34" t="str">
        <f t="array" ref="AO28">CONCATENATE(_xlfn.XLOOKUP(B28,'Up Cells'!A:A,'Up Cells'!B:B,))</f>
        <v>3</v>
      </c>
      <c r="AP28" s="34" t="str">
        <f t="array" ref="AP28">CONCATENATE(_xlfn.XLOOKUP(B28,'Up Rarity'!A:A,'Up Rarity'!B:B,),CHAR(10),"-")</f>
        <v>Rare
-</v>
      </c>
    </row>
    <row r="29">
      <c r="A29" s="83" t="str">
        <f t="array" ref="A29">_xlfn.XLOOKUP(B29,'Up Icon'!A:A,'Up Icon'!B:B,)</f>
        <v/>
      </c>
      <c r="B29" s="88" t="str">
        <f t="array" ref="B29">HYPERLINK(_xlfn.XLOOKUP('Up Names'!S27,'Up Wiki'!A:A,'Up Wiki'!B:B,),'Up Names'!S27)</f>
        <v>Solar Panel</v>
      </c>
      <c r="C29" s="52" t="str">
        <f t="array" ref="C29">_xlfn.XLOOKUP(B29,'Up Desc'!A:A,'Up Desc'!B:B,)</f>
        <v>Grapple Pole cooldown is reduced.</v>
      </c>
      <c r="D29" s="52" t="str">
        <f t="array" ref="D29">_xlfn.XLOOKUP(B29,'Up Turbo'!A:A,'Up Turbo'!B:B,)</f>
        <v>n/a</v>
      </c>
      <c r="E29" s="53" t="str">
        <f t="array" ref="E29">_xlfn.XLOOKUP(B29,'Up Stats'!A:A,'Up Stats'!B:B,)</f>
        <v>Recharge Speed</v>
      </c>
      <c r="F29" s="54" t="str">
        <f>IFERROR(__xludf.DUMMYFUNCTION("if(AND(G29=FALSE,H29=FALSE),,if(G29=H29,JOIN("""",""Static: "",G29),JOIN("""",""Min:  "",G29, CHAR(10),""Max: "",H29)))"),"Min:  25%
Max: 11.11%")</f>
        <v>Min:  25%
Max: 11.11%</v>
      </c>
      <c r="G29" s="59">
        <f t="array" ref="G29">_xlfn.XLOOKUP(B29,'Up Min'!A:A,'Up Min'!B:B,)</f>
        <v>0.25</v>
      </c>
      <c r="H29" s="71">
        <f t="array" ref="H29">_xlfn.XLOOKUP(B29,'Up Max'!A:A,'Up Max'!B:B,)</f>
        <v>0.1111</v>
      </c>
      <c r="I29" s="53" t="str">
        <f t="array" ref="I29">_xlfn.XLOOKUP(B29,'Up Stats'!A:A,'Up Stats'!C:C,)</f>
        <v/>
      </c>
      <c r="J29" s="54" t="str">
        <f>IFERROR(__xludf.DUMMYFUNCTION("if(AND(K29=FALSE,L29=FALSE),,if(K29=L29,JOIN("""",""Static: "",K29),JOIN("""",""Min:  "",K29, CHAR(10),""Max: "",L29)))"),"")</f>
        <v/>
      </c>
      <c r="K29" s="72" t="str">
        <f t="array" ref="K29">_xlfn.XLOOKUP(B29,'Up Min'!A:A,'Up Min'!C:C,)</f>
        <v/>
      </c>
      <c r="L29" s="72" t="str">
        <f t="array" ref="L29">_xlfn.XLOOKUP(B29,'Up Max'!A:A,'Up Max'!C:C,)</f>
        <v/>
      </c>
      <c r="M29" s="57" t="str">
        <f t="array" ref="M29">_xlfn.XLOOKUP(B29,'Up Stats'!A:A,'Up Stats'!D:D,)</f>
        <v/>
      </c>
      <c r="N29" s="54" t="str">
        <f>IFERROR(__xludf.DUMMYFUNCTION("if(AND(O29=FALSE,P29=FALSE),,if(O29=P29,JOIN("""",""Static: "",O29),JOIN("""",""Min:  "",O29, CHAR(10),""Max: "",P29)))"),"")</f>
        <v/>
      </c>
      <c r="O29" s="55" t="str">
        <f t="array" ref="O29">_xlfn.XLOOKUP(B29,'Up Min'!A:A,'Up Min'!D:D,)</f>
        <v/>
      </c>
      <c r="P29" s="55" t="str">
        <f t="array" ref="P29">_xlfn.XLOOKUP(B29,'Up Max'!A:A,'Up Max'!D:D,)</f>
        <v/>
      </c>
      <c r="Q29" s="57" t="str">
        <f t="array" ref="Q29">_xlfn.XLOOKUP(B29,'Up Stats'!A:A,'Up Stats'!E:E,)</f>
        <v/>
      </c>
      <c r="R29" s="54" t="str">
        <f>IFERROR(__xludf.DUMMYFUNCTION("if(AND(S29=FALSE,T29=FALSE),,if(S29=T29,JOIN("""",""Static: "",S29),JOIN("""",""Min:  "",S29, CHAR(10),""Max: "",T29)))"),"")</f>
        <v/>
      </c>
      <c r="S29" s="55" t="str">
        <f t="array" ref="S29">_xlfn.XLOOKUP(B29,'Up Min'!A:A,'Up Min'!E:E,)</f>
        <v/>
      </c>
      <c r="T29" s="55" t="str">
        <f t="array" ref="T29">_xlfn.XLOOKUP(B29,'Up Max'!A:A,'Up Max'!E:E,)</f>
        <v/>
      </c>
      <c r="U29" s="57" t="str">
        <f t="array" ref="U29">_xlfn.XLOOKUP(B29,'Up Stats'!A:A,'Up Stats'!F:F,)</f>
        <v/>
      </c>
      <c r="V29" s="54" t="str">
        <f>IFERROR(__xludf.DUMMYFUNCTION("if(AND(W29=FALSE,X29=FALSE),,if(W29=X29,JOIN("""",""Static: "",W29),JOIN("""",""Min:  "",W29, CHAR(10),""Max: "",X29)))"),"")</f>
        <v/>
      </c>
      <c r="W29" s="55" t="str">
        <f t="array" ref="W29">_xlfn.XLOOKUP(B29,'Up Min'!A:A,'Up Min'!F:F,)</f>
        <v/>
      </c>
      <c r="X29" s="55" t="str">
        <f t="array" ref="X29">_xlfn.XLOOKUP(B29,'Up Max'!A:A,'Up Max'!F:F,)</f>
        <v/>
      </c>
      <c r="Y29" s="57" t="str">
        <f t="array" ref="Y29">_xlfn.XLOOKUP(B29,'Up Stats'!A:A,'Up Stats'!G:G,)</f>
        <v/>
      </c>
      <c r="Z29" s="54" t="str">
        <f>IFERROR(__xludf.DUMMYFUNCTION("if(AND(AA29=FALSE,AB29=FALSE),,if(AA29=AB29,JOIN("""",""Static: "",AA29),JOIN("""",""Min:  "",AA29, CHAR(10),""Max: "",AB29)))"),"")</f>
        <v/>
      </c>
      <c r="AA29" s="55" t="str">
        <f t="array" ref="AA29">_xlfn.XLOOKUP(B29,'Up Min'!A:A,'Up Min'!G:G,)</f>
        <v/>
      </c>
      <c r="AB29" s="55" t="str">
        <f t="array" ref="AB29">_xlfn.XLOOKUP(B29,'Up Max'!A:A,'Up Max'!G:G,)</f>
        <v/>
      </c>
      <c r="AC29" s="57" t="str">
        <f t="array" ref="AC29">_xlfn.XLOOKUP(B29,'Up Stats'!A:A,'Up Stats'!H:H,)</f>
        <v/>
      </c>
      <c r="AD29" s="54" t="str">
        <f>IFERROR(__xludf.DUMMYFUNCTION("if(AND(AE29=FALSE,AF29=FALSE),,if(AE29=AF29,JOIN("""",""Static: "",AE29),JOIN("""",""Min:  "",AE29, CHAR(10),""Max: "",AF29)))"),"")</f>
        <v/>
      </c>
      <c r="AE29" s="55" t="str">
        <f t="array" ref="AE29">_xlfn.XLOOKUP(B29,'Up Min'!A:A,'Up Min'!H:H,)</f>
        <v/>
      </c>
      <c r="AF29" s="55" t="str">
        <f t="array" ref="AF29">_xlfn.XLOOKUP(B29,'Up Max'!A:A,'Up Max'!H:H,)</f>
        <v/>
      </c>
      <c r="AG29" s="57" t="str">
        <f t="array" ref="AG29">_xlfn.XLOOKUP(B29,'Up Stats'!A:A,'Up Stats'!I:I,)</f>
        <v/>
      </c>
      <c r="AH29" s="54" t="str">
        <f>IFERROR(__xludf.DUMMYFUNCTION("if(AND(AI29=FALSE,AJ29=FALSE),,if(AI29=AJ29,JOIN("""",""Static: "",AI29),JOIN("""",""Min:  "",AI29, CHAR(10),""Max: "",AJ29)))"),"")</f>
        <v/>
      </c>
      <c r="AI29" s="55" t="str">
        <f t="array" ref="AI29">_xlfn.XLOOKUP(B29,'Up Min'!A:A,'Up Min'!I:I,)</f>
        <v/>
      </c>
      <c r="AJ29" s="55" t="str">
        <f t="array" ref="AJ29">_xlfn.XLOOKUP(B29,'Up Max'!A:A,'Up Max'!I:I,)</f>
        <v/>
      </c>
      <c r="AK29" s="57" t="str">
        <f t="array" ref="AK29">_xlfn.XLOOKUP(B29,'Up Stats'!A:A,'Up Stats'!J:J,)</f>
        <v/>
      </c>
      <c r="AL29" s="54" t="str">
        <f>IFERROR(__xludf.DUMMYFUNCTION("if(AND(AM29=FALSE,AN29=FALSE),,if(AM29=AN29,JOIN("""",""Static: "",AM29),JOIN("""",""Min:  "",AM29, CHAR(10),""Max: "",AN29)))"),"")</f>
        <v/>
      </c>
      <c r="AM29" s="55" t="str">
        <f t="array" ref="AM29">_xlfn.XLOOKUP(B29,'Up Min'!A:A,'Up Min'!J:J,)</f>
        <v/>
      </c>
      <c r="AN29" s="55" t="str">
        <f t="array" ref="AN29">_xlfn.XLOOKUP(B29,'Up Max'!A:A,'Up Max'!J:J,)</f>
        <v/>
      </c>
      <c r="AO29" s="51" t="str">
        <f t="array" ref="AO29">CONCATENATE(_xlfn.XLOOKUP(B29,'Up Cells'!A:A,'Up Cells'!B:B,))</f>
        <v>4</v>
      </c>
      <c r="AP29" s="51" t="str">
        <f t="array" ref="AP29">CONCATENATE(_xlfn.XLOOKUP(B29,'Up Rarity'!A:A,'Up Rarity'!B:B,),CHAR(10),"-")</f>
        <v>Rare
-</v>
      </c>
    </row>
    <row r="30">
      <c r="A30" s="83" t="str">
        <f t="array" ref="A30">_xlfn.XLOOKUP(B30,'Up Icon'!A:A,'Up Icon'!B:B,)</f>
        <v/>
      </c>
      <c r="B30" s="89" t="str">
        <f t="array" ref="B30">HYPERLINK(_xlfn.XLOOKUP('Up Names'!S28,'Up Wiki'!A:A,'Up Wiki'!B:B,),'Up Names'!S28)</f>
        <v>Spare Cable</v>
      </c>
      <c r="C30" s="37" t="str">
        <f t="array" ref="C30">_xlfn.XLOOKUP(B30,'Up Desc'!A:A,'Up Desc'!B:B,)</f>
        <v>Grapple duration is increased.</v>
      </c>
      <c r="D30" s="37" t="str">
        <f t="array" ref="D30">_xlfn.XLOOKUP(B30,'Up Turbo'!A:A,'Up Turbo'!B:B,)</f>
        <v>n/a</v>
      </c>
      <c r="E30" s="39" t="str">
        <f t="array" ref="E30">_xlfn.XLOOKUP(B30,'Up Stats'!A:A,'Up Stats'!B:B,)</f>
        <v>Grapple Time</v>
      </c>
      <c r="F30" s="40" t="str">
        <f>IFERROR(__xludf.DUMMYFUNCTION("if(AND(G30=FALSE,H30=FALSE),,if(G30=H30,JOIN("""",""Static: "",G30),JOIN("""",""Min:  "",G30, CHAR(10),""Max: "",H30)))"),"Min:  29%
Max: 41%")</f>
        <v>Min:  29%
Max: 41%</v>
      </c>
      <c r="G30" s="41">
        <f t="array" ref="G30">_xlfn.XLOOKUP(B30,'Up Min'!A:A,'Up Min'!B:B,)</f>
        <v>0.29</v>
      </c>
      <c r="H30" s="41">
        <f t="array" ref="H30">_xlfn.XLOOKUP(B30,'Up Max'!A:A,'Up Max'!B:B,)</f>
        <v>0.41</v>
      </c>
      <c r="I30" s="39" t="str">
        <f t="array" ref="I30">_xlfn.XLOOKUP(B30,'Up Stats'!A:A,'Up Stats'!C:C,)</f>
        <v/>
      </c>
      <c r="J30" s="40" t="str">
        <f>IFERROR(__xludf.DUMMYFUNCTION("if(AND(K30=FALSE,L30=FALSE),,if(K30=L30,JOIN("""",""Static: "",K30),JOIN("""",""Min:  "",K30, CHAR(10),""Max: "",L30)))"),"")</f>
        <v/>
      </c>
      <c r="K30" s="74" t="str">
        <f t="array" ref="K30">_xlfn.XLOOKUP(B30,'Up Min'!A:A,'Up Min'!C:C,)</f>
        <v/>
      </c>
      <c r="L30" s="74" t="str">
        <f t="array" ref="L30">_xlfn.XLOOKUP(B30,'Up Max'!A:A,'Up Max'!C:C,)</f>
        <v/>
      </c>
      <c r="M30" s="48" t="str">
        <f t="array" ref="M30">_xlfn.XLOOKUP(B30,'Up Stats'!A:A,'Up Stats'!D:D,)</f>
        <v/>
      </c>
      <c r="N30" s="40" t="str">
        <f>IFERROR(__xludf.DUMMYFUNCTION("if(AND(O30=FALSE,P30=FALSE),,if(O30=P30,JOIN("""",""Static: "",O30),JOIN("""",""Min:  "",O30, CHAR(10),""Max: "",P30)))"),"")</f>
        <v/>
      </c>
      <c r="O30" s="42" t="str">
        <f t="array" ref="O30">_xlfn.XLOOKUP(B30,'Up Min'!A:A,'Up Min'!D:D,)</f>
        <v/>
      </c>
      <c r="P30" s="42" t="str">
        <f t="array" ref="P30">_xlfn.XLOOKUP(B30,'Up Max'!A:A,'Up Max'!D:D,)</f>
        <v/>
      </c>
      <c r="Q30" s="48" t="str">
        <f t="array" ref="Q30">_xlfn.XLOOKUP(B30,'Up Stats'!A:A,'Up Stats'!E:E,)</f>
        <v/>
      </c>
      <c r="R30" s="40" t="str">
        <f>IFERROR(__xludf.DUMMYFUNCTION("if(AND(S30=FALSE,T30=FALSE),,if(S30=T30,JOIN("""",""Static: "",S30),JOIN("""",""Min:  "",S30, CHAR(10),""Max: "",T30)))"),"")</f>
        <v/>
      </c>
      <c r="S30" s="42" t="str">
        <f t="array" ref="S30">_xlfn.XLOOKUP(B30,'Up Min'!A:A,'Up Min'!E:E,)</f>
        <v/>
      </c>
      <c r="T30" s="42" t="str">
        <f t="array" ref="T30">_xlfn.XLOOKUP(B30,'Up Max'!A:A,'Up Max'!E:E,)</f>
        <v/>
      </c>
      <c r="U30" s="48" t="str">
        <f t="array" ref="U30">_xlfn.XLOOKUP(B30,'Up Stats'!A:A,'Up Stats'!F:F,)</f>
        <v/>
      </c>
      <c r="V30" s="40" t="str">
        <f>IFERROR(__xludf.DUMMYFUNCTION("if(AND(W30=FALSE,X30=FALSE),,if(W30=X30,JOIN("""",""Static: "",W30),JOIN("""",""Min:  "",W30, CHAR(10),""Max: "",X30)))"),"")</f>
        <v/>
      </c>
      <c r="W30" s="42" t="str">
        <f t="array" ref="W30">_xlfn.XLOOKUP(B30,'Up Min'!A:A,'Up Min'!F:F,)</f>
        <v/>
      </c>
      <c r="X30" s="42" t="str">
        <f t="array" ref="X30">_xlfn.XLOOKUP(B30,'Up Max'!A:A,'Up Max'!F:F,)</f>
        <v/>
      </c>
      <c r="Y30" s="48" t="str">
        <f t="array" ref="Y30">_xlfn.XLOOKUP(B30,'Up Stats'!A:A,'Up Stats'!G:G,)</f>
        <v/>
      </c>
      <c r="Z30" s="40" t="str">
        <f>IFERROR(__xludf.DUMMYFUNCTION("if(AND(AA30=FALSE,AB30=FALSE),,if(AA30=AB30,JOIN("""",""Static: "",AA30),JOIN("""",""Min:  "",AA30, CHAR(10),""Max: "",AB30)))"),"")</f>
        <v/>
      </c>
      <c r="AA30" s="42" t="str">
        <f t="array" ref="AA30">_xlfn.XLOOKUP(B30,'Up Min'!A:A,'Up Min'!G:G,)</f>
        <v/>
      </c>
      <c r="AB30" s="42" t="str">
        <f t="array" ref="AB30">_xlfn.XLOOKUP(B30,'Up Max'!A:A,'Up Max'!G:G,)</f>
        <v/>
      </c>
      <c r="AC30" s="48" t="str">
        <f t="array" ref="AC30">_xlfn.XLOOKUP(B30,'Up Stats'!A:A,'Up Stats'!H:H,)</f>
        <v/>
      </c>
      <c r="AD30" s="40" t="str">
        <f>IFERROR(__xludf.DUMMYFUNCTION("if(AND(AE30=FALSE,AF30=FALSE),,if(AE30=AF30,JOIN("""",""Static: "",AE30),JOIN("""",""Min:  "",AE30, CHAR(10),""Max: "",AF30)))"),"")</f>
        <v/>
      </c>
      <c r="AE30" s="42" t="str">
        <f t="array" ref="AE30">_xlfn.XLOOKUP(B30,'Up Min'!A:A,'Up Min'!H:H,)</f>
        <v/>
      </c>
      <c r="AF30" s="42" t="str">
        <f t="array" ref="AF30">_xlfn.XLOOKUP(B30,'Up Max'!A:A,'Up Max'!H:H,)</f>
        <v/>
      </c>
      <c r="AG30" s="48" t="str">
        <f t="array" ref="AG30">_xlfn.XLOOKUP(B30,'Up Stats'!A:A,'Up Stats'!I:I,)</f>
        <v/>
      </c>
      <c r="AH30" s="40" t="str">
        <f>IFERROR(__xludf.DUMMYFUNCTION("if(AND(AI30=FALSE,AJ30=FALSE),,if(AI30=AJ30,JOIN("""",""Static: "",AI30),JOIN("""",""Min:  "",AI30, CHAR(10),""Max: "",AJ30)))"),"")</f>
        <v/>
      </c>
      <c r="AI30" s="42" t="str">
        <f t="array" ref="AI30">_xlfn.XLOOKUP(B30,'Up Min'!A:A,'Up Min'!I:I,)</f>
        <v/>
      </c>
      <c r="AJ30" s="42" t="str">
        <f t="array" ref="AJ30">_xlfn.XLOOKUP(B30,'Up Max'!A:A,'Up Max'!I:I,)</f>
        <v/>
      </c>
      <c r="AK30" s="48" t="str">
        <f t="array" ref="AK30">_xlfn.XLOOKUP(B30,'Up Stats'!A:A,'Up Stats'!J:J,)</f>
        <v/>
      </c>
      <c r="AL30" s="40" t="str">
        <f>IFERROR(__xludf.DUMMYFUNCTION("if(AND(AM30=FALSE,AN30=FALSE),,if(AM30=AN30,JOIN("""",""Static: "",AM30),JOIN("""",""Min:  "",AM30, CHAR(10),""Max: "",AN30)))"),"")</f>
        <v/>
      </c>
      <c r="AM30" s="42" t="str">
        <f t="array" ref="AM30">_xlfn.XLOOKUP(B30,'Up Min'!A:A,'Up Min'!J:J,)</f>
        <v/>
      </c>
      <c r="AN30" s="42" t="str">
        <f t="array" ref="AN30">_xlfn.XLOOKUP(B30,'Up Max'!A:A,'Up Max'!J:J,)</f>
        <v/>
      </c>
      <c r="AO30" s="34" t="str">
        <f t="array" ref="AO30">CONCATENATE(_xlfn.XLOOKUP(B30,'Up Cells'!A:A,'Up Cells'!B:B,))</f>
        <v>5</v>
      </c>
      <c r="AP30" s="34" t="str">
        <f t="array" ref="AP30">CONCATENATE(_xlfn.XLOOKUP(B30,'Up Rarity'!A:A,'Up Rarity'!B:B,),CHAR(10),"-")</f>
        <v>Rare
-</v>
      </c>
    </row>
    <row r="31">
      <c r="A31" s="83" t="str">
        <f t="array" ref="A31">_xlfn.XLOOKUP(B31,'Up Icon'!A:A,'Up Icon'!B:B,)</f>
        <v/>
      </c>
      <c r="B31" s="88" t="str">
        <f t="array" ref="B31">HYPERLINK(_xlfn.XLOOKUP('Up Names'!S29,'Up Wiki'!A:A,'Up Wiki'!B:B,),'Up Names'!S29)</f>
        <v>Stolen Nanites</v>
      </c>
      <c r="C31" s="52" t="str">
        <f t="array" ref="C31">_xlfn.XLOOKUP(B31,'Up Desc'!A:A,'Up Desc'!B:B,)</f>
        <v>Players heal over time while attached to your Grapple Pole.</v>
      </c>
      <c r="D31" s="52" t="str">
        <f t="array" ref="D31">_xlfn.XLOOKUP(B31,'Up Turbo'!A:A,'Up Turbo'!B:B,)</f>
        <v>n/a</v>
      </c>
      <c r="E31" s="53" t="str">
        <f t="array" ref="E31">_xlfn.XLOOKUP(B31,'Up Stats'!A:A,'Up Stats'!B:B,)</f>
        <v>Healing per Second</v>
      </c>
      <c r="F31" s="54" t="str">
        <f>IFERROR(__xludf.DUMMYFUNCTION("if(AND(G31=FALSE,H31=FALSE),,if(G31=H31,JOIN("""",""Static: "",G31),JOIN("""",""Min:  "",G31, CHAR(10),""Max: "",H31)))"),"Min:  4
Max: 6")</f>
        <v>Min:  4
Max: 6</v>
      </c>
      <c r="G31" s="64">
        <f t="array" ref="G31">_xlfn.XLOOKUP(B31,'Up Min'!A:A,'Up Min'!B:B,)</f>
        <v>4</v>
      </c>
      <c r="H31" s="65">
        <f t="array" ref="H31">_xlfn.XLOOKUP(B31,'Up Max'!A:A,'Up Max'!B:B,)</f>
        <v>6</v>
      </c>
      <c r="I31" s="53" t="str">
        <f t="array" ref="I31">_xlfn.XLOOKUP(B31,'Up Stats'!A:A,'Up Stats'!C:C,)</f>
        <v/>
      </c>
      <c r="J31" s="54" t="str">
        <f>IFERROR(__xludf.DUMMYFUNCTION("if(AND(K31=FALSE,L31=FALSE),,if(K31=L31,JOIN("""",""Static: "",K31),JOIN("""",""Min:  "",K31, CHAR(10),""Max: "",L31)))"),"")</f>
        <v/>
      </c>
      <c r="K31" s="72" t="str">
        <f t="array" ref="K31">_xlfn.XLOOKUP(B31,'Up Min'!A:A,'Up Min'!C:C,)</f>
        <v/>
      </c>
      <c r="L31" s="72" t="str">
        <f t="array" ref="L31">_xlfn.XLOOKUP(B31,'Up Max'!A:A,'Up Max'!C:C,)</f>
        <v/>
      </c>
      <c r="M31" s="57" t="str">
        <f t="array" ref="M31">_xlfn.XLOOKUP(B31,'Up Stats'!A:A,'Up Stats'!D:D,)</f>
        <v/>
      </c>
      <c r="N31" s="54" t="str">
        <f>IFERROR(__xludf.DUMMYFUNCTION("if(AND(O31=FALSE,P31=FALSE),,if(O31=P31,JOIN("""",""Static: "",O31),JOIN("""",""Min:  "",O31, CHAR(10),""Max: "",P31)))"),"")</f>
        <v/>
      </c>
      <c r="O31" s="55" t="str">
        <f t="array" ref="O31">_xlfn.XLOOKUP(B31,'Up Min'!A:A,'Up Min'!D:D,)</f>
        <v/>
      </c>
      <c r="P31" s="55" t="str">
        <f t="array" ref="P31">_xlfn.XLOOKUP(B31,'Up Max'!A:A,'Up Max'!D:D,)</f>
        <v/>
      </c>
      <c r="Q31" s="57" t="str">
        <f t="array" ref="Q31">_xlfn.XLOOKUP(B31,'Up Stats'!A:A,'Up Stats'!E:E,)</f>
        <v/>
      </c>
      <c r="R31" s="54" t="str">
        <f>IFERROR(__xludf.DUMMYFUNCTION("if(AND(S31=FALSE,T31=FALSE),,if(S31=T31,JOIN("""",""Static: "",S31),JOIN("""",""Min:  "",S31, CHAR(10),""Max: "",T31)))"),"")</f>
        <v/>
      </c>
      <c r="S31" s="55" t="str">
        <f t="array" ref="S31">_xlfn.XLOOKUP(B31,'Up Min'!A:A,'Up Min'!E:E,)</f>
        <v/>
      </c>
      <c r="T31" s="55" t="str">
        <f t="array" ref="T31">_xlfn.XLOOKUP(B31,'Up Max'!A:A,'Up Max'!E:E,)</f>
        <v/>
      </c>
      <c r="U31" s="57" t="str">
        <f t="array" ref="U31">_xlfn.XLOOKUP(B31,'Up Stats'!A:A,'Up Stats'!F:F,)</f>
        <v/>
      </c>
      <c r="V31" s="54" t="str">
        <f>IFERROR(__xludf.DUMMYFUNCTION("if(AND(W31=FALSE,X31=FALSE),,if(W31=X31,JOIN("""",""Static: "",W31),JOIN("""",""Min:  "",W31, CHAR(10),""Max: "",X31)))"),"")</f>
        <v/>
      </c>
      <c r="W31" s="55" t="str">
        <f t="array" ref="W31">_xlfn.XLOOKUP(B31,'Up Min'!A:A,'Up Min'!F:F,)</f>
        <v/>
      </c>
      <c r="X31" s="55" t="str">
        <f t="array" ref="X31">_xlfn.XLOOKUP(B31,'Up Max'!A:A,'Up Max'!F:F,)</f>
        <v/>
      </c>
      <c r="Y31" s="57" t="str">
        <f t="array" ref="Y31">_xlfn.XLOOKUP(B31,'Up Stats'!A:A,'Up Stats'!G:G,)</f>
        <v/>
      </c>
      <c r="Z31" s="54" t="str">
        <f>IFERROR(__xludf.DUMMYFUNCTION("if(AND(AA31=FALSE,AB31=FALSE),,if(AA31=AB31,JOIN("""",""Static: "",AA31),JOIN("""",""Min:  "",AA31, CHAR(10),""Max: "",AB31)))"),"")</f>
        <v/>
      </c>
      <c r="AA31" s="55" t="str">
        <f t="array" ref="AA31">_xlfn.XLOOKUP(B31,'Up Min'!A:A,'Up Min'!G:G,)</f>
        <v/>
      </c>
      <c r="AB31" s="55" t="str">
        <f t="array" ref="AB31">_xlfn.XLOOKUP(B31,'Up Max'!A:A,'Up Max'!G:G,)</f>
        <v/>
      </c>
      <c r="AC31" s="57" t="str">
        <f t="array" ref="AC31">_xlfn.XLOOKUP(B31,'Up Stats'!A:A,'Up Stats'!H:H,)</f>
        <v/>
      </c>
      <c r="AD31" s="54" t="str">
        <f>IFERROR(__xludf.DUMMYFUNCTION("if(AND(AE31=FALSE,AF31=FALSE),,if(AE31=AF31,JOIN("""",""Static: "",AE31),JOIN("""",""Min:  "",AE31, CHAR(10),""Max: "",AF31)))"),"")</f>
        <v/>
      </c>
      <c r="AE31" s="55" t="str">
        <f t="array" ref="AE31">_xlfn.XLOOKUP(B31,'Up Min'!A:A,'Up Min'!H:H,)</f>
        <v/>
      </c>
      <c r="AF31" s="55" t="str">
        <f t="array" ref="AF31">_xlfn.XLOOKUP(B31,'Up Max'!A:A,'Up Max'!H:H,)</f>
        <v/>
      </c>
      <c r="AG31" s="57" t="str">
        <f t="array" ref="AG31">_xlfn.XLOOKUP(B31,'Up Stats'!A:A,'Up Stats'!I:I,)</f>
        <v/>
      </c>
      <c r="AH31" s="54" t="str">
        <f>IFERROR(__xludf.DUMMYFUNCTION("if(AND(AI31=FALSE,AJ31=FALSE),,if(AI31=AJ31,JOIN("""",""Static: "",AI31),JOIN("""",""Min:  "",AI31, CHAR(10),""Max: "",AJ31)))"),"")</f>
        <v/>
      </c>
      <c r="AI31" s="55" t="str">
        <f t="array" ref="AI31">_xlfn.XLOOKUP(B31,'Up Min'!A:A,'Up Min'!I:I,)</f>
        <v/>
      </c>
      <c r="AJ31" s="55" t="str">
        <f t="array" ref="AJ31">_xlfn.XLOOKUP(B31,'Up Max'!A:A,'Up Max'!I:I,)</f>
        <v/>
      </c>
      <c r="AK31" s="57" t="str">
        <f t="array" ref="AK31">_xlfn.XLOOKUP(B31,'Up Stats'!A:A,'Up Stats'!J:J,)</f>
        <v/>
      </c>
      <c r="AL31" s="54" t="str">
        <f>IFERROR(__xludf.DUMMYFUNCTION("if(AND(AM31=FALSE,AN31=FALSE),,if(AM31=AN31,JOIN("""",""Static: "",AM31),JOIN("""",""Min:  "",AM31, CHAR(10),""Max: "",AN31)))"),"")</f>
        <v/>
      </c>
      <c r="AM31" s="55" t="str">
        <f t="array" ref="AM31">_xlfn.XLOOKUP(B31,'Up Min'!A:A,'Up Min'!J:J,)</f>
        <v/>
      </c>
      <c r="AN31" s="55" t="str">
        <f t="array" ref="AN31">_xlfn.XLOOKUP(B31,'Up Max'!A:A,'Up Max'!J:J,)</f>
        <v/>
      </c>
      <c r="AO31" s="51" t="str">
        <f t="array" ref="AO31">CONCATENATE(_xlfn.XLOOKUP(B31,'Up Cells'!A:A,'Up Cells'!B:B,))</f>
        <v>4</v>
      </c>
      <c r="AP31" s="51" t="str">
        <f t="array" ref="AP31">CONCATENATE(_xlfn.XLOOKUP(B31,'Up Rarity'!A:A,'Up Rarity'!B:B,),CHAR(10),"-")</f>
        <v>Rare
-</v>
      </c>
    </row>
    <row r="32">
      <c r="A32" s="84" t="str">
        <f t="array" ref="A32">_xlfn.XLOOKUP(B32,'Up Icon'!A:A,'Up Icon'!B:B,)</f>
        <v/>
      </c>
      <c r="B32" s="89" t="str">
        <f t="array" ref="B32">HYPERLINK(_xlfn.XLOOKUP('Up Names'!S30,'Up Wiki'!A:A,'Up Wiki'!B:B,),'Up Names'!S30)</f>
        <v>Cooling Vents</v>
      </c>
      <c r="C32" s="37" t="str">
        <f t="array" ref="C32">_xlfn.XLOOKUP(B32,'Up Desc'!A:A,'Up Desc'!B:B,)</f>
        <v>Your Jetpack recharges faster.</v>
      </c>
      <c r="D32" s="37" t="str">
        <f t="array" ref="D32">_xlfn.XLOOKUP(B32,'Up Turbo'!A:A,'Up Turbo'!B:B,)</f>
        <v>n/a</v>
      </c>
      <c r="E32" s="39" t="str">
        <f t="array" ref="E32">_xlfn.XLOOKUP(B32,'Up Stats'!A:A,'Up Stats'!B:B,)</f>
        <v>Recharge Speed</v>
      </c>
      <c r="F32" s="40" t="str">
        <f>IFERROR(__xludf.DUMMYFUNCTION("if(AND(G32=FALSE,H32=FALSE),,if(G32=H32,JOIN("""",""Static: "",G32),JOIN("""",""Min:  "",G32, CHAR(10),""Max: "",H32)))"),"Min:  17.65%
Max: 6.38%")</f>
        <v>Min:  17.65%
Max: 6.38%</v>
      </c>
      <c r="G32" s="78">
        <f t="array" ref="G32">_xlfn.XLOOKUP(B32,'Up Min'!A:A,'Up Min'!B:B,)</f>
        <v>0.1765</v>
      </c>
      <c r="H32" s="78">
        <f t="array" ref="H32">_xlfn.XLOOKUP(B32,'Up Max'!A:A,'Up Max'!B:B,)</f>
        <v>0.0638</v>
      </c>
      <c r="I32" s="39" t="str">
        <f t="array" ref="I32">_xlfn.XLOOKUP(B32,'Up Stats'!A:A,'Up Stats'!C:C,)</f>
        <v/>
      </c>
      <c r="J32" s="40" t="str">
        <f>IFERROR(__xludf.DUMMYFUNCTION("if(AND(K32=FALSE,L32=FALSE),,if(K32=L32,JOIN("""",""Static: "",K32),JOIN("""",""Min:  "",K32, CHAR(10),""Max: "",L32)))"),"")</f>
        <v/>
      </c>
      <c r="K32" s="74" t="str">
        <f t="array" ref="K32">_xlfn.XLOOKUP(B32,'Up Min'!A:A,'Up Min'!C:C,)</f>
        <v/>
      </c>
      <c r="L32" s="74" t="str">
        <f t="array" ref="L32">_xlfn.XLOOKUP(B32,'Up Max'!A:A,'Up Max'!C:C,)</f>
        <v/>
      </c>
      <c r="M32" s="48" t="str">
        <f t="array" ref="M32">_xlfn.XLOOKUP(B32,'Up Stats'!A:A,'Up Stats'!D:D,)</f>
        <v/>
      </c>
      <c r="N32" s="40" t="str">
        <f>IFERROR(__xludf.DUMMYFUNCTION("if(AND(O32=FALSE,P32=FALSE),,if(O32=P32,JOIN("""",""Static: "",O32),JOIN("""",""Min:  "",O32, CHAR(10),""Max: "",P32)))"),"")</f>
        <v/>
      </c>
      <c r="O32" s="42" t="str">
        <f t="array" ref="O32">_xlfn.XLOOKUP(B32,'Up Min'!A:A,'Up Min'!D:D,)</f>
        <v/>
      </c>
      <c r="P32" s="42" t="str">
        <f t="array" ref="P32">_xlfn.XLOOKUP(B32,'Up Max'!A:A,'Up Max'!D:D,)</f>
        <v/>
      </c>
      <c r="Q32" s="48" t="str">
        <f t="array" ref="Q32">_xlfn.XLOOKUP(B32,'Up Stats'!A:A,'Up Stats'!E:E,)</f>
        <v/>
      </c>
      <c r="R32" s="40" t="str">
        <f>IFERROR(__xludf.DUMMYFUNCTION("if(AND(S32=FALSE,T32=FALSE),,if(S32=T32,JOIN("""",""Static: "",S32),JOIN("""",""Min:  "",S32, CHAR(10),""Max: "",T32)))"),"")</f>
        <v/>
      </c>
      <c r="S32" s="42" t="str">
        <f t="array" ref="S32">_xlfn.XLOOKUP(B32,'Up Min'!A:A,'Up Min'!E:E,)</f>
        <v/>
      </c>
      <c r="T32" s="42" t="str">
        <f t="array" ref="T32">_xlfn.XLOOKUP(B32,'Up Max'!A:A,'Up Max'!E:E,)</f>
        <v/>
      </c>
      <c r="U32" s="48" t="str">
        <f t="array" ref="U32">_xlfn.XLOOKUP(B32,'Up Stats'!A:A,'Up Stats'!F:F,)</f>
        <v/>
      </c>
      <c r="V32" s="40" t="str">
        <f>IFERROR(__xludf.DUMMYFUNCTION("if(AND(W32=FALSE,X32=FALSE),,if(W32=X32,JOIN("""",""Static: "",W32),JOIN("""",""Min:  "",W32, CHAR(10),""Max: "",X32)))"),"")</f>
        <v/>
      </c>
      <c r="W32" s="42" t="str">
        <f t="array" ref="W32">_xlfn.XLOOKUP(B32,'Up Min'!A:A,'Up Min'!F:F,)</f>
        <v/>
      </c>
      <c r="X32" s="42" t="str">
        <f t="array" ref="X32">_xlfn.XLOOKUP(B32,'Up Max'!A:A,'Up Max'!F:F,)</f>
        <v/>
      </c>
      <c r="Y32" s="48" t="str">
        <f t="array" ref="Y32">_xlfn.XLOOKUP(B32,'Up Stats'!A:A,'Up Stats'!G:G,)</f>
        <v/>
      </c>
      <c r="Z32" s="40" t="str">
        <f>IFERROR(__xludf.DUMMYFUNCTION("if(AND(AA32=FALSE,AB32=FALSE),,if(AA32=AB32,JOIN("""",""Static: "",AA32),JOIN("""",""Min:  "",AA32, CHAR(10),""Max: "",AB32)))"),"")</f>
        <v/>
      </c>
      <c r="AA32" s="42" t="str">
        <f t="array" ref="AA32">_xlfn.XLOOKUP(B32,'Up Min'!A:A,'Up Min'!G:G,)</f>
        <v/>
      </c>
      <c r="AB32" s="42" t="str">
        <f t="array" ref="AB32">_xlfn.XLOOKUP(B32,'Up Max'!A:A,'Up Max'!G:G,)</f>
        <v/>
      </c>
      <c r="AC32" s="48" t="str">
        <f t="array" ref="AC32">_xlfn.XLOOKUP(B32,'Up Stats'!A:A,'Up Stats'!H:H,)</f>
        <v/>
      </c>
      <c r="AD32" s="40" t="str">
        <f>IFERROR(__xludf.DUMMYFUNCTION("if(AND(AE32=FALSE,AF32=FALSE),,if(AE32=AF32,JOIN("""",""Static: "",AE32),JOIN("""",""Min:  "",AE32, CHAR(10),""Max: "",AF32)))"),"")</f>
        <v/>
      </c>
      <c r="AE32" s="42" t="str">
        <f t="array" ref="AE32">_xlfn.XLOOKUP(B32,'Up Min'!A:A,'Up Min'!H:H,)</f>
        <v/>
      </c>
      <c r="AF32" s="42" t="str">
        <f t="array" ref="AF32">_xlfn.XLOOKUP(B32,'Up Max'!A:A,'Up Max'!H:H,)</f>
        <v/>
      </c>
      <c r="AG32" s="48" t="str">
        <f t="array" ref="AG32">_xlfn.XLOOKUP(B32,'Up Stats'!A:A,'Up Stats'!I:I,)</f>
        <v/>
      </c>
      <c r="AH32" s="40" t="str">
        <f>IFERROR(__xludf.DUMMYFUNCTION("if(AND(AI32=FALSE,AJ32=FALSE),,if(AI32=AJ32,JOIN("""",""Static: "",AI32),JOIN("""",""Min:  "",AI32, CHAR(10),""Max: "",AJ32)))"),"")</f>
        <v/>
      </c>
      <c r="AI32" s="42" t="str">
        <f t="array" ref="AI32">_xlfn.XLOOKUP(B32,'Up Min'!A:A,'Up Min'!I:I,)</f>
        <v/>
      </c>
      <c r="AJ32" s="42" t="str">
        <f t="array" ref="AJ32">_xlfn.XLOOKUP(B32,'Up Max'!A:A,'Up Max'!I:I,)</f>
        <v/>
      </c>
      <c r="AK32" s="48" t="str">
        <f t="array" ref="AK32">_xlfn.XLOOKUP(B32,'Up Stats'!A:A,'Up Stats'!J:J,)</f>
        <v/>
      </c>
      <c r="AL32" s="40" t="str">
        <f>IFERROR(__xludf.DUMMYFUNCTION("if(AND(AM32=FALSE,AN32=FALSE),,if(AM32=AN32,JOIN("""",""Static: "",AM32),JOIN("""",""Min:  "",AM32, CHAR(10),""Max: "",AN32)))"),"")</f>
        <v/>
      </c>
      <c r="AM32" s="42" t="str">
        <f t="array" ref="AM32">_xlfn.XLOOKUP(B32,'Up Min'!A:A,'Up Min'!J:J,)</f>
        <v/>
      </c>
      <c r="AN32" s="42" t="str">
        <f t="array" ref="AN32">_xlfn.XLOOKUP(B32,'Up Max'!A:A,'Up Max'!J:J,)</f>
        <v/>
      </c>
      <c r="AO32" s="34" t="str">
        <f t="array" ref="AO32">CONCATENATE(_xlfn.XLOOKUP(B32,'Up Cells'!A:A,'Up Cells'!B:B,))</f>
        <v>3</v>
      </c>
      <c r="AP32" s="34" t="str">
        <f t="array" ref="AP32">CONCATENATE(_xlfn.XLOOKUP(B32,'Up Rarity'!A:A,'Up Rarity'!B:B,),CHAR(10),"-")</f>
        <v>Standard
-</v>
      </c>
    </row>
    <row r="33">
      <c r="A33" s="84" t="str">
        <f t="array" ref="A33">_xlfn.XLOOKUP(B33,'Up Icon'!A:A,'Up Icon'!B:B,)</f>
        <v/>
      </c>
      <c r="B33" s="88" t="str">
        <f t="array" ref="B33">HYPERLINK(_xlfn.XLOOKUP('Up Names'!S31,'Up Wiki'!A:A,'Up Wiki'!B:B,),'Up Names'!S31)</f>
        <v>Fuel Rations</v>
      </c>
      <c r="C33" s="52" t="str">
        <f t="array" ref="C33">_xlfn.XLOOKUP(B33,'Up Desc'!A:A,'Up Desc'!B:B,)</f>
        <v>Jetpack duration is increased.</v>
      </c>
      <c r="D33" s="52" t="str">
        <f t="array" ref="D33">_xlfn.XLOOKUP(B33,'Up Turbo'!A:A,'Up Turbo'!B:B,)</f>
        <v>n/a</v>
      </c>
      <c r="E33" s="53" t="str">
        <f t="array" ref="E33">_xlfn.XLOOKUP(B33,'Up Stats'!A:A,'Up Stats'!B:B,)</f>
        <v>Jetpack Duration</v>
      </c>
      <c r="F33" s="54" t="str">
        <f>IFERROR(__xludf.DUMMYFUNCTION("if(AND(G33=FALSE,H33=FALSE),,if(G33=H33,JOIN("""",""Static: "",G33),JOIN("""",""Min:  "",G33, CHAR(10),""Max: "",H33)))"),"Min:  8%
Max: 15%")</f>
        <v>Min:  8%
Max: 15%</v>
      </c>
      <c r="G33" s="59">
        <f t="array" ref="G33">_xlfn.XLOOKUP(B33,'Up Min'!A:A,'Up Min'!B:B,)</f>
        <v>0.08</v>
      </c>
      <c r="H33" s="59">
        <f t="array" ref="H33">_xlfn.XLOOKUP(B33,'Up Max'!A:A,'Up Max'!B:B,)</f>
        <v>0.15</v>
      </c>
      <c r="I33" s="53" t="str">
        <f t="array" ref="I33">_xlfn.XLOOKUP(B33,'Up Stats'!A:A,'Up Stats'!C:C,)</f>
        <v/>
      </c>
      <c r="J33" s="54" t="str">
        <f>IFERROR(__xludf.DUMMYFUNCTION("if(AND(K33=FALSE,L33=FALSE),,if(K33=L33,JOIN("""",""Static: "",K33),JOIN("""",""Min:  "",K33, CHAR(10),""Max: "",L33)))"),"")</f>
        <v/>
      </c>
      <c r="K33" s="72" t="str">
        <f t="array" ref="K33">_xlfn.XLOOKUP(B33,'Up Min'!A:A,'Up Min'!C:C,)</f>
        <v/>
      </c>
      <c r="L33" s="72" t="str">
        <f t="array" ref="L33">_xlfn.XLOOKUP(B33,'Up Max'!A:A,'Up Max'!C:C,)</f>
        <v/>
      </c>
      <c r="M33" s="57" t="str">
        <f t="array" ref="M33">_xlfn.XLOOKUP(B33,'Up Stats'!A:A,'Up Stats'!D:D,)</f>
        <v/>
      </c>
      <c r="N33" s="54" t="str">
        <f>IFERROR(__xludf.DUMMYFUNCTION("if(AND(O33=FALSE,P33=FALSE),,if(O33=P33,JOIN("""",""Static: "",O33),JOIN("""",""Min:  "",O33, CHAR(10),""Max: "",P33)))"),"")</f>
        <v/>
      </c>
      <c r="O33" s="55" t="str">
        <f t="array" ref="O33">_xlfn.XLOOKUP(B33,'Up Min'!A:A,'Up Min'!D:D,)</f>
        <v/>
      </c>
      <c r="P33" s="55" t="str">
        <f t="array" ref="P33">_xlfn.XLOOKUP(B33,'Up Max'!A:A,'Up Max'!D:D,)</f>
        <v/>
      </c>
      <c r="Q33" s="57" t="str">
        <f t="array" ref="Q33">_xlfn.XLOOKUP(B33,'Up Stats'!A:A,'Up Stats'!E:E,)</f>
        <v/>
      </c>
      <c r="R33" s="54" t="str">
        <f>IFERROR(__xludf.DUMMYFUNCTION("if(AND(S33=FALSE,T33=FALSE),,if(S33=T33,JOIN("""",""Static: "",S33),JOIN("""",""Min:  "",S33, CHAR(10),""Max: "",T33)))"),"")</f>
        <v/>
      </c>
      <c r="S33" s="55" t="str">
        <f t="array" ref="S33">_xlfn.XLOOKUP(B33,'Up Min'!A:A,'Up Min'!E:E,)</f>
        <v/>
      </c>
      <c r="T33" s="55" t="str">
        <f t="array" ref="T33">_xlfn.XLOOKUP(B33,'Up Max'!A:A,'Up Max'!E:E,)</f>
        <v/>
      </c>
      <c r="U33" s="57" t="str">
        <f t="array" ref="U33">_xlfn.XLOOKUP(B33,'Up Stats'!A:A,'Up Stats'!F:F,)</f>
        <v/>
      </c>
      <c r="V33" s="54" t="str">
        <f>IFERROR(__xludf.DUMMYFUNCTION("if(AND(W33=FALSE,X33=FALSE),,if(W33=X33,JOIN("""",""Static: "",W33),JOIN("""",""Min:  "",W33, CHAR(10),""Max: "",X33)))"),"")</f>
        <v/>
      </c>
      <c r="W33" s="55" t="str">
        <f t="array" ref="W33">_xlfn.XLOOKUP(B33,'Up Min'!A:A,'Up Min'!F:F,)</f>
        <v/>
      </c>
      <c r="X33" s="55" t="str">
        <f t="array" ref="X33">_xlfn.XLOOKUP(B33,'Up Max'!A:A,'Up Max'!F:F,)</f>
        <v/>
      </c>
      <c r="Y33" s="57" t="str">
        <f t="array" ref="Y33">_xlfn.XLOOKUP(B33,'Up Stats'!A:A,'Up Stats'!G:G,)</f>
        <v/>
      </c>
      <c r="Z33" s="54" t="str">
        <f>IFERROR(__xludf.DUMMYFUNCTION("if(AND(AA33=FALSE,AB33=FALSE),,if(AA33=AB33,JOIN("""",""Static: "",AA33),JOIN("""",""Min:  "",AA33, CHAR(10),""Max: "",AB33)))"),"")</f>
        <v/>
      </c>
      <c r="AA33" s="55" t="str">
        <f t="array" ref="AA33">_xlfn.XLOOKUP(B33,'Up Min'!A:A,'Up Min'!G:G,)</f>
        <v/>
      </c>
      <c r="AB33" s="55" t="str">
        <f t="array" ref="AB33">_xlfn.XLOOKUP(B33,'Up Max'!A:A,'Up Max'!G:G,)</f>
        <v/>
      </c>
      <c r="AC33" s="57" t="str">
        <f t="array" ref="AC33">_xlfn.XLOOKUP(B33,'Up Stats'!A:A,'Up Stats'!H:H,)</f>
        <v/>
      </c>
      <c r="AD33" s="54" t="str">
        <f>IFERROR(__xludf.DUMMYFUNCTION("if(AND(AE33=FALSE,AF33=FALSE),,if(AE33=AF33,JOIN("""",""Static: "",AE33),JOIN("""",""Min:  "",AE33, CHAR(10),""Max: "",AF33)))"),"")</f>
        <v/>
      </c>
      <c r="AE33" s="55" t="str">
        <f t="array" ref="AE33">_xlfn.XLOOKUP(B33,'Up Min'!A:A,'Up Min'!H:H,)</f>
        <v/>
      </c>
      <c r="AF33" s="55" t="str">
        <f t="array" ref="AF33">_xlfn.XLOOKUP(B33,'Up Max'!A:A,'Up Max'!H:H,)</f>
        <v/>
      </c>
      <c r="AG33" s="57" t="str">
        <f t="array" ref="AG33">_xlfn.XLOOKUP(B33,'Up Stats'!A:A,'Up Stats'!I:I,)</f>
        <v/>
      </c>
      <c r="AH33" s="54" t="str">
        <f>IFERROR(__xludf.DUMMYFUNCTION("if(AND(AI33=FALSE,AJ33=FALSE),,if(AI33=AJ33,JOIN("""",""Static: "",AI33),JOIN("""",""Min:  "",AI33, CHAR(10),""Max: "",AJ33)))"),"")</f>
        <v/>
      </c>
      <c r="AI33" s="55" t="str">
        <f t="array" ref="AI33">_xlfn.XLOOKUP(B33,'Up Min'!A:A,'Up Min'!I:I,)</f>
        <v/>
      </c>
      <c r="AJ33" s="55" t="str">
        <f t="array" ref="AJ33">_xlfn.XLOOKUP(B33,'Up Max'!A:A,'Up Max'!I:I,)</f>
        <v/>
      </c>
      <c r="AK33" s="57" t="str">
        <f t="array" ref="AK33">_xlfn.XLOOKUP(B33,'Up Stats'!A:A,'Up Stats'!J:J,)</f>
        <v/>
      </c>
      <c r="AL33" s="54" t="str">
        <f>IFERROR(__xludf.DUMMYFUNCTION("if(AND(AM33=FALSE,AN33=FALSE),,if(AM33=AN33,JOIN("""",""Static: "",AM33),JOIN("""",""Min:  "",AM33, CHAR(10),""Max: "",AN33)))"),"")</f>
        <v/>
      </c>
      <c r="AM33" s="55" t="str">
        <f t="array" ref="AM33">_xlfn.XLOOKUP(B33,'Up Min'!A:A,'Up Min'!J:J,)</f>
        <v/>
      </c>
      <c r="AN33" s="55" t="str">
        <f t="array" ref="AN33">_xlfn.XLOOKUP(B33,'Up Max'!A:A,'Up Max'!J:J,)</f>
        <v/>
      </c>
      <c r="AO33" s="51" t="str">
        <f t="array" ref="AO33">CONCATENATE(_xlfn.XLOOKUP(B33,'Up Cells'!A:A,'Up Cells'!B:B,))</f>
        <v>2</v>
      </c>
      <c r="AP33" s="51" t="str">
        <f t="array" ref="AP33">CONCATENATE(_xlfn.XLOOKUP(B33,'Up Rarity'!A:A,'Up Rarity'!B:B,),CHAR(10),"-")</f>
        <v>Standard
-</v>
      </c>
    </row>
    <row r="34">
      <c r="A34" s="84" t="str">
        <f t="array" ref="A34">_xlfn.XLOOKUP(B34,'Up Icon'!A:A,'Up Icon'!B:B,)</f>
        <v/>
      </c>
      <c r="B34" s="89" t="str">
        <f t="array" ref="B34">HYPERLINK(_xlfn.XLOOKUP('Up Names'!S32,'Up Wiki'!A:A,'Up Wiki'!B:B,),'Up Names'!S32)</f>
        <v>Pressure Increase</v>
      </c>
      <c r="C34" s="37" t="str">
        <f t="array" ref="C34">_xlfn.XLOOKUP(B34,'Up Desc'!A:A,'Up Desc'!B:B,)</f>
        <v>Jetpack force is increased.</v>
      </c>
      <c r="D34" s="37" t="str">
        <f t="array" ref="D34">_xlfn.XLOOKUP(B34,'Up Turbo'!A:A,'Up Turbo'!B:B,)</f>
        <v>n/a</v>
      </c>
      <c r="E34" s="39" t="str">
        <f t="array" ref="E34">_xlfn.XLOOKUP(B34,'Up Stats'!A:A,'Up Stats'!B:B,)</f>
        <v>Force</v>
      </c>
      <c r="F34" s="40" t="str">
        <f>IFERROR(__xludf.DUMMYFUNCTION("if(AND(G34=FALSE,H34=FALSE),,if(G34=H34,JOIN("""",""Static: "",G34),JOIN("""",""Min:  "",G34, CHAR(10),""Max: "",H34)))"),"Min:  13%
Max: 27%")</f>
        <v>Min:  13%
Max: 27%</v>
      </c>
      <c r="G34" s="41">
        <f t="array" ref="G34">_xlfn.XLOOKUP(B34,'Up Min'!A:A,'Up Min'!B:B,)</f>
        <v>0.13</v>
      </c>
      <c r="H34" s="41">
        <f t="array" ref="H34">_xlfn.XLOOKUP(B34,'Up Max'!A:A,'Up Max'!B:B,)</f>
        <v>0.27</v>
      </c>
      <c r="I34" s="39" t="str">
        <f t="array" ref="I34">_xlfn.XLOOKUP(B34,'Up Stats'!A:A,'Up Stats'!C:C,)</f>
        <v/>
      </c>
      <c r="J34" s="40" t="str">
        <f>IFERROR(__xludf.DUMMYFUNCTION("if(AND(K34=FALSE,L34=FALSE),,if(K34=L34,JOIN("""",""Static: "",K34),JOIN("""",""Min:  "",K34, CHAR(10),""Max: "",L34)))"),"")</f>
        <v/>
      </c>
      <c r="K34" s="74" t="str">
        <f t="array" ref="K34">_xlfn.XLOOKUP(B34,'Up Min'!A:A,'Up Min'!C:C,)</f>
        <v/>
      </c>
      <c r="L34" s="74" t="str">
        <f t="array" ref="L34">_xlfn.XLOOKUP(B34,'Up Max'!A:A,'Up Max'!C:C,)</f>
        <v/>
      </c>
      <c r="M34" s="48" t="str">
        <f t="array" ref="M34">_xlfn.XLOOKUP(B34,'Up Stats'!A:A,'Up Stats'!D:D,)</f>
        <v/>
      </c>
      <c r="N34" s="40" t="str">
        <f>IFERROR(__xludf.DUMMYFUNCTION("if(AND(O34=FALSE,P34=FALSE),,if(O34=P34,JOIN("""",""Static: "",O34),JOIN("""",""Min:  "",O34, CHAR(10),""Max: "",P34)))"),"")</f>
        <v/>
      </c>
      <c r="O34" s="42" t="str">
        <f t="array" ref="O34">_xlfn.XLOOKUP(B34,'Up Min'!A:A,'Up Min'!D:D,)</f>
        <v/>
      </c>
      <c r="P34" s="42" t="str">
        <f t="array" ref="P34">_xlfn.XLOOKUP(B34,'Up Max'!A:A,'Up Max'!D:D,)</f>
        <v/>
      </c>
      <c r="Q34" s="48" t="str">
        <f t="array" ref="Q34">_xlfn.XLOOKUP(B34,'Up Stats'!A:A,'Up Stats'!E:E,)</f>
        <v/>
      </c>
      <c r="R34" s="40" t="str">
        <f>IFERROR(__xludf.DUMMYFUNCTION("if(AND(S34=FALSE,T34=FALSE),,if(S34=T34,JOIN("""",""Static: "",S34),JOIN("""",""Min:  "",S34, CHAR(10),""Max: "",T34)))"),"")</f>
        <v/>
      </c>
      <c r="S34" s="42" t="str">
        <f t="array" ref="S34">_xlfn.XLOOKUP(B34,'Up Min'!A:A,'Up Min'!E:E,)</f>
        <v/>
      </c>
      <c r="T34" s="42" t="str">
        <f t="array" ref="T34">_xlfn.XLOOKUP(B34,'Up Max'!A:A,'Up Max'!E:E,)</f>
        <v/>
      </c>
      <c r="U34" s="48" t="str">
        <f t="array" ref="U34">_xlfn.XLOOKUP(B34,'Up Stats'!A:A,'Up Stats'!F:F,)</f>
        <v/>
      </c>
      <c r="V34" s="40" t="str">
        <f>IFERROR(__xludf.DUMMYFUNCTION("if(AND(W34=FALSE,X34=FALSE),,if(W34=X34,JOIN("""",""Static: "",W34),JOIN("""",""Min:  "",W34, CHAR(10),""Max: "",X34)))"),"")</f>
        <v/>
      </c>
      <c r="W34" s="42" t="str">
        <f t="array" ref="W34">_xlfn.XLOOKUP(B34,'Up Min'!A:A,'Up Min'!F:F,)</f>
        <v/>
      </c>
      <c r="X34" s="42" t="str">
        <f t="array" ref="X34">_xlfn.XLOOKUP(B34,'Up Max'!A:A,'Up Max'!F:F,)</f>
        <v/>
      </c>
      <c r="Y34" s="48" t="str">
        <f t="array" ref="Y34">_xlfn.XLOOKUP(B34,'Up Stats'!A:A,'Up Stats'!G:G,)</f>
        <v/>
      </c>
      <c r="Z34" s="40" t="str">
        <f>IFERROR(__xludf.DUMMYFUNCTION("if(AND(AA34=FALSE,AB34=FALSE),,if(AA34=AB34,JOIN("""",""Static: "",AA34),JOIN("""",""Min:  "",AA34, CHAR(10),""Max: "",AB34)))"),"")</f>
        <v/>
      </c>
      <c r="AA34" s="42" t="str">
        <f t="array" ref="AA34">_xlfn.XLOOKUP(B34,'Up Min'!A:A,'Up Min'!G:G,)</f>
        <v/>
      </c>
      <c r="AB34" s="42" t="str">
        <f t="array" ref="AB34">_xlfn.XLOOKUP(B34,'Up Max'!A:A,'Up Max'!G:G,)</f>
        <v/>
      </c>
      <c r="AC34" s="48" t="str">
        <f t="array" ref="AC34">_xlfn.XLOOKUP(B34,'Up Stats'!A:A,'Up Stats'!H:H,)</f>
        <v/>
      </c>
      <c r="AD34" s="40" t="str">
        <f>IFERROR(__xludf.DUMMYFUNCTION("if(AND(AE34=FALSE,AF34=FALSE),,if(AE34=AF34,JOIN("""",""Static: "",AE34),JOIN("""",""Min:  "",AE34, CHAR(10),""Max: "",AF34)))"),"")</f>
        <v/>
      </c>
      <c r="AE34" s="42" t="str">
        <f t="array" ref="AE34">_xlfn.XLOOKUP(B34,'Up Min'!A:A,'Up Min'!H:H,)</f>
        <v/>
      </c>
      <c r="AF34" s="42" t="str">
        <f t="array" ref="AF34">_xlfn.XLOOKUP(B34,'Up Max'!A:A,'Up Max'!H:H,)</f>
        <v/>
      </c>
      <c r="AG34" s="48" t="str">
        <f t="array" ref="AG34">_xlfn.XLOOKUP(B34,'Up Stats'!A:A,'Up Stats'!I:I,)</f>
        <v/>
      </c>
      <c r="AH34" s="40" t="str">
        <f>IFERROR(__xludf.DUMMYFUNCTION("if(AND(AI34=FALSE,AJ34=FALSE),,if(AI34=AJ34,JOIN("""",""Static: "",AI34),JOIN("""",""Min:  "",AI34, CHAR(10),""Max: "",AJ34)))"),"")</f>
        <v/>
      </c>
      <c r="AI34" s="42" t="str">
        <f t="array" ref="AI34">_xlfn.XLOOKUP(B34,'Up Min'!A:A,'Up Min'!I:I,)</f>
        <v/>
      </c>
      <c r="AJ34" s="42" t="str">
        <f t="array" ref="AJ34">_xlfn.XLOOKUP(B34,'Up Max'!A:A,'Up Max'!I:I,)</f>
        <v/>
      </c>
      <c r="AK34" s="48" t="str">
        <f t="array" ref="AK34">_xlfn.XLOOKUP(B34,'Up Stats'!A:A,'Up Stats'!J:J,)</f>
        <v/>
      </c>
      <c r="AL34" s="40" t="str">
        <f>IFERROR(__xludf.DUMMYFUNCTION("if(AND(AM34=FALSE,AN34=FALSE),,if(AM34=AN34,JOIN("""",""Static: "",AM34),JOIN("""",""Min:  "",AM34, CHAR(10),""Max: "",AN34)))"),"")</f>
        <v/>
      </c>
      <c r="AM34" s="42" t="str">
        <f t="array" ref="AM34">_xlfn.XLOOKUP(B34,'Up Min'!A:A,'Up Min'!J:J,)</f>
        <v/>
      </c>
      <c r="AN34" s="42" t="str">
        <f t="array" ref="AN34">_xlfn.XLOOKUP(B34,'Up Max'!A:A,'Up Max'!J:J,)</f>
        <v/>
      </c>
      <c r="AO34" s="34" t="str">
        <f t="array" ref="AO34">CONCATENATE(_xlfn.XLOOKUP(B34,'Up Cells'!A:A,'Up Cells'!B:B,))</f>
        <v>3</v>
      </c>
      <c r="AP34" s="34" t="str">
        <f t="array" ref="AP34">CONCATENATE(_xlfn.XLOOKUP(B34,'Up Rarity'!A:A,'Up Rarity'!B:B,),CHAR(10),"-")</f>
        <v>Standard
-</v>
      </c>
    </row>
    <row r="35">
      <c r="A35" s="84" t="str">
        <f t="array" ref="A35">_xlfn.XLOOKUP(B35,'Up Icon'!A:A,'Up Icon'!B:B,)</f>
        <v/>
      </c>
      <c r="B35" s="88" t="str">
        <f t="array" ref="B35">HYPERLINK(_xlfn.XLOOKUP('Up Names'!S33,'Up Wiki'!A:A,'Up Wiki'!B:B,),'Up Names'!S33)</f>
        <v>Tether Battery</v>
      </c>
      <c r="C35" s="52" t="str">
        <f t="array" ref="C35">_xlfn.XLOOKUP(B35,'Up Desc'!A:A,'Up Desc'!B:B,)</f>
        <v>Grapple duration is increased.</v>
      </c>
      <c r="D35" s="52" t="str">
        <f t="array" ref="D35">_xlfn.XLOOKUP(B35,'Up Turbo'!A:A,'Up Turbo'!B:B,)</f>
        <v>n/a</v>
      </c>
      <c r="E35" s="53" t="str">
        <f t="array" ref="E35">_xlfn.XLOOKUP(B35,'Up Stats'!A:A,'Up Stats'!B:B,)</f>
        <v>Grapple Time</v>
      </c>
      <c r="F35" s="54" t="str">
        <f>IFERROR(__xludf.DUMMYFUNCTION("if(AND(G35=FALSE,H35=FALSE),,if(G35=H35,JOIN("""",""Static: "",G35),JOIN("""",""Min:  "",G35, CHAR(10),""Max: "",H35)))"),"Min:  6%
Max: 22%")</f>
        <v>Min:  6%
Max: 22%</v>
      </c>
      <c r="G35" s="59">
        <f t="array" ref="G35">_xlfn.XLOOKUP(B35,'Up Min'!A:A,'Up Min'!B:B,)</f>
        <v>0.06</v>
      </c>
      <c r="H35" s="59">
        <f t="array" ref="H35">_xlfn.XLOOKUP(B35,'Up Max'!A:A,'Up Max'!B:B,)</f>
        <v>0.22</v>
      </c>
      <c r="I35" s="53" t="str">
        <f t="array" ref="I35">_xlfn.XLOOKUP(B35,'Up Stats'!A:A,'Up Stats'!C:C,)</f>
        <v/>
      </c>
      <c r="J35" s="54" t="str">
        <f>IFERROR(__xludf.DUMMYFUNCTION("if(AND(K35=FALSE,L35=FALSE),,if(K35=L35,JOIN("""",""Static: "",K35),JOIN("""",""Min:  "",K35, CHAR(10),""Max: "",L35)))"),"")</f>
        <v/>
      </c>
      <c r="K35" s="72" t="str">
        <f t="array" ref="K35">_xlfn.XLOOKUP(B35,'Up Min'!A:A,'Up Min'!C:C,)</f>
        <v/>
      </c>
      <c r="L35" s="72" t="str">
        <f t="array" ref="L35">_xlfn.XLOOKUP(B35,'Up Max'!A:A,'Up Max'!C:C,)</f>
        <v/>
      </c>
      <c r="M35" s="57" t="str">
        <f t="array" ref="M35">_xlfn.XLOOKUP(B35,'Up Stats'!A:A,'Up Stats'!D:D,)</f>
        <v/>
      </c>
      <c r="N35" s="54" t="str">
        <f>IFERROR(__xludf.DUMMYFUNCTION("if(AND(O35=FALSE,P35=FALSE),,if(O35=P35,JOIN("""",""Static: "",O35),JOIN("""",""Min:  "",O35, CHAR(10),""Max: "",P35)))"),"")</f>
        <v/>
      </c>
      <c r="O35" s="55" t="str">
        <f t="array" ref="O35">_xlfn.XLOOKUP(B35,'Up Min'!A:A,'Up Min'!D:D,)</f>
        <v/>
      </c>
      <c r="P35" s="55" t="str">
        <f t="array" ref="P35">_xlfn.XLOOKUP(B35,'Up Max'!A:A,'Up Max'!D:D,)</f>
        <v/>
      </c>
      <c r="Q35" s="57" t="str">
        <f t="array" ref="Q35">_xlfn.XLOOKUP(B35,'Up Stats'!A:A,'Up Stats'!E:E,)</f>
        <v/>
      </c>
      <c r="R35" s="54" t="str">
        <f>IFERROR(__xludf.DUMMYFUNCTION("if(AND(S35=FALSE,T35=FALSE),,if(S35=T35,JOIN("""",""Static: "",S35),JOIN("""",""Min:  "",S35, CHAR(10),""Max: "",T35)))"),"")</f>
        <v/>
      </c>
      <c r="S35" s="55" t="str">
        <f t="array" ref="S35">_xlfn.XLOOKUP(B35,'Up Min'!A:A,'Up Min'!E:E,)</f>
        <v/>
      </c>
      <c r="T35" s="55" t="str">
        <f t="array" ref="T35">_xlfn.XLOOKUP(B35,'Up Max'!A:A,'Up Max'!E:E,)</f>
        <v/>
      </c>
      <c r="U35" s="57" t="str">
        <f t="array" ref="U35">_xlfn.XLOOKUP(B35,'Up Stats'!A:A,'Up Stats'!F:F,)</f>
        <v/>
      </c>
      <c r="V35" s="54" t="str">
        <f>IFERROR(__xludf.DUMMYFUNCTION("if(AND(W35=FALSE,X35=FALSE),,if(W35=X35,JOIN("""",""Static: "",W35),JOIN("""",""Min:  "",W35, CHAR(10),""Max: "",X35)))"),"")</f>
        <v/>
      </c>
      <c r="W35" s="55" t="str">
        <f t="array" ref="W35">_xlfn.XLOOKUP(B35,'Up Min'!A:A,'Up Min'!F:F,)</f>
        <v/>
      </c>
      <c r="X35" s="55" t="str">
        <f t="array" ref="X35">_xlfn.XLOOKUP(B35,'Up Max'!A:A,'Up Max'!F:F,)</f>
        <v/>
      </c>
      <c r="Y35" s="57" t="str">
        <f t="array" ref="Y35">_xlfn.XLOOKUP(B35,'Up Stats'!A:A,'Up Stats'!G:G,)</f>
        <v/>
      </c>
      <c r="Z35" s="54" t="str">
        <f>IFERROR(__xludf.DUMMYFUNCTION("if(AND(AA35=FALSE,AB35=FALSE),,if(AA35=AB35,JOIN("""",""Static: "",AA35),JOIN("""",""Min:  "",AA35, CHAR(10),""Max: "",AB35)))"),"")</f>
        <v/>
      </c>
      <c r="AA35" s="55" t="str">
        <f t="array" ref="AA35">_xlfn.XLOOKUP(B35,'Up Min'!A:A,'Up Min'!G:G,)</f>
        <v/>
      </c>
      <c r="AB35" s="55" t="str">
        <f t="array" ref="AB35">_xlfn.XLOOKUP(B35,'Up Max'!A:A,'Up Max'!G:G,)</f>
        <v/>
      </c>
      <c r="AC35" s="57" t="str">
        <f t="array" ref="AC35">_xlfn.XLOOKUP(B35,'Up Stats'!A:A,'Up Stats'!H:H,)</f>
        <v/>
      </c>
      <c r="AD35" s="54" t="str">
        <f>IFERROR(__xludf.DUMMYFUNCTION("if(AND(AE35=FALSE,AF35=FALSE),,if(AE35=AF35,JOIN("""",""Static: "",AE35),JOIN("""",""Min:  "",AE35, CHAR(10),""Max: "",AF35)))"),"")</f>
        <v/>
      </c>
      <c r="AE35" s="55" t="str">
        <f t="array" ref="AE35">_xlfn.XLOOKUP(B35,'Up Min'!A:A,'Up Min'!H:H,)</f>
        <v/>
      </c>
      <c r="AF35" s="55" t="str">
        <f t="array" ref="AF35">_xlfn.XLOOKUP(B35,'Up Max'!A:A,'Up Max'!H:H,)</f>
        <v/>
      </c>
      <c r="AG35" s="57" t="str">
        <f t="array" ref="AG35">_xlfn.XLOOKUP(B35,'Up Stats'!A:A,'Up Stats'!I:I,)</f>
        <v/>
      </c>
      <c r="AH35" s="54" t="str">
        <f>IFERROR(__xludf.DUMMYFUNCTION("if(AND(AI35=FALSE,AJ35=FALSE),,if(AI35=AJ35,JOIN("""",""Static: "",AI35),JOIN("""",""Min:  "",AI35, CHAR(10),""Max: "",AJ35)))"),"")</f>
        <v/>
      </c>
      <c r="AI35" s="55" t="str">
        <f t="array" ref="AI35">_xlfn.XLOOKUP(B35,'Up Min'!A:A,'Up Min'!I:I,)</f>
        <v/>
      </c>
      <c r="AJ35" s="55" t="str">
        <f t="array" ref="AJ35">_xlfn.XLOOKUP(B35,'Up Max'!A:A,'Up Max'!I:I,)</f>
        <v/>
      </c>
      <c r="AK35" s="57" t="str">
        <f t="array" ref="AK35">_xlfn.XLOOKUP(B35,'Up Stats'!A:A,'Up Stats'!J:J,)</f>
        <v/>
      </c>
      <c r="AL35" s="54" t="str">
        <f>IFERROR(__xludf.DUMMYFUNCTION("if(AND(AM35=FALSE,AN35=FALSE),,if(AM35=AN35,JOIN("""",""Static: "",AM35),JOIN("""",""Min:  "",AM35, CHAR(10),""Max: "",AN35)))"),"")</f>
        <v/>
      </c>
      <c r="AM35" s="55" t="str">
        <f t="array" ref="AM35">_xlfn.XLOOKUP(B35,'Up Min'!A:A,'Up Min'!J:J,)</f>
        <v/>
      </c>
      <c r="AN35" s="55" t="str">
        <f t="array" ref="AN35">_xlfn.XLOOKUP(B35,'Up Max'!A:A,'Up Max'!J:J,)</f>
        <v/>
      </c>
      <c r="AO35" s="51" t="str">
        <f t="array" ref="AO35">CONCATENATE(_xlfn.XLOOKUP(B35,'Up Cells'!A:A,'Up Cells'!B:B,))</f>
        <v>3</v>
      </c>
      <c r="AP35" s="51" t="str">
        <f t="array" ref="AP35">CONCATENATE(_xlfn.XLOOKUP(B35,'Up Rarity'!A:A,'Up Rarity'!B:B,),CHAR(10),"-")</f>
        <v>Standard
-</v>
      </c>
    </row>
    <row r="36">
      <c r="A36" s="84" t="str">
        <f t="array" ref="A36">_xlfn.XLOOKUP(B36,'Up Icon'!A:A,'Up Icon'!B:B,)</f>
        <v/>
      </c>
      <c r="B36" s="89" t="str">
        <f t="array" ref="B36">HYPERLINK(_xlfn.XLOOKUP('Up Names'!S34,'Up Wiki'!A:A,'Up Wiki'!B:B,),'Up Names'!S34)</f>
        <v>Wireless Extenders</v>
      </c>
      <c r="C36" s="37" t="str">
        <f t="array" ref="C36">_xlfn.XLOOKUP(B36,'Up Desc'!A:A,'Up Desc'!B:B,)</f>
        <v>Grapple range is increased.</v>
      </c>
      <c r="D36" s="37" t="str">
        <f t="array" ref="D36">_xlfn.XLOOKUP(B36,'Up Turbo'!A:A,'Up Turbo'!B:B,)</f>
        <v>n/a</v>
      </c>
      <c r="E36" s="39" t="str">
        <f t="array" ref="E36">_xlfn.XLOOKUP(B36,'Up Stats'!A:A,'Up Stats'!B:B,)</f>
        <v>Grapple Range</v>
      </c>
      <c r="F36" s="40" t="str">
        <f>IFERROR(__xludf.DUMMYFUNCTION("if(AND(G36=FALSE,H36=FALSE),,if(G36=H36,JOIN("""",""Static: "",G36),JOIN("""",""Min:  "",G36, CHAR(10),""Max: "",H36)))"),"Min:  20%
Max: 30%")</f>
        <v>Min:  20%
Max: 30%</v>
      </c>
      <c r="G36" s="41">
        <f t="array" ref="G36">_xlfn.XLOOKUP(B36,'Up Min'!A:A,'Up Min'!B:B,)</f>
        <v>0.2</v>
      </c>
      <c r="H36" s="41">
        <f t="array" ref="H36">_xlfn.XLOOKUP(B36,'Up Max'!A:A,'Up Max'!B:B,)</f>
        <v>0.3</v>
      </c>
      <c r="I36" s="39" t="str">
        <f t="array" ref="I36">_xlfn.XLOOKUP(B36,'Up Stats'!A:A,'Up Stats'!C:C,)</f>
        <v/>
      </c>
      <c r="J36" s="40" t="str">
        <f>IFERROR(__xludf.DUMMYFUNCTION("if(AND(K36=FALSE,L36=FALSE),,if(K36=L36,JOIN("""",""Static: "",K36),JOIN("""",""Min:  "",K36, CHAR(10),""Max: "",L36)))"),"")</f>
        <v/>
      </c>
      <c r="K36" s="74" t="str">
        <f t="array" ref="K36">_xlfn.XLOOKUP(B36,'Up Min'!A:A,'Up Min'!C:C,)</f>
        <v/>
      </c>
      <c r="L36" s="74" t="str">
        <f t="array" ref="L36">_xlfn.XLOOKUP(B36,'Up Max'!A:A,'Up Max'!C:C,)</f>
        <v/>
      </c>
      <c r="M36" s="48" t="str">
        <f t="array" ref="M36">_xlfn.XLOOKUP(B36,'Up Stats'!A:A,'Up Stats'!D:D,)</f>
        <v/>
      </c>
      <c r="N36" s="40" t="str">
        <f>IFERROR(__xludf.DUMMYFUNCTION("if(AND(O36=FALSE,P36=FALSE),,if(O36=P36,JOIN("""",""Static: "",O36),JOIN("""",""Min:  "",O36, CHAR(10),""Max: "",P36)))"),"")</f>
        <v/>
      </c>
      <c r="O36" s="42" t="str">
        <f t="array" ref="O36">_xlfn.XLOOKUP(B36,'Up Min'!A:A,'Up Min'!D:D,)</f>
        <v/>
      </c>
      <c r="P36" s="42" t="str">
        <f t="array" ref="P36">_xlfn.XLOOKUP(B36,'Up Max'!A:A,'Up Max'!D:D,)</f>
        <v/>
      </c>
      <c r="Q36" s="48" t="str">
        <f t="array" ref="Q36">_xlfn.XLOOKUP(B36,'Up Stats'!A:A,'Up Stats'!E:E,)</f>
        <v/>
      </c>
      <c r="R36" s="40" t="str">
        <f>IFERROR(__xludf.DUMMYFUNCTION("if(AND(S36=FALSE,T36=FALSE),,if(S36=T36,JOIN("""",""Static: "",S36),JOIN("""",""Min:  "",S36, CHAR(10),""Max: "",T36)))"),"")</f>
        <v/>
      </c>
      <c r="S36" s="42" t="str">
        <f t="array" ref="S36">_xlfn.XLOOKUP(B36,'Up Min'!A:A,'Up Min'!E:E,)</f>
        <v/>
      </c>
      <c r="T36" s="42" t="str">
        <f t="array" ref="T36">_xlfn.XLOOKUP(B36,'Up Max'!A:A,'Up Max'!E:E,)</f>
        <v/>
      </c>
      <c r="U36" s="48" t="str">
        <f t="array" ref="U36">_xlfn.XLOOKUP(B36,'Up Stats'!A:A,'Up Stats'!F:F,)</f>
        <v/>
      </c>
      <c r="V36" s="40" t="str">
        <f>IFERROR(__xludf.DUMMYFUNCTION("if(AND(W36=FALSE,X36=FALSE),,if(W36=X36,JOIN("""",""Static: "",W36),JOIN("""",""Min:  "",W36, CHAR(10),""Max: "",X36)))"),"")</f>
        <v/>
      </c>
      <c r="W36" s="42" t="str">
        <f t="array" ref="W36">_xlfn.XLOOKUP(B36,'Up Min'!A:A,'Up Min'!F:F,)</f>
        <v/>
      </c>
      <c r="X36" s="42" t="str">
        <f t="array" ref="X36">_xlfn.XLOOKUP(B36,'Up Max'!A:A,'Up Max'!F:F,)</f>
        <v/>
      </c>
      <c r="Y36" s="48" t="str">
        <f t="array" ref="Y36">_xlfn.XLOOKUP(B36,'Up Stats'!A:A,'Up Stats'!G:G,)</f>
        <v/>
      </c>
      <c r="Z36" s="40" t="str">
        <f>IFERROR(__xludf.DUMMYFUNCTION("if(AND(AA36=FALSE,AB36=FALSE),,if(AA36=AB36,JOIN("""",""Static: "",AA36),JOIN("""",""Min:  "",AA36, CHAR(10),""Max: "",AB36)))"),"")</f>
        <v/>
      </c>
      <c r="AA36" s="42" t="str">
        <f t="array" ref="AA36">_xlfn.XLOOKUP(B36,'Up Min'!A:A,'Up Min'!G:G,)</f>
        <v/>
      </c>
      <c r="AB36" s="42" t="str">
        <f t="array" ref="AB36">_xlfn.XLOOKUP(B36,'Up Max'!A:A,'Up Max'!G:G,)</f>
        <v/>
      </c>
      <c r="AC36" s="48" t="str">
        <f t="array" ref="AC36">_xlfn.XLOOKUP(B36,'Up Stats'!A:A,'Up Stats'!H:H,)</f>
        <v/>
      </c>
      <c r="AD36" s="40" t="str">
        <f>IFERROR(__xludf.DUMMYFUNCTION("if(AND(AE36=FALSE,AF36=FALSE),,if(AE36=AF36,JOIN("""",""Static: "",AE36),JOIN("""",""Min:  "",AE36, CHAR(10),""Max: "",AF36)))"),"")</f>
        <v/>
      </c>
      <c r="AE36" s="42" t="str">
        <f t="array" ref="AE36">_xlfn.XLOOKUP(B36,'Up Min'!A:A,'Up Min'!H:H,)</f>
        <v/>
      </c>
      <c r="AF36" s="42" t="str">
        <f t="array" ref="AF36">_xlfn.XLOOKUP(B36,'Up Max'!A:A,'Up Max'!H:H,)</f>
        <v/>
      </c>
      <c r="AG36" s="48" t="str">
        <f t="array" ref="AG36">_xlfn.XLOOKUP(B36,'Up Stats'!A:A,'Up Stats'!I:I,)</f>
        <v/>
      </c>
      <c r="AH36" s="40" t="str">
        <f>IFERROR(__xludf.DUMMYFUNCTION("if(AND(AI36=FALSE,AJ36=FALSE),,if(AI36=AJ36,JOIN("""",""Static: "",AI36),JOIN("""",""Min:  "",AI36, CHAR(10),""Max: "",AJ36)))"),"")</f>
        <v/>
      </c>
      <c r="AI36" s="42" t="str">
        <f t="array" ref="AI36">_xlfn.XLOOKUP(B36,'Up Min'!A:A,'Up Min'!I:I,)</f>
        <v/>
      </c>
      <c r="AJ36" s="42" t="str">
        <f t="array" ref="AJ36">_xlfn.XLOOKUP(B36,'Up Max'!A:A,'Up Max'!I:I,)</f>
        <v/>
      </c>
      <c r="AK36" s="48" t="str">
        <f t="array" ref="AK36">_xlfn.XLOOKUP(B36,'Up Stats'!A:A,'Up Stats'!J:J,)</f>
        <v/>
      </c>
      <c r="AL36" s="40" t="str">
        <f>IFERROR(__xludf.DUMMYFUNCTION("if(AND(AM36=FALSE,AN36=FALSE),,if(AM36=AN36,JOIN("""",""Static: "",AM36),JOIN("""",""Min:  "",AM36, CHAR(10),""Max: "",AN36)))"),"")</f>
        <v/>
      </c>
      <c r="AM36" s="42" t="str">
        <f t="array" ref="AM36">_xlfn.XLOOKUP(B36,'Up Min'!A:A,'Up Min'!J:J,)</f>
        <v/>
      </c>
      <c r="AN36" s="42" t="str">
        <f t="array" ref="AN36">_xlfn.XLOOKUP(B36,'Up Max'!A:A,'Up Max'!J:J,)</f>
        <v/>
      </c>
      <c r="AO36" s="34" t="str">
        <f t="array" ref="AO36">CONCATENATE(_xlfn.XLOOKUP(B36,'Up Cells'!A:A,'Up Cells'!B:B,))</f>
        <v>3</v>
      </c>
      <c r="AP36" s="34" t="str">
        <f t="array" ref="AP36">CONCATENATE(_xlfn.XLOOKUP(B36,'Up Rarity'!A:A,'Up Rarity'!B:B,),CHAR(10),"-")</f>
        <v>Standard
-</v>
      </c>
    </row>
    <row r="37">
      <c r="A37" s="86" t="str">
        <f t="array" ref="A37">_xlfn.XLOOKUP(B37,'Up Icon'!A:A,'Up Icon'!B:B,)</f>
        <v/>
      </c>
      <c r="B37" s="61" t="str">
        <f t="array" ref="B37">HYPERLINK(_xlfn.XLOOKUP('Up Names'!S37,'Up Wiki'!A:A,'Up Wiki'!B:B,),'Up Names'!S37)</f>
        <v/>
      </c>
      <c r="C37" s="52" t="str">
        <f t="array" ref="C37">_xlfn.XLOOKUP(B37,'Up Desc'!A:A,'Up Desc'!B:B,)</f>
        <v/>
      </c>
      <c r="D37" s="52" t="str">
        <f t="array" ref="D37">_xlfn.XLOOKUP(B37,'Up Turbo'!A:A,'Up Turbo'!B:B,)</f>
        <v/>
      </c>
      <c r="E37" s="53" t="str">
        <f t="array" ref="E37">_xlfn.XLOOKUP(B37,'Up Stats'!A:A,'Up Stats'!B:B,)</f>
        <v/>
      </c>
      <c r="F37" s="54" t="str">
        <f>IFERROR(__xludf.DUMMYFUNCTION("if(AND(G37=FALSE,H37=FALSE),,if(G37=H37,JOIN("""",""Static: "",G37),JOIN("""",""Min:  "",G37, CHAR(10),""Max: "",H37)))"),"")</f>
        <v/>
      </c>
      <c r="G37" s="55" t="str">
        <f t="array" ref="G37">_xlfn.XLOOKUP(B37,'Up Min'!A:A,'Up Min'!B:B,)</f>
        <v/>
      </c>
      <c r="H37" s="56" t="str">
        <f t="array" ref="H37">_xlfn.XLOOKUP(B37,'Up Max'!A:A,'Up Max'!B:B,)</f>
        <v/>
      </c>
      <c r="I37" s="53" t="str">
        <f t="array" ref="I37">_xlfn.XLOOKUP(B37,'Up Stats'!A:A,'Up Stats'!C:C,)</f>
        <v/>
      </c>
      <c r="J37" s="54" t="str">
        <f>IFERROR(__xludf.DUMMYFUNCTION("if(AND(K37=FALSE,L37=FALSE),,if(K37=L37,JOIN("""",""Static: "",K37),JOIN("""",""Min:  "",K37, CHAR(10),""Max: "",L37)))"),"")</f>
        <v/>
      </c>
      <c r="K37" s="55" t="str">
        <f t="array" ref="K37">_xlfn.XLOOKUP(B37,'Up Min'!A:A,'Up Min'!C:C,)</f>
        <v/>
      </c>
      <c r="L37" s="55" t="str">
        <f t="array" ref="L37">_xlfn.XLOOKUP(B37,'Up Max'!A:A,'Up Max'!C:C,)</f>
        <v/>
      </c>
      <c r="M37" s="57" t="str">
        <f t="array" ref="M37">_xlfn.XLOOKUP(B37,'Up Stats'!A:A,'Up Stats'!D:D,)</f>
        <v/>
      </c>
      <c r="N37" s="54" t="str">
        <f>IFERROR(__xludf.DUMMYFUNCTION("if(AND(O37=FALSE,P37=FALSE),,if(O37=P37,JOIN("""",""Static: "",O37),JOIN("""",""Min:  "",O37, CHAR(10),""Max: "",P37)))"),"")</f>
        <v/>
      </c>
      <c r="O37" s="55" t="str">
        <f t="array" ref="O37">_xlfn.XLOOKUP(B37,'Up Min'!A:A,'Up Min'!D:D,)</f>
        <v/>
      </c>
      <c r="P37" s="55" t="str">
        <f t="array" ref="P37">_xlfn.XLOOKUP(B37,'Up Max'!A:A,'Up Max'!D:D,)</f>
        <v/>
      </c>
      <c r="Q37" s="57" t="str">
        <f t="array" ref="Q37">_xlfn.XLOOKUP(B37,'Up Stats'!A:A,'Up Stats'!E:E,)</f>
        <v/>
      </c>
      <c r="R37" s="54" t="str">
        <f>IFERROR(__xludf.DUMMYFUNCTION("if(AND(S37=FALSE,T37=FALSE),,if(S37=T37,JOIN("""",""Static: "",S37),JOIN("""",""Min:  "",S37, CHAR(10),""Max: "",T37)))"),"")</f>
        <v/>
      </c>
      <c r="S37" s="55" t="str">
        <f t="array" ref="S37">_xlfn.XLOOKUP(B37,'Up Min'!A:A,'Up Min'!E:E,)</f>
        <v/>
      </c>
      <c r="T37" s="55" t="str">
        <f t="array" ref="T37">_xlfn.XLOOKUP(B37,'Up Max'!A:A,'Up Max'!E:E,)</f>
        <v/>
      </c>
      <c r="U37" s="57" t="str">
        <f t="array" ref="U37">_xlfn.XLOOKUP(B37,'Up Stats'!A:A,'Up Stats'!F:F,)</f>
        <v/>
      </c>
      <c r="V37" s="54" t="str">
        <f>IFERROR(__xludf.DUMMYFUNCTION("if(AND(W37=FALSE,X37=FALSE),,if(W37=X37,JOIN("""",""Static: "",W37),JOIN("""",""Min:  "",W37, CHAR(10),""Max: "",X37)))"),"")</f>
        <v/>
      </c>
      <c r="W37" s="55" t="str">
        <f t="array" ref="W37">_xlfn.XLOOKUP(B37,'Up Min'!A:A,'Up Min'!F:F,)</f>
        <v/>
      </c>
      <c r="X37" s="55" t="str">
        <f t="array" ref="X37">_xlfn.XLOOKUP(B37,'Up Max'!A:A,'Up Max'!F:F,)</f>
        <v/>
      </c>
      <c r="Y37" s="57" t="str">
        <f t="array" ref="Y37">_xlfn.XLOOKUP(B37,'Up Stats'!A:A,'Up Stats'!G:G,)</f>
        <v/>
      </c>
      <c r="Z37" s="54" t="str">
        <f>IFERROR(__xludf.DUMMYFUNCTION("if(AND(AA37=FALSE,AB37=FALSE),,if(AA37=AB37,JOIN("""",""Static: "",AA37),JOIN("""",""Min:  "",AA37, CHAR(10),""Max: "",AB37)))"),"")</f>
        <v/>
      </c>
      <c r="AA37" s="55" t="str">
        <f t="array" ref="AA37">_xlfn.XLOOKUP(B37,'Up Min'!A:A,'Up Min'!G:G,)</f>
        <v/>
      </c>
      <c r="AB37" s="55" t="str">
        <f t="array" ref="AB37">_xlfn.XLOOKUP(B37,'Up Max'!A:A,'Up Max'!G:G,)</f>
        <v/>
      </c>
      <c r="AC37" s="57" t="str">
        <f t="array" ref="AC37">_xlfn.XLOOKUP(B37,'Up Stats'!A:A,'Up Stats'!H:H,)</f>
        <v/>
      </c>
      <c r="AD37" s="54" t="str">
        <f>IFERROR(__xludf.DUMMYFUNCTION("if(AND(AE37=FALSE,AF37=FALSE),,if(AE37=AF37,JOIN("""",""Static: "",AE37),JOIN("""",""Min:  "",AE37, CHAR(10),""Max: "",AF37)))"),"")</f>
        <v/>
      </c>
      <c r="AE37" s="55" t="str">
        <f t="array" ref="AE37">_xlfn.XLOOKUP(B37,'Up Min'!A:A,'Up Min'!H:H,)</f>
        <v/>
      </c>
      <c r="AF37" s="55" t="str">
        <f t="array" ref="AF37">_xlfn.XLOOKUP(B37,'Up Max'!A:A,'Up Max'!H:H,)</f>
        <v/>
      </c>
      <c r="AG37" s="57" t="str">
        <f t="array" ref="AG37">_xlfn.XLOOKUP(B37,'Up Stats'!A:A,'Up Stats'!I:I,)</f>
        <v/>
      </c>
      <c r="AH37" s="54" t="str">
        <f>IFERROR(__xludf.DUMMYFUNCTION("if(AND(AI37=FALSE,AJ37=FALSE),,if(AI37=AJ37,JOIN("""",""Static: "",AI37),JOIN("""",""Min:  "",AI37, CHAR(10),""Max: "",AJ37)))"),"")</f>
        <v/>
      </c>
      <c r="AI37" s="55" t="str">
        <f t="array" ref="AI37">_xlfn.XLOOKUP(B37,'Up Min'!A:A,'Up Min'!I:I,)</f>
        <v/>
      </c>
      <c r="AJ37" s="55" t="str">
        <f t="array" ref="AJ37">_xlfn.XLOOKUP(B37,'Up Max'!A:A,'Up Max'!I:I,)</f>
        <v/>
      </c>
      <c r="AK37" s="57" t="str">
        <f t="array" ref="AK37">_xlfn.XLOOKUP(B37,'Up Stats'!A:A,'Up Stats'!J:J,)</f>
        <v/>
      </c>
      <c r="AL37" s="54" t="str">
        <f>IFERROR(__xludf.DUMMYFUNCTION("if(AND(AM37=FALSE,AN37=FALSE),,if(AM37=AN37,JOIN("""",""Static: "",AM37),JOIN("""",""Min:  "",AM37, CHAR(10),""Max: "",AN37)))"),"")</f>
        <v/>
      </c>
      <c r="AM37" s="55" t="str">
        <f t="array" ref="AM37">_xlfn.XLOOKUP(B37,'Up Min'!A:A,'Up Min'!J:J,)</f>
        <v/>
      </c>
      <c r="AN37" s="55" t="str">
        <f t="array" ref="AN37">_xlfn.XLOOKUP(B37,'Up Max'!A:A,'Up Max'!J:J,)</f>
        <v/>
      </c>
      <c r="AO37" s="51" t="str">
        <f t="array" ref="AO37">CONCATENATE(_xlfn.XLOOKUP(B37,'Up Cells'!A:A,'Up Cells'!B:B,))</f>
        <v/>
      </c>
      <c r="AP37" s="51" t="str">
        <f t="array" ref="AP37">CONCATENATE(_xlfn.XLOOKUP(B37,'Up Rarity'!A:A,'Up Rarity'!B:B,),CHAR(10),"-")</f>
        <v>
-</v>
      </c>
    </row>
    <row r="38">
      <c r="A38" s="87" t="str">
        <f t="array" ref="A38">_xlfn.XLOOKUP(B38,'Up Icon'!A:A,'Up Icon'!B:B,)</f>
        <v/>
      </c>
      <c r="B38" s="58" t="str">
        <f t="array" ref="B38">HYPERLINK(_xlfn.XLOOKUP('Up Names'!S38,'Up Wiki'!A:A,'Up Wiki'!B:B,),'Up Names'!S38)</f>
        <v/>
      </c>
      <c r="C38" s="37" t="str">
        <f t="array" ref="C38">_xlfn.XLOOKUP(B38,'Up Desc'!A:A,'Up Desc'!B:B,)</f>
        <v/>
      </c>
      <c r="D38" s="37" t="str">
        <f t="array" ref="D38">_xlfn.XLOOKUP(B38,'Up Turbo'!A:A,'Up Turbo'!B:B,)</f>
        <v/>
      </c>
      <c r="E38" s="39" t="str">
        <f t="array" ref="E38">_xlfn.XLOOKUP(B38,'Up Stats'!A:A,'Up Stats'!B:B,)</f>
        <v/>
      </c>
      <c r="F38" s="40" t="str">
        <f>IFERROR(__xludf.DUMMYFUNCTION("if(AND(G38=FALSE,H38=FALSE),,if(G38=H38,JOIN("""",""Static: "",G38),JOIN("""",""Min:  "",G38, CHAR(10),""Max: "",H38)))"),"")</f>
        <v/>
      </c>
      <c r="G38" s="42" t="str">
        <f t="array" ref="G38">_xlfn.XLOOKUP(B38,'Up Min'!A:A,'Up Min'!B:B,)</f>
        <v/>
      </c>
      <c r="H38" s="45" t="str">
        <f t="array" ref="H38">_xlfn.XLOOKUP(B38,'Up Max'!A:A,'Up Max'!B:B,)</f>
        <v/>
      </c>
      <c r="I38" s="39" t="str">
        <f t="array" ref="I38">_xlfn.XLOOKUP(B38,'Up Stats'!A:A,'Up Stats'!C:C,)</f>
        <v/>
      </c>
      <c r="J38" s="40" t="str">
        <f>IFERROR(__xludf.DUMMYFUNCTION("if(AND(K38=FALSE,L38=FALSE),,if(K38=L38,JOIN("""",""Static: "",K38),JOIN("""",""Min:  "",K38, CHAR(10),""Max: "",L38)))"),"")</f>
        <v/>
      </c>
      <c r="K38" s="42" t="str">
        <f t="array" ref="K38">_xlfn.XLOOKUP(B38,'Up Min'!A:A,'Up Min'!C:C,)</f>
        <v/>
      </c>
      <c r="L38" s="42" t="str">
        <f t="array" ref="L38">_xlfn.XLOOKUP(B38,'Up Max'!A:A,'Up Max'!C:C,)</f>
        <v/>
      </c>
      <c r="M38" s="48" t="str">
        <f t="array" ref="M38">_xlfn.XLOOKUP(B38,'Up Stats'!A:A,'Up Stats'!D:D,)</f>
        <v/>
      </c>
      <c r="N38" s="40" t="str">
        <f>IFERROR(__xludf.DUMMYFUNCTION("if(AND(O38=FALSE,P38=FALSE),,if(O38=P38,JOIN("""",""Static: "",O38),JOIN("""",""Min:  "",O38, CHAR(10),""Max: "",P38)))"),"")</f>
        <v/>
      </c>
      <c r="O38" s="42" t="str">
        <f t="array" ref="O38">_xlfn.XLOOKUP(B38,'Up Min'!A:A,'Up Min'!D:D,)</f>
        <v/>
      </c>
      <c r="P38" s="42" t="str">
        <f t="array" ref="P38">_xlfn.XLOOKUP(B38,'Up Max'!A:A,'Up Max'!D:D,)</f>
        <v/>
      </c>
      <c r="Q38" s="48" t="str">
        <f t="array" ref="Q38">_xlfn.XLOOKUP(B38,'Up Stats'!A:A,'Up Stats'!E:E,)</f>
        <v/>
      </c>
      <c r="R38" s="40" t="str">
        <f>IFERROR(__xludf.DUMMYFUNCTION("if(AND(S38=FALSE,T38=FALSE),,if(S38=T38,JOIN("""",""Static: "",S38),JOIN("""",""Min:  "",S38, CHAR(10),""Max: "",T38)))"),"")</f>
        <v/>
      </c>
      <c r="S38" s="42" t="str">
        <f t="array" ref="S38">_xlfn.XLOOKUP(B38,'Up Min'!A:A,'Up Min'!E:E,)</f>
        <v/>
      </c>
      <c r="T38" s="42" t="str">
        <f t="array" ref="T38">_xlfn.XLOOKUP(B38,'Up Max'!A:A,'Up Max'!E:E,)</f>
        <v/>
      </c>
      <c r="U38" s="48" t="str">
        <f t="array" ref="U38">_xlfn.XLOOKUP(B38,'Up Stats'!A:A,'Up Stats'!F:F,)</f>
        <v/>
      </c>
      <c r="V38" s="40" t="str">
        <f>IFERROR(__xludf.DUMMYFUNCTION("if(AND(W38=FALSE,X38=FALSE),,if(W38=X38,JOIN("""",""Static: "",W38),JOIN("""",""Min:  "",W38, CHAR(10),""Max: "",X38)))"),"")</f>
        <v/>
      </c>
      <c r="W38" s="42" t="str">
        <f t="array" ref="W38">_xlfn.XLOOKUP(B38,'Up Min'!A:A,'Up Min'!F:F,)</f>
        <v/>
      </c>
      <c r="X38" s="42" t="str">
        <f t="array" ref="X38">_xlfn.XLOOKUP(B38,'Up Max'!A:A,'Up Max'!F:F,)</f>
        <v/>
      </c>
      <c r="Y38" s="48" t="str">
        <f t="array" ref="Y38">_xlfn.XLOOKUP(B38,'Up Stats'!A:A,'Up Stats'!G:G,)</f>
        <v/>
      </c>
      <c r="Z38" s="40" t="str">
        <f>IFERROR(__xludf.DUMMYFUNCTION("if(AND(AA38=FALSE,AB38=FALSE),,if(AA38=AB38,JOIN("""",""Static: "",AA38),JOIN("""",""Min:  "",AA38, CHAR(10),""Max: "",AB38)))"),"")</f>
        <v/>
      </c>
      <c r="AA38" s="42" t="str">
        <f t="array" ref="AA38">_xlfn.XLOOKUP(B38,'Up Min'!A:A,'Up Min'!G:G,)</f>
        <v/>
      </c>
      <c r="AB38" s="42" t="str">
        <f t="array" ref="AB38">_xlfn.XLOOKUP(B38,'Up Max'!A:A,'Up Max'!G:G,)</f>
        <v/>
      </c>
      <c r="AC38" s="48" t="str">
        <f t="array" ref="AC38">_xlfn.XLOOKUP(B38,'Up Stats'!A:A,'Up Stats'!H:H,)</f>
        <v/>
      </c>
      <c r="AD38" s="40" t="str">
        <f>IFERROR(__xludf.DUMMYFUNCTION("if(AND(AE38=FALSE,AF38=FALSE),,if(AE38=AF38,JOIN("""",""Static: "",AE38),JOIN("""",""Min:  "",AE38, CHAR(10),""Max: "",AF38)))"),"")</f>
        <v/>
      </c>
      <c r="AE38" s="42" t="str">
        <f t="array" ref="AE38">_xlfn.XLOOKUP(B38,'Up Min'!A:A,'Up Min'!H:H,)</f>
        <v/>
      </c>
      <c r="AF38" s="42" t="str">
        <f t="array" ref="AF38">_xlfn.XLOOKUP(B38,'Up Max'!A:A,'Up Max'!H:H,)</f>
        <v/>
      </c>
      <c r="AG38" s="48" t="str">
        <f t="array" ref="AG38">_xlfn.XLOOKUP(B38,'Up Stats'!A:A,'Up Stats'!I:I,)</f>
        <v/>
      </c>
      <c r="AH38" s="40" t="str">
        <f>IFERROR(__xludf.DUMMYFUNCTION("if(AND(AI38=FALSE,AJ38=FALSE),,if(AI38=AJ38,JOIN("""",""Static: "",AI38),JOIN("""",""Min:  "",AI38, CHAR(10),""Max: "",AJ38)))"),"")</f>
        <v/>
      </c>
      <c r="AI38" s="42" t="str">
        <f t="array" ref="AI38">_xlfn.XLOOKUP(B38,'Up Min'!A:A,'Up Min'!I:I,)</f>
        <v/>
      </c>
      <c r="AJ38" s="42" t="str">
        <f t="array" ref="AJ38">_xlfn.XLOOKUP(B38,'Up Max'!A:A,'Up Max'!I:I,)</f>
        <v/>
      </c>
      <c r="AK38" s="48" t="str">
        <f t="array" ref="AK38">_xlfn.XLOOKUP(B38,'Up Stats'!A:A,'Up Stats'!J:J,)</f>
        <v/>
      </c>
      <c r="AL38" s="40" t="str">
        <f>IFERROR(__xludf.DUMMYFUNCTION("if(AND(AM38=FALSE,AN38=FALSE),,if(AM38=AN38,JOIN("""",""Static: "",AM38),JOIN("""",""Min:  "",AM38, CHAR(10),""Max: "",AN38)))"),"")</f>
        <v/>
      </c>
      <c r="AM38" s="42" t="str">
        <f t="array" ref="AM38">_xlfn.XLOOKUP(B38,'Up Min'!A:A,'Up Min'!J:J,)</f>
        <v/>
      </c>
      <c r="AN38" s="42" t="str">
        <f t="array" ref="AN38">_xlfn.XLOOKUP(B38,'Up Max'!A:A,'Up Max'!J:J,)</f>
        <v/>
      </c>
      <c r="AO38" s="34" t="str">
        <f t="array" ref="AO38">CONCATENATE(_xlfn.XLOOKUP(B38,'Up Cells'!A:A,'Up Cells'!B:B,))</f>
        <v/>
      </c>
      <c r="AP38" s="34" t="str">
        <f t="array" ref="AP38">CONCATENATE(_xlfn.XLOOKUP(B38,'Up Rarity'!A:A,'Up Rarity'!B:B,),CHAR(10),"-")</f>
        <v>
-</v>
      </c>
    </row>
    <row r="39">
      <c r="A39" s="86" t="str">
        <f t="array" ref="A39">_xlfn.XLOOKUP(B39,'Up Icon'!A:A,'Up Icon'!B:B,)</f>
        <v/>
      </c>
      <c r="B39" s="61" t="str">
        <f t="array" ref="B39">HYPERLINK(_xlfn.XLOOKUP('Up Names'!S39,'Up Wiki'!A:A,'Up Wiki'!B:B,),'Up Names'!S39)</f>
        <v/>
      </c>
      <c r="C39" s="52" t="str">
        <f t="array" ref="C39">_xlfn.XLOOKUP(B39,'Up Desc'!A:A,'Up Desc'!B:B,)</f>
        <v/>
      </c>
      <c r="D39" s="52" t="str">
        <f t="array" ref="D39">_xlfn.XLOOKUP(B39,'Up Turbo'!A:A,'Up Turbo'!B:B,)</f>
        <v/>
      </c>
      <c r="E39" s="53" t="str">
        <f t="array" ref="E39">_xlfn.XLOOKUP(B39,'Up Stats'!A:A,'Up Stats'!B:B,)</f>
        <v/>
      </c>
      <c r="F39" s="54" t="str">
        <f>IFERROR(__xludf.DUMMYFUNCTION("if(AND(G39=FALSE,H39=FALSE),,if(G39=H39,JOIN("""",""Static: "",G39),JOIN("""",""Min:  "",G39, CHAR(10),""Max: "",H39)))"),"")</f>
        <v/>
      </c>
      <c r="G39" s="55" t="str">
        <f t="array" ref="G39">_xlfn.XLOOKUP(B39,'Up Min'!A:A,'Up Min'!B:B,)</f>
        <v/>
      </c>
      <c r="H39" s="56" t="str">
        <f t="array" ref="H39">_xlfn.XLOOKUP(B39,'Up Max'!A:A,'Up Max'!B:B,)</f>
        <v/>
      </c>
      <c r="I39" s="53" t="str">
        <f t="array" ref="I39">_xlfn.XLOOKUP(B39,'Up Stats'!A:A,'Up Stats'!C:C,)</f>
        <v/>
      </c>
      <c r="J39" s="54" t="str">
        <f>IFERROR(__xludf.DUMMYFUNCTION("if(AND(K39=FALSE,L39=FALSE),,if(K39=L39,JOIN("""",""Static: "",K39),JOIN("""",""Min:  "",K39, CHAR(10),""Max: "",L39)))"),"")</f>
        <v/>
      </c>
      <c r="K39" s="55" t="str">
        <f t="array" ref="K39">_xlfn.XLOOKUP(B39,'Up Min'!A:A,'Up Min'!C:C,)</f>
        <v/>
      </c>
      <c r="L39" s="55" t="str">
        <f t="array" ref="L39">_xlfn.XLOOKUP(B39,'Up Max'!A:A,'Up Max'!C:C,)</f>
        <v/>
      </c>
      <c r="M39" s="57" t="str">
        <f t="array" ref="M39">_xlfn.XLOOKUP(B39,'Up Stats'!A:A,'Up Stats'!D:D,)</f>
        <v/>
      </c>
      <c r="N39" s="54" t="str">
        <f>IFERROR(__xludf.DUMMYFUNCTION("if(AND(O39=FALSE,P39=FALSE),,if(O39=P39,JOIN("""",""Static: "",O39),JOIN("""",""Min:  "",O39, CHAR(10),""Max: "",P39)))"),"")</f>
        <v/>
      </c>
      <c r="O39" s="55" t="str">
        <f t="array" ref="O39">_xlfn.XLOOKUP(B39,'Up Min'!A:A,'Up Min'!D:D,)</f>
        <v/>
      </c>
      <c r="P39" s="55" t="str">
        <f t="array" ref="P39">_xlfn.XLOOKUP(B39,'Up Max'!A:A,'Up Max'!D:D,)</f>
        <v/>
      </c>
      <c r="Q39" s="57" t="str">
        <f t="array" ref="Q39">_xlfn.XLOOKUP(B39,'Up Stats'!A:A,'Up Stats'!E:E,)</f>
        <v/>
      </c>
      <c r="R39" s="54" t="str">
        <f>IFERROR(__xludf.DUMMYFUNCTION("if(AND(S39=FALSE,T39=FALSE),,if(S39=T39,JOIN("""",""Static: "",S39),JOIN("""",""Min:  "",S39, CHAR(10),""Max: "",T39)))"),"")</f>
        <v/>
      </c>
      <c r="S39" s="55" t="str">
        <f t="array" ref="S39">_xlfn.XLOOKUP(B39,'Up Min'!A:A,'Up Min'!E:E,)</f>
        <v/>
      </c>
      <c r="T39" s="55" t="str">
        <f t="array" ref="T39">_xlfn.XLOOKUP(B39,'Up Max'!A:A,'Up Max'!E:E,)</f>
        <v/>
      </c>
      <c r="U39" s="57" t="str">
        <f t="array" ref="U39">_xlfn.XLOOKUP(B39,'Up Stats'!A:A,'Up Stats'!F:F,)</f>
        <v/>
      </c>
      <c r="V39" s="54" t="str">
        <f>IFERROR(__xludf.DUMMYFUNCTION("if(AND(W39=FALSE,X39=FALSE),,if(W39=X39,JOIN("""",""Static: "",W39),JOIN("""",""Min:  "",W39, CHAR(10),""Max: "",X39)))"),"")</f>
        <v/>
      </c>
      <c r="W39" s="55" t="str">
        <f t="array" ref="W39">_xlfn.XLOOKUP(B39,'Up Min'!A:A,'Up Min'!F:F,)</f>
        <v/>
      </c>
      <c r="X39" s="55" t="str">
        <f t="array" ref="X39">_xlfn.XLOOKUP(B39,'Up Max'!A:A,'Up Max'!F:F,)</f>
        <v/>
      </c>
      <c r="Y39" s="57" t="str">
        <f t="array" ref="Y39">_xlfn.XLOOKUP(B39,'Up Stats'!A:A,'Up Stats'!G:G,)</f>
        <v/>
      </c>
      <c r="Z39" s="54" t="str">
        <f>IFERROR(__xludf.DUMMYFUNCTION("if(AND(AA39=FALSE,AB39=FALSE),,if(AA39=AB39,JOIN("""",""Static: "",AA39),JOIN("""",""Min:  "",AA39, CHAR(10),""Max: "",AB39)))"),"")</f>
        <v/>
      </c>
      <c r="AA39" s="55" t="str">
        <f t="array" ref="AA39">_xlfn.XLOOKUP(B39,'Up Min'!A:A,'Up Min'!G:G,)</f>
        <v/>
      </c>
      <c r="AB39" s="55" t="str">
        <f t="array" ref="AB39">_xlfn.XLOOKUP(B39,'Up Max'!A:A,'Up Max'!G:G,)</f>
        <v/>
      </c>
      <c r="AC39" s="57" t="str">
        <f t="array" ref="AC39">_xlfn.XLOOKUP(B39,'Up Stats'!A:A,'Up Stats'!H:H,)</f>
        <v/>
      </c>
      <c r="AD39" s="54" t="str">
        <f>IFERROR(__xludf.DUMMYFUNCTION("if(AND(AE39=FALSE,AF39=FALSE),,if(AE39=AF39,JOIN("""",""Static: "",AE39),JOIN("""",""Min:  "",AE39, CHAR(10),""Max: "",AF39)))"),"")</f>
        <v/>
      </c>
      <c r="AE39" s="55" t="str">
        <f t="array" ref="AE39">_xlfn.XLOOKUP(B39,'Up Min'!A:A,'Up Min'!H:H,)</f>
        <v/>
      </c>
      <c r="AF39" s="55" t="str">
        <f t="array" ref="AF39">_xlfn.XLOOKUP(B39,'Up Max'!A:A,'Up Max'!H:H,)</f>
        <v/>
      </c>
      <c r="AG39" s="57" t="str">
        <f t="array" ref="AG39">_xlfn.XLOOKUP(B39,'Up Stats'!A:A,'Up Stats'!I:I,)</f>
        <v/>
      </c>
      <c r="AH39" s="54" t="str">
        <f>IFERROR(__xludf.DUMMYFUNCTION("if(AND(AI39=FALSE,AJ39=FALSE),,if(AI39=AJ39,JOIN("""",""Static: "",AI39),JOIN("""",""Min:  "",AI39, CHAR(10),""Max: "",AJ39)))"),"")</f>
        <v/>
      </c>
      <c r="AI39" s="55" t="str">
        <f t="array" ref="AI39">_xlfn.XLOOKUP(B39,'Up Min'!A:A,'Up Min'!I:I,)</f>
        <v/>
      </c>
      <c r="AJ39" s="55" t="str">
        <f t="array" ref="AJ39">_xlfn.XLOOKUP(B39,'Up Max'!A:A,'Up Max'!I:I,)</f>
        <v/>
      </c>
      <c r="AK39" s="57" t="str">
        <f t="array" ref="AK39">_xlfn.XLOOKUP(B39,'Up Stats'!A:A,'Up Stats'!J:J,)</f>
        <v/>
      </c>
      <c r="AL39" s="54" t="str">
        <f>IFERROR(__xludf.DUMMYFUNCTION("if(AND(AM39=FALSE,AN39=FALSE),,if(AM39=AN39,JOIN("""",""Static: "",AM39),JOIN("""",""Min:  "",AM39, CHAR(10),""Max: "",AN39)))"),"")</f>
        <v/>
      </c>
      <c r="AM39" s="55" t="str">
        <f t="array" ref="AM39">_xlfn.XLOOKUP(B39,'Up Min'!A:A,'Up Min'!J:J,)</f>
        <v/>
      </c>
      <c r="AN39" s="55" t="str">
        <f t="array" ref="AN39">_xlfn.XLOOKUP(B39,'Up Max'!A:A,'Up Max'!J:J,)</f>
        <v/>
      </c>
      <c r="AO39" s="51" t="str">
        <f t="array" ref="AO39">CONCATENATE(_xlfn.XLOOKUP(B39,'Up Cells'!A:A,'Up Cells'!B:B,))</f>
        <v/>
      </c>
      <c r="AP39" s="51" t="str">
        <f t="array" ref="AP39">CONCATENATE(_xlfn.XLOOKUP(B39,'Up Rarity'!A:A,'Up Rarity'!B:B,),CHAR(10),"-")</f>
        <v>
-</v>
      </c>
    </row>
    <row r="40">
      <c r="A40" s="87" t="str">
        <f t="array" ref="A40">_xlfn.XLOOKUP(B40,'Up Icon'!A:A,'Up Icon'!B:B,)</f>
        <v/>
      </c>
      <c r="B40" s="58" t="str">
        <f t="array" ref="B40">HYPERLINK(_xlfn.XLOOKUP('Up Names'!S40,'Up Wiki'!A:A,'Up Wiki'!B:B,),'Up Names'!S40)</f>
        <v/>
      </c>
      <c r="C40" s="37" t="str">
        <f t="array" ref="C40">_xlfn.XLOOKUP(B40,'Up Desc'!A:A,'Up Desc'!B:B,)</f>
        <v/>
      </c>
      <c r="D40" s="37" t="str">
        <f t="array" ref="D40">_xlfn.XLOOKUP(B40,'Up Turbo'!A:A,'Up Turbo'!B:B,)</f>
        <v/>
      </c>
      <c r="E40" s="39" t="str">
        <f t="array" ref="E40">_xlfn.XLOOKUP(B40,'Up Stats'!A:A,'Up Stats'!B:B,)</f>
        <v/>
      </c>
      <c r="F40" s="40" t="str">
        <f>IFERROR(__xludf.DUMMYFUNCTION("if(AND(G40=FALSE,H40=FALSE),,if(G40=H40,JOIN("""",""Static: "",G40),JOIN("""",""Min:  "",G40, CHAR(10),""Max: "",H40)))"),"")</f>
        <v/>
      </c>
      <c r="G40" s="42" t="str">
        <f t="array" ref="G40">_xlfn.XLOOKUP(B40,'Up Min'!A:A,'Up Min'!B:B,)</f>
        <v/>
      </c>
      <c r="H40" s="45" t="str">
        <f t="array" ref="H40">_xlfn.XLOOKUP(B40,'Up Max'!A:A,'Up Max'!B:B,)</f>
        <v/>
      </c>
      <c r="I40" s="39" t="str">
        <f t="array" ref="I40">_xlfn.XLOOKUP(B40,'Up Stats'!A:A,'Up Stats'!C:C,)</f>
        <v/>
      </c>
      <c r="J40" s="40" t="str">
        <f>IFERROR(__xludf.DUMMYFUNCTION("if(AND(K40=FALSE,L40=FALSE),,if(K40=L40,JOIN("""",""Static: "",K40),JOIN("""",""Min:  "",K40, CHAR(10),""Max: "",L40)))"),"")</f>
        <v/>
      </c>
      <c r="K40" s="42" t="str">
        <f t="array" ref="K40">_xlfn.XLOOKUP(B40,'Up Min'!A:A,'Up Min'!C:C,)</f>
        <v/>
      </c>
      <c r="L40" s="42" t="str">
        <f t="array" ref="L40">_xlfn.XLOOKUP(B40,'Up Max'!A:A,'Up Max'!C:C,)</f>
        <v/>
      </c>
      <c r="M40" s="48" t="str">
        <f t="array" ref="M40">_xlfn.XLOOKUP(B40,'Up Stats'!A:A,'Up Stats'!D:D,)</f>
        <v/>
      </c>
      <c r="N40" s="40" t="str">
        <f>IFERROR(__xludf.DUMMYFUNCTION("if(AND(O40=FALSE,P40=FALSE),,if(O40=P40,JOIN("""",""Static: "",O40),JOIN("""",""Min:  "",O40, CHAR(10),""Max: "",P40)))"),"")</f>
        <v/>
      </c>
      <c r="O40" s="42" t="str">
        <f t="array" ref="O40">_xlfn.XLOOKUP(B40,'Up Min'!A:A,'Up Min'!D:D,)</f>
        <v/>
      </c>
      <c r="P40" s="42" t="str">
        <f t="array" ref="P40">_xlfn.XLOOKUP(B40,'Up Max'!A:A,'Up Max'!D:D,)</f>
        <v/>
      </c>
      <c r="Q40" s="48" t="str">
        <f t="array" ref="Q40">_xlfn.XLOOKUP(B40,'Up Stats'!A:A,'Up Stats'!E:E,)</f>
        <v/>
      </c>
      <c r="R40" s="40" t="str">
        <f>IFERROR(__xludf.DUMMYFUNCTION("if(AND(S40=FALSE,T40=FALSE),,if(S40=T40,JOIN("""",""Static: "",S40),JOIN("""",""Min:  "",S40, CHAR(10),""Max: "",T40)))"),"")</f>
        <v/>
      </c>
      <c r="S40" s="42" t="str">
        <f t="array" ref="S40">_xlfn.XLOOKUP(B40,'Up Min'!A:A,'Up Min'!E:E,)</f>
        <v/>
      </c>
      <c r="T40" s="42" t="str">
        <f t="array" ref="T40">_xlfn.XLOOKUP(B40,'Up Max'!A:A,'Up Max'!E:E,)</f>
        <v/>
      </c>
      <c r="U40" s="48" t="str">
        <f t="array" ref="U40">_xlfn.XLOOKUP(B40,'Up Stats'!A:A,'Up Stats'!F:F,)</f>
        <v/>
      </c>
      <c r="V40" s="40" t="str">
        <f>IFERROR(__xludf.DUMMYFUNCTION("if(AND(W40=FALSE,X40=FALSE),,if(W40=X40,JOIN("""",""Static: "",W40),JOIN("""",""Min:  "",W40, CHAR(10),""Max: "",X40)))"),"")</f>
        <v/>
      </c>
      <c r="W40" s="42" t="str">
        <f t="array" ref="W40">_xlfn.XLOOKUP(B40,'Up Min'!A:A,'Up Min'!F:F,)</f>
        <v/>
      </c>
      <c r="X40" s="42" t="str">
        <f t="array" ref="X40">_xlfn.XLOOKUP(B40,'Up Max'!A:A,'Up Max'!F:F,)</f>
        <v/>
      </c>
      <c r="Y40" s="48" t="str">
        <f t="array" ref="Y40">_xlfn.XLOOKUP(B40,'Up Stats'!A:A,'Up Stats'!G:G,)</f>
        <v/>
      </c>
      <c r="Z40" s="40" t="str">
        <f>IFERROR(__xludf.DUMMYFUNCTION("if(AND(AA40=FALSE,AB40=FALSE),,if(AA40=AB40,JOIN("""",""Static: "",AA40),JOIN("""",""Min:  "",AA40, CHAR(10),""Max: "",AB40)))"),"")</f>
        <v/>
      </c>
      <c r="AA40" s="42" t="str">
        <f t="array" ref="AA40">_xlfn.XLOOKUP(B40,'Up Min'!A:A,'Up Min'!G:G,)</f>
        <v/>
      </c>
      <c r="AB40" s="42" t="str">
        <f t="array" ref="AB40">_xlfn.XLOOKUP(B40,'Up Max'!A:A,'Up Max'!G:G,)</f>
        <v/>
      </c>
      <c r="AC40" s="48" t="str">
        <f t="array" ref="AC40">_xlfn.XLOOKUP(B40,'Up Stats'!A:A,'Up Stats'!H:H,)</f>
        <v/>
      </c>
      <c r="AD40" s="40" t="str">
        <f>IFERROR(__xludf.DUMMYFUNCTION("if(AND(AE40=FALSE,AF40=FALSE),,if(AE40=AF40,JOIN("""",""Static: "",AE40),JOIN("""",""Min:  "",AE40, CHAR(10),""Max: "",AF40)))"),"")</f>
        <v/>
      </c>
      <c r="AE40" s="42" t="str">
        <f t="array" ref="AE40">_xlfn.XLOOKUP(B40,'Up Min'!A:A,'Up Min'!H:H,)</f>
        <v/>
      </c>
      <c r="AF40" s="42" t="str">
        <f t="array" ref="AF40">_xlfn.XLOOKUP(B40,'Up Max'!A:A,'Up Max'!H:H,)</f>
        <v/>
      </c>
      <c r="AG40" s="48" t="str">
        <f t="array" ref="AG40">_xlfn.XLOOKUP(B40,'Up Stats'!A:A,'Up Stats'!I:I,)</f>
        <v/>
      </c>
      <c r="AH40" s="40" t="str">
        <f>IFERROR(__xludf.DUMMYFUNCTION("if(AND(AI40=FALSE,AJ40=FALSE),,if(AI40=AJ40,JOIN("""",""Static: "",AI40),JOIN("""",""Min:  "",AI40, CHAR(10),""Max: "",AJ40)))"),"")</f>
        <v/>
      </c>
      <c r="AI40" s="42" t="str">
        <f t="array" ref="AI40">_xlfn.XLOOKUP(B40,'Up Min'!A:A,'Up Min'!I:I,)</f>
        <v/>
      </c>
      <c r="AJ40" s="42" t="str">
        <f t="array" ref="AJ40">_xlfn.XLOOKUP(B40,'Up Max'!A:A,'Up Max'!I:I,)</f>
        <v/>
      </c>
      <c r="AK40" s="48" t="str">
        <f t="array" ref="AK40">_xlfn.XLOOKUP(B40,'Up Stats'!A:A,'Up Stats'!J:J,)</f>
        <v/>
      </c>
      <c r="AL40" s="40" t="str">
        <f>IFERROR(__xludf.DUMMYFUNCTION("if(AND(AM40=FALSE,AN40=FALSE),,if(AM40=AN40,JOIN("""",""Static: "",AM40),JOIN("""",""Min:  "",AM40, CHAR(10),""Max: "",AN40)))"),"")</f>
        <v/>
      </c>
      <c r="AM40" s="42" t="str">
        <f t="array" ref="AM40">_xlfn.XLOOKUP(B40,'Up Min'!A:A,'Up Min'!J:J,)</f>
        <v/>
      </c>
      <c r="AN40" s="42" t="str">
        <f t="array" ref="AN40">_xlfn.XLOOKUP(B40,'Up Max'!A:A,'Up Max'!J:J,)</f>
        <v/>
      </c>
      <c r="AO40" s="34" t="str">
        <f t="array" ref="AO40">CONCATENATE(_xlfn.XLOOKUP(B40,'Up Cells'!A:A,'Up Cells'!B:B,))</f>
        <v/>
      </c>
      <c r="AP40" s="34" t="str">
        <f t="array" ref="AP40">CONCATENATE(_xlfn.XLOOKUP(B40,'Up Rarity'!A:A,'Up Rarity'!B:B,),CHAR(10),"-")</f>
        <v>
-</v>
      </c>
    </row>
    <row r="41">
      <c r="A41" s="86" t="str">
        <f t="array" ref="A41">_xlfn.XLOOKUP(B41,'Up Icon'!A:A,'Up Icon'!B:B,)</f>
        <v/>
      </c>
      <c r="B41" s="61" t="str">
        <f t="array" ref="B41">HYPERLINK(_xlfn.XLOOKUP('Up Names'!S41,'Up Wiki'!A:A,'Up Wiki'!B:B,),'Up Names'!S41)</f>
        <v/>
      </c>
      <c r="C41" s="52" t="str">
        <f t="array" ref="C41">_xlfn.XLOOKUP(B41,'Up Desc'!A:A,'Up Desc'!B:B,)</f>
        <v/>
      </c>
      <c r="D41" s="52" t="str">
        <f t="array" ref="D41">_xlfn.XLOOKUP(B41,'Up Turbo'!A:A,'Up Turbo'!B:B,)</f>
        <v/>
      </c>
      <c r="E41" s="53" t="str">
        <f t="array" ref="E41">_xlfn.XLOOKUP(B41,'Up Stats'!A:A,'Up Stats'!B:B,)</f>
        <v/>
      </c>
      <c r="F41" s="54" t="str">
        <f>IFERROR(__xludf.DUMMYFUNCTION("if(AND(G41=FALSE,H41=FALSE),,if(G41=H41,JOIN("""",""Static: "",G41),JOIN("""",""Min:  "",G41, CHAR(10),""Max: "",H41)))"),"")</f>
        <v/>
      </c>
      <c r="G41" s="55" t="str">
        <f t="array" ref="G41">_xlfn.XLOOKUP(B41,'Up Min'!A:A,'Up Min'!B:B,)</f>
        <v/>
      </c>
      <c r="H41" s="56" t="str">
        <f t="array" ref="H41">_xlfn.XLOOKUP(B41,'Up Max'!A:A,'Up Max'!B:B,)</f>
        <v/>
      </c>
      <c r="I41" s="53" t="str">
        <f t="array" ref="I41">_xlfn.XLOOKUP(B41,'Up Stats'!A:A,'Up Stats'!C:C,)</f>
        <v/>
      </c>
      <c r="J41" s="54" t="str">
        <f>IFERROR(__xludf.DUMMYFUNCTION("if(AND(K41=FALSE,L41=FALSE),,if(K41=L41,JOIN("""",""Static: "",K41),JOIN("""",""Min:  "",K41, CHAR(10),""Max: "",L41)))"),"")</f>
        <v/>
      </c>
      <c r="K41" s="55" t="str">
        <f t="array" ref="K41">_xlfn.XLOOKUP(B41,'Up Min'!A:A,'Up Min'!C:C,)</f>
        <v/>
      </c>
      <c r="L41" s="55" t="str">
        <f t="array" ref="L41">_xlfn.XLOOKUP(B41,'Up Max'!A:A,'Up Max'!C:C,)</f>
        <v/>
      </c>
      <c r="M41" s="57" t="str">
        <f t="array" ref="M41">_xlfn.XLOOKUP(B41,'Up Stats'!A:A,'Up Stats'!D:D,)</f>
        <v/>
      </c>
      <c r="N41" s="54" t="str">
        <f>IFERROR(__xludf.DUMMYFUNCTION("if(AND(O41=FALSE,P41=FALSE),,if(O41=P41,JOIN("""",""Static: "",O41),JOIN("""",""Min:  "",O41, CHAR(10),""Max: "",P41)))"),"")</f>
        <v/>
      </c>
      <c r="O41" s="55" t="str">
        <f t="array" ref="O41">_xlfn.XLOOKUP(B41,'Up Min'!A:A,'Up Min'!D:D,)</f>
        <v/>
      </c>
      <c r="P41" s="55" t="str">
        <f t="array" ref="P41">_xlfn.XLOOKUP(B41,'Up Max'!A:A,'Up Max'!D:D,)</f>
        <v/>
      </c>
      <c r="Q41" s="57" t="str">
        <f t="array" ref="Q41">_xlfn.XLOOKUP(B41,'Up Stats'!A:A,'Up Stats'!E:E,)</f>
        <v/>
      </c>
      <c r="R41" s="54" t="str">
        <f>IFERROR(__xludf.DUMMYFUNCTION("if(AND(S41=FALSE,T41=FALSE),,if(S41=T41,JOIN("""",""Static: "",S41),JOIN("""",""Min:  "",S41, CHAR(10),""Max: "",T41)))"),"")</f>
        <v/>
      </c>
      <c r="S41" s="55" t="str">
        <f t="array" ref="S41">_xlfn.XLOOKUP(B41,'Up Min'!A:A,'Up Min'!E:E,)</f>
        <v/>
      </c>
      <c r="T41" s="55" t="str">
        <f t="array" ref="T41">_xlfn.XLOOKUP(B41,'Up Max'!A:A,'Up Max'!E:E,)</f>
        <v/>
      </c>
      <c r="U41" s="57" t="str">
        <f t="array" ref="U41">_xlfn.XLOOKUP(B41,'Up Stats'!A:A,'Up Stats'!F:F,)</f>
        <v/>
      </c>
      <c r="V41" s="54" t="str">
        <f>IFERROR(__xludf.DUMMYFUNCTION("if(AND(W41=FALSE,X41=FALSE),,if(W41=X41,JOIN("""",""Static: "",W41),JOIN("""",""Min:  "",W41, CHAR(10),""Max: "",X41)))"),"")</f>
        <v/>
      </c>
      <c r="W41" s="55" t="str">
        <f t="array" ref="W41">_xlfn.XLOOKUP(B41,'Up Min'!A:A,'Up Min'!F:F,)</f>
        <v/>
      </c>
      <c r="X41" s="55" t="str">
        <f t="array" ref="X41">_xlfn.XLOOKUP(B41,'Up Max'!A:A,'Up Max'!F:F,)</f>
        <v/>
      </c>
      <c r="Y41" s="57" t="str">
        <f t="array" ref="Y41">_xlfn.XLOOKUP(B41,'Up Stats'!A:A,'Up Stats'!G:G,)</f>
        <v/>
      </c>
      <c r="Z41" s="54" t="str">
        <f>IFERROR(__xludf.DUMMYFUNCTION("if(AND(AA41=FALSE,AB41=FALSE),,if(AA41=AB41,JOIN("""",""Static: "",AA41),JOIN("""",""Min:  "",AA41, CHAR(10),""Max: "",AB41)))"),"")</f>
        <v/>
      </c>
      <c r="AA41" s="55" t="str">
        <f t="array" ref="AA41">_xlfn.XLOOKUP(B41,'Up Min'!A:A,'Up Min'!G:G,)</f>
        <v/>
      </c>
      <c r="AB41" s="55" t="str">
        <f t="array" ref="AB41">_xlfn.XLOOKUP(B41,'Up Max'!A:A,'Up Max'!G:G,)</f>
        <v/>
      </c>
      <c r="AC41" s="57" t="str">
        <f t="array" ref="AC41">_xlfn.XLOOKUP(B41,'Up Stats'!A:A,'Up Stats'!H:H,)</f>
        <v/>
      </c>
      <c r="AD41" s="54" t="str">
        <f>IFERROR(__xludf.DUMMYFUNCTION("if(AND(AE41=FALSE,AF41=FALSE),,if(AE41=AF41,JOIN("""",""Static: "",AE41),JOIN("""",""Min:  "",AE41, CHAR(10),""Max: "",AF41)))"),"")</f>
        <v/>
      </c>
      <c r="AE41" s="55" t="str">
        <f t="array" ref="AE41">_xlfn.XLOOKUP(B41,'Up Min'!A:A,'Up Min'!H:H,)</f>
        <v/>
      </c>
      <c r="AF41" s="55" t="str">
        <f t="array" ref="AF41">_xlfn.XLOOKUP(B41,'Up Max'!A:A,'Up Max'!H:H,)</f>
        <v/>
      </c>
      <c r="AG41" s="57" t="str">
        <f t="array" ref="AG41">_xlfn.XLOOKUP(B41,'Up Stats'!A:A,'Up Stats'!I:I,)</f>
        <v/>
      </c>
      <c r="AH41" s="54" t="str">
        <f>IFERROR(__xludf.DUMMYFUNCTION("if(AND(AI41=FALSE,AJ41=FALSE),,if(AI41=AJ41,JOIN("""",""Static: "",AI41),JOIN("""",""Min:  "",AI41, CHAR(10),""Max: "",AJ41)))"),"")</f>
        <v/>
      </c>
      <c r="AI41" s="55" t="str">
        <f t="array" ref="AI41">_xlfn.XLOOKUP(B41,'Up Min'!A:A,'Up Min'!I:I,)</f>
        <v/>
      </c>
      <c r="AJ41" s="55" t="str">
        <f t="array" ref="AJ41">_xlfn.XLOOKUP(B41,'Up Max'!A:A,'Up Max'!I:I,)</f>
        <v/>
      </c>
      <c r="AK41" s="57" t="str">
        <f t="array" ref="AK41">_xlfn.XLOOKUP(B41,'Up Stats'!A:A,'Up Stats'!J:J,)</f>
        <v/>
      </c>
      <c r="AL41" s="54" t="str">
        <f>IFERROR(__xludf.DUMMYFUNCTION("if(AND(AM41=FALSE,AN41=FALSE),,if(AM41=AN41,JOIN("""",""Static: "",AM41),JOIN("""",""Min:  "",AM41, CHAR(10),""Max: "",AN41)))"),"")</f>
        <v/>
      </c>
      <c r="AM41" s="55" t="str">
        <f t="array" ref="AM41">_xlfn.XLOOKUP(B41,'Up Min'!A:A,'Up Min'!J:J,)</f>
        <v/>
      </c>
      <c r="AN41" s="55" t="str">
        <f t="array" ref="AN41">_xlfn.XLOOKUP(B41,'Up Max'!A:A,'Up Max'!J:J,)</f>
        <v/>
      </c>
      <c r="AO41" s="51" t="str">
        <f t="array" ref="AO41">CONCATENATE(_xlfn.XLOOKUP(B41,'Up Cells'!A:A,'Up Cells'!B:B,))</f>
        <v/>
      </c>
      <c r="AP41" s="51" t="str">
        <f t="array" ref="AP41">CONCATENATE(_xlfn.XLOOKUP(B41,'Up Rarity'!A:A,'Up Rarity'!B:B,),CHAR(10),"-")</f>
        <v>
-</v>
      </c>
    </row>
    <row r="42">
      <c r="A42" s="87" t="str">
        <f t="array" ref="A42">_xlfn.XLOOKUP(B42,'Up Icon'!A:A,'Up Icon'!B:B,)</f>
        <v/>
      </c>
      <c r="B42" s="58" t="str">
        <f t="array" ref="B42">HYPERLINK(_xlfn.XLOOKUP('Up Names'!S42,'Up Wiki'!A:A,'Up Wiki'!B:B,),'Up Names'!S42)</f>
        <v/>
      </c>
      <c r="C42" s="37" t="str">
        <f t="array" ref="C42">_xlfn.XLOOKUP(B42,'Up Desc'!A:A,'Up Desc'!B:B,)</f>
        <v/>
      </c>
      <c r="D42" s="37" t="str">
        <f t="array" ref="D42">_xlfn.XLOOKUP(B42,'Up Turbo'!A:A,'Up Turbo'!B:B,)</f>
        <v/>
      </c>
      <c r="E42" s="39" t="str">
        <f t="array" ref="E42">_xlfn.XLOOKUP(B42,'Up Stats'!A:A,'Up Stats'!B:B,)</f>
        <v/>
      </c>
      <c r="F42" s="40" t="str">
        <f>IFERROR(__xludf.DUMMYFUNCTION("if(AND(G42=FALSE,H42=FALSE),,if(G42=H42,JOIN("""",""Static: "",G42),JOIN("""",""Min:  "",G42, CHAR(10),""Max: "",H42)))"),"")</f>
        <v/>
      </c>
      <c r="G42" s="42" t="str">
        <f t="array" ref="G42">_xlfn.XLOOKUP(B42,'Up Min'!A:A,'Up Min'!B:B,)</f>
        <v/>
      </c>
      <c r="H42" s="45" t="str">
        <f t="array" ref="H42">_xlfn.XLOOKUP(B42,'Up Max'!A:A,'Up Max'!B:B,)</f>
        <v/>
      </c>
      <c r="I42" s="39" t="str">
        <f t="array" ref="I42">_xlfn.XLOOKUP(B42,'Up Stats'!A:A,'Up Stats'!C:C,)</f>
        <v/>
      </c>
      <c r="J42" s="40" t="str">
        <f>IFERROR(__xludf.DUMMYFUNCTION("if(AND(K42=FALSE,L42=FALSE),,if(K42=L42,JOIN("""",""Static: "",K42),JOIN("""",""Min:  "",K42, CHAR(10),""Max: "",L42)))"),"")</f>
        <v/>
      </c>
      <c r="K42" s="42" t="str">
        <f t="array" ref="K42">_xlfn.XLOOKUP(B42,'Up Min'!A:A,'Up Min'!C:C,)</f>
        <v/>
      </c>
      <c r="L42" s="42" t="str">
        <f t="array" ref="L42">_xlfn.XLOOKUP(B42,'Up Max'!A:A,'Up Max'!C:C,)</f>
        <v/>
      </c>
      <c r="M42" s="48" t="str">
        <f t="array" ref="M42">_xlfn.XLOOKUP(B42,'Up Stats'!A:A,'Up Stats'!D:D,)</f>
        <v/>
      </c>
      <c r="N42" s="40" t="str">
        <f>IFERROR(__xludf.DUMMYFUNCTION("if(AND(O42=FALSE,P42=FALSE),,if(O42=P42,JOIN("""",""Static: "",O42),JOIN("""",""Min:  "",O42, CHAR(10),""Max: "",P42)))"),"")</f>
        <v/>
      </c>
      <c r="O42" s="42" t="str">
        <f t="array" ref="O42">_xlfn.XLOOKUP(B42,'Up Min'!A:A,'Up Min'!D:D,)</f>
        <v/>
      </c>
      <c r="P42" s="42" t="str">
        <f t="array" ref="P42">_xlfn.XLOOKUP(B42,'Up Max'!A:A,'Up Max'!D:D,)</f>
        <v/>
      </c>
      <c r="Q42" s="48" t="str">
        <f t="array" ref="Q42">_xlfn.XLOOKUP(B42,'Up Stats'!A:A,'Up Stats'!E:E,)</f>
        <v/>
      </c>
      <c r="R42" s="40" t="str">
        <f>IFERROR(__xludf.DUMMYFUNCTION("if(AND(S42=FALSE,T42=FALSE),,if(S42=T42,JOIN("""",""Static: "",S42),JOIN("""",""Min:  "",S42, CHAR(10),""Max: "",T42)))"),"")</f>
        <v/>
      </c>
      <c r="S42" s="42" t="str">
        <f t="array" ref="S42">_xlfn.XLOOKUP(B42,'Up Min'!A:A,'Up Min'!E:E,)</f>
        <v/>
      </c>
      <c r="T42" s="42" t="str">
        <f t="array" ref="T42">_xlfn.XLOOKUP(B42,'Up Max'!A:A,'Up Max'!E:E,)</f>
        <v/>
      </c>
      <c r="U42" s="48" t="str">
        <f t="array" ref="U42">_xlfn.XLOOKUP(B42,'Up Stats'!A:A,'Up Stats'!F:F,)</f>
        <v/>
      </c>
      <c r="V42" s="40" t="str">
        <f>IFERROR(__xludf.DUMMYFUNCTION("if(AND(W42=FALSE,X42=FALSE),,if(W42=X42,JOIN("""",""Static: "",W42),JOIN("""",""Min:  "",W42, CHAR(10),""Max: "",X42)))"),"")</f>
        <v/>
      </c>
      <c r="W42" s="42" t="str">
        <f t="array" ref="W42">_xlfn.XLOOKUP(B42,'Up Min'!A:A,'Up Min'!F:F,)</f>
        <v/>
      </c>
      <c r="X42" s="42" t="str">
        <f t="array" ref="X42">_xlfn.XLOOKUP(B42,'Up Max'!A:A,'Up Max'!F:F,)</f>
        <v/>
      </c>
      <c r="Y42" s="48" t="str">
        <f t="array" ref="Y42">_xlfn.XLOOKUP(B42,'Up Stats'!A:A,'Up Stats'!G:G,)</f>
        <v/>
      </c>
      <c r="Z42" s="40" t="str">
        <f>IFERROR(__xludf.DUMMYFUNCTION("if(AND(AA42=FALSE,AB42=FALSE),,if(AA42=AB42,JOIN("""",""Static: "",AA42),JOIN("""",""Min:  "",AA42, CHAR(10),""Max: "",AB42)))"),"")</f>
        <v/>
      </c>
      <c r="AA42" s="42" t="str">
        <f t="array" ref="AA42">_xlfn.XLOOKUP(B42,'Up Min'!A:A,'Up Min'!G:G,)</f>
        <v/>
      </c>
      <c r="AB42" s="42" t="str">
        <f t="array" ref="AB42">_xlfn.XLOOKUP(B42,'Up Max'!A:A,'Up Max'!G:G,)</f>
        <v/>
      </c>
      <c r="AC42" s="48" t="str">
        <f t="array" ref="AC42">_xlfn.XLOOKUP(B42,'Up Stats'!A:A,'Up Stats'!H:H,)</f>
        <v/>
      </c>
      <c r="AD42" s="40" t="str">
        <f>IFERROR(__xludf.DUMMYFUNCTION("if(AND(AE42=FALSE,AF42=FALSE),,if(AE42=AF42,JOIN("""",""Static: "",AE42),JOIN("""",""Min:  "",AE42, CHAR(10),""Max: "",AF42)))"),"")</f>
        <v/>
      </c>
      <c r="AE42" s="42" t="str">
        <f t="array" ref="AE42">_xlfn.XLOOKUP(B42,'Up Min'!A:A,'Up Min'!H:H,)</f>
        <v/>
      </c>
      <c r="AF42" s="42" t="str">
        <f t="array" ref="AF42">_xlfn.XLOOKUP(B42,'Up Max'!A:A,'Up Max'!H:H,)</f>
        <v/>
      </c>
      <c r="AG42" s="48" t="str">
        <f t="array" ref="AG42">_xlfn.XLOOKUP(B42,'Up Stats'!A:A,'Up Stats'!I:I,)</f>
        <v/>
      </c>
      <c r="AH42" s="40" t="str">
        <f>IFERROR(__xludf.DUMMYFUNCTION("if(AND(AI42=FALSE,AJ42=FALSE),,if(AI42=AJ42,JOIN("""",""Static: "",AI42),JOIN("""",""Min:  "",AI42, CHAR(10),""Max: "",AJ42)))"),"")</f>
        <v/>
      </c>
      <c r="AI42" s="42" t="str">
        <f t="array" ref="AI42">_xlfn.XLOOKUP(B42,'Up Min'!A:A,'Up Min'!I:I,)</f>
        <v/>
      </c>
      <c r="AJ42" s="42" t="str">
        <f t="array" ref="AJ42">_xlfn.XLOOKUP(B42,'Up Max'!A:A,'Up Max'!I:I,)</f>
        <v/>
      </c>
      <c r="AK42" s="48" t="str">
        <f t="array" ref="AK42">_xlfn.XLOOKUP(B42,'Up Stats'!A:A,'Up Stats'!J:J,)</f>
        <v/>
      </c>
      <c r="AL42" s="40" t="str">
        <f>IFERROR(__xludf.DUMMYFUNCTION("if(AND(AM42=FALSE,AN42=FALSE),,if(AM42=AN42,JOIN("""",""Static: "",AM42),JOIN("""",""Min:  "",AM42, CHAR(10),""Max: "",AN42)))"),"")</f>
        <v/>
      </c>
      <c r="AM42" s="42" t="str">
        <f t="array" ref="AM42">_xlfn.XLOOKUP(B42,'Up Min'!A:A,'Up Min'!J:J,)</f>
        <v/>
      </c>
      <c r="AN42" s="42" t="str">
        <f t="array" ref="AN42">_xlfn.XLOOKUP(B42,'Up Max'!A:A,'Up Max'!J:J,)</f>
        <v/>
      </c>
      <c r="AO42" s="34" t="str">
        <f t="array" ref="AO42">CONCATENATE(_xlfn.XLOOKUP(B42,'Up Cells'!A:A,'Up Cells'!B:B,))</f>
        <v/>
      </c>
      <c r="AP42" s="34" t="str">
        <f t="array" ref="AP42">CONCATENATE(_xlfn.XLOOKUP(B42,'Up Rarity'!A:A,'Up Rarity'!B:B,),CHAR(10),"-")</f>
        <v>
-</v>
      </c>
    </row>
    <row r="43">
      <c r="A43" s="86" t="str">
        <f t="array" ref="A43">_xlfn.XLOOKUP(B43,'Up Icon'!A:A,'Up Icon'!B:B,)</f>
        <v/>
      </c>
      <c r="B43" s="61" t="str">
        <f t="array" ref="B43">HYPERLINK(_xlfn.XLOOKUP('Up Names'!S43,'Up Wiki'!A:A,'Up Wiki'!B:B,),'Up Names'!S43)</f>
        <v/>
      </c>
      <c r="C43" s="52" t="str">
        <f t="array" ref="C43">_xlfn.XLOOKUP(B43,'Up Desc'!A:A,'Up Desc'!B:B,)</f>
        <v/>
      </c>
      <c r="D43" s="52" t="str">
        <f t="array" ref="D43">_xlfn.XLOOKUP(B43,'Up Turbo'!A:A,'Up Turbo'!B:B,)</f>
        <v/>
      </c>
      <c r="E43" s="53" t="str">
        <f t="array" ref="E43">_xlfn.XLOOKUP(B43,'Up Stats'!A:A,'Up Stats'!B:B,)</f>
        <v/>
      </c>
      <c r="F43" s="54" t="str">
        <f>IFERROR(__xludf.DUMMYFUNCTION("if(AND(G43=FALSE,H43=FALSE),,if(G43=H43,JOIN("""",""Static: "",G43),JOIN("""",""Min:  "",G43, CHAR(10),""Max: "",H43)))"),"")</f>
        <v/>
      </c>
      <c r="G43" s="55" t="str">
        <f t="array" ref="G43">_xlfn.XLOOKUP(B43,'Up Min'!A:A,'Up Min'!B:B,)</f>
        <v/>
      </c>
      <c r="H43" s="56" t="str">
        <f t="array" ref="H43">_xlfn.XLOOKUP(B43,'Up Max'!A:A,'Up Max'!B:B,)</f>
        <v/>
      </c>
      <c r="I43" s="53" t="str">
        <f t="array" ref="I43">_xlfn.XLOOKUP(B43,'Up Stats'!A:A,'Up Stats'!C:C,)</f>
        <v/>
      </c>
      <c r="J43" s="54" t="str">
        <f>IFERROR(__xludf.DUMMYFUNCTION("if(AND(K43=FALSE,L43=FALSE),,if(K43=L43,JOIN("""",""Static: "",K43),JOIN("""",""Min:  "",K43, CHAR(10),""Max: "",L43)))"),"")</f>
        <v/>
      </c>
      <c r="K43" s="55" t="str">
        <f t="array" ref="K43">_xlfn.XLOOKUP(B43,'Up Min'!A:A,'Up Min'!C:C,)</f>
        <v/>
      </c>
      <c r="L43" s="55" t="str">
        <f t="array" ref="L43">_xlfn.XLOOKUP(B43,'Up Max'!A:A,'Up Max'!C:C,)</f>
        <v/>
      </c>
      <c r="M43" s="57" t="str">
        <f t="array" ref="M43">_xlfn.XLOOKUP(B43,'Up Stats'!A:A,'Up Stats'!D:D,)</f>
        <v/>
      </c>
      <c r="N43" s="54" t="str">
        <f>IFERROR(__xludf.DUMMYFUNCTION("if(AND(O43=FALSE,P43=FALSE),,if(O43=P43,JOIN("""",""Static: "",O43),JOIN("""",""Min:  "",O43, CHAR(10),""Max: "",P43)))"),"")</f>
        <v/>
      </c>
      <c r="O43" s="55" t="str">
        <f t="array" ref="O43">_xlfn.XLOOKUP(B43,'Up Min'!A:A,'Up Min'!D:D,)</f>
        <v/>
      </c>
      <c r="P43" s="55" t="str">
        <f t="array" ref="P43">_xlfn.XLOOKUP(B43,'Up Max'!A:A,'Up Max'!D:D,)</f>
        <v/>
      </c>
      <c r="Q43" s="57" t="str">
        <f t="array" ref="Q43">_xlfn.XLOOKUP(B43,'Up Stats'!A:A,'Up Stats'!E:E,)</f>
        <v/>
      </c>
      <c r="R43" s="54" t="str">
        <f>IFERROR(__xludf.DUMMYFUNCTION("if(AND(S43=FALSE,T43=FALSE),,if(S43=T43,JOIN("""",""Static: "",S43),JOIN("""",""Min:  "",S43, CHAR(10),""Max: "",T43)))"),"")</f>
        <v/>
      </c>
      <c r="S43" s="55" t="str">
        <f t="array" ref="S43">_xlfn.XLOOKUP(B43,'Up Min'!A:A,'Up Min'!E:E,)</f>
        <v/>
      </c>
      <c r="T43" s="55" t="str">
        <f t="array" ref="T43">_xlfn.XLOOKUP(B43,'Up Max'!A:A,'Up Max'!E:E,)</f>
        <v/>
      </c>
      <c r="U43" s="57" t="str">
        <f t="array" ref="U43">_xlfn.XLOOKUP(B43,'Up Stats'!A:A,'Up Stats'!F:F,)</f>
        <v/>
      </c>
      <c r="V43" s="54" t="str">
        <f>IFERROR(__xludf.DUMMYFUNCTION("if(AND(W43=FALSE,X43=FALSE),,if(W43=X43,JOIN("""",""Static: "",W43),JOIN("""",""Min:  "",W43, CHAR(10),""Max: "",X43)))"),"")</f>
        <v/>
      </c>
      <c r="W43" s="55" t="str">
        <f t="array" ref="W43">_xlfn.XLOOKUP(B43,'Up Min'!A:A,'Up Min'!F:F,)</f>
        <v/>
      </c>
      <c r="X43" s="55" t="str">
        <f t="array" ref="X43">_xlfn.XLOOKUP(B43,'Up Max'!A:A,'Up Max'!F:F,)</f>
        <v/>
      </c>
      <c r="Y43" s="57" t="str">
        <f t="array" ref="Y43">_xlfn.XLOOKUP(B43,'Up Stats'!A:A,'Up Stats'!G:G,)</f>
        <v/>
      </c>
      <c r="Z43" s="54" t="str">
        <f>IFERROR(__xludf.DUMMYFUNCTION("if(AND(AA43=FALSE,AB43=FALSE),,if(AA43=AB43,JOIN("""",""Static: "",AA43),JOIN("""",""Min:  "",AA43, CHAR(10),""Max: "",AB43)))"),"")</f>
        <v/>
      </c>
      <c r="AA43" s="55" t="str">
        <f t="array" ref="AA43">_xlfn.XLOOKUP(B43,'Up Min'!A:A,'Up Min'!G:G,)</f>
        <v/>
      </c>
      <c r="AB43" s="55" t="str">
        <f t="array" ref="AB43">_xlfn.XLOOKUP(B43,'Up Max'!A:A,'Up Max'!G:G,)</f>
        <v/>
      </c>
      <c r="AC43" s="57" t="str">
        <f t="array" ref="AC43">_xlfn.XLOOKUP(B43,'Up Stats'!A:A,'Up Stats'!H:H,)</f>
        <v/>
      </c>
      <c r="AD43" s="54" t="str">
        <f>IFERROR(__xludf.DUMMYFUNCTION("if(AND(AE43=FALSE,AF43=FALSE),,if(AE43=AF43,JOIN("""",""Static: "",AE43),JOIN("""",""Min:  "",AE43, CHAR(10),""Max: "",AF43)))"),"")</f>
        <v/>
      </c>
      <c r="AE43" s="55" t="str">
        <f t="array" ref="AE43">_xlfn.XLOOKUP(B43,'Up Min'!A:A,'Up Min'!H:H,)</f>
        <v/>
      </c>
      <c r="AF43" s="55" t="str">
        <f t="array" ref="AF43">_xlfn.XLOOKUP(B43,'Up Max'!A:A,'Up Max'!H:H,)</f>
        <v/>
      </c>
      <c r="AG43" s="57" t="str">
        <f t="array" ref="AG43">_xlfn.XLOOKUP(B43,'Up Stats'!A:A,'Up Stats'!I:I,)</f>
        <v/>
      </c>
      <c r="AH43" s="54" t="str">
        <f>IFERROR(__xludf.DUMMYFUNCTION("if(AND(AI43=FALSE,AJ43=FALSE),,if(AI43=AJ43,JOIN("""",""Static: "",AI43),JOIN("""",""Min:  "",AI43, CHAR(10),""Max: "",AJ43)))"),"")</f>
        <v/>
      </c>
      <c r="AI43" s="55" t="str">
        <f t="array" ref="AI43">_xlfn.XLOOKUP(B43,'Up Min'!A:A,'Up Min'!I:I,)</f>
        <v/>
      </c>
      <c r="AJ43" s="55" t="str">
        <f t="array" ref="AJ43">_xlfn.XLOOKUP(B43,'Up Max'!A:A,'Up Max'!I:I,)</f>
        <v/>
      </c>
      <c r="AK43" s="57" t="str">
        <f t="array" ref="AK43">_xlfn.XLOOKUP(B43,'Up Stats'!A:A,'Up Stats'!J:J,)</f>
        <v/>
      </c>
      <c r="AL43" s="54" t="str">
        <f>IFERROR(__xludf.DUMMYFUNCTION("if(AND(AM43=FALSE,AN43=FALSE),,if(AM43=AN43,JOIN("""",""Static: "",AM43),JOIN("""",""Min:  "",AM43, CHAR(10),""Max: "",AN43)))"),"")</f>
        <v/>
      </c>
      <c r="AM43" s="55" t="str">
        <f t="array" ref="AM43">_xlfn.XLOOKUP(B43,'Up Min'!A:A,'Up Min'!J:J,)</f>
        <v/>
      </c>
      <c r="AN43" s="55" t="str">
        <f t="array" ref="AN43">_xlfn.XLOOKUP(B43,'Up Max'!A:A,'Up Max'!J:J,)</f>
        <v/>
      </c>
      <c r="AO43" s="51" t="str">
        <f t="array" ref="AO43">CONCATENATE(_xlfn.XLOOKUP(B43,'Up Cells'!A:A,'Up Cells'!B:B,))</f>
        <v/>
      </c>
      <c r="AP43" s="51" t="str">
        <f t="array" ref="AP43">CONCATENATE(_xlfn.XLOOKUP(B43,'Up Rarity'!A:A,'Up Rarity'!B:B,),CHAR(10),"-")</f>
        <v>
-</v>
      </c>
    </row>
    <row r="44">
      <c r="A44" s="87" t="str">
        <f t="array" ref="A44">_xlfn.XLOOKUP(B44,'Up Icon'!A:A,'Up Icon'!B:B,)</f>
        <v/>
      </c>
      <c r="B44" s="58" t="str">
        <f t="array" ref="B44">HYPERLINK(_xlfn.XLOOKUP('Up Names'!S44,'Up Wiki'!A:A,'Up Wiki'!B:B,),'Up Names'!S44)</f>
        <v/>
      </c>
      <c r="C44" s="37" t="str">
        <f t="array" ref="C44">_xlfn.XLOOKUP(B44,'Up Desc'!A:A,'Up Desc'!B:B,)</f>
        <v/>
      </c>
      <c r="D44" s="37" t="str">
        <f t="array" ref="D44">_xlfn.XLOOKUP(B44,'Up Turbo'!A:A,'Up Turbo'!B:B,)</f>
        <v/>
      </c>
      <c r="E44" s="39" t="str">
        <f t="array" ref="E44">_xlfn.XLOOKUP(B44,'Up Stats'!A:A,'Up Stats'!B:B,)</f>
        <v/>
      </c>
      <c r="F44" s="40" t="str">
        <f>IFERROR(__xludf.DUMMYFUNCTION("if(AND(G44=FALSE,H44=FALSE),,if(G44=H44,JOIN("""",""Static: "",G44),JOIN("""",""Min:  "",G44, CHAR(10),""Max: "",H44)))"),"")</f>
        <v/>
      </c>
      <c r="G44" s="42" t="str">
        <f t="array" ref="G44">_xlfn.XLOOKUP(B44,'Up Min'!A:A,'Up Min'!B:B,)</f>
        <v/>
      </c>
      <c r="H44" s="45" t="str">
        <f t="array" ref="H44">_xlfn.XLOOKUP(B44,'Up Max'!A:A,'Up Max'!B:B,)</f>
        <v/>
      </c>
      <c r="I44" s="39" t="str">
        <f t="array" ref="I44">_xlfn.XLOOKUP(B44,'Up Stats'!A:A,'Up Stats'!C:C,)</f>
        <v/>
      </c>
      <c r="J44" s="40" t="str">
        <f>IFERROR(__xludf.DUMMYFUNCTION("if(AND(K44=FALSE,L44=FALSE),,if(K44=L44,JOIN("""",""Static: "",K44),JOIN("""",""Min:  "",K44, CHAR(10),""Max: "",L44)))"),"")</f>
        <v/>
      </c>
      <c r="K44" s="42" t="str">
        <f t="array" ref="K44">_xlfn.XLOOKUP(B44,'Up Min'!A:A,'Up Min'!C:C,)</f>
        <v/>
      </c>
      <c r="L44" s="42" t="str">
        <f t="array" ref="L44">_xlfn.XLOOKUP(B44,'Up Max'!A:A,'Up Max'!C:C,)</f>
        <v/>
      </c>
      <c r="M44" s="48" t="str">
        <f t="array" ref="M44">_xlfn.XLOOKUP(B44,'Up Stats'!A:A,'Up Stats'!D:D,)</f>
        <v/>
      </c>
      <c r="N44" s="40" t="str">
        <f>IFERROR(__xludf.DUMMYFUNCTION("if(AND(O44=FALSE,P44=FALSE),,if(O44=P44,JOIN("""",""Static: "",O44),JOIN("""",""Min:  "",O44, CHAR(10),""Max: "",P44)))"),"")</f>
        <v/>
      </c>
      <c r="O44" s="42" t="str">
        <f t="array" ref="O44">_xlfn.XLOOKUP(B44,'Up Min'!A:A,'Up Min'!D:D,)</f>
        <v/>
      </c>
      <c r="P44" s="42" t="str">
        <f t="array" ref="P44">_xlfn.XLOOKUP(B44,'Up Max'!A:A,'Up Max'!D:D,)</f>
        <v/>
      </c>
      <c r="Q44" s="48" t="str">
        <f t="array" ref="Q44">_xlfn.XLOOKUP(B44,'Up Stats'!A:A,'Up Stats'!E:E,)</f>
        <v/>
      </c>
      <c r="R44" s="40" t="str">
        <f>IFERROR(__xludf.DUMMYFUNCTION("if(AND(S44=FALSE,T44=FALSE),,if(S44=T44,JOIN("""",""Static: "",S44),JOIN("""",""Min:  "",S44, CHAR(10),""Max: "",T44)))"),"")</f>
        <v/>
      </c>
      <c r="S44" s="42" t="str">
        <f t="array" ref="S44">_xlfn.XLOOKUP(B44,'Up Min'!A:A,'Up Min'!E:E,)</f>
        <v/>
      </c>
      <c r="T44" s="42" t="str">
        <f t="array" ref="T44">_xlfn.XLOOKUP(B44,'Up Max'!A:A,'Up Max'!E:E,)</f>
        <v/>
      </c>
      <c r="U44" s="48" t="str">
        <f t="array" ref="U44">_xlfn.XLOOKUP(B44,'Up Stats'!A:A,'Up Stats'!F:F,)</f>
        <v/>
      </c>
      <c r="V44" s="40" t="str">
        <f>IFERROR(__xludf.DUMMYFUNCTION("if(AND(W44=FALSE,X44=FALSE),,if(W44=X44,JOIN("""",""Static: "",W44),JOIN("""",""Min:  "",W44, CHAR(10),""Max: "",X44)))"),"")</f>
        <v/>
      </c>
      <c r="W44" s="42" t="str">
        <f t="array" ref="W44">_xlfn.XLOOKUP(B44,'Up Min'!A:A,'Up Min'!F:F,)</f>
        <v/>
      </c>
      <c r="X44" s="42" t="str">
        <f t="array" ref="X44">_xlfn.XLOOKUP(B44,'Up Max'!A:A,'Up Max'!F:F,)</f>
        <v/>
      </c>
      <c r="Y44" s="48" t="str">
        <f t="array" ref="Y44">_xlfn.XLOOKUP(B44,'Up Stats'!A:A,'Up Stats'!G:G,)</f>
        <v/>
      </c>
      <c r="Z44" s="40" t="str">
        <f>IFERROR(__xludf.DUMMYFUNCTION("if(AND(AA44=FALSE,AB44=FALSE),,if(AA44=AB44,JOIN("""",""Static: "",AA44),JOIN("""",""Min:  "",AA44, CHAR(10),""Max: "",AB44)))"),"")</f>
        <v/>
      </c>
      <c r="AA44" s="42" t="str">
        <f t="array" ref="AA44">_xlfn.XLOOKUP(B44,'Up Min'!A:A,'Up Min'!G:G,)</f>
        <v/>
      </c>
      <c r="AB44" s="42" t="str">
        <f t="array" ref="AB44">_xlfn.XLOOKUP(B44,'Up Max'!A:A,'Up Max'!G:G,)</f>
        <v/>
      </c>
      <c r="AC44" s="48" t="str">
        <f t="array" ref="AC44">_xlfn.XLOOKUP(B44,'Up Stats'!A:A,'Up Stats'!H:H,)</f>
        <v/>
      </c>
      <c r="AD44" s="40" t="str">
        <f>IFERROR(__xludf.DUMMYFUNCTION("if(AND(AE44=FALSE,AF44=FALSE),,if(AE44=AF44,JOIN("""",""Static: "",AE44),JOIN("""",""Min:  "",AE44, CHAR(10),""Max: "",AF44)))"),"")</f>
        <v/>
      </c>
      <c r="AE44" s="42" t="str">
        <f t="array" ref="AE44">_xlfn.XLOOKUP(B44,'Up Min'!A:A,'Up Min'!H:H,)</f>
        <v/>
      </c>
      <c r="AF44" s="42" t="str">
        <f t="array" ref="AF44">_xlfn.XLOOKUP(B44,'Up Max'!A:A,'Up Max'!H:H,)</f>
        <v/>
      </c>
      <c r="AG44" s="48" t="str">
        <f t="array" ref="AG44">_xlfn.XLOOKUP(B44,'Up Stats'!A:A,'Up Stats'!I:I,)</f>
        <v/>
      </c>
      <c r="AH44" s="40" t="str">
        <f>IFERROR(__xludf.DUMMYFUNCTION("if(AND(AI44=FALSE,AJ44=FALSE),,if(AI44=AJ44,JOIN("""",""Static: "",AI44),JOIN("""",""Min:  "",AI44, CHAR(10),""Max: "",AJ44)))"),"")</f>
        <v/>
      </c>
      <c r="AI44" s="42" t="str">
        <f t="array" ref="AI44">_xlfn.XLOOKUP(B44,'Up Min'!A:A,'Up Min'!I:I,)</f>
        <v/>
      </c>
      <c r="AJ44" s="42" t="str">
        <f t="array" ref="AJ44">_xlfn.XLOOKUP(B44,'Up Max'!A:A,'Up Max'!I:I,)</f>
        <v/>
      </c>
      <c r="AK44" s="48" t="str">
        <f t="array" ref="AK44">_xlfn.XLOOKUP(B44,'Up Stats'!A:A,'Up Stats'!J:J,)</f>
        <v/>
      </c>
      <c r="AL44" s="40" t="str">
        <f>IFERROR(__xludf.DUMMYFUNCTION("if(AND(AM44=FALSE,AN44=FALSE),,if(AM44=AN44,JOIN("""",""Static: "",AM44),JOIN("""",""Min:  "",AM44, CHAR(10),""Max: "",AN44)))"),"")</f>
        <v/>
      </c>
      <c r="AM44" s="42" t="str">
        <f t="array" ref="AM44">_xlfn.XLOOKUP(B44,'Up Min'!A:A,'Up Min'!J:J,)</f>
        <v/>
      </c>
      <c r="AN44" s="42" t="str">
        <f t="array" ref="AN44">_xlfn.XLOOKUP(B44,'Up Max'!A:A,'Up Max'!J:J,)</f>
        <v/>
      </c>
      <c r="AO44" s="34" t="str">
        <f t="array" ref="AO44">CONCATENATE(_xlfn.XLOOKUP(B44,'Up Cells'!A:A,'Up Cells'!B:B,))</f>
        <v/>
      </c>
      <c r="AP44" s="34" t="str">
        <f t="array" ref="AP44">CONCATENATE(_xlfn.XLOOKUP(B44,'Up Rarity'!A:A,'Up Rarity'!B:B,),CHAR(10),"-")</f>
        <v>
-</v>
      </c>
    </row>
    <row r="45">
      <c r="A45" s="86" t="str">
        <f t="array" ref="A45">_xlfn.XLOOKUP(B45,'Up Icon'!A:A,'Up Icon'!B:B,)</f>
        <v/>
      </c>
      <c r="B45" s="61" t="str">
        <f t="array" ref="B45">HYPERLINK(_xlfn.XLOOKUP('Up Names'!S45,'Up Wiki'!A:A,'Up Wiki'!B:B,),'Up Names'!S45)</f>
        <v/>
      </c>
      <c r="C45" s="52" t="str">
        <f t="array" ref="C45">_xlfn.XLOOKUP(B45,'Up Desc'!A:A,'Up Desc'!B:B,)</f>
        <v/>
      </c>
      <c r="D45" s="52" t="str">
        <f t="array" ref="D45">_xlfn.XLOOKUP(B45,'Up Turbo'!A:A,'Up Turbo'!B:B,)</f>
        <v/>
      </c>
      <c r="E45" s="53" t="str">
        <f t="array" ref="E45">_xlfn.XLOOKUP(B45,'Up Stats'!A:A,'Up Stats'!B:B,)</f>
        <v/>
      </c>
      <c r="F45" s="54" t="str">
        <f>IFERROR(__xludf.DUMMYFUNCTION("if(AND(G45=FALSE,H45=FALSE),,if(G45=H45,JOIN("""",""Static: "",G45),JOIN("""",""Min:  "",G45, CHAR(10),""Max: "",H45)))"),"")</f>
        <v/>
      </c>
      <c r="G45" s="55" t="str">
        <f t="array" ref="G45">_xlfn.XLOOKUP(B45,'Up Min'!A:A,'Up Min'!B:B,)</f>
        <v/>
      </c>
      <c r="H45" s="56" t="str">
        <f t="array" ref="H45">_xlfn.XLOOKUP(B45,'Up Max'!A:A,'Up Max'!B:B,)</f>
        <v/>
      </c>
      <c r="I45" s="53" t="str">
        <f t="array" ref="I45">_xlfn.XLOOKUP(B45,'Up Stats'!A:A,'Up Stats'!C:C,)</f>
        <v/>
      </c>
      <c r="J45" s="54" t="str">
        <f>IFERROR(__xludf.DUMMYFUNCTION("if(AND(K45=FALSE,L45=FALSE),,if(K45=L45,JOIN("""",""Static: "",K45),JOIN("""",""Min:  "",K45, CHAR(10),""Max: "",L45)))"),"")</f>
        <v/>
      </c>
      <c r="K45" s="55" t="str">
        <f t="array" ref="K45">_xlfn.XLOOKUP(B45,'Up Min'!A:A,'Up Min'!C:C,)</f>
        <v/>
      </c>
      <c r="L45" s="55" t="str">
        <f t="array" ref="L45">_xlfn.XLOOKUP(B45,'Up Max'!A:A,'Up Max'!C:C,)</f>
        <v/>
      </c>
      <c r="M45" s="57" t="str">
        <f t="array" ref="M45">_xlfn.XLOOKUP(B45,'Up Stats'!A:A,'Up Stats'!D:D,)</f>
        <v/>
      </c>
      <c r="N45" s="54" t="str">
        <f>IFERROR(__xludf.DUMMYFUNCTION("if(AND(O45=FALSE,P45=FALSE),,if(O45=P45,JOIN("""",""Static: "",O45),JOIN("""",""Min:  "",O45, CHAR(10),""Max: "",P45)))"),"")</f>
        <v/>
      </c>
      <c r="O45" s="55" t="str">
        <f t="array" ref="O45">_xlfn.XLOOKUP(B45,'Up Min'!A:A,'Up Min'!D:D,)</f>
        <v/>
      </c>
      <c r="P45" s="55" t="str">
        <f t="array" ref="P45">_xlfn.XLOOKUP(B45,'Up Max'!A:A,'Up Max'!D:D,)</f>
        <v/>
      </c>
      <c r="Q45" s="57" t="str">
        <f t="array" ref="Q45">_xlfn.XLOOKUP(B45,'Up Stats'!A:A,'Up Stats'!E:E,)</f>
        <v/>
      </c>
      <c r="R45" s="54" t="str">
        <f>IFERROR(__xludf.DUMMYFUNCTION("if(AND(S45=FALSE,T45=FALSE),,if(S45=T45,JOIN("""",""Static: "",S45),JOIN("""",""Min:  "",S45, CHAR(10),""Max: "",T45)))"),"")</f>
        <v/>
      </c>
      <c r="S45" s="55" t="str">
        <f t="array" ref="S45">_xlfn.XLOOKUP(B45,'Up Min'!A:A,'Up Min'!E:E,)</f>
        <v/>
      </c>
      <c r="T45" s="55" t="str">
        <f t="array" ref="T45">_xlfn.XLOOKUP(B45,'Up Max'!A:A,'Up Max'!E:E,)</f>
        <v/>
      </c>
      <c r="U45" s="57" t="str">
        <f t="array" ref="U45">_xlfn.XLOOKUP(B45,'Up Stats'!A:A,'Up Stats'!F:F,)</f>
        <v/>
      </c>
      <c r="V45" s="54" t="str">
        <f>IFERROR(__xludf.DUMMYFUNCTION("if(AND(W45=FALSE,X45=FALSE),,if(W45=X45,JOIN("""",""Static: "",W45),JOIN("""",""Min:  "",W45, CHAR(10),""Max: "",X45)))"),"")</f>
        <v/>
      </c>
      <c r="W45" s="55" t="str">
        <f t="array" ref="W45">_xlfn.XLOOKUP(B45,'Up Min'!A:A,'Up Min'!F:F,)</f>
        <v/>
      </c>
      <c r="X45" s="55" t="str">
        <f t="array" ref="X45">_xlfn.XLOOKUP(B45,'Up Max'!A:A,'Up Max'!F:F,)</f>
        <v/>
      </c>
      <c r="Y45" s="57" t="str">
        <f t="array" ref="Y45">_xlfn.XLOOKUP(B45,'Up Stats'!A:A,'Up Stats'!G:G,)</f>
        <v/>
      </c>
      <c r="Z45" s="54" t="str">
        <f>IFERROR(__xludf.DUMMYFUNCTION("if(AND(AA45=FALSE,AB45=FALSE),,if(AA45=AB45,JOIN("""",""Static: "",AA45),JOIN("""",""Min:  "",AA45, CHAR(10),""Max: "",AB45)))"),"")</f>
        <v/>
      </c>
      <c r="AA45" s="55" t="str">
        <f t="array" ref="AA45">_xlfn.XLOOKUP(B45,'Up Min'!A:A,'Up Min'!G:G,)</f>
        <v/>
      </c>
      <c r="AB45" s="55" t="str">
        <f t="array" ref="AB45">_xlfn.XLOOKUP(B45,'Up Max'!A:A,'Up Max'!G:G,)</f>
        <v/>
      </c>
      <c r="AC45" s="57" t="str">
        <f t="array" ref="AC45">_xlfn.XLOOKUP(B45,'Up Stats'!A:A,'Up Stats'!H:H,)</f>
        <v/>
      </c>
      <c r="AD45" s="54" t="str">
        <f>IFERROR(__xludf.DUMMYFUNCTION("if(AND(AE45=FALSE,AF45=FALSE),,if(AE45=AF45,JOIN("""",""Static: "",AE45),JOIN("""",""Min:  "",AE45, CHAR(10),""Max: "",AF45)))"),"")</f>
        <v/>
      </c>
      <c r="AE45" s="55" t="str">
        <f t="array" ref="AE45">_xlfn.XLOOKUP(B45,'Up Min'!A:A,'Up Min'!H:H,)</f>
        <v/>
      </c>
      <c r="AF45" s="55" t="str">
        <f t="array" ref="AF45">_xlfn.XLOOKUP(B45,'Up Max'!A:A,'Up Max'!H:H,)</f>
        <v/>
      </c>
      <c r="AG45" s="57" t="str">
        <f t="array" ref="AG45">_xlfn.XLOOKUP(B45,'Up Stats'!A:A,'Up Stats'!I:I,)</f>
        <v/>
      </c>
      <c r="AH45" s="54" t="str">
        <f>IFERROR(__xludf.DUMMYFUNCTION("if(AND(AI45=FALSE,AJ45=FALSE),,if(AI45=AJ45,JOIN("""",""Static: "",AI45),JOIN("""",""Min:  "",AI45, CHAR(10),""Max: "",AJ45)))"),"")</f>
        <v/>
      </c>
      <c r="AI45" s="55" t="str">
        <f t="array" ref="AI45">_xlfn.XLOOKUP(B45,'Up Min'!A:A,'Up Min'!I:I,)</f>
        <v/>
      </c>
      <c r="AJ45" s="55" t="str">
        <f t="array" ref="AJ45">_xlfn.XLOOKUP(B45,'Up Max'!A:A,'Up Max'!I:I,)</f>
        <v/>
      </c>
      <c r="AK45" s="57" t="str">
        <f t="array" ref="AK45">_xlfn.XLOOKUP(B45,'Up Stats'!A:A,'Up Stats'!J:J,)</f>
        <v/>
      </c>
      <c r="AL45" s="54" t="str">
        <f>IFERROR(__xludf.DUMMYFUNCTION("if(AND(AM45=FALSE,AN45=FALSE),,if(AM45=AN45,JOIN("""",""Static: "",AM45),JOIN("""",""Min:  "",AM45, CHAR(10),""Max: "",AN45)))"),"")</f>
        <v/>
      </c>
      <c r="AM45" s="55" t="str">
        <f t="array" ref="AM45">_xlfn.XLOOKUP(B45,'Up Min'!A:A,'Up Min'!J:J,)</f>
        <v/>
      </c>
      <c r="AN45" s="55" t="str">
        <f t="array" ref="AN45">_xlfn.XLOOKUP(B45,'Up Max'!A:A,'Up Max'!J:J,)</f>
        <v/>
      </c>
      <c r="AO45" s="51" t="str">
        <f t="array" ref="AO45">CONCATENATE(_xlfn.XLOOKUP(B45,'Up Cells'!A:A,'Up Cells'!B:B,))</f>
        <v/>
      </c>
      <c r="AP45" s="51" t="str">
        <f t="array" ref="AP45">CONCATENATE(_xlfn.XLOOKUP(B45,'Up Rarity'!A:A,'Up Rarity'!B:B,),CHAR(10),"-")</f>
        <v>
-</v>
      </c>
    </row>
    <row r="46">
      <c r="A46" s="87" t="str">
        <f t="array" ref="A46">_xlfn.XLOOKUP(B46,'Up Icon'!A:A,'Up Icon'!B:B,)</f>
        <v/>
      </c>
      <c r="B46" s="58" t="str">
        <f t="array" ref="B46">HYPERLINK(_xlfn.XLOOKUP('Up Names'!S46,'Up Wiki'!A:A,'Up Wiki'!B:B,),'Up Names'!S46)</f>
        <v/>
      </c>
      <c r="C46" s="37" t="str">
        <f t="array" ref="C46">_xlfn.XLOOKUP(B46,'Up Desc'!A:A,'Up Desc'!B:B,)</f>
        <v/>
      </c>
      <c r="D46" s="37" t="str">
        <f t="array" ref="D46">_xlfn.XLOOKUP(B46,'Up Turbo'!A:A,'Up Turbo'!B:B,)</f>
        <v/>
      </c>
      <c r="E46" s="39" t="str">
        <f t="array" ref="E46">_xlfn.XLOOKUP(B46,'Up Stats'!A:A,'Up Stats'!B:B,)</f>
        <v/>
      </c>
      <c r="F46" s="40" t="str">
        <f>IFERROR(__xludf.DUMMYFUNCTION("if(AND(G46=FALSE,H46=FALSE),,if(G46=H46,JOIN("""",""Static: "",G46),JOIN("""",""Min:  "",G46, CHAR(10),""Max: "",H46)))"),"")</f>
        <v/>
      </c>
      <c r="G46" s="42" t="str">
        <f t="array" ref="G46">_xlfn.XLOOKUP(B46,'Up Min'!A:A,'Up Min'!B:B,)</f>
        <v/>
      </c>
      <c r="H46" s="45" t="str">
        <f t="array" ref="H46">_xlfn.XLOOKUP(B46,'Up Max'!A:A,'Up Max'!B:B,)</f>
        <v/>
      </c>
      <c r="I46" s="39" t="str">
        <f t="array" ref="I46">_xlfn.XLOOKUP(B46,'Up Stats'!A:A,'Up Stats'!C:C,)</f>
        <v/>
      </c>
      <c r="J46" s="40" t="str">
        <f>IFERROR(__xludf.DUMMYFUNCTION("if(AND(K46=FALSE,L46=FALSE),,if(K46=L46,JOIN("""",""Static: "",K46),JOIN("""",""Min:  "",K46, CHAR(10),""Max: "",L46)))"),"")</f>
        <v/>
      </c>
      <c r="K46" s="42" t="str">
        <f t="array" ref="K46">_xlfn.XLOOKUP(B46,'Up Min'!A:A,'Up Min'!C:C,)</f>
        <v/>
      </c>
      <c r="L46" s="42" t="str">
        <f t="array" ref="L46">_xlfn.XLOOKUP(B46,'Up Max'!A:A,'Up Max'!C:C,)</f>
        <v/>
      </c>
      <c r="M46" s="48" t="str">
        <f t="array" ref="M46">_xlfn.XLOOKUP(B46,'Up Stats'!A:A,'Up Stats'!D:D,)</f>
        <v/>
      </c>
      <c r="N46" s="40" t="str">
        <f>IFERROR(__xludf.DUMMYFUNCTION("if(AND(O46=FALSE,P46=FALSE),,if(O46=P46,JOIN("""",""Static: "",O46),JOIN("""",""Min:  "",O46, CHAR(10),""Max: "",P46)))"),"")</f>
        <v/>
      </c>
      <c r="O46" s="42" t="str">
        <f t="array" ref="O46">_xlfn.XLOOKUP(B46,'Up Min'!A:A,'Up Min'!D:D,)</f>
        <v/>
      </c>
      <c r="P46" s="42" t="str">
        <f t="array" ref="P46">_xlfn.XLOOKUP(B46,'Up Max'!A:A,'Up Max'!D:D,)</f>
        <v/>
      </c>
      <c r="Q46" s="48" t="str">
        <f t="array" ref="Q46">_xlfn.XLOOKUP(B46,'Up Stats'!A:A,'Up Stats'!E:E,)</f>
        <v/>
      </c>
      <c r="R46" s="40" t="str">
        <f>IFERROR(__xludf.DUMMYFUNCTION("if(AND(S46=FALSE,T46=FALSE),,if(S46=T46,JOIN("""",""Static: "",S46),JOIN("""",""Min:  "",S46, CHAR(10),""Max: "",T46)))"),"")</f>
        <v/>
      </c>
      <c r="S46" s="42" t="str">
        <f t="array" ref="S46">_xlfn.XLOOKUP(B46,'Up Min'!A:A,'Up Min'!E:E,)</f>
        <v/>
      </c>
      <c r="T46" s="42" t="str">
        <f t="array" ref="T46">_xlfn.XLOOKUP(B46,'Up Max'!A:A,'Up Max'!E:E,)</f>
        <v/>
      </c>
      <c r="U46" s="48" t="str">
        <f t="array" ref="U46">_xlfn.XLOOKUP(B46,'Up Stats'!A:A,'Up Stats'!F:F,)</f>
        <v/>
      </c>
      <c r="V46" s="40" t="str">
        <f>IFERROR(__xludf.DUMMYFUNCTION("if(AND(W46=FALSE,X46=FALSE),,if(W46=X46,JOIN("""",""Static: "",W46),JOIN("""",""Min:  "",W46, CHAR(10),""Max: "",X46)))"),"")</f>
        <v/>
      </c>
      <c r="W46" s="42" t="str">
        <f t="array" ref="W46">_xlfn.XLOOKUP(B46,'Up Min'!A:A,'Up Min'!F:F,)</f>
        <v/>
      </c>
      <c r="X46" s="42" t="str">
        <f t="array" ref="X46">_xlfn.XLOOKUP(B46,'Up Max'!A:A,'Up Max'!F:F,)</f>
        <v/>
      </c>
      <c r="Y46" s="48" t="str">
        <f t="array" ref="Y46">_xlfn.XLOOKUP(B46,'Up Stats'!A:A,'Up Stats'!G:G,)</f>
        <v/>
      </c>
      <c r="Z46" s="40" t="str">
        <f>IFERROR(__xludf.DUMMYFUNCTION("if(AND(AA46=FALSE,AB46=FALSE),,if(AA46=AB46,JOIN("""",""Static: "",AA46),JOIN("""",""Min:  "",AA46, CHAR(10),""Max: "",AB46)))"),"")</f>
        <v/>
      </c>
      <c r="AA46" s="42" t="str">
        <f t="array" ref="AA46">_xlfn.XLOOKUP(B46,'Up Min'!A:A,'Up Min'!G:G,)</f>
        <v/>
      </c>
      <c r="AB46" s="42" t="str">
        <f t="array" ref="AB46">_xlfn.XLOOKUP(B46,'Up Max'!A:A,'Up Max'!G:G,)</f>
        <v/>
      </c>
      <c r="AC46" s="48" t="str">
        <f t="array" ref="AC46">_xlfn.XLOOKUP(B46,'Up Stats'!A:A,'Up Stats'!H:H,)</f>
        <v/>
      </c>
      <c r="AD46" s="40" t="str">
        <f>IFERROR(__xludf.DUMMYFUNCTION("if(AND(AE46=FALSE,AF46=FALSE),,if(AE46=AF46,JOIN("""",""Static: "",AE46),JOIN("""",""Min:  "",AE46, CHAR(10),""Max: "",AF46)))"),"")</f>
        <v/>
      </c>
      <c r="AE46" s="42" t="str">
        <f t="array" ref="AE46">_xlfn.XLOOKUP(B46,'Up Min'!A:A,'Up Min'!H:H,)</f>
        <v/>
      </c>
      <c r="AF46" s="42" t="str">
        <f t="array" ref="AF46">_xlfn.XLOOKUP(B46,'Up Max'!A:A,'Up Max'!H:H,)</f>
        <v/>
      </c>
      <c r="AG46" s="48" t="str">
        <f t="array" ref="AG46">_xlfn.XLOOKUP(B46,'Up Stats'!A:A,'Up Stats'!I:I,)</f>
        <v/>
      </c>
      <c r="AH46" s="40" t="str">
        <f>IFERROR(__xludf.DUMMYFUNCTION("if(AND(AI46=FALSE,AJ46=FALSE),,if(AI46=AJ46,JOIN("""",""Static: "",AI46),JOIN("""",""Min:  "",AI46, CHAR(10),""Max: "",AJ46)))"),"")</f>
        <v/>
      </c>
      <c r="AI46" s="42" t="str">
        <f t="array" ref="AI46">_xlfn.XLOOKUP(B46,'Up Min'!A:A,'Up Min'!I:I,)</f>
        <v/>
      </c>
      <c r="AJ46" s="42" t="str">
        <f t="array" ref="AJ46">_xlfn.XLOOKUP(B46,'Up Max'!A:A,'Up Max'!I:I,)</f>
        <v/>
      </c>
      <c r="AK46" s="48" t="str">
        <f t="array" ref="AK46">_xlfn.XLOOKUP(B46,'Up Stats'!A:A,'Up Stats'!J:J,)</f>
        <v/>
      </c>
      <c r="AL46" s="40" t="str">
        <f>IFERROR(__xludf.DUMMYFUNCTION("if(AND(AM46=FALSE,AN46=FALSE),,if(AM46=AN46,JOIN("""",""Static: "",AM46),JOIN("""",""Min:  "",AM46, CHAR(10),""Max: "",AN46)))"),"")</f>
        <v/>
      </c>
      <c r="AM46" s="42" t="str">
        <f t="array" ref="AM46">_xlfn.XLOOKUP(B46,'Up Min'!A:A,'Up Min'!J:J,)</f>
        <v/>
      </c>
      <c r="AN46" s="42" t="str">
        <f t="array" ref="AN46">_xlfn.XLOOKUP(B46,'Up Max'!A:A,'Up Max'!J:J,)</f>
        <v/>
      </c>
      <c r="AO46" s="34" t="str">
        <f t="array" ref="AO46">CONCATENATE(_xlfn.XLOOKUP(B46,'Up Cells'!A:A,'Up Cells'!B:B,))</f>
        <v/>
      </c>
      <c r="AP46" s="34" t="str">
        <f t="array" ref="AP46">CONCATENATE(_xlfn.XLOOKUP(B46,'Up Rarity'!A:A,'Up Rarity'!B:B,),CHAR(10),"-")</f>
        <v>
-</v>
      </c>
    </row>
    <row r="47">
      <c r="A47" s="86" t="str">
        <f t="array" ref="A47">_xlfn.XLOOKUP(B47,'Up Icon'!A:A,'Up Icon'!B:B,)</f>
        <v/>
      </c>
      <c r="B47" s="61" t="str">
        <f t="array" ref="B47">HYPERLINK(_xlfn.XLOOKUP('Up Names'!S47,'Up Wiki'!A:A,'Up Wiki'!B:B,),'Up Names'!S47)</f>
        <v/>
      </c>
      <c r="C47" s="52" t="str">
        <f t="array" ref="C47">_xlfn.XLOOKUP(B47,'Up Desc'!A:A,'Up Desc'!B:B,)</f>
        <v/>
      </c>
      <c r="D47" s="52" t="str">
        <f t="array" ref="D47">_xlfn.XLOOKUP(B47,'Up Turbo'!A:A,'Up Turbo'!B:B,)</f>
        <v/>
      </c>
      <c r="E47" s="53" t="str">
        <f t="array" ref="E47">_xlfn.XLOOKUP(B47,'Up Stats'!A:A,'Up Stats'!B:B,)</f>
        <v/>
      </c>
      <c r="F47" s="54" t="str">
        <f>IFERROR(__xludf.DUMMYFUNCTION("if(AND(G47=FALSE,H47=FALSE),,if(G47=H47,JOIN("""",""Static: "",G47),JOIN("""",""Min:  "",G47, CHAR(10),""Max: "",H47)))"),"")</f>
        <v/>
      </c>
      <c r="G47" s="55" t="str">
        <f t="array" ref="G47">_xlfn.XLOOKUP(B47,'Up Min'!A:A,'Up Min'!B:B,)</f>
        <v/>
      </c>
      <c r="H47" s="56" t="str">
        <f t="array" ref="H47">_xlfn.XLOOKUP(B47,'Up Max'!A:A,'Up Max'!B:B,)</f>
        <v/>
      </c>
      <c r="I47" s="53" t="str">
        <f t="array" ref="I47">_xlfn.XLOOKUP(B47,'Up Stats'!A:A,'Up Stats'!C:C,)</f>
        <v/>
      </c>
      <c r="J47" s="54" t="str">
        <f>IFERROR(__xludf.DUMMYFUNCTION("if(AND(K47=FALSE,L47=FALSE),,if(K47=L47,JOIN("""",""Static: "",K47),JOIN("""",""Min:  "",K47, CHAR(10),""Max: "",L47)))"),"")</f>
        <v/>
      </c>
      <c r="K47" s="55" t="str">
        <f t="array" ref="K47">_xlfn.XLOOKUP(B47,'Up Min'!A:A,'Up Min'!C:C,)</f>
        <v/>
      </c>
      <c r="L47" s="55" t="str">
        <f t="array" ref="L47">_xlfn.XLOOKUP(B47,'Up Max'!A:A,'Up Max'!C:C,)</f>
        <v/>
      </c>
      <c r="M47" s="57" t="str">
        <f t="array" ref="M47">_xlfn.XLOOKUP(B47,'Up Stats'!A:A,'Up Stats'!D:D,)</f>
        <v/>
      </c>
      <c r="N47" s="54" t="str">
        <f>IFERROR(__xludf.DUMMYFUNCTION("if(AND(O47=FALSE,P47=FALSE),,if(O47=P47,JOIN("""",""Static: "",O47),JOIN("""",""Min:  "",O47, CHAR(10),""Max: "",P47)))"),"")</f>
        <v/>
      </c>
      <c r="O47" s="55" t="str">
        <f t="array" ref="O47">_xlfn.XLOOKUP(B47,'Up Min'!A:A,'Up Min'!D:D,)</f>
        <v/>
      </c>
      <c r="P47" s="55" t="str">
        <f t="array" ref="P47">_xlfn.XLOOKUP(B47,'Up Max'!A:A,'Up Max'!D:D,)</f>
        <v/>
      </c>
      <c r="Q47" s="57" t="str">
        <f t="array" ref="Q47">_xlfn.XLOOKUP(B47,'Up Stats'!A:A,'Up Stats'!E:E,)</f>
        <v/>
      </c>
      <c r="R47" s="54" t="str">
        <f>IFERROR(__xludf.DUMMYFUNCTION("if(AND(S47=FALSE,T47=FALSE),,if(S47=T47,JOIN("""",""Static: "",S47),JOIN("""",""Min:  "",S47, CHAR(10),""Max: "",T47)))"),"")</f>
        <v/>
      </c>
      <c r="S47" s="55" t="str">
        <f t="array" ref="S47">_xlfn.XLOOKUP(B47,'Up Min'!A:A,'Up Min'!E:E,)</f>
        <v/>
      </c>
      <c r="T47" s="55" t="str">
        <f t="array" ref="T47">_xlfn.XLOOKUP(B47,'Up Max'!A:A,'Up Max'!E:E,)</f>
        <v/>
      </c>
      <c r="U47" s="57" t="str">
        <f t="array" ref="U47">_xlfn.XLOOKUP(B47,'Up Stats'!A:A,'Up Stats'!F:F,)</f>
        <v/>
      </c>
      <c r="V47" s="54" t="str">
        <f>IFERROR(__xludf.DUMMYFUNCTION("if(AND(W47=FALSE,X47=FALSE),,if(W47=X47,JOIN("""",""Static: "",W47),JOIN("""",""Min:  "",W47, CHAR(10),""Max: "",X47)))"),"")</f>
        <v/>
      </c>
      <c r="W47" s="55" t="str">
        <f t="array" ref="W47">_xlfn.XLOOKUP(B47,'Up Min'!A:A,'Up Min'!F:F,)</f>
        <v/>
      </c>
      <c r="X47" s="55" t="str">
        <f t="array" ref="X47">_xlfn.XLOOKUP(B47,'Up Max'!A:A,'Up Max'!F:F,)</f>
        <v/>
      </c>
      <c r="Y47" s="57" t="str">
        <f t="array" ref="Y47">_xlfn.XLOOKUP(B47,'Up Stats'!A:A,'Up Stats'!G:G,)</f>
        <v/>
      </c>
      <c r="Z47" s="54" t="str">
        <f>IFERROR(__xludf.DUMMYFUNCTION("if(AND(AA47=FALSE,AB47=FALSE),,if(AA47=AB47,JOIN("""",""Static: "",AA47),JOIN("""",""Min:  "",AA47, CHAR(10),""Max: "",AB47)))"),"")</f>
        <v/>
      </c>
      <c r="AA47" s="55" t="str">
        <f t="array" ref="AA47">_xlfn.XLOOKUP(B47,'Up Min'!A:A,'Up Min'!G:G,)</f>
        <v/>
      </c>
      <c r="AB47" s="55" t="str">
        <f t="array" ref="AB47">_xlfn.XLOOKUP(B47,'Up Max'!A:A,'Up Max'!G:G,)</f>
        <v/>
      </c>
      <c r="AC47" s="57" t="str">
        <f t="array" ref="AC47">_xlfn.XLOOKUP(B47,'Up Stats'!A:A,'Up Stats'!H:H,)</f>
        <v/>
      </c>
      <c r="AD47" s="54" t="str">
        <f>IFERROR(__xludf.DUMMYFUNCTION("if(AND(AE47=FALSE,AF47=FALSE),,if(AE47=AF47,JOIN("""",""Static: "",AE47),JOIN("""",""Min:  "",AE47, CHAR(10),""Max: "",AF47)))"),"")</f>
        <v/>
      </c>
      <c r="AE47" s="55" t="str">
        <f t="array" ref="AE47">_xlfn.XLOOKUP(B47,'Up Min'!A:A,'Up Min'!H:H,)</f>
        <v/>
      </c>
      <c r="AF47" s="55" t="str">
        <f t="array" ref="AF47">_xlfn.XLOOKUP(B47,'Up Max'!A:A,'Up Max'!H:H,)</f>
        <v/>
      </c>
      <c r="AG47" s="57" t="str">
        <f t="array" ref="AG47">_xlfn.XLOOKUP(B47,'Up Stats'!A:A,'Up Stats'!I:I,)</f>
        <v/>
      </c>
      <c r="AH47" s="54" t="str">
        <f>IFERROR(__xludf.DUMMYFUNCTION("if(AND(AI47=FALSE,AJ47=FALSE),,if(AI47=AJ47,JOIN("""",""Static: "",AI47),JOIN("""",""Min:  "",AI47, CHAR(10),""Max: "",AJ47)))"),"")</f>
        <v/>
      </c>
      <c r="AI47" s="55" t="str">
        <f t="array" ref="AI47">_xlfn.XLOOKUP(B47,'Up Min'!A:A,'Up Min'!I:I,)</f>
        <v/>
      </c>
      <c r="AJ47" s="55" t="str">
        <f t="array" ref="AJ47">_xlfn.XLOOKUP(B47,'Up Max'!A:A,'Up Max'!I:I,)</f>
        <v/>
      </c>
      <c r="AK47" s="57" t="str">
        <f t="array" ref="AK47">_xlfn.XLOOKUP(B47,'Up Stats'!A:A,'Up Stats'!J:J,)</f>
        <v/>
      </c>
      <c r="AL47" s="54" t="str">
        <f>IFERROR(__xludf.DUMMYFUNCTION("if(AND(AM47=FALSE,AN47=FALSE),,if(AM47=AN47,JOIN("""",""Static: "",AM47),JOIN("""",""Min:  "",AM47, CHAR(10),""Max: "",AN47)))"),"")</f>
        <v/>
      </c>
      <c r="AM47" s="55" t="str">
        <f t="array" ref="AM47">_xlfn.XLOOKUP(B47,'Up Min'!A:A,'Up Min'!J:J,)</f>
        <v/>
      </c>
      <c r="AN47" s="55" t="str">
        <f t="array" ref="AN47">_xlfn.XLOOKUP(B47,'Up Max'!A:A,'Up Max'!J:J,)</f>
        <v/>
      </c>
      <c r="AO47" s="51" t="str">
        <f t="array" ref="AO47">CONCATENATE(_xlfn.XLOOKUP(B47,'Up Cells'!A:A,'Up Cells'!B:B,))</f>
        <v/>
      </c>
      <c r="AP47" s="51" t="str">
        <f t="array" ref="AP47">CONCATENATE(_xlfn.XLOOKUP(B47,'Up Rarity'!A:A,'Up Rarity'!B:B,),CHAR(10),"-")</f>
        <v>
-</v>
      </c>
    </row>
  </sheetData>
  <autoFilter ref="$A$1:$AP$47">
    <sortState ref="A1:AP47">
      <sortCondition descending="1" sortBy="cellColor" ref="AP1:AP47" dxfId="13"/>
      <sortCondition ref="B1:B47"/>
    </sortState>
  </autoFilter>
  <conditionalFormatting sqref="AO1:AP47">
    <cfRule type="containsText" dxfId="3" priority="1" operator="containsText" text="Oddity">
      <formula>NOT(ISERROR(SEARCH(("Oddity"),(AO1))))</formula>
    </cfRule>
  </conditionalFormatting>
  <conditionalFormatting sqref="AO1:AP47">
    <cfRule type="containsText" dxfId="4" priority="2" operator="containsText" text="Exotic">
      <formula>NOT(ISERROR(SEARCH(("Exotic"),(AO1))))</formula>
    </cfRule>
  </conditionalFormatting>
  <conditionalFormatting sqref="AO1:AP47">
    <cfRule type="containsText" dxfId="5" priority="3" operator="containsText" text="Epic">
      <formula>NOT(ISERROR(SEARCH(("Epic"),(AO1))))</formula>
    </cfRule>
  </conditionalFormatting>
  <conditionalFormatting sqref="AO1:AP47">
    <cfRule type="containsText" dxfId="6" priority="4" operator="containsText" text="Rare">
      <formula>NOT(ISERROR(SEARCH(("Rare"),(AO1))))</formula>
    </cfRule>
  </conditionalFormatting>
  <conditionalFormatting sqref="AO1:AP47">
    <cfRule type="containsText" dxfId="7" priority="5" operator="containsText" text="Standard">
      <formula>NOT(ISERROR(SEARCH(("Standard"),(AO1))))</formula>
    </cfRule>
  </conditionalFormatting>
  <conditionalFormatting sqref="AO1:AP47">
    <cfRule type="containsText" dxfId="8" priority="6" operator="containsText" text="Contraband">
      <formula>NOT(ISERROR(SEARCH(("Contraband"),(AO1))))</formula>
    </cfRule>
  </conditionalFormatting>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12.63"/>
    <col customWidth="1" min="3" max="4" width="31.38"/>
    <col customWidth="1" min="5" max="6" width="12.63"/>
    <col customWidth="1" hidden="1" min="7" max="8" width="12.63"/>
    <col customWidth="1" min="9" max="10" width="12.63"/>
    <col customWidth="1" hidden="1" min="11" max="12" width="12.63"/>
    <col customWidth="1" min="13" max="14" width="12.63"/>
    <col customWidth="1" hidden="1" min="15" max="16" width="12.63"/>
    <col customWidth="1" min="17" max="18" width="12.63"/>
    <col customWidth="1" hidden="1" min="19" max="20" width="12.63"/>
    <col customWidth="1" min="21" max="22" width="12.63"/>
    <col customWidth="1" hidden="1" min="23" max="24" width="12.63"/>
    <col customWidth="1" min="25" max="26" width="12.63"/>
    <col customWidth="1" hidden="1" min="27" max="28" width="12.63"/>
    <col customWidth="1" min="29" max="30" width="12.63"/>
    <col customWidth="1" hidden="1" min="31" max="32" width="12.63"/>
    <col customWidth="1" min="33" max="34" width="12.63"/>
    <col customWidth="1" hidden="1" min="35" max="36" width="12.63"/>
    <col customWidth="1" min="37" max="38" width="12.63"/>
    <col customWidth="1" hidden="1" min="39" max="40" width="12.63"/>
    <col customWidth="1" min="41" max="42" width="8.25"/>
  </cols>
  <sheetData>
    <row r="1">
      <c r="A1" s="28" t="s">
        <v>1</v>
      </c>
      <c r="B1" s="9" t="s">
        <v>2</v>
      </c>
      <c r="C1" s="9" t="s">
        <v>3</v>
      </c>
      <c r="D1" s="11" t="s">
        <v>4</v>
      </c>
      <c r="E1" s="16" t="s">
        <v>6</v>
      </c>
      <c r="F1" s="19" t="s">
        <v>7</v>
      </c>
      <c r="G1" s="21" t="s">
        <v>8</v>
      </c>
      <c r="H1" s="25" t="s">
        <v>9</v>
      </c>
      <c r="I1" s="29" t="s">
        <v>6</v>
      </c>
      <c r="J1" s="19" t="s">
        <v>7</v>
      </c>
      <c r="K1" s="21" t="s">
        <v>8</v>
      </c>
      <c r="L1" s="21" t="s">
        <v>9</v>
      </c>
      <c r="M1" s="29" t="s">
        <v>6</v>
      </c>
      <c r="N1" s="19" t="s">
        <v>7</v>
      </c>
      <c r="O1" s="21" t="s">
        <v>8</v>
      </c>
      <c r="P1" s="21" t="s">
        <v>9</v>
      </c>
      <c r="Q1" s="16" t="s">
        <v>6</v>
      </c>
      <c r="R1" s="19" t="s">
        <v>7</v>
      </c>
      <c r="S1" s="25" t="s">
        <v>8</v>
      </c>
      <c r="T1" s="21" t="s">
        <v>9</v>
      </c>
      <c r="U1" s="16" t="s">
        <v>6</v>
      </c>
      <c r="V1" s="19" t="s">
        <v>7</v>
      </c>
      <c r="W1" s="25" t="s">
        <v>8</v>
      </c>
      <c r="X1" s="25" t="s">
        <v>9</v>
      </c>
      <c r="Y1" s="16" t="s">
        <v>6</v>
      </c>
      <c r="Z1" s="19" t="s">
        <v>7</v>
      </c>
      <c r="AA1" s="21" t="s">
        <v>8</v>
      </c>
      <c r="AB1" s="25" t="s">
        <v>9</v>
      </c>
      <c r="AC1" s="29" t="s">
        <v>6</v>
      </c>
      <c r="AD1" s="19" t="s">
        <v>7</v>
      </c>
      <c r="AE1" s="21" t="s">
        <v>8</v>
      </c>
      <c r="AF1" s="21" t="s">
        <v>9</v>
      </c>
      <c r="AG1" s="29" t="s">
        <v>6</v>
      </c>
      <c r="AH1" s="19" t="s">
        <v>7</v>
      </c>
      <c r="AI1" s="21" t="s">
        <v>8</v>
      </c>
      <c r="AJ1" s="21" t="s">
        <v>9</v>
      </c>
      <c r="AK1" s="16" t="s">
        <v>6</v>
      </c>
      <c r="AL1" s="19" t="s">
        <v>7</v>
      </c>
      <c r="AM1" s="21" t="s">
        <v>8</v>
      </c>
      <c r="AN1" s="21" t="s">
        <v>9</v>
      </c>
      <c r="AO1" s="11" t="s">
        <v>12</v>
      </c>
      <c r="AP1" s="22" t="s">
        <v>13</v>
      </c>
    </row>
    <row r="2">
      <c r="A2" s="62" t="str">
        <f t="array" ref="A2">_xlfn.XLOOKUP(B2,'Up Icon'!A:A,'Up Icon'!B:B,)</f>
        <v/>
      </c>
      <c r="B2" s="66" t="str">
        <f t="array" ref="B2">HYPERLINK(_xlfn.XLOOKUP('Up Names'!T2,'Up Wiki'!A:A,'Up Wiki'!B:B,),'Up Names'!T2)</f>
        <v>Attrition Supply</v>
      </c>
      <c r="C2" s="37" t="str">
        <f t="array" ref="C2">_xlfn.XLOOKUP(B2,'Up Desc'!A:A,'Up Desc'!B:B,)</f>
        <v>Your wingsuit no longer recharges over time. Dealing damage provides some charge.</v>
      </c>
      <c r="D2" s="37" t="str">
        <f t="array" ref="D2">_xlfn.XLOOKUP(B2,'Up Turbo'!A:A,'Up Turbo'!B:B,)</f>
        <v>Run Speed: [+3% - +4.5%]</v>
      </c>
      <c r="E2" s="39" t="str">
        <f t="array" ref="E2">_xlfn.XLOOKUP(B2,'Up Stats'!A:A,'Up Stats'!B:B,)</f>
        <v>Charge Efficiency</v>
      </c>
      <c r="F2" s="40" t="str">
        <f>IFERROR(__xludf.DUMMYFUNCTION("if(AND(G2=FALSE,H2=FALSE),,if(G2=H2,JOIN("""",""Static: "",G2),JOIN("""",""Min:  "",G2, CHAR(10),""Max: "",H2)))"),"Min:  700%
Max: 920%")</f>
        <v>Min:  700%
Max: 920%</v>
      </c>
      <c r="G2" s="41">
        <f t="array" ref="G2">_xlfn.XLOOKUP(B2,'Up Min'!A:A,'Up Min'!B:B,)</f>
        <v>7</v>
      </c>
      <c r="H2" s="41">
        <f t="array" ref="H2">_xlfn.XLOOKUP(B2,'Up Max'!A:A,'Up Max'!B:B,)</f>
        <v>9.2</v>
      </c>
      <c r="I2" s="39" t="str">
        <f t="array" ref="I2">_xlfn.XLOOKUP(B2,'Up Stats'!A:A,'Up Stats'!C:C,)</f>
        <v>Recharge Speed</v>
      </c>
      <c r="J2" s="40" t="str">
        <f>IFERROR(__xludf.DUMMYFUNCTION("if(AND(K2=FALSE,L2=FALSE),,if(K2=L2,JOIN("""",""Static: "",K2),JOIN("""",""Min:  "",K2, CHAR(10),""Max: "",L2)))"),"Static: -87.50%")</f>
        <v>Static: -87.50%</v>
      </c>
      <c r="K2" s="78">
        <f t="array" ref="K2">_xlfn.XLOOKUP(B2,'Up Min'!A:A,'Up Min'!C:C,)</f>
        <v>-0.875</v>
      </c>
      <c r="L2" s="78">
        <f t="array" ref="L2">_xlfn.XLOOKUP(B2,'Up Max'!A:A,'Up Max'!C:C,)</f>
        <v>-0.875</v>
      </c>
      <c r="M2" s="39" t="str">
        <f t="array" ref="M2">_xlfn.XLOOKUP(B2,'Up Stats'!A:A,'Up Stats'!D:D,)</f>
        <v/>
      </c>
      <c r="N2" s="40" t="str">
        <f>IFERROR(__xludf.DUMMYFUNCTION("if(AND(O2=FALSE,P2=FALSE),,if(O2=P2,JOIN("""",""Static: "",O2),JOIN("""",""Min:  "",O2, CHAR(10),""Max: "",P2)))"),"")</f>
        <v/>
      </c>
      <c r="O2" s="42" t="str">
        <f t="array" ref="O2">_xlfn.XLOOKUP(B2,'Up Min'!A:A,'Up Min'!D:D,)</f>
        <v/>
      </c>
      <c r="P2" s="42" t="str">
        <f t="array" ref="P2">_xlfn.XLOOKUP(B2,'Up Max'!A:A,'Up Max'!D:D,)</f>
        <v/>
      </c>
      <c r="Q2" s="48" t="str">
        <f t="array" ref="Q2">_xlfn.XLOOKUP(B2,'Up Stats'!A:A,'Up Stats'!E:E,)</f>
        <v/>
      </c>
      <c r="R2" s="40" t="str">
        <f>IFERROR(__xludf.DUMMYFUNCTION("if(AND(S2=FALSE,T2=FALSE),,if(S2=T2,JOIN("""",""Static: "",S2),JOIN("""",""Min:  "",S2, CHAR(10),""Max: "",T2)))"),"")</f>
        <v/>
      </c>
      <c r="S2" s="42" t="str">
        <f t="array" ref="S2">_xlfn.XLOOKUP(B2,'Up Min'!A:A,'Up Min'!E:E,)</f>
        <v/>
      </c>
      <c r="T2" s="42" t="str">
        <f t="array" ref="T2">_xlfn.XLOOKUP(B2,'Up Max'!A:A,'Up Max'!E:E,)</f>
        <v/>
      </c>
      <c r="U2" s="48" t="str">
        <f t="array" ref="U2">_xlfn.XLOOKUP(B2,'Up Stats'!A:A,'Up Stats'!F:F,)</f>
        <v/>
      </c>
      <c r="V2" s="40" t="str">
        <f>IFERROR(__xludf.DUMMYFUNCTION("if(AND(W2=FALSE,X2=FALSE),,if(W2=X2,JOIN("""",""Static: "",W2),JOIN("""",""Min:  "",W2, CHAR(10),""Max: "",X2)))"),"")</f>
        <v/>
      </c>
      <c r="W2" s="42" t="str">
        <f t="array" ref="W2">_xlfn.XLOOKUP(B2,'Up Min'!A:A,'Up Min'!F:F,)</f>
        <v/>
      </c>
      <c r="X2" s="42" t="str">
        <f t="array" ref="X2">_xlfn.XLOOKUP(B2,'Up Max'!A:A,'Up Max'!F:F,)</f>
        <v/>
      </c>
      <c r="Y2" s="48" t="str">
        <f t="array" ref="Y2">_xlfn.XLOOKUP(B2,'Up Stats'!A:A,'Up Stats'!G:G,)</f>
        <v/>
      </c>
      <c r="Z2" s="40" t="str">
        <f>IFERROR(__xludf.DUMMYFUNCTION("if(AND(AA2=FALSE,AB2=FALSE),,if(AA2=AB2,JOIN("""",""Static: "",AA2),JOIN("""",""Min:  "",AA2, CHAR(10),""Max: "",AB2)))"),"")</f>
        <v/>
      </c>
      <c r="AA2" s="42" t="str">
        <f t="array" ref="AA2">_xlfn.XLOOKUP(B2,'Up Min'!A:A,'Up Min'!G:G,)</f>
        <v/>
      </c>
      <c r="AB2" s="42" t="str">
        <f t="array" ref="AB2">_xlfn.XLOOKUP(B2,'Up Max'!A:A,'Up Max'!G:G,)</f>
        <v/>
      </c>
      <c r="AC2" s="48" t="str">
        <f t="array" ref="AC2">_xlfn.XLOOKUP(B2,'Up Stats'!A:A,'Up Stats'!H:H,)</f>
        <v/>
      </c>
      <c r="AD2" s="40" t="str">
        <f>IFERROR(__xludf.DUMMYFUNCTION("if(AND(AE2=FALSE,AF2=FALSE),,if(AE2=AF2,JOIN("""",""Static: "",AE2),JOIN("""",""Min:  "",AE2, CHAR(10),""Max: "",AF2)))"),"")</f>
        <v/>
      </c>
      <c r="AE2" s="42" t="str">
        <f t="array" ref="AE2">_xlfn.XLOOKUP(B2,'Up Min'!A:A,'Up Min'!H:H,)</f>
        <v/>
      </c>
      <c r="AF2" s="42" t="str">
        <f t="array" ref="AF2">_xlfn.XLOOKUP(B2,'Up Max'!A:A,'Up Max'!H:H,)</f>
        <v/>
      </c>
      <c r="AG2" s="48" t="str">
        <f t="array" ref="AG2">_xlfn.XLOOKUP(B2,'Up Stats'!A:A,'Up Stats'!I:I,)</f>
        <v/>
      </c>
      <c r="AH2" s="40" t="str">
        <f>IFERROR(__xludf.DUMMYFUNCTION("if(AND(AI2=FALSE,AJ2=FALSE),,if(AI2=AJ2,JOIN("""",""Static: "",AI2),JOIN("""",""Min:  "",AI2, CHAR(10),""Max: "",AJ2)))"),"")</f>
        <v/>
      </c>
      <c r="AI2" s="42" t="str">
        <f t="array" ref="AI2">_xlfn.XLOOKUP(B2,'Up Min'!A:A,'Up Min'!I:I,)</f>
        <v/>
      </c>
      <c r="AJ2" s="42" t="str">
        <f t="array" ref="AJ2">_xlfn.XLOOKUP(B2,'Up Max'!A:A,'Up Max'!I:I,)</f>
        <v/>
      </c>
      <c r="AK2" s="48" t="str">
        <f t="array" ref="AK2">_xlfn.XLOOKUP(B2,'Up Stats'!A:A,'Up Stats'!J:J,)</f>
        <v/>
      </c>
      <c r="AL2" s="40" t="str">
        <f>IFERROR(__xludf.DUMMYFUNCTION("if(AND(AM2=FALSE,AN2=FALSE),,if(AM2=AN2,JOIN("""",""Static: "",AM2),JOIN("""",""Min:  "",AM2, CHAR(10),""Max: "",AN2)))"),"")</f>
        <v/>
      </c>
      <c r="AM2" s="42" t="str">
        <f t="array" ref="AM2">_xlfn.XLOOKUP(B2,'Up Min'!A:A,'Up Min'!J:J,)</f>
        <v/>
      </c>
      <c r="AN2" s="42" t="str">
        <f t="array" ref="AN2">_xlfn.XLOOKUP(B2,'Up Max'!A:A,'Up Max'!J:J,)</f>
        <v/>
      </c>
      <c r="AO2" s="34" t="str">
        <f t="array" ref="AO2">CONCATENATE(_xlfn.XLOOKUP(B2,'Up Cells'!A:A,'Up Cells'!B:B,))</f>
        <v>5</v>
      </c>
      <c r="AP2" s="34" t="str">
        <f t="array" ref="AP2">CONCATENATE(_xlfn.XLOOKUP(B2,'Up Rarity'!A:A,'Up Rarity'!B:B,),CHAR(10),"-")</f>
        <v>Exotic
-</v>
      </c>
    </row>
    <row r="3">
      <c r="A3" s="62" t="str">
        <f t="array" ref="A3">_xlfn.XLOOKUP(B3,'Up Icon'!A:A,'Up Icon'!B:B,)</f>
        <v/>
      </c>
      <c r="B3" s="63" t="str">
        <f t="array" ref="B3">HYPERLINK(_xlfn.XLOOKUP('Up Names'!T3,'Up Wiki'!A:A,'Up Wiki'!B:B,),'Up Names'!T3)</f>
        <v>Biofuel</v>
      </c>
      <c r="C3" s="52" t="str">
        <f t="array" ref="C3">_xlfn.XLOOKUP(B3,'Up Desc'!A:A,'Up Desc'!B:B,)</f>
        <v>Killing a target while mid-air grants some wingsuit charge.</v>
      </c>
      <c r="D3" s="52" t="str">
        <f t="array" ref="D3">_xlfn.XLOOKUP(B3,'Up Turbo'!A:A,'Up Turbo'!B:B,)</f>
        <v>You fall slower for a moment after flying.</v>
      </c>
      <c r="E3" s="53" t="str">
        <f t="array" ref="E3">_xlfn.XLOOKUP(B3,'Up Stats'!A:A,'Up Stats'!B:B,)</f>
        <v>Charge</v>
      </c>
      <c r="F3" s="54" t="str">
        <f>IFERROR(__xludf.DUMMYFUNCTION("if(AND(G3=FALSE,H3=FALSE),,if(G3=H3,JOIN("""",""Static: "",G3),JOIN("""",""Min:  "",G3, CHAR(10),""Max: "",H3)))"),"Min:  0.07
Max: 0.15")</f>
        <v>Min:  0.07
Max: 0.15</v>
      </c>
      <c r="G3" s="64">
        <f t="array" ref="G3">_xlfn.XLOOKUP(B3,'Up Min'!A:A,'Up Min'!B:B,)</f>
        <v>0.07</v>
      </c>
      <c r="H3" s="65">
        <f t="array" ref="H3">_xlfn.XLOOKUP(B3,'Up Max'!A:A,'Up Max'!B:B,)</f>
        <v>0.15</v>
      </c>
      <c r="I3" s="53" t="str">
        <f t="array" ref="I3">_xlfn.XLOOKUP(B3,'Up Stats'!A:A,'Up Stats'!C:C,)</f>
        <v/>
      </c>
      <c r="J3" s="54" t="str">
        <f>IFERROR(__xludf.DUMMYFUNCTION("if(AND(K3=FALSE,L3=FALSE),,if(K3=L3,JOIN("""",""Static: "",K3),JOIN("""",""Min:  "",K3, CHAR(10),""Max: "",L3)))"),"")</f>
        <v/>
      </c>
      <c r="K3" s="72" t="str">
        <f t="array" ref="K3">_xlfn.XLOOKUP(B3,'Up Min'!A:A,'Up Min'!C:C,)</f>
        <v/>
      </c>
      <c r="L3" s="72" t="str">
        <f t="array" ref="L3">_xlfn.XLOOKUP(B3,'Up Max'!A:A,'Up Max'!C:C,)</f>
        <v/>
      </c>
      <c r="M3" s="57" t="str">
        <f t="array" ref="M3">_xlfn.XLOOKUP(B3,'Up Stats'!A:A,'Up Stats'!D:D,)</f>
        <v/>
      </c>
      <c r="N3" s="54" t="str">
        <f>IFERROR(__xludf.DUMMYFUNCTION("if(AND(O3=FALSE,P3=FALSE),,if(O3=P3,JOIN("""",""Static: "",O3),JOIN("""",""Min:  "",O3, CHAR(10),""Max: "",P3)))"),"")</f>
        <v/>
      </c>
      <c r="O3" s="55" t="str">
        <f t="array" ref="O3">_xlfn.XLOOKUP(B3,'Up Min'!A:A,'Up Min'!D:D,)</f>
        <v/>
      </c>
      <c r="P3" s="55" t="str">
        <f t="array" ref="P3">_xlfn.XLOOKUP(B3,'Up Max'!A:A,'Up Max'!D:D,)</f>
        <v/>
      </c>
      <c r="Q3" s="57" t="str">
        <f t="array" ref="Q3">_xlfn.XLOOKUP(B3,'Up Stats'!A:A,'Up Stats'!E:E,)</f>
        <v/>
      </c>
      <c r="R3" s="54" t="str">
        <f>IFERROR(__xludf.DUMMYFUNCTION("if(AND(S3=FALSE,T3=FALSE),,if(S3=T3,JOIN("""",""Static: "",S3),JOIN("""",""Min:  "",S3, CHAR(10),""Max: "",T3)))"),"")</f>
        <v/>
      </c>
      <c r="S3" s="55" t="str">
        <f t="array" ref="S3">_xlfn.XLOOKUP(B3,'Up Min'!A:A,'Up Min'!E:E,)</f>
        <v/>
      </c>
      <c r="T3" s="55" t="str">
        <f t="array" ref="T3">_xlfn.XLOOKUP(B3,'Up Max'!A:A,'Up Max'!E:E,)</f>
        <v/>
      </c>
      <c r="U3" s="57" t="str">
        <f t="array" ref="U3">_xlfn.XLOOKUP(B3,'Up Stats'!A:A,'Up Stats'!F:F,)</f>
        <v/>
      </c>
      <c r="V3" s="54" t="str">
        <f>IFERROR(__xludf.DUMMYFUNCTION("if(AND(W3=FALSE,X3=FALSE),,if(W3=X3,JOIN("""",""Static: "",W3),JOIN("""",""Min:  "",W3, CHAR(10),""Max: "",X3)))"),"")</f>
        <v/>
      </c>
      <c r="W3" s="55" t="str">
        <f t="array" ref="W3">_xlfn.XLOOKUP(B3,'Up Min'!A:A,'Up Min'!F:F,)</f>
        <v/>
      </c>
      <c r="X3" s="55" t="str">
        <f t="array" ref="X3">_xlfn.XLOOKUP(B3,'Up Max'!A:A,'Up Max'!F:F,)</f>
        <v/>
      </c>
      <c r="Y3" s="57" t="str">
        <f t="array" ref="Y3">_xlfn.XLOOKUP(B3,'Up Stats'!A:A,'Up Stats'!G:G,)</f>
        <v/>
      </c>
      <c r="Z3" s="54" t="str">
        <f>IFERROR(__xludf.DUMMYFUNCTION("if(AND(AA3=FALSE,AB3=FALSE),,if(AA3=AB3,JOIN("""",""Static: "",AA3),JOIN("""",""Min:  "",AA3, CHAR(10),""Max: "",AB3)))"),"")</f>
        <v/>
      </c>
      <c r="AA3" s="55" t="str">
        <f t="array" ref="AA3">_xlfn.XLOOKUP(B3,'Up Min'!A:A,'Up Min'!G:G,)</f>
        <v/>
      </c>
      <c r="AB3" s="55" t="str">
        <f t="array" ref="AB3">_xlfn.XLOOKUP(B3,'Up Max'!A:A,'Up Max'!G:G,)</f>
        <v/>
      </c>
      <c r="AC3" s="57" t="str">
        <f t="array" ref="AC3">_xlfn.XLOOKUP(B3,'Up Stats'!A:A,'Up Stats'!H:H,)</f>
        <v/>
      </c>
      <c r="AD3" s="54" t="str">
        <f>IFERROR(__xludf.DUMMYFUNCTION("if(AND(AE3=FALSE,AF3=FALSE),,if(AE3=AF3,JOIN("""",""Static: "",AE3),JOIN("""",""Min:  "",AE3, CHAR(10),""Max: "",AF3)))"),"")</f>
        <v/>
      </c>
      <c r="AE3" s="55" t="str">
        <f t="array" ref="AE3">_xlfn.XLOOKUP(B3,'Up Min'!A:A,'Up Min'!H:H,)</f>
        <v/>
      </c>
      <c r="AF3" s="55" t="str">
        <f t="array" ref="AF3">_xlfn.XLOOKUP(B3,'Up Max'!A:A,'Up Max'!H:H,)</f>
        <v/>
      </c>
      <c r="AG3" s="57" t="str">
        <f t="array" ref="AG3">_xlfn.XLOOKUP(B3,'Up Stats'!A:A,'Up Stats'!I:I,)</f>
        <v/>
      </c>
      <c r="AH3" s="54" t="str">
        <f>IFERROR(__xludf.DUMMYFUNCTION("if(AND(AI3=FALSE,AJ3=FALSE),,if(AI3=AJ3,JOIN("""",""Static: "",AI3),JOIN("""",""Min:  "",AI3, CHAR(10),""Max: "",AJ3)))"),"")</f>
        <v/>
      </c>
      <c r="AI3" s="55" t="str">
        <f t="array" ref="AI3">_xlfn.XLOOKUP(B3,'Up Min'!A:A,'Up Min'!I:I,)</f>
        <v/>
      </c>
      <c r="AJ3" s="55" t="str">
        <f t="array" ref="AJ3">_xlfn.XLOOKUP(B3,'Up Max'!A:A,'Up Max'!I:I,)</f>
        <v/>
      </c>
      <c r="AK3" s="57" t="str">
        <f t="array" ref="AK3">_xlfn.XLOOKUP(B3,'Up Stats'!A:A,'Up Stats'!J:J,)</f>
        <v/>
      </c>
      <c r="AL3" s="54" t="str">
        <f>IFERROR(__xludf.DUMMYFUNCTION("if(AND(AM3=FALSE,AN3=FALSE),,if(AM3=AN3,JOIN("""",""Static: "",AM3),JOIN("""",""Min:  "",AM3, CHAR(10),""Max: "",AN3)))"),"")</f>
        <v/>
      </c>
      <c r="AM3" s="55" t="str">
        <f t="array" ref="AM3">_xlfn.XLOOKUP(B3,'Up Min'!A:A,'Up Min'!J:J,)</f>
        <v/>
      </c>
      <c r="AN3" s="55" t="str">
        <f t="array" ref="AN3">_xlfn.XLOOKUP(B3,'Up Max'!A:A,'Up Max'!J:J,)</f>
        <v/>
      </c>
      <c r="AO3" s="51" t="str">
        <f t="array" ref="AO3">CONCATENATE(_xlfn.XLOOKUP(B3,'Up Cells'!A:A,'Up Cells'!B:B,))</f>
        <v>6</v>
      </c>
      <c r="AP3" s="51" t="str">
        <f t="array" ref="AP3">CONCATENATE(_xlfn.XLOOKUP(B3,'Up Rarity'!A:A,'Up Rarity'!B:B,),CHAR(10),"-")</f>
        <v>Exotic
-</v>
      </c>
    </row>
    <row r="4">
      <c r="A4" s="62" t="str">
        <f t="array" ref="A4">_xlfn.XLOOKUP(B4,'Up Icon'!A:A,'Up Icon'!B:B,)</f>
        <v/>
      </c>
      <c r="B4" s="66" t="str">
        <f t="array" ref="B4">HYPERLINK(_xlfn.XLOOKUP('Up Names'!T4,'Up Wiki'!A:A,'Up Wiki'!B:B,),'Up Names'!T4)</f>
        <v>Clearing Charge</v>
      </c>
      <c r="C4" s="37" t="str">
        <f t="array" ref="C4">_xlfn.XLOOKUP(B4,'Up Desc'!A:A,'Up Desc'!B:B,)</f>
        <v>While airborne, your Rocket Salvo is replaced with a decay bomb.</v>
      </c>
      <c r="D4" s="37" t="str">
        <f t="array" ref="D4">_xlfn.XLOOKUP(B4,'Up Turbo'!A:A,'Up Turbo'!B:B,)</f>
        <v>Fly Speed: [+3 - +4]</v>
      </c>
      <c r="E4" s="39" t="str">
        <f t="array" ref="E4">_xlfn.XLOOKUP(B4,'Up Stats'!A:A,'Up Stats'!B:B,)</f>
        <v>Cooldown</v>
      </c>
      <c r="F4" s="40" t="str">
        <f>IFERROR(__xludf.DUMMYFUNCTION("if(AND(G4=FALSE,H4=FALSE),,if(G4=H4,JOIN("""",""Static: "",G4),JOIN("""",""Min:  "",G4, CHAR(10),""Max: "",H4)))"),"Min:  60
Max: 75")</f>
        <v>Min:  60
Max: 75</v>
      </c>
      <c r="G4" s="69">
        <f t="array" ref="G4">_xlfn.XLOOKUP(B4,'Up Min'!A:A,'Up Min'!B:B,)</f>
        <v>60</v>
      </c>
      <c r="H4" s="68">
        <f t="array" ref="H4">_xlfn.XLOOKUP(B4,'Up Max'!A:A,'Up Max'!B:B,)</f>
        <v>75</v>
      </c>
      <c r="I4" s="39" t="str">
        <f t="array" ref="I4">_xlfn.XLOOKUP(B4,'Up Stats'!A:A,'Up Stats'!C:C,)</f>
        <v>Size</v>
      </c>
      <c r="J4" s="40" t="str">
        <f>IFERROR(__xludf.DUMMYFUNCTION("if(AND(K4=FALSE,L4=FALSE),,if(K4=L4,JOIN("""",""Static: "",K4),JOIN("""",""Min:  "",K4, CHAR(10),""Max: "",L4)))"),"Min:  15
Max: 24")</f>
        <v>Min:  15
Max: 24</v>
      </c>
      <c r="K4" s="68">
        <f t="array" ref="K4">_xlfn.XLOOKUP(B4,'Up Min'!A:A,'Up Min'!C:C,)</f>
        <v>15</v>
      </c>
      <c r="L4" s="69">
        <f t="array" ref="L4">_xlfn.XLOOKUP(B4,'Up Max'!A:A,'Up Max'!C:C,)</f>
        <v>24</v>
      </c>
      <c r="M4" s="39" t="str">
        <f t="array" ref="M4">_xlfn.XLOOKUP(B4,'Up Stats'!A:A,'Up Stats'!D:D,)</f>
        <v>Damage</v>
      </c>
      <c r="N4" s="40" t="str">
        <f>IFERROR(__xludf.DUMMYFUNCTION("if(AND(O4=FALSE,P4=FALSE),,if(O4=P4,JOIN("""",""Static: "",O4),JOIN("""",""Min:  "",O4, CHAR(10),""Max: "",P4)))"),"Static: 400")</f>
        <v>Static: 400</v>
      </c>
      <c r="O4" s="68">
        <f t="array" ref="O4">_xlfn.XLOOKUP(B4,'Up Min'!A:A,'Up Min'!D:D,)</f>
        <v>400</v>
      </c>
      <c r="P4" s="68">
        <f t="array" ref="P4">_xlfn.XLOOKUP(B4,'Up Max'!A:A,'Up Max'!D:D,)</f>
        <v>400</v>
      </c>
      <c r="Q4" s="48" t="str">
        <f t="array" ref="Q4">_xlfn.XLOOKUP(B4,'Up Stats'!A:A,'Up Stats'!E:E,)</f>
        <v/>
      </c>
      <c r="R4" s="40" t="str">
        <f>IFERROR(__xludf.DUMMYFUNCTION("if(AND(S4=FALSE,T4=FALSE),,if(S4=T4,JOIN("""",""Static: "",S4),JOIN("""",""Min:  "",S4, CHAR(10),""Max: "",T4)))"),"")</f>
        <v/>
      </c>
      <c r="S4" s="45" t="str">
        <f t="array" ref="S4">_xlfn.XLOOKUP(B4,'Up Min'!A:A,'Up Min'!E:E,)</f>
        <v/>
      </c>
      <c r="T4" s="42" t="str">
        <f t="array" ref="T4">_xlfn.XLOOKUP(B4,'Up Max'!A:A,'Up Max'!E:E,)</f>
        <v/>
      </c>
      <c r="U4" s="48" t="str">
        <f t="array" ref="U4">_xlfn.XLOOKUP(B4,'Up Stats'!A:A,'Up Stats'!F:F,)</f>
        <v/>
      </c>
      <c r="V4" s="40" t="str">
        <f>IFERROR(__xludf.DUMMYFUNCTION("if(AND(W4=FALSE,X4=FALSE),,if(W4=X4,JOIN("""",""Static: "",W4),JOIN("""",""Min:  "",W4, CHAR(10),""Max: "",X4)))"),"")</f>
        <v/>
      </c>
      <c r="W4" s="42" t="str">
        <f t="array" ref="W4">_xlfn.XLOOKUP(B4,'Up Min'!A:A,'Up Min'!F:F,)</f>
        <v/>
      </c>
      <c r="X4" s="42" t="str">
        <f t="array" ref="X4">_xlfn.XLOOKUP(B4,'Up Max'!A:A,'Up Max'!F:F,)</f>
        <v/>
      </c>
      <c r="Y4" s="48" t="str">
        <f t="array" ref="Y4">_xlfn.XLOOKUP(B4,'Up Stats'!A:A,'Up Stats'!G:G,)</f>
        <v/>
      </c>
      <c r="Z4" s="40" t="str">
        <f>IFERROR(__xludf.DUMMYFUNCTION("if(AND(AA4=FALSE,AB4=FALSE),,if(AA4=AB4,JOIN("""",""Static: "",AA4),JOIN("""",""Min:  "",AA4, CHAR(10),""Max: "",AB4)))"),"")</f>
        <v/>
      </c>
      <c r="AA4" s="42" t="str">
        <f t="array" ref="AA4">_xlfn.XLOOKUP(B4,'Up Min'!A:A,'Up Min'!G:G,)</f>
        <v/>
      </c>
      <c r="AB4" s="42" t="str">
        <f t="array" ref="AB4">_xlfn.XLOOKUP(B4,'Up Max'!A:A,'Up Max'!G:G,)</f>
        <v/>
      </c>
      <c r="AC4" s="48" t="str">
        <f t="array" ref="AC4">_xlfn.XLOOKUP(B4,'Up Stats'!A:A,'Up Stats'!H:H,)</f>
        <v/>
      </c>
      <c r="AD4" s="40" t="str">
        <f>IFERROR(__xludf.DUMMYFUNCTION("if(AND(AE4=FALSE,AF4=FALSE),,if(AE4=AF4,JOIN("""",""Static: "",AE4),JOIN("""",""Min:  "",AE4, CHAR(10),""Max: "",AF4)))"),"")</f>
        <v/>
      </c>
      <c r="AE4" s="42" t="str">
        <f t="array" ref="AE4">_xlfn.XLOOKUP(B4,'Up Min'!A:A,'Up Min'!H:H,)</f>
        <v/>
      </c>
      <c r="AF4" s="42" t="str">
        <f t="array" ref="AF4">_xlfn.XLOOKUP(B4,'Up Max'!A:A,'Up Max'!H:H,)</f>
        <v/>
      </c>
      <c r="AG4" s="48" t="str">
        <f t="array" ref="AG4">_xlfn.XLOOKUP(B4,'Up Stats'!A:A,'Up Stats'!I:I,)</f>
        <v/>
      </c>
      <c r="AH4" s="40" t="str">
        <f>IFERROR(__xludf.DUMMYFUNCTION("if(AND(AI4=FALSE,AJ4=FALSE),,if(AI4=AJ4,JOIN("""",""Static: "",AI4),JOIN("""",""Min:  "",AI4, CHAR(10),""Max: "",AJ4)))"),"")</f>
        <v/>
      </c>
      <c r="AI4" s="42" t="str">
        <f t="array" ref="AI4">_xlfn.XLOOKUP(B4,'Up Min'!A:A,'Up Min'!I:I,)</f>
        <v/>
      </c>
      <c r="AJ4" s="42" t="str">
        <f t="array" ref="AJ4">_xlfn.XLOOKUP(B4,'Up Max'!A:A,'Up Max'!I:I,)</f>
        <v/>
      </c>
      <c r="AK4" s="48" t="str">
        <f t="array" ref="AK4">_xlfn.XLOOKUP(B4,'Up Stats'!A:A,'Up Stats'!J:J,)</f>
        <v/>
      </c>
      <c r="AL4" s="40" t="str">
        <f>IFERROR(__xludf.DUMMYFUNCTION("if(AND(AM4=FALSE,AN4=FALSE),,if(AM4=AN4,JOIN("""",""Static: "",AM4),JOIN("""",""Min:  "",AM4, CHAR(10),""Max: "",AN4)))"),"")</f>
        <v/>
      </c>
      <c r="AM4" s="42" t="str">
        <f t="array" ref="AM4">_xlfn.XLOOKUP(B4,'Up Min'!A:A,'Up Min'!J:J,)</f>
        <v/>
      </c>
      <c r="AN4" s="42" t="str">
        <f t="array" ref="AN4">_xlfn.XLOOKUP(B4,'Up Max'!A:A,'Up Max'!J:J,)</f>
        <v/>
      </c>
      <c r="AO4" s="34" t="str">
        <f t="array" ref="AO4">CONCATENATE(_xlfn.XLOOKUP(B4,'Up Cells'!A:A,'Up Cells'!B:B,))</f>
        <v>5</v>
      </c>
      <c r="AP4" s="34" t="str">
        <f t="array" ref="AP4">CONCATENATE(_xlfn.XLOOKUP(B4,'Up Rarity'!A:A,'Up Rarity'!B:B,),CHAR(10),"-")</f>
        <v>Exotic
-</v>
      </c>
    </row>
    <row r="5">
      <c r="A5" s="62" t="str">
        <f t="array" ref="A5">_xlfn.XLOOKUP(B5,'Up Icon'!A:A,'Up Icon'!B:B,)</f>
        <v/>
      </c>
      <c r="B5" s="63" t="str">
        <f t="array" ref="B5">HYPERLINK(_xlfn.XLOOKUP('Up Names'!T5,'Up Wiki'!A:A,'Up Wiki'!B:B,),'Up Names'!T5)</f>
        <v>Eye On You</v>
      </c>
      <c r="C5" s="70" t="str">
        <f t="array" ref="C5">_xlfn.XLOOKUP(B5,'Up Desc'!A:A,'Up Desc'!B:B,)</f>
        <v>Rockets ricochet to nearby targets multiple times. Rocket damage decreases with each bounce.</v>
      </c>
      <c r="D5" s="52" t="str">
        <f t="array" ref="D5">_xlfn.XLOOKUP(B5,'Up Turbo'!A:A,'Up Turbo'!B:B,)</f>
        <v>Bullet Speed: [+9 - +11]</v>
      </c>
      <c r="E5" s="53" t="str">
        <f t="array" ref="E5">_xlfn.XLOOKUP(B5,'Up Stats'!A:A,'Up Stats'!B:B,)</f>
        <v>Bounce Radius</v>
      </c>
      <c r="F5" s="54" t="str">
        <f>IFERROR(__xludf.DUMMYFUNCTION("if(AND(G5=FALSE,H5=FALSE),,if(G5=H5,JOIN("""",""Static: "",G5),JOIN("""",""Min:  "",G5, CHAR(10),""Max: "",H5)))"),"Min:  20
Max: 40")</f>
        <v>Min:  20
Max: 40</v>
      </c>
      <c r="G5" s="64">
        <f t="array" ref="G5">_xlfn.XLOOKUP(B5,'Up Min'!A:A,'Up Min'!B:B,)</f>
        <v>20</v>
      </c>
      <c r="H5" s="65">
        <f t="array" ref="H5">_xlfn.XLOOKUP(B5,'Up Max'!A:A,'Up Max'!B:B,)</f>
        <v>40</v>
      </c>
      <c r="I5" s="53" t="str">
        <f t="array" ref="I5">_xlfn.XLOOKUP(B5,'Up Stats'!A:A,'Up Stats'!C:C,)</f>
        <v>Bounces</v>
      </c>
      <c r="J5" s="54" t="str">
        <f>IFERROR(__xludf.DUMMYFUNCTION("if(AND(K5=FALSE,L5=FALSE),,if(K5=L5,JOIN("""",""Static: "",K5),JOIN("""",""Min:  "",K5, CHAR(10),""Max: "",L5)))"),"Min:  2
Max: 3")</f>
        <v>Min:  2
Max: 3</v>
      </c>
      <c r="K5" s="65">
        <f t="array" ref="K5">_xlfn.XLOOKUP(B5,'Up Min'!A:A,'Up Min'!C:C,)</f>
        <v>2</v>
      </c>
      <c r="L5" s="64">
        <f t="array" ref="L5">_xlfn.XLOOKUP(B5,'Up Max'!A:A,'Up Max'!C:C,)</f>
        <v>3</v>
      </c>
      <c r="M5" s="53" t="str">
        <f t="array" ref="M5">_xlfn.XLOOKUP(B5,'Up Stats'!A:A,'Up Stats'!D:D,)</f>
        <v>Damage</v>
      </c>
      <c r="N5" s="54" t="str">
        <f>IFERROR(__xludf.DUMMYFUNCTION("if(AND(O5=FALSE,P5=FALSE),,if(O5=P5,JOIN("""",""Static: "",O5),JOIN("""",""Min:  "",O5, CHAR(10),""Max: "",P5)))"),"Min:  -13%
Max: -10%")</f>
        <v>Min:  -13%
Max: -10%</v>
      </c>
      <c r="O5" s="59">
        <f t="array" ref="O5">_xlfn.XLOOKUP(B5,'Up Min'!A:A,'Up Min'!D:D,)</f>
        <v>-0.13</v>
      </c>
      <c r="P5" s="59">
        <f t="array" ref="P5">_xlfn.XLOOKUP(B5,'Up Max'!A:A,'Up Max'!D:D,)</f>
        <v>-0.1</v>
      </c>
      <c r="Q5" s="57" t="str">
        <f t="array" ref="Q5">_xlfn.XLOOKUP(B5,'Up Stats'!A:A,'Up Stats'!E:E,)</f>
        <v/>
      </c>
      <c r="R5" s="54" t="str">
        <f>IFERROR(__xludf.DUMMYFUNCTION("if(AND(S5=FALSE,T5=FALSE),,if(S5=T5,JOIN("""",""Static: "",S5),JOIN("""",""Min:  "",S5, CHAR(10),""Max: "",T5)))"),"")</f>
        <v/>
      </c>
      <c r="S5" s="56" t="str">
        <f t="array" ref="S5">_xlfn.XLOOKUP(B5,'Up Min'!A:A,'Up Min'!E:E,)</f>
        <v/>
      </c>
      <c r="T5" s="55" t="str">
        <f t="array" ref="T5">_xlfn.XLOOKUP(B5,'Up Max'!A:A,'Up Max'!E:E,)</f>
        <v/>
      </c>
      <c r="U5" s="57" t="str">
        <f t="array" ref="U5">_xlfn.XLOOKUP(B5,'Up Stats'!A:A,'Up Stats'!F:F,)</f>
        <v/>
      </c>
      <c r="V5" s="54" t="str">
        <f>IFERROR(__xludf.DUMMYFUNCTION("if(AND(W5=FALSE,X5=FALSE),,if(W5=X5,JOIN("""",""Static: "",W5),JOIN("""",""Min:  "",W5, CHAR(10),""Max: "",X5)))"),"")</f>
        <v/>
      </c>
      <c r="W5" s="55" t="str">
        <f t="array" ref="W5">_xlfn.XLOOKUP(B5,'Up Min'!A:A,'Up Min'!F:F,)</f>
        <v/>
      </c>
      <c r="X5" s="55" t="str">
        <f t="array" ref="X5">_xlfn.XLOOKUP(B5,'Up Max'!A:A,'Up Max'!F:F,)</f>
        <v/>
      </c>
      <c r="Y5" s="57" t="str">
        <f t="array" ref="Y5">_xlfn.XLOOKUP(B5,'Up Stats'!A:A,'Up Stats'!G:G,)</f>
        <v/>
      </c>
      <c r="Z5" s="54" t="str">
        <f>IFERROR(__xludf.DUMMYFUNCTION("if(AND(AA5=FALSE,AB5=FALSE),,if(AA5=AB5,JOIN("""",""Static: "",AA5),JOIN("""",""Min:  "",AA5, CHAR(10),""Max: "",AB5)))"),"")</f>
        <v/>
      </c>
      <c r="AA5" s="55" t="str">
        <f t="array" ref="AA5">_xlfn.XLOOKUP(B5,'Up Min'!A:A,'Up Min'!G:G,)</f>
        <v/>
      </c>
      <c r="AB5" s="55" t="str">
        <f t="array" ref="AB5">_xlfn.XLOOKUP(B5,'Up Max'!A:A,'Up Max'!G:G,)</f>
        <v/>
      </c>
      <c r="AC5" s="57" t="str">
        <f t="array" ref="AC5">_xlfn.XLOOKUP(B5,'Up Stats'!A:A,'Up Stats'!H:H,)</f>
        <v/>
      </c>
      <c r="AD5" s="54" t="str">
        <f>IFERROR(__xludf.DUMMYFUNCTION("if(AND(AE5=FALSE,AF5=FALSE),,if(AE5=AF5,JOIN("""",""Static: "",AE5),JOIN("""",""Min:  "",AE5, CHAR(10),""Max: "",AF5)))"),"")</f>
        <v/>
      </c>
      <c r="AE5" s="55" t="str">
        <f t="array" ref="AE5">_xlfn.XLOOKUP(B5,'Up Min'!A:A,'Up Min'!H:H,)</f>
        <v/>
      </c>
      <c r="AF5" s="55" t="str">
        <f t="array" ref="AF5">_xlfn.XLOOKUP(B5,'Up Max'!A:A,'Up Max'!H:H,)</f>
        <v/>
      </c>
      <c r="AG5" s="57" t="str">
        <f t="array" ref="AG5">_xlfn.XLOOKUP(B5,'Up Stats'!A:A,'Up Stats'!I:I,)</f>
        <v/>
      </c>
      <c r="AH5" s="54" t="str">
        <f>IFERROR(__xludf.DUMMYFUNCTION("if(AND(AI5=FALSE,AJ5=FALSE),,if(AI5=AJ5,JOIN("""",""Static: "",AI5),JOIN("""",""Min:  "",AI5, CHAR(10),""Max: "",AJ5)))"),"")</f>
        <v/>
      </c>
      <c r="AI5" s="55" t="str">
        <f t="array" ref="AI5">_xlfn.XLOOKUP(B5,'Up Min'!A:A,'Up Min'!I:I,)</f>
        <v/>
      </c>
      <c r="AJ5" s="55" t="str">
        <f t="array" ref="AJ5">_xlfn.XLOOKUP(B5,'Up Max'!A:A,'Up Max'!I:I,)</f>
        <v/>
      </c>
      <c r="AK5" s="57" t="str">
        <f t="array" ref="AK5">_xlfn.XLOOKUP(B5,'Up Stats'!A:A,'Up Stats'!J:J,)</f>
        <v/>
      </c>
      <c r="AL5" s="54" t="str">
        <f>IFERROR(__xludf.DUMMYFUNCTION("if(AND(AM5=FALSE,AN5=FALSE),,if(AM5=AN5,JOIN("""",""Static: "",AM5),JOIN("""",""Min:  "",AM5, CHAR(10),""Max: "",AN5)))"),"")</f>
        <v/>
      </c>
      <c r="AM5" s="55" t="str">
        <f t="array" ref="AM5">_xlfn.XLOOKUP(B5,'Up Min'!A:A,'Up Min'!J:J,)</f>
        <v/>
      </c>
      <c r="AN5" s="55" t="str">
        <f t="array" ref="AN5">_xlfn.XLOOKUP(B5,'Up Max'!A:A,'Up Max'!J:J,)</f>
        <v/>
      </c>
      <c r="AO5" s="51" t="str">
        <f t="array" ref="AO5">CONCATENATE(_xlfn.XLOOKUP(B5,'Up Cells'!A:A,'Up Cells'!B:B,))</f>
        <v>5</v>
      </c>
      <c r="AP5" s="51" t="str">
        <f t="array" ref="AP5">CONCATENATE(_xlfn.XLOOKUP(B5,'Up Rarity'!A:A,'Up Rarity'!B:B,),CHAR(10),"-")</f>
        <v>Exotic
-</v>
      </c>
    </row>
    <row r="6">
      <c r="A6" s="62" t="str">
        <f t="array" ref="A6">_xlfn.XLOOKUP(B6,'Up Icon'!A:A,'Up Icon'!B:B,)</f>
        <v/>
      </c>
      <c r="B6" s="66" t="str">
        <f t="array" ref="B6">HYPERLINK(_xlfn.XLOOKUP('Up Names'!T6,'Up Wiki'!A:A,'Up Wiki'!B:B,),'Up Names'!T6)</f>
        <v>M.I.R.V.</v>
      </c>
      <c r="C6" s="37" t="str">
        <f t="array" ref="C6">_xlfn.XLOOKUP(B6,'Up Desc'!A:A,'Up Desc'!B:B,)</f>
        <v>Rocket Salvo fires a massive barrage of rockets. Cooldown is increased.</v>
      </c>
      <c r="D6" s="37" t="str">
        <f t="array" ref="D6">_xlfn.XLOOKUP(B6,'Up Turbo'!A:A,'Up Turbo'!B:B,)</f>
        <v>Modifies upgrade pattern.</v>
      </c>
      <c r="E6" s="39" t="str">
        <f t="array" ref="E6">_xlfn.XLOOKUP(B6,'Up Stats'!A:A,'Up Stats'!B:B,)</f>
        <v>Salvo Target Locks</v>
      </c>
      <c r="F6" s="40" t="str">
        <f>IFERROR(__xludf.DUMMYFUNCTION("if(AND(G6=FALSE,H6=FALSE),,if(G6=H6,JOIN("""",""Static: "",G6),JOIN("""",""Min:  "",G6, CHAR(10),""Max: "",H6)))"),"Static: 18")</f>
        <v>Static: 18</v>
      </c>
      <c r="G6" s="69">
        <f t="array" ref="G6">_xlfn.XLOOKUP(B6,'Up Min'!A:A,'Up Min'!B:B,)</f>
        <v>18</v>
      </c>
      <c r="H6" s="68">
        <f t="array" ref="H6">_xlfn.XLOOKUP(B6,'Up Max'!A:A,'Up Max'!B:B,)</f>
        <v>18</v>
      </c>
      <c r="I6" s="39" t="str">
        <f t="array" ref="I6">_xlfn.XLOOKUP(B6,'Up Stats'!A:A,'Up Stats'!C:C,)</f>
        <v>Lock-On Speed</v>
      </c>
      <c r="J6" s="40" t="str">
        <f>IFERROR(__xludf.DUMMYFUNCTION("if(AND(K6=FALSE,L6=FALSE),,if(K6=L6,JOIN("""",""Static: "",K6),JOIN("""",""Min:  "",K6, CHAR(10),""Max: "",L6)))"),"Static: 100%")</f>
        <v>Static: 100%</v>
      </c>
      <c r="K6" s="41">
        <f t="array" ref="K6">_xlfn.XLOOKUP(B6,'Up Min'!A:A,'Up Min'!C:C,)</f>
        <v>1</v>
      </c>
      <c r="L6" s="41">
        <f t="array" ref="L6">_xlfn.XLOOKUP(B6,'Up Max'!A:A,'Up Max'!C:C,)</f>
        <v>1</v>
      </c>
      <c r="M6" s="39" t="str">
        <f t="array" ref="M6">_xlfn.XLOOKUP(B6,'Up Stats'!A:A,'Up Stats'!D:D,)</f>
        <v>Fire Rate</v>
      </c>
      <c r="N6" s="40" t="str">
        <f>IFERROR(__xludf.DUMMYFUNCTION("if(AND(O6=FALSE,P6=FALSE),,if(O6=P6,JOIN("""",""Static: "",O6),JOIN("""",""Min:  "",O6, CHAR(10),""Max: "",P6)))"),"Static: 170.27%")</f>
        <v>Static: 170.27%</v>
      </c>
      <c r="O6" s="78">
        <f t="array" ref="O6">_xlfn.XLOOKUP(B6,'Up Min'!A:A,'Up Min'!D:D,)</f>
        <v>1.7027</v>
      </c>
      <c r="P6" s="78">
        <f t="array" ref="P6">_xlfn.XLOOKUP(B6,'Up Max'!A:A,'Up Max'!D:D,)</f>
        <v>1.7027</v>
      </c>
      <c r="Q6" s="48" t="str">
        <f t="array" ref="Q6">_xlfn.XLOOKUP(B6,'Up Stats'!A:A,'Up Stats'!E:E,)</f>
        <v>Tracking Radius</v>
      </c>
      <c r="R6" s="40" t="str">
        <f>IFERROR(__xludf.DUMMYFUNCTION("if(AND(S6=FALSE,T6=FALSE),,if(S6=T6,JOIN("""",""Static: "",S6),JOIN("""",""Min:  "",S6, CHAR(10),""Max: "",T6)))"),"Static: 15")</f>
        <v>Static: 15</v>
      </c>
      <c r="S6" s="68">
        <f t="array" ref="S6">_xlfn.XLOOKUP(B6,'Up Min'!A:A,'Up Min'!E:E,)</f>
        <v>15</v>
      </c>
      <c r="T6" s="68">
        <f t="array" ref="T6">_xlfn.XLOOKUP(B6,'Up Max'!A:A,'Up Max'!E:E,)</f>
        <v>15</v>
      </c>
      <c r="U6" s="39" t="str">
        <f t="array" ref="U6">_xlfn.XLOOKUP(B6,'Up Stats'!A:A,'Up Stats'!F:F,)</f>
        <v>Recoil</v>
      </c>
      <c r="V6" s="40" t="str">
        <f>IFERROR(__xludf.DUMMYFUNCTION("if(AND(W6=FALSE,X6=FALSE),,if(W6=X6,JOIN("""",""Static: "",W6),JOIN("""",""Min:  "",W6, CHAR(10),""Max: "",X6)))"),"Static: -67%")</f>
        <v>Static: -67%</v>
      </c>
      <c r="W6" s="41">
        <f t="array" ref="W6">_xlfn.XLOOKUP(B6,'Up Min'!A:A,'Up Min'!F:F,)</f>
        <v>-0.67</v>
      </c>
      <c r="X6" s="41">
        <f t="array" ref="X6">_xlfn.XLOOKUP(B6,'Up Max'!A:A,'Up Max'!F:F,)</f>
        <v>-0.67</v>
      </c>
      <c r="Y6" s="39" t="str">
        <f t="array" ref="Y6">_xlfn.XLOOKUP(B6,'Up Stats'!A:A,'Up Stats'!G:G,)</f>
        <v>Speed</v>
      </c>
      <c r="Z6" s="40" t="str">
        <f>IFERROR(__xludf.DUMMYFUNCTION("if(AND(AA6=FALSE,AB6=FALSE),,if(AA6=AB6,JOIN("""",""Static: "",AA6),JOIN("""",""Min:  "",AA6, CHAR(10),""Max: "",AB6)))"),"Static: -40%")</f>
        <v>Static: -40%</v>
      </c>
      <c r="AA6" s="41">
        <f t="array" ref="AA6">_xlfn.XLOOKUP(B6,'Up Min'!A:A,'Up Min'!G:G,)</f>
        <v>-0.4</v>
      </c>
      <c r="AB6" s="41">
        <f t="array" ref="AB6">_xlfn.XLOOKUP(B6,'Up Max'!A:A,'Up Max'!G:G,)</f>
        <v>-0.4</v>
      </c>
      <c r="AC6" s="39" t="str">
        <f t="array" ref="AC6">_xlfn.XLOOKUP(B6,'Up Stats'!A:A,'Up Stats'!H:H,)</f>
        <v>Tracking Force</v>
      </c>
      <c r="AD6" s="40" t="str">
        <f>IFERROR(__xludf.DUMMYFUNCTION("if(AND(AE6=FALSE,AF6=FALSE),,if(AE6=AF6,JOIN("""",""Static: "",AE6),JOIN("""",""Min:  "",AE6, CHAR(10),""Max: "",AF6)))"),"Static: -40%")</f>
        <v>Static: -40%</v>
      </c>
      <c r="AE6" s="41">
        <f t="array" ref="AE6">_xlfn.XLOOKUP(B6,'Up Min'!A:A,'Up Min'!H:H,)</f>
        <v>-0.4</v>
      </c>
      <c r="AF6" s="41">
        <f t="array" ref="AF6">_xlfn.XLOOKUP(B6,'Up Max'!A:A,'Up Max'!H:H,)</f>
        <v>-0.4</v>
      </c>
      <c r="AG6" s="39" t="str">
        <f t="array" ref="AG6">_xlfn.XLOOKUP(B6,'Up Stats'!A:A,'Up Stats'!I:I,)</f>
        <v>Recharge Speed</v>
      </c>
      <c r="AH6" s="40" t="str">
        <f>IFERROR(__xludf.DUMMYFUNCTION("if(AND(AI6=FALSE,AJ6=FALSE),,if(AI6=AJ6,JOIN("""",""Static: "",AI6),JOIN("""",""Min:  "",AI6, CHAR(10),""Max: "",AJ6)))"),"Min:  -65.28%
Max: -70.59%")</f>
        <v>Min:  -65.28%
Max: -70.59%</v>
      </c>
      <c r="AI6" s="78">
        <f t="array" ref="AI6">_xlfn.XLOOKUP(B6,'Up Min'!A:A,'Up Min'!I:I,)</f>
        <v>-0.6528</v>
      </c>
      <c r="AJ6" s="78">
        <f t="array" ref="AJ6">_xlfn.XLOOKUP(B6,'Up Max'!A:A,'Up Max'!I:I,)</f>
        <v>-0.7059</v>
      </c>
      <c r="AK6" s="48" t="str">
        <f t="array" ref="AK6">_xlfn.XLOOKUP(B6,'Up Stats'!A:A,'Up Stats'!J:J,)</f>
        <v>Healing</v>
      </c>
      <c r="AL6" s="40" t="str">
        <f>IFERROR(__xludf.DUMMYFUNCTION("if(AND(AM6=FALSE,AN6=FALSE),,if(AM6=AN6,JOIN("""",""Static: "",AM6),JOIN("""",""Min:  "",AM6, CHAR(10),""Max: "",AN6)))"),"Min:  -66%
Max: -64%")</f>
        <v>Min:  -66%
Max: -64%</v>
      </c>
      <c r="AM6" s="41">
        <f t="array" ref="AM6">_xlfn.XLOOKUP(B6,'Up Min'!A:A,'Up Min'!J:J,)</f>
        <v>-0.66</v>
      </c>
      <c r="AN6" s="41">
        <f t="array" ref="AN6">_xlfn.XLOOKUP(B6,'Up Max'!A:A,'Up Max'!J:J,)</f>
        <v>-0.64</v>
      </c>
      <c r="AO6" s="34" t="str">
        <f t="array" ref="AO6">CONCATENATE(_xlfn.XLOOKUP(B6,'Up Cells'!A:A,'Up Cells'!B:B,))</f>
        <v>10</v>
      </c>
      <c r="AP6" s="34" t="str">
        <f t="array" ref="AP6">CONCATENATE(_xlfn.XLOOKUP(B6,'Up Rarity'!A:A,'Up Rarity'!B:B,),CHAR(10),"-")</f>
        <v>Exotic
-</v>
      </c>
    </row>
    <row r="7">
      <c r="A7" s="62" t="str">
        <f t="array" ref="A7">_xlfn.XLOOKUP(B7,'Up Icon'!A:A,'Up Icon'!B:B,)</f>
        <v/>
      </c>
      <c r="B7" s="51" t="str">
        <f t="array" ref="B7">HYPERLINK(_xlfn.XLOOKUP('Up Names'!T35,'Up Wiki'!A:A,'Up Wiki'!B:B,),'Up Names'!T35)</f>
        <v>Saxonite Shackles</v>
      </c>
      <c r="C7" s="52" t="str">
        <f t="array" ref="C7">_xlfn.XLOOKUP(B7,'Up Desc'!A:A,'Up Desc'!B:B,)</f>
        <v>Hold Q to create a cloud of Saxonite where you're looking that immobilizes enemies and makes grunts float.</v>
      </c>
      <c r="D7" s="52" t="str">
        <f t="array" ref="D7">_xlfn.XLOOKUP(B7,'Up Turbo'!A:A,'Up Turbo'!B:B,)</f>
        <v/>
      </c>
      <c r="E7" s="53" t="str">
        <f t="array" ref="E7">_xlfn.XLOOKUP(B7,'Up Stats'!A:A,'Up Stats'!B:B,)</f>
        <v/>
      </c>
      <c r="F7" s="54" t="str">
        <f>IFERROR(__xludf.DUMMYFUNCTION("if(AND(G7=FALSE,H7=FALSE),,if(G7=H7,JOIN("""",""Static: "",G7),JOIN("""",""Min:  "",G7, CHAR(10),""Max: "",H7)))"),"")</f>
        <v/>
      </c>
      <c r="G7" s="55" t="str">
        <f t="array" ref="G7">_xlfn.XLOOKUP(B7,'Up Min'!A:A,'Up Min'!B:B,)</f>
        <v/>
      </c>
      <c r="H7" s="56" t="str">
        <f t="array" ref="H7">_xlfn.XLOOKUP(B7,'Up Max'!A:A,'Up Max'!B:B,)</f>
        <v/>
      </c>
      <c r="I7" s="53" t="str">
        <f t="array" ref="I7">_xlfn.XLOOKUP(B7,'Up Stats'!A:A,'Up Stats'!C:C,)</f>
        <v/>
      </c>
      <c r="J7" s="54" t="str">
        <f>IFERROR(__xludf.DUMMYFUNCTION("if(AND(K7=FALSE,L7=FALSE),,if(K7=L7,JOIN("""",""Static: "",K7),JOIN("""",""Min:  "",K7, CHAR(10),""Max: "",L7)))"),"")</f>
        <v/>
      </c>
      <c r="K7" s="72" t="str">
        <f t="array" ref="K7">_xlfn.XLOOKUP(B7,'Up Min'!A:A,'Up Min'!C:C,)</f>
        <v/>
      </c>
      <c r="L7" s="72" t="str">
        <f t="array" ref="L7">_xlfn.XLOOKUP(B7,'Up Max'!A:A,'Up Max'!C:C,)</f>
        <v/>
      </c>
      <c r="M7" s="57" t="str">
        <f t="array" ref="M7">_xlfn.XLOOKUP(B7,'Up Stats'!A:A,'Up Stats'!D:D,)</f>
        <v/>
      </c>
      <c r="N7" s="54" t="str">
        <f>IFERROR(__xludf.DUMMYFUNCTION("if(AND(O7=FALSE,P7=FALSE),,if(O7=P7,JOIN("""",""Static: "",O7),JOIN("""",""Min:  "",O7, CHAR(10),""Max: "",P7)))"),"")</f>
        <v/>
      </c>
      <c r="O7" s="55" t="str">
        <f t="array" ref="O7">_xlfn.XLOOKUP(B7,'Up Min'!A:A,'Up Min'!D:D,)</f>
        <v/>
      </c>
      <c r="P7" s="55" t="str">
        <f t="array" ref="P7">_xlfn.XLOOKUP(B7,'Up Max'!A:A,'Up Max'!D:D,)</f>
        <v/>
      </c>
      <c r="Q7" s="57" t="str">
        <f t="array" ref="Q7">_xlfn.XLOOKUP(B7,'Up Stats'!A:A,'Up Stats'!E:E,)</f>
        <v/>
      </c>
      <c r="R7" s="54" t="str">
        <f>IFERROR(__xludf.DUMMYFUNCTION("if(AND(S7=FALSE,T7=FALSE),,if(S7=T7,JOIN("""",""Static: "",S7),JOIN("""",""Min:  "",S7, CHAR(10),""Max: "",T7)))"),"")</f>
        <v/>
      </c>
      <c r="S7" s="55" t="str">
        <f t="array" ref="S7">_xlfn.XLOOKUP(B7,'Up Min'!A:A,'Up Min'!E:E,)</f>
        <v/>
      </c>
      <c r="T7" s="55" t="str">
        <f t="array" ref="T7">_xlfn.XLOOKUP(B7,'Up Max'!A:A,'Up Max'!E:E,)</f>
        <v/>
      </c>
      <c r="U7" s="57" t="str">
        <f t="array" ref="U7">_xlfn.XLOOKUP(B7,'Up Stats'!A:A,'Up Stats'!F:F,)</f>
        <v/>
      </c>
      <c r="V7" s="54" t="str">
        <f>IFERROR(__xludf.DUMMYFUNCTION("if(AND(W7=FALSE,X7=FALSE),,if(W7=X7,JOIN("""",""Static: "",W7),JOIN("""",""Min:  "",W7, CHAR(10),""Max: "",X7)))"),"")</f>
        <v/>
      </c>
      <c r="W7" s="55" t="str">
        <f t="array" ref="W7">_xlfn.XLOOKUP(B7,'Up Min'!A:A,'Up Min'!F:F,)</f>
        <v/>
      </c>
      <c r="X7" s="55" t="str">
        <f t="array" ref="X7">_xlfn.XLOOKUP(B7,'Up Max'!A:A,'Up Max'!F:F,)</f>
        <v/>
      </c>
      <c r="Y7" s="57" t="str">
        <f t="array" ref="Y7">_xlfn.XLOOKUP(B7,'Up Stats'!A:A,'Up Stats'!G:G,)</f>
        <v/>
      </c>
      <c r="Z7" s="54" t="str">
        <f>IFERROR(__xludf.DUMMYFUNCTION("if(AND(AA7=FALSE,AB7=FALSE),,if(AA7=AB7,JOIN("""",""Static: "",AA7),JOIN("""",""Min:  "",AA7, CHAR(10),""Max: "",AB7)))"),"")</f>
        <v/>
      </c>
      <c r="AA7" s="55" t="str">
        <f t="array" ref="AA7">_xlfn.XLOOKUP(B7,'Up Min'!A:A,'Up Min'!G:G,)</f>
        <v/>
      </c>
      <c r="AB7" s="55" t="str">
        <f t="array" ref="AB7">_xlfn.XLOOKUP(B7,'Up Max'!A:A,'Up Max'!G:G,)</f>
        <v/>
      </c>
      <c r="AC7" s="57" t="str">
        <f t="array" ref="AC7">_xlfn.XLOOKUP(B7,'Up Stats'!A:A,'Up Stats'!H:H,)</f>
        <v/>
      </c>
      <c r="AD7" s="54" t="str">
        <f>IFERROR(__xludf.DUMMYFUNCTION("if(AND(AE7=FALSE,AF7=FALSE),,if(AE7=AF7,JOIN("""",""Static: "",AE7),JOIN("""",""Min:  "",AE7, CHAR(10),""Max: "",AF7)))"),"")</f>
        <v/>
      </c>
      <c r="AE7" s="55" t="str">
        <f t="array" ref="AE7">_xlfn.XLOOKUP(B7,'Up Min'!A:A,'Up Min'!H:H,)</f>
        <v/>
      </c>
      <c r="AF7" s="55" t="str">
        <f t="array" ref="AF7">_xlfn.XLOOKUP(B7,'Up Max'!A:A,'Up Max'!H:H,)</f>
        <v/>
      </c>
      <c r="AG7" s="57" t="str">
        <f t="array" ref="AG7">_xlfn.XLOOKUP(B7,'Up Stats'!A:A,'Up Stats'!I:I,)</f>
        <v/>
      </c>
      <c r="AH7" s="54" t="str">
        <f>IFERROR(__xludf.DUMMYFUNCTION("if(AND(AI7=FALSE,AJ7=FALSE),,if(AI7=AJ7,JOIN("""",""Static: "",AI7),JOIN("""",""Min:  "",AI7, CHAR(10),""Max: "",AJ7)))"),"")</f>
        <v/>
      </c>
      <c r="AI7" s="55" t="str">
        <f t="array" ref="AI7">_xlfn.XLOOKUP(B7,'Up Min'!A:A,'Up Min'!I:I,)</f>
        <v/>
      </c>
      <c r="AJ7" s="55" t="str">
        <f t="array" ref="AJ7">_xlfn.XLOOKUP(B7,'Up Max'!A:A,'Up Max'!I:I,)</f>
        <v/>
      </c>
      <c r="AK7" s="57" t="str">
        <f t="array" ref="AK7">_xlfn.XLOOKUP(B7,'Up Stats'!A:A,'Up Stats'!J:J,)</f>
        <v/>
      </c>
      <c r="AL7" s="54" t="str">
        <f>IFERROR(__xludf.DUMMYFUNCTION("if(AND(AM7=FALSE,AN7=FALSE),,if(AM7=AN7,JOIN("""",""Static: "",AM7),JOIN("""",""Min:  "",AM7, CHAR(10),""Max: "",AN7)))"),"")</f>
        <v/>
      </c>
      <c r="AM7" s="55" t="str">
        <f t="array" ref="AM7">_xlfn.XLOOKUP(B7,'Up Min'!A:A,'Up Min'!J:J,)</f>
        <v/>
      </c>
      <c r="AN7" s="55" t="str">
        <f t="array" ref="AN7">_xlfn.XLOOKUP(B7,'Up Max'!A:A,'Up Max'!J:J,)</f>
        <v/>
      </c>
      <c r="AO7" s="51" t="str">
        <f t="array" ref="AO7">CONCATENATE(_xlfn.XLOOKUP(B7,'Up Cells'!A:A,'Up Cells'!B:B,))</f>
        <v>4</v>
      </c>
      <c r="AP7" s="51" t="str">
        <f t="array" ref="AP7">CONCATENATE(_xlfn.XLOOKUP(B7,'Up Rarity'!A:A,'Up Rarity'!B:B,),CHAR(10),"-")</f>
        <v>Exotic
-</v>
      </c>
    </row>
    <row r="8">
      <c r="A8" s="75" t="str">
        <f t="array" ref="A8">_xlfn.XLOOKUP(B8,'Up Icon'!A:A,'Up Icon'!B:B,)</f>
        <v/>
      </c>
      <c r="B8" s="66" t="str">
        <f t="array" ref="B8">HYPERLINK(_xlfn.XLOOKUP('Up Names'!T7,'Up Wiki'!A:A,'Up Wiki'!B:B,),'Up Names'!T7)</f>
        <v>Course Correction</v>
      </c>
      <c r="C8" s="37" t="str">
        <f t="array" ref="C8">_xlfn.XLOOKUP(B8,'Up Desc'!A:A,'Up Desc'!B:B,)</f>
        <v>Double tap LEFT or RIGHT while flying to dodge in either direction.</v>
      </c>
      <c r="D8" s="37" t="str">
        <f t="array" ref="D8">_xlfn.XLOOKUP(B8,'Up Turbo'!A:A,'Up Turbo'!B:B,)</f>
        <v>n/a</v>
      </c>
      <c r="E8" s="39" t="str">
        <f t="array" ref="E8">_xlfn.XLOOKUP(B8,'Up Stats'!A:A,'Up Stats'!B:B,)</f>
        <v>Speed</v>
      </c>
      <c r="F8" s="40" t="str">
        <f>IFERROR(__xludf.DUMMYFUNCTION("if(AND(G8=FALSE,H8=FALSE),,if(G8=H8,JOIN("""",""Static: "",G8),JOIN("""",""Min:  "",G8, CHAR(10),""Max: "",H8)))"),"Min:  8
Max: 12")</f>
        <v>Min:  8
Max: 12</v>
      </c>
      <c r="G8" s="69">
        <f t="array" ref="G8">_xlfn.XLOOKUP(B8,'Up Min'!A:A,'Up Min'!B:B,)</f>
        <v>8</v>
      </c>
      <c r="H8" s="68">
        <f t="array" ref="H8">_xlfn.XLOOKUP(B8,'Up Max'!A:A,'Up Max'!B:B,)</f>
        <v>12</v>
      </c>
      <c r="I8" s="39" t="str">
        <f t="array" ref="I8">_xlfn.XLOOKUP(B8,'Up Stats'!A:A,'Up Stats'!C:C,)</f>
        <v/>
      </c>
      <c r="J8" s="40" t="str">
        <f>IFERROR(__xludf.DUMMYFUNCTION("if(AND(K8=FALSE,L8=FALSE),,if(K8=L8,JOIN("""",""Static: "",K8),JOIN("""",""Min:  "",K8, CHAR(10),""Max: "",L8)))"),"")</f>
        <v/>
      </c>
      <c r="K8" s="74" t="str">
        <f t="array" ref="K8">_xlfn.XLOOKUP(B8,'Up Min'!A:A,'Up Min'!C:C,)</f>
        <v/>
      </c>
      <c r="L8" s="74" t="str">
        <f t="array" ref="L8">_xlfn.XLOOKUP(B8,'Up Max'!A:A,'Up Max'!C:C,)</f>
        <v/>
      </c>
      <c r="M8" s="48" t="str">
        <f t="array" ref="M8">_xlfn.XLOOKUP(B8,'Up Stats'!A:A,'Up Stats'!D:D,)</f>
        <v/>
      </c>
      <c r="N8" s="40" t="str">
        <f>IFERROR(__xludf.DUMMYFUNCTION("if(AND(O8=FALSE,P8=FALSE),,if(O8=P8,JOIN("""",""Static: "",O8),JOIN("""",""Min:  "",O8, CHAR(10),""Max: "",P8)))"),"")</f>
        <v/>
      </c>
      <c r="O8" s="42" t="str">
        <f t="array" ref="O8">_xlfn.XLOOKUP(B8,'Up Min'!A:A,'Up Min'!D:D,)</f>
        <v/>
      </c>
      <c r="P8" s="42" t="str">
        <f t="array" ref="P8">_xlfn.XLOOKUP(B8,'Up Max'!A:A,'Up Max'!D:D,)</f>
        <v/>
      </c>
      <c r="Q8" s="48" t="str">
        <f t="array" ref="Q8">_xlfn.XLOOKUP(B8,'Up Stats'!A:A,'Up Stats'!E:E,)</f>
        <v/>
      </c>
      <c r="R8" s="40" t="str">
        <f>IFERROR(__xludf.DUMMYFUNCTION("if(AND(S8=FALSE,T8=FALSE),,if(S8=T8,JOIN("""",""Static: "",S8),JOIN("""",""Min:  "",S8, CHAR(10),""Max: "",T8)))"),"")</f>
        <v/>
      </c>
      <c r="S8" s="42" t="str">
        <f t="array" ref="S8">_xlfn.XLOOKUP(B8,'Up Min'!A:A,'Up Min'!E:E,)</f>
        <v/>
      </c>
      <c r="T8" s="42" t="str">
        <f t="array" ref="T8">_xlfn.XLOOKUP(B8,'Up Max'!A:A,'Up Max'!E:E,)</f>
        <v/>
      </c>
      <c r="U8" s="48" t="str">
        <f t="array" ref="U8">_xlfn.XLOOKUP(B8,'Up Stats'!A:A,'Up Stats'!F:F,)</f>
        <v/>
      </c>
      <c r="V8" s="40" t="str">
        <f>IFERROR(__xludf.DUMMYFUNCTION("if(AND(W8=FALSE,X8=FALSE),,if(W8=X8,JOIN("""",""Static: "",W8),JOIN("""",""Min:  "",W8, CHAR(10),""Max: "",X8)))"),"")</f>
        <v/>
      </c>
      <c r="W8" s="42" t="str">
        <f t="array" ref="W8">_xlfn.XLOOKUP(B8,'Up Min'!A:A,'Up Min'!F:F,)</f>
        <v/>
      </c>
      <c r="X8" s="42" t="str">
        <f t="array" ref="X8">_xlfn.XLOOKUP(B8,'Up Max'!A:A,'Up Max'!F:F,)</f>
        <v/>
      </c>
      <c r="Y8" s="48" t="str">
        <f t="array" ref="Y8">_xlfn.XLOOKUP(B8,'Up Stats'!A:A,'Up Stats'!G:G,)</f>
        <v/>
      </c>
      <c r="Z8" s="40" t="str">
        <f>IFERROR(__xludf.DUMMYFUNCTION("if(AND(AA8=FALSE,AB8=FALSE),,if(AA8=AB8,JOIN("""",""Static: "",AA8),JOIN("""",""Min:  "",AA8, CHAR(10),""Max: "",AB8)))"),"")</f>
        <v/>
      </c>
      <c r="AA8" s="42" t="str">
        <f t="array" ref="AA8">_xlfn.XLOOKUP(B8,'Up Min'!A:A,'Up Min'!G:G,)</f>
        <v/>
      </c>
      <c r="AB8" s="42" t="str">
        <f t="array" ref="AB8">_xlfn.XLOOKUP(B8,'Up Max'!A:A,'Up Max'!G:G,)</f>
        <v/>
      </c>
      <c r="AC8" s="48" t="str">
        <f t="array" ref="AC8">_xlfn.XLOOKUP(B8,'Up Stats'!A:A,'Up Stats'!H:H,)</f>
        <v/>
      </c>
      <c r="AD8" s="40" t="str">
        <f>IFERROR(__xludf.DUMMYFUNCTION("if(AND(AE8=FALSE,AF8=FALSE),,if(AE8=AF8,JOIN("""",""Static: "",AE8),JOIN("""",""Min:  "",AE8, CHAR(10),""Max: "",AF8)))"),"")</f>
        <v/>
      </c>
      <c r="AE8" s="42" t="str">
        <f t="array" ref="AE8">_xlfn.XLOOKUP(B8,'Up Min'!A:A,'Up Min'!H:H,)</f>
        <v/>
      </c>
      <c r="AF8" s="42" t="str">
        <f t="array" ref="AF8">_xlfn.XLOOKUP(B8,'Up Max'!A:A,'Up Max'!H:H,)</f>
        <v/>
      </c>
      <c r="AG8" s="48" t="str">
        <f t="array" ref="AG8">_xlfn.XLOOKUP(B8,'Up Stats'!A:A,'Up Stats'!I:I,)</f>
        <v/>
      </c>
      <c r="AH8" s="40" t="str">
        <f>IFERROR(__xludf.DUMMYFUNCTION("if(AND(AI8=FALSE,AJ8=FALSE),,if(AI8=AJ8,JOIN("""",""Static: "",AI8),JOIN("""",""Min:  "",AI8, CHAR(10),""Max: "",AJ8)))"),"")</f>
        <v/>
      </c>
      <c r="AI8" s="42" t="str">
        <f t="array" ref="AI8">_xlfn.XLOOKUP(B8,'Up Min'!A:A,'Up Min'!I:I,)</f>
        <v/>
      </c>
      <c r="AJ8" s="42" t="str">
        <f t="array" ref="AJ8">_xlfn.XLOOKUP(B8,'Up Max'!A:A,'Up Max'!I:I,)</f>
        <v/>
      </c>
      <c r="AK8" s="48" t="str">
        <f t="array" ref="AK8">_xlfn.XLOOKUP(B8,'Up Stats'!A:A,'Up Stats'!J:J,)</f>
        <v/>
      </c>
      <c r="AL8" s="40" t="str">
        <f>IFERROR(__xludf.DUMMYFUNCTION("if(AND(AM8=FALSE,AN8=FALSE),,if(AM8=AN8,JOIN("""",""Static: "",AM8),JOIN("""",""Min:  "",AM8, CHAR(10),""Max: "",AN8)))"),"")</f>
        <v/>
      </c>
      <c r="AM8" s="42" t="str">
        <f t="array" ref="AM8">_xlfn.XLOOKUP(B8,'Up Min'!A:A,'Up Min'!J:J,)</f>
        <v/>
      </c>
      <c r="AN8" s="42" t="str">
        <f t="array" ref="AN8">_xlfn.XLOOKUP(B8,'Up Max'!A:A,'Up Max'!J:J,)</f>
        <v/>
      </c>
      <c r="AO8" s="34" t="str">
        <f t="array" ref="AO8">CONCATENATE(_xlfn.XLOOKUP(B8,'Up Cells'!A:A,'Up Cells'!B:B,))</f>
        <v>3</v>
      </c>
      <c r="AP8" s="34" t="str">
        <f t="array" ref="AP8">CONCATENATE(_xlfn.XLOOKUP(B8,'Up Rarity'!A:A,'Up Rarity'!B:B,),CHAR(10),"-")</f>
        <v>Epic
-</v>
      </c>
    </row>
    <row r="9">
      <c r="A9" s="75" t="str">
        <f t="array" ref="A9">_xlfn.XLOOKUP(B9,'Up Icon'!A:A,'Up Icon'!B:B,)</f>
        <v/>
      </c>
      <c r="B9" s="63" t="str">
        <f t="array" ref="B9">HYPERLINK(_xlfn.XLOOKUP('Up Names'!T8,'Up Wiki'!A:A,'Up Wiki'!B:B,),'Up Names'!T8)</f>
        <v>From Down Town</v>
      </c>
      <c r="C9" s="52" t="str">
        <f t="array" ref="C9">_xlfn.XLOOKUP(B9,'Up Desc'!A:A,'Up Desc'!B:B,)</f>
        <v>Melee size and damage are greatly increased for a short time after flying for at least 0.5 seconds.</v>
      </c>
      <c r="D9" s="52" t="str">
        <f t="array" ref="D9">_xlfn.XLOOKUP(B9,'Up Turbo'!A:A,'Up Turbo'!B:B,)</f>
        <v>n/a</v>
      </c>
      <c r="E9" s="53" t="str">
        <f t="array" ref="E9">_xlfn.XLOOKUP(B9,'Up Stats'!A:A,'Up Stats'!B:B,)</f>
        <v>Duration</v>
      </c>
      <c r="F9" s="54" t="str">
        <f>IFERROR(__xludf.DUMMYFUNCTION("if(AND(G9=FALSE,H9=FALSE),,if(G9=H9,JOIN("""",""Static: "",G9),JOIN("""",""Min:  "",G9, CHAR(10),""Max: "",H9)))"),"Min:  1.9
Max: 2.9")</f>
        <v>Min:  1.9
Max: 2.9</v>
      </c>
      <c r="G9" s="64">
        <f t="array" ref="G9">_xlfn.XLOOKUP(B9,'Up Min'!A:A,'Up Min'!B:B,)</f>
        <v>1.9</v>
      </c>
      <c r="H9" s="65">
        <f t="array" ref="H9">_xlfn.XLOOKUP(B9,'Up Max'!A:A,'Up Max'!B:B,)</f>
        <v>2.9</v>
      </c>
      <c r="I9" s="53" t="str">
        <f t="array" ref="I9">_xlfn.XLOOKUP(B9,'Up Stats'!A:A,'Up Stats'!C:C,)</f>
        <v>Damage</v>
      </c>
      <c r="J9" s="54" t="str">
        <f>IFERROR(__xludf.DUMMYFUNCTION("if(AND(K9=FALSE,L9=FALSE),,if(K9=L9,JOIN("""",""Static: "",K9),JOIN("""",""Min:  "",K9, CHAR(10),""Max: "",L9)))"),"Min:  56%
Max: 110%")</f>
        <v>Min:  56%
Max: 110%</v>
      </c>
      <c r="K9" s="59">
        <f t="array" ref="K9">_xlfn.XLOOKUP(B9,'Up Min'!A:A,'Up Min'!C:C,)</f>
        <v>0.56</v>
      </c>
      <c r="L9" s="59">
        <f t="array" ref="L9">_xlfn.XLOOKUP(B9,'Up Max'!A:A,'Up Max'!C:C,)</f>
        <v>1.1</v>
      </c>
      <c r="M9" s="53" t="str">
        <f t="array" ref="M9">_xlfn.XLOOKUP(B9,'Up Stats'!A:A,'Up Stats'!D:D,)</f>
        <v>Size</v>
      </c>
      <c r="N9" s="54" t="str">
        <f>IFERROR(__xludf.DUMMYFUNCTION("if(AND(O9=FALSE,P9=FALSE),,if(O9=P9,JOIN("""",""Static: "",O9),JOIN("""",""Min:  "",O9, CHAR(10),""Max: "",P9)))"),"Min:  2.18
Max: 3.16")</f>
        <v>Min:  2.18
Max: 3.16</v>
      </c>
      <c r="O9" s="65">
        <f t="array" ref="O9">_xlfn.XLOOKUP(B9,'Up Min'!A:A,'Up Min'!D:D,)</f>
        <v>2.18</v>
      </c>
      <c r="P9" s="65">
        <f t="array" ref="P9">_xlfn.XLOOKUP(B9,'Up Max'!A:A,'Up Max'!D:D,)</f>
        <v>3.16</v>
      </c>
      <c r="Q9" s="57" t="str">
        <f t="array" ref="Q9">_xlfn.XLOOKUP(B9,'Up Stats'!A:A,'Up Stats'!E:E,)</f>
        <v/>
      </c>
      <c r="R9" s="54" t="str">
        <f>IFERROR(__xludf.DUMMYFUNCTION("if(AND(S9=FALSE,T9=FALSE),,if(S9=T9,JOIN("""",""Static: "",S9),JOIN("""",""Min:  "",S9, CHAR(10),""Max: "",T9)))"),"")</f>
        <v/>
      </c>
      <c r="S9" s="56" t="str">
        <f t="array" ref="S9">_xlfn.XLOOKUP(B9,'Up Min'!A:A,'Up Min'!E:E,)</f>
        <v/>
      </c>
      <c r="T9" s="55" t="str">
        <f t="array" ref="T9">_xlfn.XLOOKUP(B9,'Up Max'!A:A,'Up Max'!E:E,)</f>
        <v/>
      </c>
      <c r="U9" s="57" t="str">
        <f t="array" ref="U9">_xlfn.XLOOKUP(B9,'Up Stats'!A:A,'Up Stats'!F:F,)</f>
        <v/>
      </c>
      <c r="V9" s="54" t="str">
        <f>IFERROR(__xludf.DUMMYFUNCTION("if(AND(W9=FALSE,X9=FALSE),,if(W9=X9,JOIN("""",""Static: "",W9),JOIN("""",""Min:  "",W9, CHAR(10),""Max: "",X9)))"),"")</f>
        <v/>
      </c>
      <c r="W9" s="55" t="str">
        <f t="array" ref="W9">_xlfn.XLOOKUP(B9,'Up Min'!A:A,'Up Min'!F:F,)</f>
        <v/>
      </c>
      <c r="X9" s="55" t="str">
        <f t="array" ref="X9">_xlfn.XLOOKUP(B9,'Up Max'!A:A,'Up Max'!F:F,)</f>
        <v/>
      </c>
      <c r="Y9" s="57" t="str">
        <f t="array" ref="Y9">_xlfn.XLOOKUP(B9,'Up Stats'!A:A,'Up Stats'!G:G,)</f>
        <v/>
      </c>
      <c r="Z9" s="54" t="str">
        <f>IFERROR(__xludf.DUMMYFUNCTION("if(AND(AA9=FALSE,AB9=FALSE),,if(AA9=AB9,JOIN("""",""Static: "",AA9),JOIN("""",""Min:  "",AA9, CHAR(10),""Max: "",AB9)))"),"")</f>
        <v/>
      </c>
      <c r="AA9" s="55" t="str">
        <f t="array" ref="AA9">_xlfn.XLOOKUP(B9,'Up Min'!A:A,'Up Min'!G:G,)</f>
        <v/>
      </c>
      <c r="AB9" s="55" t="str">
        <f t="array" ref="AB9">_xlfn.XLOOKUP(B9,'Up Max'!A:A,'Up Max'!G:G,)</f>
        <v/>
      </c>
      <c r="AC9" s="57" t="str">
        <f t="array" ref="AC9">_xlfn.XLOOKUP(B9,'Up Stats'!A:A,'Up Stats'!H:H,)</f>
        <v/>
      </c>
      <c r="AD9" s="54" t="str">
        <f>IFERROR(__xludf.DUMMYFUNCTION("if(AND(AE9=FALSE,AF9=FALSE),,if(AE9=AF9,JOIN("""",""Static: "",AE9),JOIN("""",""Min:  "",AE9, CHAR(10),""Max: "",AF9)))"),"")</f>
        <v/>
      </c>
      <c r="AE9" s="55" t="str">
        <f t="array" ref="AE9">_xlfn.XLOOKUP(B9,'Up Min'!A:A,'Up Min'!H:H,)</f>
        <v/>
      </c>
      <c r="AF9" s="55" t="str">
        <f t="array" ref="AF9">_xlfn.XLOOKUP(B9,'Up Max'!A:A,'Up Max'!H:H,)</f>
        <v/>
      </c>
      <c r="AG9" s="57" t="str">
        <f t="array" ref="AG9">_xlfn.XLOOKUP(B9,'Up Stats'!A:A,'Up Stats'!I:I,)</f>
        <v/>
      </c>
      <c r="AH9" s="54" t="str">
        <f>IFERROR(__xludf.DUMMYFUNCTION("if(AND(AI9=FALSE,AJ9=FALSE),,if(AI9=AJ9,JOIN("""",""Static: "",AI9),JOIN("""",""Min:  "",AI9, CHAR(10),""Max: "",AJ9)))"),"")</f>
        <v/>
      </c>
      <c r="AI9" s="55" t="str">
        <f t="array" ref="AI9">_xlfn.XLOOKUP(B9,'Up Min'!A:A,'Up Min'!I:I,)</f>
        <v/>
      </c>
      <c r="AJ9" s="55" t="str">
        <f t="array" ref="AJ9">_xlfn.XLOOKUP(B9,'Up Max'!A:A,'Up Max'!I:I,)</f>
        <v/>
      </c>
      <c r="AK9" s="57" t="str">
        <f t="array" ref="AK9">_xlfn.XLOOKUP(B9,'Up Stats'!A:A,'Up Stats'!J:J,)</f>
        <v/>
      </c>
      <c r="AL9" s="54" t="str">
        <f>IFERROR(__xludf.DUMMYFUNCTION("if(AND(AM9=FALSE,AN9=FALSE),,if(AM9=AN9,JOIN("""",""Static: "",AM9),JOIN("""",""Min:  "",AM9, CHAR(10),""Max: "",AN9)))"),"")</f>
        <v/>
      </c>
      <c r="AM9" s="55" t="str">
        <f t="array" ref="AM9">_xlfn.XLOOKUP(B9,'Up Min'!A:A,'Up Min'!J:J,)</f>
        <v/>
      </c>
      <c r="AN9" s="55" t="str">
        <f t="array" ref="AN9">_xlfn.XLOOKUP(B9,'Up Max'!A:A,'Up Max'!J:J,)</f>
        <v/>
      </c>
      <c r="AO9" s="51" t="str">
        <f t="array" ref="AO9">CONCATENATE(_xlfn.XLOOKUP(B9,'Up Cells'!A:A,'Up Cells'!B:B,))</f>
        <v>5</v>
      </c>
      <c r="AP9" s="51" t="str">
        <f t="array" ref="AP9">CONCATENATE(_xlfn.XLOOKUP(B9,'Up Rarity'!A:A,'Up Rarity'!B:B,),CHAR(10),"-")</f>
        <v>Epic
-</v>
      </c>
    </row>
    <row r="10">
      <c r="A10" s="75" t="str">
        <f t="array" ref="A10">_xlfn.XLOOKUP(B10,'Up Icon'!A:A,'Up Icon'!B:B,)</f>
        <v/>
      </c>
      <c r="B10" s="66" t="str">
        <f t="array" ref="B10">HYPERLINK(_xlfn.XLOOKUP('Up Names'!T9,'Up Wiki'!A:A,'Up Wiki'!B:B,),'Up Names'!T9)</f>
        <v>Fuel Injection</v>
      </c>
      <c r="C10" s="37" t="str">
        <f t="array" ref="C10">_xlfn.XLOOKUP(B10,'Up Desc'!A:A,'Up Desc'!B:B,)</f>
        <v>Your wingsuit is partially recharged the first time you pick up a broken player.</v>
      </c>
      <c r="D10" s="37" t="str">
        <f t="array" ref="D10">_xlfn.XLOOKUP(B10,'Up Turbo'!A:A,'Up Turbo'!B:B,)</f>
        <v>n/a</v>
      </c>
      <c r="E10" s="39" t="str">
        <f t="array" ref="E10">_xlfn.XLOOKUP(B10,'Up Stats'!A:A,'Up Stats'!B:B,)</f>
        <v>Charge</v>
      </c>
      <c r="F10" s="40" t="str">
        <f>IFERROR(__xludf.DUMMYFUNCTION("if(AND(G10=FALSE,H10=FALSE),,if(G10=H10,JOIN("""",""Static: "",G10),JOIN("""",""Min:  "",G10, CHAR(10),""Max: "",H10)))"),"Min:  60%
Max: 100%")</f>
        <v>Min:  60%
Max: 100%</v>
      </c>
      <c r="G10" s="41">
        <f t="array" ref="G10">_xlfn.XLOOKUP(B10,'Up Min'!A:A,'Up Min'!B:B,)</f>
        <v>0.6</v>
      </c>
      <c r="H10" s="41">
        <f t="array" ref="H10">_xlfn.XLOOKUP(B10,'Up Max'!A:A,'Up Max'!B:B,)</f>
        <v>1</v>
      </c>
      <c r="I10" s="39" t="str">
        <f t="array" ref="I10">_xlfn.XLOOKUP(B10,'Up Stats'!A:A,'Up Stats'!C:C,)</f>
        <v/>
      </c>
      <c r="J10" s="40" t="str">
        <f>IFERROR(__xludf.DUMMYFUNCTION("if(AND(K10=FALSE,L10=FALSE),,if(K10=L10,JOIN("""",""Static: "",K10),JOIN("""",""Min:  "",K10, CHAR(10),""Max: "",L10)))"),"")</f>
        <v/>
      </c>
      <c r="K10" s="74" t="str">
        <f t="array" ref="K10">_xlfn.XLOOKUP(B10,'Up Min'!A:A,'Up Min'!C:C,)</f>
        <v/>
      </c>
      <c r="L10" s="74" t="str">
        <f t="array" ref="L10">_xlfn.XLOOKUP(B10,'Up Max'!A:A,'Up Max'!C:C,)</f>
        <v/>
      </c>
      <c r="M10" s="48" t="str">
        <f t="array" ref="M10">_xlfn.XLOOKUP(B10,'Up Stats'!A:A,'Up Stats'!D:D,)</f>
        <v/>
      </c>
      <c r="N10" s="40" t="str">
        <f>IFERROR(__xludf.DUMMYFUNCTION("if(AND(O10=FALSE,P10=FALSE),,if(O10=P10,JOIN("""",""Static: "",O10),JOIN("""",""Min:  "",O10, CHAR(10),""Max: "",P10)))"),"")</f>
        <v/>
      </c>
      <c r="O10" s="42" t="str">
        <f t="array" ref="O10">_xlfn.XLOOKUP(B10,'Up Min'!A:A,'Up Min'!D:D,)</f>
        <v/>
      </c>
      <c r="P10" s="42" t="str">
        <f t="array" ref="P10">_xlfn.XLOOKUP(B10,'Up Max'!A:A,'Up Max'!D:D,)</f>
        <v/>
      </c>
      <c r="Q10" s="48" t="str">
        <f t="array" ref="Q10">_xlfn.XLOOKUP(B10,'Up Stats'!A:A,'Up Stats'!E:E,)</f>
        <v/>
      </c>
      <c r="R10" s="40" t="str">
        <f>IFERROR(__xludf.DUMMYFUNCTION("if(AND(S10=FALSE,T10=FALSE),,if(S10=T10,JOIN("""",""Static: "",S10),JOIN("""",""Min:  "",S10, CHAR(10),""Max: "",T10)))"),"")</f>
        <v/>
      </c>
      <c r="S10" s="42" t="str">
        <f t="array" ref="S10">_xlfn.XLOOKUP(B10,'Up Min'!A:A,'Up Min'!E:E,)</f>
        <v/>
      </c>
      <c r="T10" s="42" t="str">
        <f t="array" ref="T10">_xlfn.XLOOKUP(B10,'Up Max'!A:A,'Up Max'!E:E,)</f>
        <v/>
      </c>
      <c r="U10" s="48" t="str">
        <f t="array" ref="U10">_xlfn.XLOOKUP(B10,'Up Stats'!A:A,'Up Stats'!F:F,)</f>
        <v/>
      </c>
      <c r="V10" s="40" t="str">
        <f>IFERROR(__xludf.DUMMYFUNCTION("if(AND(W10=FALSE,X10=FALSE),,if(W10=X10,JOIN("""",""Static: "",W10),JOIN("""",""Min:  "",W10, CHAR(10),""Max: "",X10)))"),"")</f>
        <v/>
      </c>
      <c r="W10" s="42" t="str">
        <f t="array" ref="W10">_xlfn.XLOOKUP(B10,'Up Min'!A:A,'Up Min'!F:F,)</f>
        <v/>
      </c>
      <c r="X10" s="42" t="str">
        <f t="array" ref="X10">_xlfn.XLOOKUP(B10,'Up Max'!A:A,'Up Max'!F:F,)</f>
        <v/>
      </c>
      <c r="Y10" s="48" t="str">
        <f t="array" ref="Y10">_xlfn.XLOOKUP(B10,'Up Stats'!A:A,'Up Stats'!G:G,)</f>
        <v/>
      </c>
      <c r="Z10" s="40" t="str">
        <f>IFERROR(__xludf.DUMMYFUNCTION("if(AND(AA10=FALSE,AB10=FALSE),,if(AA10=AB10,JOIN("""",""Static: "",AA10),JOIN("""",""Min:  "",AA10, CHAR(10),""Max: "",AB10)))"),"")</f>
        <v/>
      </c>
      <c r="AA10" s="42" t="str">
        <f t="array" ref="AA10">_xlfn.XLOOKUP(B10,'Up Min'!A:A,'Up Min'!G:G,)</f>
        <v/>
      </c>
      <c r="AB10" s="42" t="str">
        <f t="array" ref="AB10">_xlfn.XLOOKUP(B10,'Up Max'!A:A,'Up Max'!G:G,)</f>
        <v/>
      </c>
      <c r="AC10" s="48" t="str">
        <f t="array" ref="AC10">_xlfn.XLOOKUP(B10,'Up Stats'!A:A,'Up Stats'!H:H,)</f>
        <v/>
      </c>
      <c r="AD10" s="40" t="str">
        <f>IFERROR(__xludf.DUMMYFUNCTION("if(AND(AE10=FALSE,AF10=FALSE),,if(AE10=AF10,JOIN("""",""Static: "",AE10),JOIN("""",""Min:  "",AE10, CHAR(10),""Max: "",AF10)))"),"")</f>
        <v/>
      </c>
      <c r="AE10" s="42" t="str">
        <f t="array" ref="AE10">_xlfn.XLOOKUP(B10,'Up Min'!A:A,'Up Min'!H:H,)</f>
        <v/>
      </c>
      <c r="AF10" s="42" t="str">
        <f t="array" ref="AF10">_xlfn.XLOOKUP(B10,'Up Max'!A:A,'Up Max'!H:H,)</f>
        <v/>
      </c>
      <c r="AG10" s="48" t="str">
        <f t="array" ref="AG10">_xlfn.XLOOKUP(B10,'Up Stats'!A:A,'Up Stats'!I:I,)</f>
        <v/>
      </c>
      <c r="AH10" s="40" t="str">
        <f>IFERROR(__xludf.DUMMYFUNCTION("if(AND(AI10=FALSE,AJ10=FALSE),,if(AI10=AJ10,JOIN("""",""Static: "",AI10),JOIN("""",""Min:  "",AI10, CHAR(10),""Max: "",AJ10)))"),"")</f>
        <v/>
      </c>
      <c r="AI10" s="42" t="str">
        <f t="array" ref="AI10">_xlfn.XLOOKUP(B10,'Up Min'!A:A,'Up Min'!I:I,)</f>
        <v/>
      </c>
      <c r="AJ10" s="42" t="str">
        <f t="array" ref="AJ10">_xlfn.XLOOKUP(B10,'Up Max'!A:A,'Up Max'!I:I,)</f>
        <v/>
      </c>
      <c r="AK10" s="48" t="str">
        <f t="array" ref="AK10">_xlfn.XLOOKUP(B10,'Up Stats'!A:A,'Up Stats'!J:J,)</f>
        <v/>
      </c>
      <c r="AL10" s="40" t="str">
        <f>IFERROR(__xludf.DUMMYFUNCTION("if(AND(AM10=FALSE,AN10=FALSE),,if(AM10=AN10,JOIN("""",""Static: "",AM10),JOIN("""",""Min:  "",AM10, CHAR(10),""Max: "",AN10)))"),"")</f>
        <v/>
      </c>
      <c r="AM10" s="42" t="str">
        <f t="array" ref="AM10">_xlfn.XLOOKUP(B10,'Up Min'!A:A,'Up Min'!J:J,)</f>
        <v/>
      </c>
      <c r="AN10" s="42" t="str">
        <f t="array" ref="AN10">_xlfn.XLOOKUP(B10,'Up Max'!A:A,'Up Max'!J:J,)</f>
        <v/>
      </c>
      <c r="AO10" s="34" t="str">
        <f t="array" ref="AO10">CONCATENATE(_xlfn.XLOOKUP(B10,'Up Cells'!A:A,'Up Cells'!B:B,))</f>
        <v>4</v>
      </c>
      <c r="AP10" s="34" t="str">
        <f t="array" ref="AP10">CONCATENATE(_xlfn.XLOOKUP(B10,'Up Rarity'!A:A,'Up Rarity'!B:B,),CHAR(10),"-")</f>
        <v>Epic
-</v>
      </c>
    </row>
    <row r="11">
      <c r="A11" s="75" t="str">
        <f t="array" ref="A11">_xlfn.XLOOKUP(B11,'Up Icon'!A:A,'Up Icon'!B:B,)</f>
        <v/>
      </c>
      <c r="B11" s="51" t="str">
        <f t="array" ref="B11">HYPERLINK(_xlfn.XLOOKUP('Up Names'!T36,'Up Wiki'!A:A,'Up Wiki'!B:B,),'Up Names'!T36)</f>
        <v>Gravity Well</v>
      </c>
      <c r="C11" s="52" t="str">
        <f t="array" ref="C11">_xlfn.XLOOKUP(B11,'Up Desc'!A:A,'Up Desc'!B:B,)</f>
        <v>Small health chunks orbit you and wait to popup until you've taken enough damage.</v>
      </c>
      <c r="D11" s="52" t="str">
        <f t="array" ref="D11">_xlfn.XLOOKUP(B11,'Up Turbo'!A:A,'Up Turbo'!B:B,)</f>
        <v>n/a</v>
      </c>
      <c r="E11" s="53" t="str">
        <f t="array" ref="E11">_xlfn.XLOOKUP(B11,'Up Stats'!A:A,'Up Stats'!B:B,)</f>
        <v/>
      </c>
      <c r="F11" s="54" t="str">
        <f>IFERROR(__xludf.DUMMYFUNCTION("if(AND(G11=FALSE,H11=FALSE),,if(G11=H11,JOIN("""",""Static: "",G11),JOIN("""",""Min:  "",G11, CHAR(10),""Max: "",H11)))"),"")</f>
        <v/>
      </c>
      <c r="G11" s="55" t="str">
        <f t="array" ref="G11">_xlfn.XLOOKUP(B11,'Up Min'!A:A,'Up Min'!B:B,)</f>
        <v/>
      </c>
      <c r="H11" s="56" t="str">
        <f t="array" ref="H11">_xlfn.XLOOKUP(B11,'Up Max'!A:A,'Up Max'!B:B,)</f>
        <v/>
      </c>
      <c r="I11" s="53" t="str">
        <f t="array" ref="I11">_xlfn.XLOOKUP(B11,'Up Stats'!A:A,'Up Stats'!C:C,)</f>
        <v/>
      </c>
      <c r="J11" s="54" t="str">
        <f>IFERROR(__xludf.DUMMYFUNCTION("if(AND(K11=FALSE,L11=FALSE),,if(K11=L11,JOIN("""",""Static: "",K11),JOIN("""",""Min:  "",K11, CHAR(10),""Max: "",L11)))"),"")</f>
        <v/>
      </c>
      <c r="K11" s="72" t="str">
        <f t="array" ref="K11">_xlfn.XLOOKUP(B11,'Up Min'!A:A,'Up Min'!C:C,)</f>
        <v/>
      </c>
      <c r="L11" s="72" t="str">
        <f t="array" ref="L11">_xlfn.XLOOKUP(B11,'Up Max'!A:A,'Up Max'!C:C,)</f>
        <v/>
      </c>
      <c r="M11" s="57" t="str">
        <f t="array" ref="M11">_xlfn.XLOOKUP(B11,'Up Stats'!A:A,'Up Stats'!D:D,)</f>
        <v/>
      </c>
      <c r="N11" s="54" t="str">
        <f>IFERROR(__xludf.DUMMYFUNCTION("if(AND(O11=FALSE,P11=FALSE),,if(O11=P11,JOIN("""",""Static: "",O11),JOIN("""",""Min:  "",O11, CHAR(10),""Max: "",P11)))"),"")</f>
        <v/>
      </c>
      <c r="O11" s="55" t="str">
        <f t="array" ref="O11">_xlfn.XLOOKUP(B11,'Up Min'!A:A,'Up Min'!D:D,)</f>
        <v/>
      </c>
      <c r="P11" s="55" t="str">
        <f t="array" ref="P11">_xlfn.XLOOKUP(B11,'Up Max'!A:A,'Up Max'!D:D,)</f>
        <v/>
      </c>
      <c r="Q11" s="57" t="str">
        <f t="array" ref="Q11">_xlfn.XLOOKUP(B11,'Up Stats'!A:A,'Up Stats'!E:E,)</f>
        <v/>
      </c>
      <c r="R11" s="54" t="str">
        <f>IFERROR(__xludf.DUMMYFUNCTION("if(AND(S11=FALSE,T11=FALSE),,if(S11=T11,JOIN("""",""Static: "",S11),JOIN("""",""Min:  "",S11, CHAR(10),""Max: "",T11)))"),"")</f>
        <v/>
      </c>
      <c r="S11" s="55" t="str">
        <f t="array" ref="S11">_xlfn.XLOOKUP(B11,'Up Min'!A:A,'Up Min'!E:E,)</f>
        <v/>
      </c>
      <c r="T11" s="55" t="str">
        <f t="array" ref="T11">_xlfn.XLOOKUP(B11,'Up Max'!A:A,'Up Max'!E:E,)</f>
        <v/>
      </c>
      <c r="U11" s="57" t="str">
        <f t="array" ref="U11">_xlfn.XLOOKUP(B11,'Up Stats'!A:A,'Up Stats'!F:F,)</f>
        <v/>
      </c>
      <c r="V11" s="54" t="str">
        <f>IFERROR(__xludf.DUMMYFUNCTION("if(AND(W11=FALSE,X11=FALSE),,if(W11=X11,JOIN("""",""Static: "",W11),JOIN("""",""Min:  "",W11, CHAR(10),""Max: "",X11)))"),"")</f>
        <v/>
      </c>
      <c r="W11" s="55" t="str">
        <f t="array" ref="W11">_xlfn.XLOOKUP(B11,'Up Min'!A:A,'Up Min'!F:F,)</f>
        <v/>
      </c>
      <c r="X11" s="55" t="str">
        <f t="array" ref="X11">_xlfn.XLOOKUP(B11,'Up Max'!A:A,'Up Max'!F:F,)</f>
        <v/>
      </c>
      <c r="Y11" s="57" t="str">
        <f t="array" ref="Y11">_xlfn.XLOOKUP(B11,'Up Stats'!A:A,'Up Stats'!G:G,)</f>
        <v/>
      </c>
      <c r="Z11" s="54" t="str">
        <f>IFERROR(__xludf.DUMMYFUNCTION("if(AND(AA11=FALSE,AB11=FALSE),,if(AA11=AB11,JOIN("""",""Static: "",AA11),JOIN("""",""Min:  "",AA11, CHAR(10),""Max: "",AB11)))"),"")</f>
        <v/>
      </c>
      <c r="AA11" s="55" t="str">
        <f t="array" ref="AA11">_xlfn.XLOOKUP(B11,'Up Min'!A:A,'Up Min'!G:G,)</f>
        <v/>
      </c>
      <c r="AB11" s="55" t="str">
        <f t="array" ref="AB11">_xlfn.XLOOKUP(B11,'Up Max'!A:A,'Up Max'!G:G,)</f>
        <v/>
      </c>
      <c r="AC11" s="57" t="str">
        <f t="array" ref="AC11">_xlfn.XLOOKUP(B11,'Up Stats'!A:A,'Up Stats'!H:H,)</f>
        <v/>
      </c>
      <c r="AD11" s="54" t="str">
        <f>IFERROR(__xludf.DUMMYFUNCTION("if(AND(AE11=FALSE,AF11=FALSE),,if(AE11=AF11,JOIN("""",""Static: "",AE11),JOIN("""",""Min:  "",AE11, CHAR(10),""Max: "",AF11)))"),"")</f>
        <v/>
      </c>
      <c r="AE11" s="55" t="str">
        <f t="array" ref="AE11">_xlfn.XLOOKUP(B11,'Up Min'!A:A,'Up Min'!H:H,)</f>
        <v/>
      </c>
      <c r="AF11" s="55" t="str">
        <f t="array" ref="AF11">_xlfn.XLOOKUP(B11,'Up Max'!A:A,'Up Max'!H:H,)</f>
        <v/>
      </c>
      <c r="AG11" s="57" t="str">
        <f t="array" ref="AG11">_xlfn.XLOOKUP(B11,'Up Stats'!A:A,'Up Stats'!I:I,)</f>
        <v/>
      </c>
      <c r="AH11" s="54" t="str">
        <f>IFERROR(__xludf.DUMMYFUNCTION("if(AND(AI11=FALSE,AJ11=FALSE),,if(AI11=AJ11,JOIN("""",""Static: "",AI11),JOIN("""",""Min:  "",AI11, CHAR(10),""Max: "",AJ11)))"),"")</f>
        <v/>
      </c>
      <c r="AI11" s="55" t="str">
        <f t="array" ref="AI11">_xlfn.XLOOKUP(B11,'Up Min'!A:A,'Up Min'!I:I,)</f>
        <v/>
      </c>
      <c r="AJ11" s="55" t="str">
        <f t="array" ref="AJ11">_xlfn.XLOOKUP(B11,'Up Max'!A:A,'Up Max'!I:I,)</f>
        <v/>
      </c>
      <c r="AK11" s="57" t="str">
        <f t="array" ref="AK11">_xlfn.XLOOKUP(B11,'Up Stats'!A:A,'Up Stats'!J:J,)</f>
        <v/>
      </c>
      <c r="AL11" s="54" t="str">
        <f>IFERROR(__xludf.DUMMYFUNCTION("if(AND(AM11=FALSE,AN11=FALSE),,if(AM11=AN11,JOIN("""",""Static: "",AM11),JOIN("""",""Min:  "",AM11, CHAR(10),""Max: "",AN11)))"),"")</f>
        <v/>
      </c>
      <c r="AM11" s="55" t="str">
        <f t="array" ref="AM11">_xlfn.XLOOKUP(B11,'Up Min'!A:A,'Up Min'!J:J,)</f>
        <v/>
      </c>
      <c r="AN11" s="55" t="str">
        <f t="array" ref="AN11">_xlfn.XLOOKUP(B11,'Up Max'!A:A,'Up Max'!J:J,)</f>
        <v/>
      </c>
      <c r="AO11" s="51" t="str">
        <f t="array" ref="AO11">CONCATENATE(_xlfn.XLOOKUP(B11,'Up Cells'!A:A,'Up Cells'!B:B,))</f>
        <v>4</v>
      </c>
      <c r="AP11" s="51" t="str">
        <f t="array" ref="AP11">CONCATENATE(_xlfn.XLOOKUP(B11,'Up Rarity'!A:A,'Up Rarity'!B:B,),CHAR(10),"-")</f>
        <v>Epic
-</v>
      </c>
    </row>
    <row r="12">
      <c r="A12" s="75" t="str">
        <f t="array" ref="A12">_xlfn.XLOOKUP(B12,'Up Icon'!A:A,'Up Icon'!B:B,)</f>
        <v/>
      </c>
      <c r="B12" s="66" t="str">
        <f t="array" ref="B12">HYPERLINK(_xlfn.XLOOKUP('Up Names'!T10,'Up Wiki'!A:A,'Up Wiki'!B:B,),'Up Names'!T10)</f>
        <v>Heat Exchange</v>
      </c>
      <c r="C12" s="37" t="str">
        <f t="array" ref="C12">_xlfn.XLOOKUP(B12,'Up Desc'!A:A,'Up Desc'!B:B,)</f>
        <v>Firing your Rocket Salvo while flying refunds some wingsuit charge.</v>
      </c>
      <c r="D12" s="37" t="str">
        <f t="array" ref="D12">_xlfn.XLOOKUP(B12,'Up Turbo'!A:A,'Up Turbo'!B:B,)</f>
        <v>n/a</v>
      </c>
      <c r="E12" s="39" t="str">
        <f t="array" ref="E12">_xlfn.XLOOKUP(B12,'Up Stats'!A:A,'Up Stats'!B:B,)</f>
        <v>Fuel Refunded</v>
      </c>
      <c r="F12" s="40" t="str">
        <f>IFERROR(__xludf.DUMMYFUNCTION("if(AND(G12=FALSE,H12=FALSE),,if(G12=H12,JOIN("""",""Static: "",G12),JOIN("""",""Min:  "",G12, CHAR(10),""Max: "",H12)))"),"Min:  40%
Max: 65%")</f>
        <v>Min:  40%
Max: 65%</v>
      </c>
      <c r="G12" s="41">
        <f t="array" ref="G12">_xlfn.XLOOKUP(B12,'Up Min'!A:A,'Up Min'!B:B,)</f>
        <v>0.4</v>
      </c>
      <c r="H12" s="41">
        <f t="array" ref="H12">_xlfn.XLOOKUP(B12,'Up Max'!A:A,'Up Max'!B:B,)</f>
        <v>0.65</v>
      </c>
      <c r="I12" s="39" t="str">
        <f t="array" ref="I12">_xlfn.XLOOKUP(B12,'Up Stats'!A:A,'Up Stats'!C:C,)</f>
        <v/>
      </c>
      <c r="J12" s="40" t="str">
        <f>IFERROR(__xludf.DUMMYFUNCTION("if(AND(K12=FALSE,L12=FALSE),,if(K12=L12,JOIN("""",""Static: "",K12),JOIN("""",""Min:  "",K12, CHAR(10),""Max: "",L12)))"),"")</f>
        <v/>
      </c>
      <c r="K12" s="74" t="str">
        <f t="array" ref="K12">_xlfn.XLOOKUP(B12,'Up Min'!A:A,'Up Min'!C:C,)</f>
        <v/>
      </c>
      <c r="L12" s="74" t="str">
        <f t="array" ref="L12">_xlfn.XLOOKUP(B12,'Up Max'!A:A,'Up Max'!C:C,)</f>
        <v/>
      </c>
      <c r="M12" s="48" t="str">
        <f t="array" ref="M12">_xlfn.XLOOKUP(B12,'Up Stats'!A:A,'Up Stats'!D:D,)</f>
        <v/>
      </c>
      <c r="N12" s="40" t="str">
        <f>IFERROR(__xludf.DUMMYFUNCTION("if(AND(O12=FALSE,P12=FALSE),,if(O12=P12,JOIN("""",""Static: "",O12),JOIN("""",""Min:  "",O12, CHAR(10),""Max: "",P12)))"),"")</f>
        <v/>
      </c>
      <c r="O12" s="42" t="str">
        <f t="array" ref="O12">_xlfn.XLOOKUP(B12,'Up Min'!A:A,'Up Min'!D:D,)</f>
        <v/>
      </c>
      <c r="P12" s="42" t="str">
        <f t="array" ref="P12">_xlfn.XLOOKUP(B12,'Up Max'!A:A,'Up Max'!D:D,)</f>
        <v/>
      </c>
      <c r="Q12" s="48" t="str">
        <f t="array" ref="Q12">_xlfn.XLOOKUP(B12,'Up Stats'!A:A,'Up Stats'!E:E,)</f>
        <v/>
      </c>
      <c r="R12" s="40" t="str">
        <f>IFERROR(__xludf.DUMMYFUNCTION("if(AND(S12=FALSE,T12=FALSE),,if(S12=T12,JOIN("""",""Static: "",S12),JOIN("""",""Min:  "",S12, CHAR(10),""Max: "",T12)))"),"")</f>
        <v/>
      </c>
      <c r="S12" s="42" t="str">
        <f t="array" ref="S12">_xlfn.XLOOKUP(B12,'Up Min'!A:A,'Up Min'!E:E,)</f>
        <v/>
      </c>
      <c r="T12" s="42" t="str">
        <f t="array" ref="T12">_xlfn.XLOOKUP(B12,'Up Max'!A:A,'Up Max'!E:E,)</f>
        <v/>
      </c>
      <c r="U12" s="48" t="str">
        <f t="array" ref="U12">_xlfn.XLOOKUP(B12,'Up Stats'!A:A,'Up Stats'!F:F,)</f>
        <v/>
      </c>
      <c r="V12" s="40" t="str">
        <f>IFERROR(__xludf.DUMMYFUNCTION("if(AND(W12=FALSE,X12=FALSE),,if(W12=X12,JOIN("""",""Static: "",W12),JOIN("""",""Min:  "",W12, CHAR(10),""Max: "",X12)))"),"")</f>
        <v/>
      </c>
      <c r="W12" s="42" t="str">
        <f t="array" ref="W12">_xlfn.XLOOKUP(B12,'Up Min'!A:A,'Up Min'!F:F,)</f>
        <v/>
      </c>
      <c r="X12" s="42" t="str">
        <f t="array" ref="X12">_xlfn.XLOOKUP(B12,'Up Max'!A:A,'Up Max'!F:F,)</f>
        <v/>
      </c>
      <c r="Y12" s="48" t="str">
        <f t="array" ref="Y12">_xlfn.XLOOKUP(B12,'Up Stats'!A:A,'Up Stats'!G:G,)</f>
        <v/>
      </c>
      <c r="Z12" s="40" t="str">
        <f>IFERROR(__xludf.DUMMYFUNCTION("if(AND(AA12=FALSE,AB12=FALSE),,if(AA12=AB12,JOIN("""",""Static: "",AA12),JOIN("""",""Min:  "",AA12, CHAR(10),""Max: "",AB12)))"),"")</f>
        <v/>
      </c>
      <c r="AA12" s="42" t="str">
        <f t="array" ref="AA12">_xlfn.XLOOKUP(B12,'Up Min'!A:A,'Up Min'!G:G,)</f>
        <v/>
      </c>
      <c r="AB12" s="42" t="str">
        <f t="array" ref="AB12">_xlfn.XLOOKUP(B12,'Up Max'!A:A,'Up Max'!G:G,)</f>
        <v/>
      </c>
      <c r="AC12" s="48" t="str">
        <f t="array" ref="AC12">_xlfn.XLOOKUP(B12,'Up Stats'!A:A,'Up Stats'!H:H,)</f>
        <v/>
      </c>
      <c r="AD12" s="40" t="str">
        <f>IFERROR(__xludf.DUMMYFUNCTION("if(AND(AE12=FALSE,AF12=FALSE),,if(AE12=AF12,JOIN("""",""Static: "",AE12),JOIN("""",""Min:  "",AE12, CHAR(10),""Max: "",AF12)))"),"")</f>
        <v/>
      </c>
      <c r="AE12" s="42" t="str">
        <f t="array" ref="AE12">_xlfn.XLOOKUP(B12,'Up Min'!A:A,'Up Min'!H:H,)</f>
        <v/>
      </c>
      <c r="AF12" s="42" t="str">
        <f t="array" ref="AF12">_xlfn.XLOOKUP(B12,'Up Max'!A:A,'Up Max'!H:H,)</f>
        <v/>
      </c>
      <c r="AG12" s="48" t="str">
        <f t="array" ref="AG12">_xlfn.XLOOKUP(B12,'Up Stats'!A:A,'Up Stats'!I:I,)</f>
        <v/>
      </c>
      <c r="AH12" s="40" t="str">
        <f>IFERROR(__xludf.DUMMYFUNCTION("if(AND(AI12=FALSE,AJ12=FALSE),,if(AI12=AJ12,JOIN("""",""Static: "",AI12),JOIN("""",""Min:  "",AI12, CHAR(10),""Max: "",AJ12)))"),"")</f>
        <v/>
      </c>
      <c r="AI12" s="42" t="str">
        <f t="array" ref="AI12">_xlfn.XLOOKUP(B12,'Up Min'!A:A,'Up Min'!I:I,)</f>
        <v/>
      </c>
      <c r="AJ12" s="42" t="str">
        <f t="array" ref="AJ12">_xlfn.XLOOKUP(B12,'Up Max'!A:A,'Up Max'!I:I,)</f>
        <v/>
      </c>
      <c r="AK12" s="48" t="str">
        <f t="array" ref="AK12">_xlfn.XLOOKUP(B12,'Up Stats'!A:A,'Up Stats'!J:J,)</f>
        <v/>
      </c>
      <c r="AL12" s="40" t="str">
        <f>IFERROR(__xludf.DUMMYFUNCTION("if(AND(AM12=FALSE,AN12=FALSE),,if(AM12=AN12,JOIN("""",""Static: "",AM12),JOIN("""",""Min:  "",AM12, CHAR(10),""Max: "",AN12)))"),"")</f>
        <v/>
      </c>
      <c r="AM12" s="42" t="str">
        <f t="array" ref="AM12">_xlfn.XLOOKUP(B12,'Up Min'!A:A,'Up Min'!J:J,)</f>
        <v/>
      </c>
      <c r="AN12" s="42" t="str">
        <f t="array" ref="AN12">_xlfn.XLOOKUP(B12,'Up Max'!A:A,'Up Max'!J:J,)</f>
        <v/>
      </c>
      <c r="AO12" s="34" t="str">
        <f t="array" ref="AO12">CONCATENATE(_xlfn.XLOOKUP(B12,'Up Cells'!A:A,'Up Cells'!B:B,))</f>
        <v>7</v>
      </c>
      <c r="AP12" s="34" t="str">
        <f t="array" ref="AP12">CONCATENATE(_xlfn.XLOOKUP(B12,'Up Rarity'!A:A,'Up Rarity'!B:B,),CHAR(10),"-")</f>
        <v>Epic
-</v>
      </c>
    </row>
    <row r="13">
      <c r="A13" s="75" t="str">
        <f t="array" ref="A13">_xlfn.XLOOKUP(B13,'Up Icon'!A:A,'Up Icon'!B:B,)</f>
        <v/>
      </c>
      <c r="B13" s="63" t="str">
        <f t="array" ref="B13">HYPERLINK(_xlfn.XLOOKUP('Up Names'!T11,'Up Wiki'!A:A,'Up Wiki'!B:B,),'Up Names'!T11)</f>
        <v>Kernel Rerouter</v>
      </c>
      <c r="C13" s="52" t="str">
        <f t="array" ref="C13">_xlfn.XLOOKUP(B13,'Up Desc'!A:A,'Up Desc'!B:B,)</f>
        <v>Rocket Salvo recharges much faster, but costs health to fire.</v>
      </c>
      <c r="D13" s="52" t="str">
        <f t="array" ref="D13">_xlfn.XLOOKUP(B13,'Up Turbo'!A:A,'Up Turbo'!B:B,)</f>
        <v>n/a</v>
      </c>
      <c r="E13" s="53" t="str">
        <f t="array" ref="E13">_xlfn.XLOOKUP(B13,'Up Stats'!A:A,'Up Stats'!B:B,)</f>
        <v>Health</v>
      </c>
      <c r="F13" s="54" t="str">
        <f>IFERROR(__xludf.DUMMYFUNCTION("if(AND(G13=FALSE,H13=FALSE),,if(G13=H13,JOIN("""",""Static: "",G13),JOIN("""",""Min:  "",G13, CHAR(10),""Max: "",H13)))"),"Min:  1
Max: 2.6")</f>
        <v>Min:  1
Max: 2.6</v>
      </c>
      <c r="G13" s="64">
        <f t="array" ref="G13">_xlfn.XLOOKUP(B13,'Up Min'!A:A,'Up Min'!B:B,)</f>
        <v>1</v>
      </c>
      <c r="H13" s="65">
        <f t="array" ref="H13">_xlfn.XLOOKUP(B13,'Up Max'!A:A,'Up Max'!B:B,)</f>
        <v>2.6</v>
      </c>
      <c r="I13" s="53" t="str">
        <f t="array" ref="I13">_xlfn.XLOOKUP(B13,'Up Stats'!A:A,'Up Stats'!C:C,)</f>
        <v>Recharge Speed</v>
      </c>
      <c r="J13" s="54" t="str">
        <f>IFERROR(__xludf.DUMMYFUNCTION("if(AND(K13=FALSE,L13=FALSE),,if(K13=L13,JOIN("""",""Static: "",K13),JOIN("""",""Min:  "",K13, CHAR(10),""Max: "",L13)))"),"Min:  1011.11%
Max: 809.09%")</f>
        <v>Min:  1011.11%
Max: 809.09%</v>
      </c>
      <c r="K13" s="71">
        <f t="array" ref="K13">_xlfn.XLOOKUP(B13,'Up Min'!A:A,'Up Min'!C:C,)</f>
        <v>10.1111</v>
      </c>
      <c r="L13" s="71">
        <f t="array" ref="L13">_xlfn.XLOOKUP(B13,'Up Max'!A:A,'Up Max'!C:C,)</f>
        <v>8.0909</v>
      </c>
      <c r="M13" s="53" t="str">
        <f t="array" ref="M13">_xlfn.XLOOKUP(B13,'Up Stats'!A:A,'Up Stats'!D:D,)</f>
        <v/>
      </c>
      <c r="N13" s="54" t="str">
        <f>IFERROR(__xludf.DUMMYFUNCTION("if(AND(O13=FALSE,P13=FALSE),,if(O13=P13,JOIN("""",""Static: "",O13),JOIN("""",""Min:  "",O13, CHAR(10),""Max: "",P13)))"),"")</f>
        <v/>
      </c>
      <c r="O13" s="55" t="str">
        <f t="array" ref="O13">_xlfn.XLOOKUP(B13,'Up Min'!A:A,'Up Min'!D:D,)</f>
        <v/>
      </c>
      <c r="P13" s="55" t="str">
        <f t="array" ref="P13">_xlfn.XLOOKUP(B13,'Up Max'!A:A,'Up Max'!D:D,)</f>
        <v/>
      </c>
      <c r="Q13" s="57" t="str">
        <f t="array" ref="Q13">_xlfn.XLOOKUP(B13,'Up Stats'!A:A,'Up Stats'!E:E,)</f>
        <v/>
      </c>
      <c r="R13" s="54" t="str">
        <f>IFERROR(__xludf.DUMMYFUNCTION("if(AND(S13=FALSE,T13=FALSE),,if(S13=T13,JOIN("""",""Static: "",S13),JOIN("""",""Min:  "",S13, CHAR(10),""Max: "",T13)))"),"")</f>
        <v/>
      </c>
      <c r="S13" s="55" t="str">
        <f t="array" ref="S13">_xlfn.XLOOKUP(B13,'Up Min'!A:A,'Up Min'!E:E,)</f>
        <v/>
      </c>
      <c r="T13" s="55" t="str">
        <f t="array" ref="T13">_xlfn.XLOOKUP(B13,'Up Max'!A:A,'Up Max'!E:E,)</f>
        <v/>
      </c>
      <c r="U13" s="57" t="str">
        <f t="array" ref="U13">_xlfn.XLOOKUP(B13,'Up Stats'!A:A,'Up Stats'!F:F,)</f>
        <v/>
      </c>
      <c r="V13" s="54" t="str">
        <f>IFERROR(__xludf.DUMMYFUNCTION("if(AND(W13=FALSE,X13=FALSE),,if(W13=X13,JOIN("""",""Static: "",W13),JOIN("""",""Min:  "",W13, CHAR(10),""Max: "",X13)))"),"")</f>
        <v/>
      </c>
      <c r="W13" s="55" t="str">
        <f t="array" ref="W13">_xlfn.XLOOKUP(B13,'Up Min'!A:A,'Up Min'!F:F,)</f>
        <v/>
      </c>
      <c r="X13" s="55" t="str">
        <f t="array" ref="X13">_xlfn.XLOOKUP(B13,'Up Max'!A:A,'Up Max'!F:F,)</f>
        <v/>
      </c>
      <c r="Y13" s="57" t="str">
        <f t="array" ref="Y13">_xlfn.XLOOKUP(B13,'Up Stats'!A:A,'Up Stats'!G:G,)</f>
        <v/>
      </c>
      <c r="Z13" s="54" t="str">
        <f>IFERROR(__xludf.DUMMYFUNCTION("if(AND(AA13=FALSE,AB13=FALSE),,if(AA13=AB13,JOIN("""",""Static: "",AA13),JOIN("""",""Min:  "",AA13, CHAR(10),""Max: "",AB13)))"),"")</f>
        <v/>
      </c>
      <c r="AA13" s="55" t="str">
        <f t="array" ref="AA13">_xlfn.XLOOKUP(B13,'Up Min'!A:A,'Up Min'!G:G,)</f>
        <v/>
      </c>
      <c r="AB13" s="55" t="str">
        <f t="array" ref="AB13">_xlfn.XLOOKUP(B13,'Up Max'!A:A,'Up Max'!G:G,)</f>
        <v/>
      </c>
      <c r="AC13" s="57" t="str">
        <f t="array" ref="AC13">_xlfn.XLOOKUP(B13,'Up Stats'!A:A,'Up Stats'!H:H,)</f>
        <v/>
      </c>
      <c r="AD13" s="54" t="str">
        <f>IFERROR(__xludf.DUMMYFUNCTION("if(AND(AE13=FALSE,AF13=FALSE),,if(AE13=AF13,JOIN("""",""Static: "",AE13),JOIN("""",""Min:  "",AE13, CHAR(10),""Max: "",AF13)))"),"")</f>
        <v/>
      </c>
      <c r="AE13" s="55" t="str">
        <f t="array" ref="AE13">_xlfn.XLOOKUP(B13,'Up Min'!A:A,'Up Min'!H:H,)</f>
        <v/>
      </c>
      <c r="AF13" s="55" t="str">
        <f t="array" ref="AF13">_xlfn.XLOOKUP(B13,'Up Max'!A:A,'Up Max'!H:H,)</f>
        <v/>
      </c>
      <c r="AG13" s="57" t="str">
        <f t="array" ref="AG13">_xlfn.XLOOKUP(B13,'Up Stats'!A:A,'Up Stats'!I:I,)</f>
        <v/>
      </c>
      <c r="AH13" s="54" t="str">
        <f>IFERROR(__xludf.DUMMYFUNCTION("if(AND(AI13=FALSE,AJ13=FALSE),,if(AI13=AJ13,JOIN("""",""Static: "",AI13),JOIN("""",""Min:  "",AI13, CHAR(10),""Max: "",AJ13)))"),"")</f>
        <v/>
      </c>
      <c r="AI13" s="55" t="str">
        <f t="array" ref="AI13">_xlfn.XLOOKUP(B13,'Up Min'!A:A,'Up Min'!I:I,)</f>
        <v/>
      </c>
      <c r="AJ13" s="55" t="str">
        <f t="array" ref="AJ13">_xlfn.XLOOKUP(B13,'Up Max'!A:A,'Up Max'!I:I,)</f>
        <v/>
      </c>
      <c r="AK13" s="57" t="str">
        <f t="array" ref="AK13">_xlfn.XLOOKUP(B13,'Up Stats'!A:A,'Up Stats'!J:J,)</f>
        <v/>
      </c>
      <c r="AL13" s="54" t="str">
        <f>IFERROR(__xludf.DUMMYFUNCTION("if(AND(AM13=FALSE,AN13=FALSE),,if(AM13=AN13,JOIN("""",""Static: "",AM13),JOIN("""",""Min:  "",AM13, CHAR(10),""Max: "",AN13)))"),"")</f>
        <v/>
      </c>
      <c r="AM13" s="55" t="str">
        <f t="array" ref="AM13">_xlfn.XLOOKUP(B13,'Up Min'!A:A,'Up Min'!J:J,)</f>
        <v/>
      </c>
      <c r="AN13" s="55" t="str">
        <f t="array" ref="AN13">_xlfn.XLOOKUP(B13,'Up Max'!A:A,'Up Max'!J:J,)</f>
        <v/>
      </c>
      <c r="AO13" s="51" t="str">
        <f t="array" ref="AO13">CONCATENATE(_xlfn.XLOOKUP(B13,'Up Cells'!A:A,'Up Cells'!B:B,))</f>
        <v>4</v>
      </c>
      <c r="AP13" s="51" t="str">
        <f t="array" ref="AP13">CONCATENATE(_xlfn.XLOOKUP(B13,'Up Rarity'!A:A,'Up Rarity'!B:B,),CHAR(10),"-")</f>
        <v>Epic
-</v>
      </c>
    </row>
    <row r="14">
      <c r="A14" s="75" t="str">
        <f t="array" ref="A14">_xlfn.XLOOKUP(B14,'Up Icon'!A:A,'Up Icon'!B:B,)</f>
        <v/>
      </c>
      <c r="B14" s="66" t="str">
        <f t="array" ref="B14">HYPERLINK(_xlfn.XLOOKUP('Up Names'!T12,'Up Wiki'!A:A,'Up Wiki'!B:B,),'Up Names'!T12)</f>
        <v>Knee Slide</v>
      </c>
      <c r="C14" s="37" t="str">
        <f t="array" ref="C14">_xlfn.XLOOKUP(B14,'Up Desc'!A:A,'Up Desc'!B:B,)</f>
        <v>Slide out of a glide to gain a large burst of speed.</v>
      </c>
      <c r="D14" s="37" t="str">
        <f t="array" ref="D14">_xlfn.XLOOKUP(B14,'Up Turbo'!A:A,'Up Turbo'!B:B,)</f>
        <v>n/a</v>
      </c>
      <c r="E14" s="39" t="str">
        <f t="array" ref="E14">_xlfn.XLOOKUP(B14,'Up Stats'!A:A,'Up Stats'!B:B,)</f>
        <v>Slide Speed</v>
      </c>
      <c r="F14" s="40" t="str">
        <f>IFERROR(__xludf.DUMMYFUNCTION("if(AND(G14=FALSE,H14=FALSE),,if(G14=H14,JOIN("""",""Static: "",G14),JOIN("""",""Min:  "",G14, CHAR(10),""Max: "",H14)))"),"Min:  20
Max: 32")</f>
        <v>Min:  20
Max: 32</v>
      </c>
      <c r="G14" s="69">
        <f t="array" ref="G14">_xlfn.XLOOKUP(B14,'Up Min'!A:A,'Up Min'!B:B,)</f>
        <v>20</v>
      </c>
      <c r="H14" s="68">
        <f t="array" ref="H14">_xlfn.XLOOKUP(B14,'Up Max'!A:A,'Up Max'!B:B,)</f>
        <v>32</v>
      </c>
      <c r="I14" s="39" t="str">
        <f t="array" ref="I14">_xlfn.XLOOKUP(B14,'Up Stats'!A:A,'Up Stats'!C:C,)</f>
        <v/>
      </c>
      <c r="J14" s="40" t="str">
        <f>IFERROR(__xludf.DUMMYFUNCTION("if(AND(K14=FALSE,L14=FALSE),,if(K14=L14,JOIN("""",""Static: "",K14),JOIN("""",""Min:  "",K14, CHAR(10),""Max: "",L14)))"),"")</f>
        <v/>
      </c>
      <c r="K14" s="74" t="str">
        <f t="array" ref="K14">_xlfn.XLOOKUP(B14,'Up Min'!A:A,'Up Min'!C:C,)</f>
        <v/>
      </c>
      <c r="L14" s="74" t="str">
        <f t="array" ref="L14">_xlfn.XLOOKUP(B14,'Up Max'!A:A,'Up Max'!C:C,)</f>
        <v/>
      </c>
      <c r="M14" s="48" t="str">
        <f t="array" ref="M14">_xlfn.XLOOKUP(B14,'Up Stats'!A:A,'Up Stats'!D:D,)</f>
        <v/>
      </c>
      <c r="N14" s="40" t="str">
        <f>IFERROR(__xludf.DUMMYFUNCTION("if(AND(O14=FALSE,P14=FALSE),,if(O14=P14,JOIN("""",""Static: "",O14),JOIN("""",""Min:  "",O14, CHAR(10),""Max: "",P14)))"),"")</f>
        <v/>
      </c>
      <c r="O14" s="42" t="str">
        <f t="array" ref="O14">_xlfn.XLOOKUP(B14,'Up Min'!A:A,'Up Min'!D:D,)</f>
        <v/>
      </c>
      <c r="P14" s="42" t="str">
        <f t="array" ref="P14">_xlfn.XLOOKUP(B14,'Up Max'!A:A,'Up Max'!D:D,)</f>
        <v/>
      </c>
      <c r="Q14" s="48" t="str">
        <f t="array" ref="Q14">_xlfn.XLOOKUP(B14,'Up Stats'!A:A,'Up Stats'!E:E,)</f>
        <v/>
      </c>
      <c r="R14" s="40" t="str">
        <f>IFERROR(__xludf.DUMMYFUNCTION("if(AND(S14=FALSE,T14=FALSE),,if(S14=T14,JOIN("""",""Static: "",S14),JOIN("""",""Min:  "",S14, CHAR(10),""Max: "",T14)))"),"")</f>
        <v/>
      </c>
      <c r="S14" s="42" t="str">
        <f t="array" ref="S14">_xlfn.XLOOKUP(B14,'Up Min'!A:A,'Up Min'!E:E,)</f>
        <v/>
      </c>
      <c r="T14" s="42" t="str">
        <f t="array" ref="T14">_xlfn.XLOOKUP(B14,'Up Max'!A:A,'Up Max'!E:E,)</f>
        <v/>
      </c>
      <c r="U14" s="48" t="str">
        <f t="array" ref="U14">_xlfn.XLOOKUP(B14,'Up Stats'!A:A,'Up Stats'!F:F,)</f>
        <v/>
      </c>
      <c r="V14" s="40" t="str">
        <f>IFERROR(__xludf.DUMMYFUNCTION("if(AND(W14=FALSE,X14=FALSE),,if(W14=X14,JOIN("""",""Static: "",W14),JOIN("""",""Min:  "",W14, CHAR(10),""Max: "",X14)))"),"")</f>
        <v/>
      </c>
      <c r="W14" s="42" t="str">
        <f t="array" ref="W14">_xlfn.XLOOKUP(B14,'Up Min'!A:A,'Up Min'!F:F,)</f>
        <v/>
      </c>
      <c r="X14" s="42" t="str">
        <f t="array" ref="X14">_xlfn.XLOOKUP(B14,'Up Max'!A:A,'Up Max'!F:F,)</f>
        <v/>
      </c>
      <c r="Y14" s="48" t="str">
        <f t="array" ref="Y14">_xlfn.XLOOKUP(B14,'Up Stats'!A:A,'Up Stats'!G:G,)</f>
        <v/>
      </c>
      <c r="Z14" s="40" t="str">
        <f>IFERROR(__xludf.DUMMYFUNCTION("if(AND(AA14=FALSE,AB14=FALSE),,if(AA14=AB14,JOIN("""",""Static: "",AA14),JOIN("""",""Min:  "",AA14, CHAR(10),""Max: "",AB14)))"),"")</f>
        <v/>
      </c>
      <c r="AA14" s="42" t="str">
        <f t="array" ref="AA14">_xlfn.XLOOKUP(B14,'Up Min'!A:A,'Up Min'!G:G,)</f>
        <v/>
      </c>
      <c r="AB14" s="42" t="str">
        <f t="array" ref="AB14">_xlfn.XLOOKUP(B14,'Up Max'!A:A,'Up Max'!G:G,)</f>
        <v/>
      </c>
      <c r="AC14" s="48" t="str">
        <f t="array" ref="AC14">_xlfn.XLOOKUP(B14,'Up Stats'!A:A,'Up Stats'!H:H,)</f>
        <v/>
      </c>
      <c r="AD14" s="40" t="str">
        <f>IFERROR(__xludf.DUMMYFUNCTION("if(AND(AE14=FALSE,AF14=FALSE),,if(AE14=AF14,JOIN("""",""Static: "",AE14),JOIN("""",""Min:  "",AE14, CHAR(10),""Max: "",AF14)))"),"")</f>
        <v/>
      </c>
      <c r="AE14" s="42" t="str">
        <f t="array" ref="AE14">_xlfn.XLOOKUP(B14,'Up Min'!A:A,'Up Min'!H:H,)</f>
        <v/>
      </c>
      <c r="AF14" s="42" t="str">
        <f t="array" ref="AF14">_xlfn.XLOOKUP(B14,'Up Max'!A:A,'Up Max'!H:H,)</f>
        <v/>
      </c>
      <c r="AG14" s="48" t="str">
        <f t="array" ref="AG14">_xlfn.XLOOKUP(B14,'Up Stats'!A:A,'Up Stats'!I:I,)</f>
        <v/>
      </c>
      <c r="AH14" s="40" t="str">
        <f>IFERROR(__xludf.DUMMYFUNCTION("if(AND(AI14=FALSE,AJ14=FALSE),,if(AI14=AJ14,JOIN("""",""Static: "",AI14),JOIN("""",""Min:  "",AI14, CHAR(10),""Max: "",AJ14)))"),"")</f>
        <v/>
      </c>
      <c r="AI14" s="42" t="str">
        <f t="array" ref="AI14">_xlfn.XLOOKUP(B14,'Up Min'!A:A,'Up Min'!I:I,)</f>
        <v/>
      </c>
      <c r="AJ14" s="42" t="str">
        <f t="array" ref="AJ14">_xlfn.XLOOKUP(B14,'Up Max'!A:A,'Up Max'!I:I,)</f>
        <v/>
      </c>
      <c r="AK14" s="48" t="str">
        <f t="array" ref="AK14">_xlfn.XLOOKUP(B14,'Up Stats'!A:A,'Up Stats'!J:J,)</f>
        <v/>
      </c>
      <c r="AL14" s="40" t="str">
        <f>IFERROR(__xludf.DUMMYFUNCTION("if(AND(AM14=FALSE,AN14=FALSE),,if(AM14=AN14,JOIN("""",""Static: "",AM14),JOIN("""",""Min:  "",AM14, CHAR(10),""Max: "",AN14)))"),"")</f>
        <v/>
      </c>
      <c r="AM14" s="42" t="str">
        <f t="array" ref="AM14">_xlfn.XLOOKUP(B14,'Up Min'!A:A,'Up Min'!J:J,)</f>
        <v/>
      </c>
      <c r="AN14" s="42" t="str">
        <f t="array" ref="AN14">_xlfn.XLOOKUP(B14,'Up Max'!A:A,'Up Max'!J:J,)</f>
        <v/>
      </c>
      <c r="AO14" s="34" t="str">
        <f t="array" ref="AO14">CONCATENATE(_xlfn.XLOOKUP(B14,'Up Cells'!A:A,'Up Cells'!B:B,))</f>
        <v>4</v>
      </c>
      <c r="AP14" s="34" t="str">
        <f t="array" ref="AP14">CONCATENATE(_xlfn.XLOOKUP(B14,'Up Rarity'!A:A,'Up Rarity'!B:B,),CHAR(10),"-")</f>
        <v>Epic
-</v>
      </c>
    </row>
    <row r="15">
      <c r="A15" s="75" t="str">
        <f t="array" ref="A15">_xlfn.XLOOKUP(B15,'Up Icon'!A:A,'Up Icon'!B:B,)</f>
        <v/>
      </c>
      <c r="B15" s="63" t="str">
        <f t="array" ref="B15">HYPERLINK(_xlfn.XLOOKUP('Up Names'!T13,'Up Wiki'!A:A,'Up Wiki'!B:B,),'Up Names'!T13)</f>
        <v>Nanite Return</v>
      </c>
      <c r="C15" s="52" t="str">
        <f t="array" ref="C15">_xlfn.XLOOKUP(B15,'Up Desc'!A:A,'Up Desc'!B:B,)</f>
        <v>Your Rocket Salvo is partially recharged when you heal a target with it.</v>
      </c>
      <c r="D15" s="52" t="str">
        <f t="array" ref="D15">_xlfn.XLOOKUP(B15,'Up Turbo'!A:A,'Up Turbo'!B:B,)</f>
        <v>n/a</v>
      </c>
      <c r="E15" s="53" t="str">
        <f t="array" ref="E15">_xlfn.XLOOKUP(B15,'Up Stats'!A:A,'Up Stats'!B:B,)</f>
        <v>Charge</v>
      </c>
      <c r="F15" s="54" t="str">
        <f>IFERROR(__xludf.DUMMYFUNCTION("if(AND(G15=FALSE,H15=FALSE),,if(G15=H15,JOIN("""",""Static: "",G15),JOIN("""",""Min:  "",G15, CHAR(10),""Max: "",H15)))"),"Min:  0.1
Max: 0.13")</f>
        <v>Min:  0.1
Max: 0.13</v>
      </c>
      <c r="G15" s="64">
        <f t="array" ref="G15">_xlfn.XLOOKUP(B15,'Up Min'!A:A,'Up Min'!B:B,)</f>
        <v>0.1</v>
      </c>
      <c r="H15" s="65">
        <f t="array" ref="H15">_xlfn.XLOOKUP(B15,'Up Max'!A:A,'Up Max'!B:B,)</f>
        <v>0.13</v>
      </c>
      <c r="I15" s="53" t="str">
        <f t="array" ref="I15">_xlfn.XLOOKUP(B15,'Up Stats'!A:A,'Up Stats'!C:C,)</f>
        <v/>
      </c>
      <c r="J15" s="54" t="str">
        <f>IFERROR(__xludf.DUMMYFUNCTION("if(AND(K15=FALSE,L15=FALSE),,if(K15=L15,JOIN("""",""Static: "",K15),JOIN("""",""Min:  "",K15, CHAR(10),""Max: "",L15)))"),"")</f>
        <v/>
      </c>
      <c r="K15" s="72" t="str">
        <f t="array" ref="K15">_xlfn.XLOOKUP(B15,'Up Min'!A:A,'Up Min'!C:C,)</f>
        <v/>
      </c>
      <c r="L15" s="72" t="str">
        <f t="array" ref="L15">_xlfn.XLOOKUP(B15,'Up Max'!A:A,'Up Max'!C:C,)</f>
        <v/>
      </c>
      <c r="M15" s="57" t="str">
        <f t="array" ref="M15">_xlfn.XLOOKUP(B15,'Up Stats'!A:A,'Up Stats'!D:D,)</f>
        <v/>
      </c>
      <c r="N15" s="54" t="str">
        <f>IFERROR(__xludf.DUMMYFUNCTION("if(AND(O15=FALSE,P15=FALSE),,if(O15=P15,JOIN("""",""Static: "",O15),JOIN("""",""Min:  "",O15, CHAR(10),""Max: "",P15)))"),"")</f>
        <v/>
      </c>
      <c r="O15" s="55" t="str">
        <f t="array" ref="O15">_xlfn.XLOOKUP(B15,'Up Min'!A:A,'Up Min'!D:D,)</f>
        <v/>
      </c>
      <c r="P15" s="55" t="str">
        <f t="array" ref="P15">_xlfn.XLOOKUP(B15,'Up Max'!A:A,'Up Max'!D:D,)</f>
        <v/>
      </c>
      <c r="Q15" s="57" t="str">
        <f t="array" ref="Q15">_xlfn.XLOOKUP(B15,'Up Stats'!A:A,'Up Stats'!E:E,)</f>
        <v/>
      </c>
      <c r="R15" s="54" t="str">
        <f>IFERROR(__xludf.DUMMYFUNCTION("if(AND(S15=FALSE,T15=FALSE),,if(S15=T15,JOIN("""",""Static: "",S15),JOIN("""",""Min:  "",S15, CHAR(10),""Max: "",T15)))"),"")</f>
        <v/>
      </c>
      <c r="S15" s="55" t="str">
        <f t="array" ref="S15">_xlfn.XLOOKUP(B15,'Up Min'!A:A,'Up Min'!E:E,)</f>
        <v/>
      </c>
      <c r="T15" s="55" t="str">
        <f t="array" ref="T15">_xlfn.XLOOKUP(B15,'Up Max'!A:A,'Up Max'!E:E,)</f>
        <v/>
      </c>
      <c r="U15" s="57" t="str">
        <f t="array" ref="U15">_xlfn.XLOOKUP(B15,'Up Stats'!A:A,'Up Stats'!F:F,)</f>
        <v/>
      </c>
      <c r="V15" s="54" t="str">
        <f>IFERROR(__xludf.DUMMYFUNCTION("if(AND(W15=FALSE,X15=FALSE),,if(W15=X15,JOIN("""",""Static: "",W15),JOIN("""",""Min:  "",W15, CHAR(10),""Max: "",X15)))"),"")</f>
        <v/>
      </c>
      <c r="W15" s="55" t="str">
        <f t="array" ref="W15">_xlfn.XLOOKUP(B15,'Up Min'!A:A,'Up Min'!F:F,)</f>
        <v/>
      </c>
      <c r="X15" s="55" t="str">
        <f t="array" ref="X15">_xlfn.XLOOKUP(B15,'Up Max'!A:A,'Up Max'!F:F,)</f>
        <v/>
      </c>
      <c r="Y15" s="57" t="str">
        <f t="array" ref="Y15">_xlfn.XLOOKUP(B15,'Up Stats'!A:A,'Up Stats'!G:G,)</f>
        <v/>
      </c>
      <c r="Z15" s="54" t="str">
        <f>IFERROR(__xludf.DUMMYFUNCTION("if(AND(AA15=FALSE,AB15=FALSE),,if(AA15=AB15,JOIN("""",""Static: "",AA15),JOIN("""",""Min:  "",AA15, CHAR(10),""Max: "",AB15)))"),"")</f>
        <v/>
      </c>
      <c r="AA15" s="55" t="str">
        <f t="array" ref="AA15">_xlfn.XLOOKUP(B15,'Up Min'!A:A,'Up Min'!G:G,)</f>
        <v/>
      </c>
      <c r="AB15" s="55" t="str">
        <f t="array" ref="AB15">_xlfn.XLOOKUP(B15,'Up Max'!A:A,'Up Max'!G:G,)</f>
        <v/>
      </c>
      <c r="AC15" s="57" t="str">
        <f t="array" ref="AC15">_xlfn.XLOOKUP(B15,'Up Stats'!A:A,'Up Stats'!H:H,)</f>
        <v/>
      </c>
      <c r="AD15" s="54" t="str">
        <f>IFERROR(__xludf.DUMMYFUNCTION("if(AND(AE15=FALSE,AF15=FALSE),,if(AE15=AF15,JOIN("""",""Static: "",AE15),JOIN("""",""Min:  "",AE15, CHAR(10),""Max: "",AF15)))"),"")</f>
        <v/>
      </c>
      <c r="AE15" s="55" t="str">
        <f t="array" ref="AE15">_xlfn.XLOOKUP(B15,'Up Min'!A:A,'Up Min'!H:H,)</f>
        <v/>
      </c>
      <c r="AF15" s="55" t="str">
        <f t="array" ref="AF15">_xlfn.XLOOKUP(B15,'Up Max'!A:A,'Up Max'!H:H,)</f>
        <v/>
      </c>
      <c r="AG15" s="57" t="str">
        <f t="array" ref="AG15">_xlfn.XLOOKUP(B15,'Up Stats'!A:A,'Up Stats'!I:I,)</f>
        <v/>
      </c>
      <c r="AH15" s="54" t="str">
        <f>IFERROR(__xludf.DUMMYFUNCTION("if(AND(AI15=FALSE,AJ15=FALSE),,if(AI15=AJ15,JOIN("""",""Static: "",AI15),JOIN("""",""Min:  "",AI15, CHAR(10),""Max: "",AJ15)))"),"")</f>
        <v/>
      </c>
      <c r="AI15" s="55" t="str">
        <f t="array" ref="AI15">_xlfn.XLOOKUP(B15,'Up Min'!A:A,'Up Min'!I:I,)</f>
        <v/>
      </c>
      <c r="AJ15" s="55" t="str">
        <f t="array" ref="AJ15">_xlfn.XLOOKUP(B15,'Up Max'!A:A,'Up Max'!I:I,)</f>
        <v/>
      </c>
      <c r="AK15" s="57" t="str">
        <f t="array" ref="AK15">_xlfn.XLOOKUP(B15,'Up Stats'!A:A,'Up Stats'!J:J,)</f>
        <v/>
      </c>
      <c r="AL15" s="54" t="str">
        <f>IFERROR(__xludf.DUMMYFUNCTION("if(AND(AM15=FALSE,AN15=FALSE),,if(AM15=AN15,JOIN("""",""Static: "",AM15),JOIN("""",""Min:  "",AM15, CHAR(10),""Max: "",AN15)))"),"")</f>
        <v/>
      </c>
      <c r="AM15" s="55" t="str">
        <f t="array" ref="AM15">_xlfn.XLOOKUP(B15,'Up Min'!A:A,'Up Min'!J:J,)</f>
        <v/>
      </c>
      <c r="AN15" s="55" t="str">
        <f t="array" ref="AN15">_xlfn.XLOOKUP(B15,'Up Max'!A:A,'Up Max'!J:J,)</f>
        <v/>
      </c>
      <c r="AO15" s="51" t="str">
        <f t="array" ref="AO15">CONCATENATE(_xlfn.XLOOKUP(B15,'Up Cells'!A:A,'Up Cells'!B:B,))</f>
        <v>5</v>
      </c>
      <c r="AP15" s="51" t="str">
        <f t="array" ref="AP15">CONCATENATE(_xlfn.XLOOKUP(B15,'Up Rarity'!A:A,'Up Rarity'!B:B,),CHAR(10),"-")</f>
        <v>Epic
-</v>
      </c>
    </row>
    <row r="16">
      <c r="A16" s="75" t="str">
        <f t="array" ref="A16">_xlfn.XLOOKUP(B16,'Up Icon'!A:A,'Up Icon'!B:B,)</f>
        <v/>
      </c>
      <c r="B16" s="66" t="str">
        <f t="array" ref="B16">HYPERLINK(_xlfn.XLOOKUP('Up Names'!T14,'Up Wiki'!A:A,'Up Wiki'!B:B,),'Up Names'!T14)</f>
        <v>Quickfire</v>
      </c>
      <c r="C16" s="37" t="str">
        <f t="array" ref="C16">_xlfn.XLOOKUP(B16,'Up Desc'!A:A,'Up Desc'!B:B,)</f>
        <v>Rocket Salvo fires only one rocket at a time and recharges faster. Gain an extra salvo charge for each rocket.</v>
      </c>
      <c r="D16" s="37" t="str">
        <f t="array" ref="D16">_xlfn.XLOOKUP(B16,'Up Turbo'!A:A,'Up Turbo'!B:B,)</f>
        <v>n/a</v>
      </c>
      <c r="E16" s="39" t="str">
        <f t="array" ref="E16">_xlfn.XLOOKUP(B16,'Up Stats'!A:A,'Up Stats'!B:B,)</f>
        <v>Recharge Speed</v>
      </c>
      <c r="F16" s="40" t="str">
        <f>IFERROR(__xludf.DUMMYFUNCTION("if(AND(G16=FALSE,H16=FALSE),,if(G16=H16,JOIN("""",""Static: "",G16),JOIN("""",""Min:  "",G16, CHAR(10),""Max: "",H16)))"),"Min:  203.03%
Max: 88.68%")</f>
        <v>Min:  203.03%
Max: 88.68%</v>
      </c>
      <c r="G16" s="78">
        <f t="array" ref="G16">_xlfn.XLOOKUP(B16,'Up Min'!A:A,'Up Min'!B:B,)</f>
        <v>2.0303</v>
      </c>
      <c r="H16" s="78">
        <f t="array" ref="H16">_xlfn.XLOOKUP(B16,'Up Max'!A:A,'Up Max'!B:B,)</f>
        <v>0.8868</v>
      </c>
      <c r="I16" s="39" t="str">
        <f t="array" ref="I16">_xlfn.XLOOKUP(B16,'Up Stats'!A:A,'Up Stats'!C:C,)</f>
        <v/>
      </c>
      <c r="J16" s="40" t="str">
        <f>IFERROR(__xludf.DUMMYFUNCTION("if(AND(K16=FALSE,L16=FALSE),,if(K16=L16,JOIN("""",""Static: "",K16),JOIN("""",""Min:  "",K16, CHAR(10),""Max: "",L16)))"),"")</f>
        <v/>
      </c>
      <c r="K16" s="74" t="str">
        <f t="array" ref="K16">_xlfn.XLOOKUP(B16,'Up Min'!A:A,'Up Min'!C:C,)</f>
        <v/>
      </c>
      <c r="L16" s="74" t="str">
        <f t="array" ref="L16">_xlfn.XLOOKUP(B16,'Up Max'!A:A,'Up Max'!C:C,)</f>
        <v/>
      </c>
      <c r="M16" s="48" t="str">
        <f t="array" ref="M16">_xlfn.XLOOKUP(B16,'Up Stats'!A:A,'Up Stats'!D:D,)</f>
        <v/>
      </c>
      <c r="N16" s="40" t="str">
        <f>IFERROR(__xludf.DUMMYFUNCTION("if(AND(O16=FALSE,P16=FALSE),,if(O16=P16,JOIN("""",""Static: "",O16),JOIN("""",""Min:  "",O16, CHAR(10),""Max: "",P16)))"),"")</f>
        <v/>
      </c>
      <c r="O16" s="42" t="str">
        <f t="array" ref="O16">_xlfn.XLOOKUP(B16,'Up Min'!A:A,'Up Min'!D:D,)</f>
        <v/>
      </c>
      <c r="P16" s="42" t="str">
        <f t="array" ref="P16">_xlfn.XLOOKUP(B16,'Up Max'!A:A,'Up Max'!D:D,)</f>
        <v/>
      </c>
      <c r="Q16" s="48" t="str">
        <f t="array" ref="Q16">_xlfn.XLOOKUP(B16,'Up Stats'!A:A,'Up Stats'!E:E,)</f>
        <v/>
      </c>
      <c r="R16" s="40" t="str">
        <f>IFERROR(__xludf.DUMMYFUNCTION("if(AND(S16=FALSE,T16=FALSE),,if(S16=T16,JOIN("""",""Static: "",S16),JOIN("""",""Min:  "",S16, CHAR(10),""Max: "",T16)))"),"")</f>
        <v/>
      </c>
      <c r="S16" s="42" t="str">
        <f t="array" ref="S16">_xlfn.XLOOKUP(B16,'Up Min'!A:A,'Up Min'!E:E,)</f>
        <v/>
      </c>
      <c r="T16" s="42" t="str">
        <f t="array" ref="T16">_xlfn.XLOOKUP(B16,'Up Max'!A:A,'Up Max'!E:E,)</f>
        <v/>
      </c>
      <c r="U16" s="48" t="str">
        <f t="array" ref="U16">_xlfn.XLOOKUP(B16,'Up Stats'!A:A,'Up Stats'!F:F,)</f>
        <v/>
      </c>
      <c r="V16" s="40" t="str">
        <f>IFERROR(__xludf.DUMMYFUNCTION("if(AND(W16=FALSE,X16=FALSE),,if(W16=X16,JOIN("""",""Static: "",W16),JOIN("""",""Min:  "",W16, CHAR(10),""Max: "",X16)))"),"")</f>
        <v/>
      </c>
      <c r="W16" s="42" t="str">
        <f t="array" ref="W16">_xlfn.XLOOKUP(B16,'Up Min'!A:A,'Up Min'!F:F,)</f>
        <v/>
      </c>
      <c r="X16" s="42" t="str">
        <f t="array" ref="X16">_xlfn.XLOOKUP(B16,'Up Max'!A:A,'Up Max'!F:F,)</f>
        <v/>
      </c>
      <c r="Y16" s="48" t="str">
        <f t="array" ref="Y16">_xlfn.XLOOKUP(B16,'Up Stats'!A:A,'Up Stats'!G:G,)</f>
        <v/>
      </c>
      <c r="Z16" s="40" t="str">
        <f>IFERROR(__xludf.DUMMYFUNCTION("if(AND(AA16=FALSE,AB16=FALSE),,if(AA16=AB16,JOIN("""",""Static: "",AA16),JOIN("""",""Min:  "",AA16, CHAR(10),""Max: "",AB16)))"),"")</f>
        <v/>
      </c>
      <c r="AA16" s="42" t="str">
        <f t="array" ref="AA16">_xlfn.XLOOKUP(B16,'Up Min'!A:A,'Up Min'!G:G,)</f>
        <v/>
      </c>
      <c r="AB16" s="42" t="str">
        <f t="array" ref="AB16">_xlfn.XLOOKUP(B16,'Up Max'!A:A,'Up Max'!G:G,)</f>
        <v/>
      </c>
      <c r="AC16" s="48" t="str">
        <f t="array" ref="AC16">_xlfn.XLOOKUP(B16,'Up Stats'!A:A,'Up Stats'!H:H,)</f>
        <v/>
      </c>
      <c r="AD16" s="40" t="str">
        <f>IFERROR(__xludf.DUMMYFUNCTION("if(AND(AE16=FALSE,AF16=FALSE),,if(AE16=AF16,JOIN("""",""Static: "",AE16),JOIN("""",""Min:  "",AE16, CHAR(10),""Max: "",AF16)))"),"")</f>
        <v/>
      </c>
      <c r="AE16" s="42" t="str">
        <f t="array" ref="AE16">_xlfn.XLOOKUP(B16,'Up Min'!A:A,'Up Min'!H:H,)</f>
        <v/>
      </c>
      <c r="AF16" s="42" t="str">
        <f t="array" ref="AF16">_xlfn.XLOOKUP(B16,'Up Max'!A:A,'Up Max'!H:H,)</f>
        <v/>
      </c>
      <c r="AG16" s="48" t="str">
        <f t="array" ref="AG16">_xlfn.XLOOKUP(B16,'Up Stats'!A:A,'Up Stats'!I:I,)</f>
        <v/>
      </c>
      <c r="AH16" s="40" t="str">
        <f>IFERROR(__xludf.DUMMYFUNCTION("if(AND(AI16=FALSE,AJ16=FALSE),,if(AI16=AJ16,JOIN("""",""Static: "",AI16),JOIN("""",""Min:  "",AI16, CHAR(10),""Max: "",AJ16)))"),"")</f>
        <v/>
      </c>
      <c r="AI16" s="42" t="str">
        <f t="array" ref="AI16">_xlfn.XLOOKUP(B16,'Up Min'!A:A,'Up Min'!I:I,)</f>
        <v/>
      </c>
      <c r="AJ16" s="42" t="str">
        <f t="array" ref="AJ16">_xlfn.XLOOKUP(B16,'Up Max'!A:A,'Up Max'!I:I,)</f>
        <v/>
      </c>
      <c r="AK16" s="48" t="str">
        <f t="array" ref="AK16">_xlfn.XLOOKUP(B16,'Up Stats'!A:A,'Up Stats'!J:J,)</f>
        <v/>
      </c>
      <c r="AL16" s="40" t="str">
        <f>IFERROR(__xludf.DUMMYFUNCTION("if(AND(AM16=FALSE,AN16=FALSE),,if(AM16=AN16,JOIN("""",""Static: "",AM16),JOIN("""",""Min:  "",AM16, CHAR(10),""Max: "",AN16)))"),"")</f>
        <v/>
      </c>
      <c r="AM16" s="42" t="str">
        <f t="array" ref="AM16">_xlfn.XLOOKUP(B16,'Up Min'!A:A,'Up Min'!J:J,)</f>
        <v/>
      </c>
      <c r="AN16" s="42" t="str">
        <f t="array" ref="AN16">_xlfn.XLOOKUP(B16,'Up Max'!A:A,'Up Max'!J:J,)</f>
        <v/>
      </c>
      <c r="AO16" s="34" t="str">
        <f t="array" ref="AO16">CONCATENATE(_xlfn.XLOOKUP(B16,'Up Cells'!A:A,'Up Cells'!B:B,))</f>
        <v>5</v>
      </c>
      <c r="AP16" s="34" t="str">
        <f t="array" ref="AP16">CONCATENATE(_xlfn.XLOOKUP(B16,'Up Rarity'!A:A,'Up Rarity'!B:B,),CHAR(10),"-")</f>
        <v>Epic
-</v>
      </c>
    </row>
    <row r="17">
      <c r="A17" s="75" t="str">
        <f t="array" ref="A17">_xlfn.XLOOKUP(B17,'Up Icon'!A:A,'Up Icon'!B:B,)</f>
        <v/>
      </c>
      <c r="B17" s="63" t="str">
        <f t="array" ref="B17">HYPERLINK(_xlfn.XLOOKUP('Up Names'!T15,'Up Wiki'!A:A,'Up Wiki'!B:B,),'Up Names'!T15)</f>
        <v>Reserve Material</v>
      </c>
      <c r="C17" s="52" t="str">
        <f t="array" ref="C17">_xlfn.XLOOKUP(B17,'Up Desc'!A:A,'Up Desc'!B:B,)</f>
        <v>Use ammo reserves from your equipped weapon to lock onto extra targets with your Rocket Salvo.</v>
      </c>
      <c r="D17" s="52" t="str">
        <f t="array" ref="D17">_xlfn.XLOOKUP(B17,'Up Turbo'!A:A,'Up Turbo'!B:B,)</f>
        <v>n/a</v>
      </c>
      <c r="E17" s="53" t="str">
        <f t="array" ref="E17">_xlfn.XLOOKUP(B17,'Up Stats'!A:A,'Up Stats'!B:B,)</f>
        <v>Ammo Cost</v>
      </c>
      <c r="F17" s="54" t="str">
        <f>IFERROR(__xludf.DUMMYFUNCTION("if(AND(G17=FALSE,H17=FALSE),,if(G17=H17,JOIN("""",""Static: "",G17),JOIN("""",""Min:  "",G17, CHAR(10),""Max: "",H17)))"),"Min:  10%
Max: 17.50%")</f>
        <v>Min:  10%
Max: 17.50%</v>
      </c>
      <c r="G17" s="59">
        <f t="array" ref="G17">_xlfn.XLOOKUP(B17,'Up Min'!A:A,'Up Min'!B:B,)</f>
        <v>0.1</v>
      </c>
      <c r="H17" s="71">
        <f t="array" ref="H17">_xlfn.XLOOKUP(B17,'Up Max'!A:A,'Up Max'!B:B,)</f>
        <v>0.175</v>
      </c>
      <c r="I17" s="53" t="str">
        <f t="array" ref="I17">_xlfn.XLOOKUP(B17,'Up Stats'!A:A,'Up Stats'!C:C,)</f>
        <v/>
      </c>
      <c r="J17" s="54" t="str">
        <f>IFERROR(__xludf.DUMMYFUNCTION("if(AND(K17=FALSE,L17=FALSE),,if(K17=L17,JOIN("""",""Static: "",K17),JOIN("""",""Min:  "",K17, CHAR(10),""Max: "",L17)))"),"")</f>
        <v/>
      </c>
      <c r="K17" s="72" t="str">
        <f t="array" ref="K17">_xlfn.XLOOKUP(B17,'Up Min'!A:A,'Up Min'!C:C,)</f>
        <v/>
      </c>
      <c r="L17" s="72" t="str">
        <f t="array" ref="L17">_xlfn.XLOOKUP(B17,'Up Max'!A:A,'Up Max'!C:C,)</f>
        <v/>
      </c>
      <c r="M17" s="57" t="str">
        <f t="array" ref="M17">_xlfn.XLOOKUP(B17,'Up Stats'!A:A,'Up Stats'!D:D,)</f>
        <v/>
      </c>
      <c r="N17" s="54" t="str">
        <f>IFERROR(__xludf.DUMMYFUNCTION("if(AND(O17=FALSE,P17=FALSE),,if(O17=P17,JOIN("""",""Static: "",O17),JOIN("""",""Min:  "",O17, CHAR(10),""Max: "",P17)))"),"")</f>
        <v/>
      </c>
      <c r="O17" s="55" t="str">
        <f t="array" ref="O17">_xlfn.XLOOKUP(B17,'Up Min'!A:A,'Up Min'!D:D,)</f>
        <v/>
      </c>
      <c r="P17" s="55" t="str">
        <f t="array" ref="P17">_xlfn.XLOOKUP(B17,'Up Max'!A:A,'Up Max'!D:D,)</f>
        <v/>
      </c>
      <c r="Q17" s="57" t="str">
        <f t="array" ref="Q17">_xlfn.XLOOKUP(B17,'Up Stats'!A:A,'Up Stats'!E:E,)</f>
        <v/>
      </c>
      <c r="R17" s="54" t="str">
        <f>IFERROR(__xludf.DUMMYFUNCTION("if(AND(S17=FALSE,T17=FALSE),,if(S17=T17,JOIN("""",""Static: "",S17),JOIN("""",""Min:  "",S17, CHAR(10),""Max: "",T17)))"),"")</f>
        <v/>
      </c>
      <c r="S17" s="55" t="str">
        <f t="array" ref="S17">_xlfn.XLOOKUP(B17,'Up Min'!A:A,'Up Min'!E:E,)</f>
        <v/>
      </c>
      <c r="T17" s="55" t="str">
        <f t="array" ref="T17">_xlfn.XLOOKUP(B17,'Up Max'!A:A,'Up Max'!E:E,)</f>
        <v/>
      </c>
      <c r="U17" s="57" t="str">
        <f t="array" ref="U17">_xlfn.XLOOKUP(B17,'Up Stats'!A:A,'Up Stats'!F:F,)</f>
        <v/>
      </c>
      <c r="V17" s="54" t="str">
        <f>IFERROR(__xludf.DUMMYFUNCTION("if(AND(W17=FALSE,X17=FALSE),,if(W17=X17,JOIN("""",""Static: "",W17),JOIN("""",""Min:  "",W17, CHAR(10),""Max: "",X17)))"),"")</f>
        <v/>
      </c>
      <c r="W17" s="55" t="str">
        <f t="array" ref="W17">_xlfn.XLOOKUP(B17,'Up Min'!A:A,'Up Min'!F:F,)</f>
        <v/>
      </c>
      <c r="X17" s="55" t="str">
        <f t="array" ref="X17">_xlfn.XLOOKUP(B17,'Up Max'!A:A,'Up Max'!F:F,)</f>
        <v/>
      </c>
      <c r="Y17" s="57" t="str">
        <f t="array" ref="Y17">_xlfn.XLOOKUP(B17,'Up Stats'!A:A,'Up Stats'!G:G,)</f>
        <v/>
      </c>
      <c r="Z17" s="54" t="str">
        <f>IFERROR(__xludf.DUMMYFUNCTION("if(AND(AA17=FALSE,AB17=FALSE),,if(AA17=AB17,JOIN("""",""Static: "",AA17),JOIN("""",""Min:  "",AA17, CHAR(10),""Max: "",AB17)))"),"")</f>
        <v/>
      </c>
      <c r="AA17" s="55" t="str">
        <f t="array" ref="AA17">_xlfn.XLOOKUP(B17,'Up Min'!A:A,'Up Min'!G:G,)</f>
        <v/>
      </c>
      <c r="AB17" s="55" t="str">
        <f t="array" ref="AB17">_xlfn.XLOOKUP(B17,'Up Max'!A:A,'Up Max'!G:G,)</f>
        <v/>
      </c>
      <c r="AC17" s="57" t="str">
        <f t="array" ref="AC17">_xlfn.XLOOKUP(B17,'Up Stats'!A:A,'Up Stats'!H:H,)</f>
        <v/>
      </c>
      <c r="AD17" s="54" t="str">
        <f>IFERROR(__xludf.DUMMYFUNCTION("if(AND(AE17=FALSE,AF17=FALSE),,if(AE17=AF17,JOIN("""",""Static: "",AE17),JOIN("""",""Min:  "",AE17, CHAR(10),""Max: "",AF17)))"),"")</f>
        <v/>
      </c>
      <c r="AE17" s="55" t="str">
        <f t="array" ref="AE17">_xlfn.XLOOKUP(B17,'Up Min'!A:A,'Up Min'!H:H,)</f>
        <v/>
      </c>
      <c r="AF17" s="55" t="str">
        <f t="array" ref="AF17">_xlfn.XLOOKUP(B17,'Up Max'!A:A,'Up Max'!H:H,)</f>
        <v/>
      </c>
      <c r="AG17" s="57" t="str">
        <f t="array" ref="AG17">_xlfn.XLOOKUP(B17,'Up Stats'!A:A,'Up Stats'!I:I,)</f>
        <v/>
      </c>
      <c r="AH17" s="54" t="str">
        <f>IFERROR(__xludf.DUMMYFUNCTION("if(AND(AI17=FALSE,AJ17=FALSE),,if(AI17=AJ17,JOIN("""",""Static: "",AI17),JOIN("""",""Min:  "",AI17, CHAR(10),""Max: "",AJ17)))"),"")</f>
        <v/>
      </c>
      <c r="AI17" s="55" t="str">
        <f t="array" ref="AI17">_xlfn.XLOOKUP(B17,'Up Min'!A:A,'Up Min'!I:I,)</f>
        <v/>
      </c>
      <c r="AJ17" s="55" t="str">
        <f t="array" ref="AJ17">_xlfn.XLOOKUP(B17,'Up Max'!A:A,'Up Max'!I:I,)</f>
        <v/>
      </c>
      <c r="AK17" s="57" t="str">
        <f t="array" ref="AK17">_xlfn.XLOOKUP(B17,'Up Stats'!A:A,'Up Stats'!J:J,)</f>
        <v/>
      </c>
      <c r="AL17" s="54" t="str">
        <f>IFERROR(__xludf.DUMMYFUNCTION("if(AND(AM17=FALSE,AN17=FALSE),,if(AM17=AN17,JOIN("""",""Static: "",AM17),JOIN("""",""Min:  "",AM17, CHAR(10),""Max: "",AN17)))"),"")</f>
        <v/>
      </c>
      <c r="AM17" s="55" t="str">
        <f t="array" ref="AM17">_xlfn.XLOOKUP(B17,'Up Min'!A:A,'Up Min'!J:J,)</f>
        <v/>
      </c>
      <c r="AN17" s="55" t="str">
        <f t="array" ref="AN17">_xlfn.XLOOKUP(B17,'Up Max'!A:A,'Up Max'!J:J,)</f>
        <v/>
      </c>
      <c r="AO17" s="51" t="str">
        <f t="array" ref="AO17">CONCATENATE(_xlfn.XLOOKUP(B17,'Up Cells'!A:A,'Up Cells'!B:B,))</f>
        <v>6</v>
      </c>
      <c r="AP17" s="51" t="str">
        <f t="array" ref="AP17">CONCATENATE(_xlfn.XLOOKUP(B17,'Up Rarity'!A:A,'Up Rarity'!B:B,),CHAR(10),"-")</f>
        <v>Epic
-</v>
      </c>
    </row>
    <row r="18">
      <c r="A18" s="75" t="str">
        <f t="array" ref="A18">_xlfn.XLOOKUP(B18,'Up Icon'!A:A,'Up Icon'!B:B,)</f>
        <v/>
      </c>
      <c r="B18" s="66" t="str">
        <f t="array" ref="B18">HYPERLINK(_xlfn.XLOOKUP('Up Names'!T16,'Up Wiki'!A:A,'Up Wiki'!B:B,),'Up Names'!T16)</f>
        <v>Star Fuel</v>
      </c>
      <c r="C18" s="37" t="str">
        <f t="array" ref="C18">_xlfn.XLOOKUP(B18,'Up Desc'!A:A,'Up Desc'!B:B,)</f>
        <v>Wingsuit fly duration is increased.</v>
      </c>
      <c r="D18" s="37" t="str">
        <f t="array" ref="D18">_xlfn.XLOOKUP(B18,'Up Turbo'!A:A,'Up Turbo'!B:B,)</f>
        <v>n/a</v>
      </c>
      <c r="E18" s="39" t="str">
        <f t="array" ref="E18">_xlfn.XLOOKUP(B18,'Up Stats'!A:A,'Up Stats'!B:B,)</f>
        <v>Fly Duration</v>
      </c>
      <c r="F18" s="40" t="str">
        <f>IFERROR(__xludf.DUMMYFUNCTION("if(AND(G18=FALSE,H18=FALSE),,if(G18=H18,JOIN("""",""Static: "",G18),JOIN("""",""Min:  "",G18, CHAR(10),""Max: "",H18)))"),"Min:  150%
Max: 66.67%")</f>
        <v>Min:  150%
Max: 66.67%</v>
      </c>
      <c r="G18" s="41">
        <f t="array" ref="G18">_xlfn.XLOOKUP(B18,'Up Min'!A:A,'Up Min'!B:B,)</f>
        <v>1.5</v>
      </c>
      <c r="H18" s="78">
        <f t="array" ref="H18">_xlfn.XLOOKUP(B18,'Up Max'!A:A,'Up Max'!B:B,)</f>
        <v>0.6667</v>
      </c>
      <c r="I18" s="39" t="str">
        <f t="array" ref="I18">_xlfn.XLOOKUP(B18,'Up Stats'!A:A,'Up Stats'!C:C,)</f>
        <v/>
      </c>
      <c r="J18" s="40" t="str">
        <f>IFERROR(__xludf.DUMMYFUNCTION("if(AND(K18=FALSE,L18=FALSE),,if(K18=L18,JOIN("""",""Static: "",K18),JOIN("""",""Min:  "",K18, CHAR(10),""Max: "",L18)))"),"")</f>
        <v/>
      </c>
      <c r="K18" s="74" t="str">
        <f t="array" ref="K18">_xlfn.XLOOKUP(B18,'Up Min'!A:A,'Up Min'!C:C,)</f>
        <v/>
      </c>
      <c r="L18" s="74" t="str">
        <f t="array" ref="L18">_xlfn.XLOOKUP(B18,'Up Max'!A:A,'Up Max'!C:C,)</f>
        <v/>
      </c>
      <c r="M18" s="48" t="str">
        <f t="array" ref="M18">_xlfn.XLOOKUP(B18,'Up Stats'!A:A,'Up Stats'!D:D,)</f>
        <v/>
      </c>
      <c r="N18" s="40" t="str">
        <f>IFERROR(__xludf.DUMMYFUNCTION("if(AND(O18=FALSE,P18=FALSE),,if(O18=P18,JOIN("""",""Static: "",O18),JOIN("""",""Min:  "",O18, CHAR(10),""Max: "",P18)))"),"")</f>
        <v/>
      </c>
      <c r="O18" s="42" t="str">
        <f t="array" ref="O18">_xlfn.XLOOKUP(B18,'Up Min'!A:A,'Up Min'!D:D,)</f>
        <v/>
      </c>
      <c r="P18" s="42" t="str">
        <f t="array" ref="P18">_xlfn.XLOOKUP(B18,'Up Max'!A:A,'Up Max'!D:D,)</f>
        <v/>
      </c>
      <c r="Q18" s="48" t="str">
        <f t="array" ref="Q18">_xlfn.XLOOKUP(B18,'Up Stats'!A:A,'Up Stats'!E:E,)</f>
        <v/>
      </c>
      <c r="R18" s="40" t="str">
        <f>IFERROR(__xludf.DUMMYFUNCTION("if(AND(S18=FALSE,T18=FALSE),,if(S18=T18,JOIN("""",""Static: "",S18),JOIN("""",""Min:  "",S18, CHAR(10),""Max: "",T18)))"),"")</f>
        <v/>
      </c>
      <c r="S18" s="42" t="str">
        <f t="array" ref="S18">_xlfn.XLOOKUP(B18,'Up Min'!A:A,'Up Min'!E:E,)</f>
        <v/>
      </c>
      <c r="T18" s="42" t="str">
        <f t="array" ref="T18">_xlfn.XLOOKUP(B18,'Up Max'!A:A,'Up Max'!E:E,)</f>
        <v/>
      </c>
      <c r="U18" s="48" t="str">
        <f t="array" ref="U18">_xlfn.XLOOKUP(B18,'Up Stats'!A:A,'Up Stats'!F:F,)</f>
        <v/>
      </c>
      <c r="V18" s="40" t="str">
        <f>IFERROR(__xludf.DUMMYFUNCTION("if(AND(W18=FALSE,X18=FALSE),,if(W18=X18,JOIN("""",""Static: "",W18),JOIN("""",""Min:  "",W18, CHAR(10),""Max: "",X18)))"),"")</f>
        <v/>
      </c>
      <c r="W18" s="42" t="str">
        <f t="array" ref="W18">_xlfn.XLOOKUP(B18,'Up Min'!A:A,'Up Min'!F:F,)</f>
        <v/>
      </c>
      <c r="X18" s="42" t="str">
        <f t="array" ref="X18">_xlfn.XLOOKUP(B18,'Up Max'!A:A,'Up Max'!F:F,)</f>
        <v/>
      </c>
      <c r="Y18" s="48" t="str">
        <f t="array" ref="Y18">_xlfn.XLOOKUP(B18,'Up Stats'!A:A,'Up Stats'!G:G,)</f>
        <v/>
      </c>
      <c r="Z18" s="40" t="str">
        <f>IFERROR(__xludf.DUMMYFUNCTION("if(AND(AA18=FALSE,AB18=FALSE),,if(AA18=AB18,JOIN("""",""Static: "",AA18),JOIN("""",""Min:  "",AA18, CHAR(10),""Max: "",AB18)))"),"")</f>
        <v/>
      </c>
      <c r="AA18" s="42" t="str">
        <f t="array" ref="AA18">_xlfn.XLOOKUP(B18,'Up Min'!A:A,'Up Min'!G:G,)</f>
        <v/>
      </c>
      <c r="AB18" s="42" t="str">
        <f t="array" ref="AB18">_xlfn.XLOOKUP(B18,'Up Max'!A:A,'Up Max'!G:G,)</f>
        <v/>
      </c>
      <c r="AC18" s="48" t="str">
        <f t="array" ref="AC18">_xlfn.XLOOKUP(B18,'Up Stats'!A:A,'Up Stats'!H:H,)</f>
        <v/>
      </c>
      <c r="AD18" s="40" t="str">
        <f>IFERROR(__xludf.DUMMYFUNCTION("if(AND(AE18=FALSE,AF18=FALSE),,if(AE18=AF18,JOIN("""",""Static: "",AE18),JOIN("""",""Min:  "",AE18, CHAR(10),""Max: "",AF18)))"),"")</f>
        <v/>
      </c>
      <c r="AE18" s="42" t="str">
        <f t="array" ref="AE18">_xlfn.XLOOKUP(B18,'Up Min'!A:A,'Up Min'!H:H,)</f>
        <v/>
      </c>
      <c r="AF18" s="42" t="str">
        <f t="array" ref="AF18">_xlfn.XLOOKUP(B18,'Up Max'!A:A,'Up Max'!H:H,)</f>
        <v/>
      </c>
      <c r="AG18" s="48" t="str">
        <f t="array" ref="AG18">_xlfn.XLOOKUP(B18,'Up Stats'!A:A,'Up Stats'!I:I,)</f>
        <v/>
      </c>
      <c r="AH18" s="40" t="str">
        <f>IFERROR(__xludf.DUMMYFUNCTION("if(AND(AI18=FALSE,AJ18=FALSE),,if(AI18=AJ18,JOIN("""",""Static: "",AI18),JOIN("""",""Min:  "",AI18, CHAR(10),""Max: "",AJ18)))"),"")</f>
        <v/>
      </c>
      <c r="AI18" s="42" t="str">
        <f t="array" ref="AI18">_xlfn.XLOOKUP(B18,'Up Min'!A:A,'Up Min'!I:I,)</f>
        <v/>
      </c>
      <c r="AJ18" s="42" t="str">
        <f t="array" ref="AJ18">_xlfn.XLOOKUP(B18,'Up Max'!A:A,'Up Max'!I:I,)</f>
        <v/>
      </c>
      <c r="AK18" s="48" t="str">
        <f t="array" ref="AK18">_xlfn.XLOOKUP(B18,'Up Stats'!A:A,'Up Stats'!J:J,)</f>
        <v/>
      </c>
      <c r="AL18" s="40" t="str">
        <f>IFERROR(__xludf.DUMMYFUNCTION("if(AND(AM18=FALSE,AN18=FALSE),,if(AM18=AN18,JOIN("""",""Static: "",AM18),JOIN("""",""Min:  "",AM18, CHAR(10),""Max: "",AN18)))"),"")</f>
        <v/>
      </c>
      <c r="AM18" s="42" t="str">
        <f t="array" ref="AM18">_xlfn.XLOOKUP(B18,'Up Min'!A:A,'Up Min'!J:J,)</f>
        <v/>
      </c>
      <c r="AN18" s="42" t="str">
        <f t="array" ref="AN18">_xlfn.XLOOKUP(B18,'Up Max'!A:A,'Up Max'!J:J,)</f>
        <v/>
      </c>
      <c r="AO18" s="34" t="str">
        <f t="array" ref="AO18">CONCATENATE(_xlfn.XLOOKUP(B18,'Up Cells'!A:A,'Up Cells'!B:B,))</f>
        <v>7</v>
      </c>
      <c r="AP18" s="34" t="str">
        <f t="array" ref="AP18">CONCATENATE(_xlfn.XLOOKUP(B18,'Up Rarity'!A:A,'Up Rarity'!B:B,),CHAR(10),"-")</f>
        <v>Epic
-</v>
      </c>
    </row>
    <row r="19">
      <c r="A19" s="75" t="str">
        <f t="array" ref="A19">_xlfn.XLOOKUP(B19,'Up Icon'!A:A,'Up Icon'!B:B,)</f>
        <v/>
      </c>
      <c r="B19" s="63" t="str">
        <f t="array" ref="B19">HYPERLINK(_xlfn.XLOOKUP('Up Names'!T17,'Up Wiki'!A:A,'Up Wiki'!B:B,),'Up Names'!T17)</f>
        <v>Thermal Vent Override</v>
      </c>
      <c r="C19" s="52" t="str">
        <f t="array" ref="C19">_xlfn.XLOOKUP(B19,'Up Desc'!A:A,'Up Desc'!B:B,)</f>
        <v>When you run out of fuel, your wingsuit is partially recharged and you are ignited. This won't trigger again until your wingsuit has charged a little on its own.</v>
      </c>
      <c r="D19" s="52" t="str">
        <f t="array" ref="D19">_xlfn.XLOOKUP(B19,'Up Turbo'!A:A,'Up Turbo'!B:B,)</f>
        <v>n/a</v>
      </c>
      <c r="E19" s="53" t="str">
        <f t="array" ref="E19">_xlfn.XLOOKUP(B19,'Up Stats'!A:A,'Up Stats'!B:B,)</f>
        <v>Charge</v>
      </c>
      <c r="F19" s="54" t="str">
        <f>IFERROR(__xludf.DUMMYFUNCTION("if(AND(G19=FALSE,H19=FALSE),,if(G19=H19,JOIN("""",""Static: "",G19),JOIN("""",""Min:  "",G19, CHAR(10),""Max: "",H19)))"),"Min:  35%
Max: 47%")</f>
        <v>Min:  35%
Max: 47%</v>
      </c>
      <c r="G19" s="59">
        <f t="array" ref="G19">_xlfn.XLOOKUP(B19,'Up Min'!A:A,'Up Min'!B:B,)</f>
        <v>0.35</v>
      </c>
      <c r="H19" s="59">
        <f t="array" ref="H19">_xlfn.XLOOKUP(B19,'Up Max'!A:A,'Up Max'!B:B,)</f>
        <v>0.47</v>
      </c>
      <c r="I19" s="53" t="str">
        <f t="array" ref="I19">_xlfn.XLOOKUP(B19,'Up Stats'!A:A,'Up Stats'!C:C,)</f>
        <v/>
      </c>
      <c r="J19" s="54" t="str">
        <f>IFERROR(__xludf.DUMMYFUNCTION("if(AND(K19=FALSE,L19=FALSE),,if(K19=L19,JOIN("""",""Static: "",K19),JOIN("""",""Min:  "",K19, CHAR(10),""Max: "",L19)))"),"")</f>
        <v/>
      </c>
      <c r="K19" s="72" t="str">
        <f t="array" ref="K19">_xlfn.XLOOKUP(B19,'Up Min'!A:A,'Up Min'!C:C,)</f>
        <v/>
      </c>
      <c r="L19" s="72" t="str">
        <f t="array" ref="L19">_xlfn.XLOOKUP(B19,'Up Max'!A:A,'Up Max'!C:C,)</f>
        <v/>
      </c>
      <c r="M19" s="57" t="str">
        <f t="array" ref="M19">_xlfn.XLOOKUP(B19,'Up Stats'!A:A,'Up Stats'!D:D,)</f>
        <v/>
      </c>
      <c r="N19" s="54" t="str">
        <f>IFERROR(__xludf.DUMMYFUNCTION("if(AND(O19=FALSE,P19=FALSE),,if(O19=P19,JOIN("""",""Static: "",O19),JOIN("""",""Min:  "",O19, CHAR(10),""Max: "",P19)))"),"")</f>
        <v/>
      </c>
      <c r="O19" s="55" t="str">
        <f t="array" ref="O19">_xlfn.XLOOKUP(B19,'Up Min'!A:A,'Up Min'!D:D,)</f>
        <v/>
      </c>
      <c r="P19" s="55" t="str">
        <f t="array" ref="P19">_xlfn.XLOOKUP(B19,'Up Max'!A:A,'Up Max'!D:D,)</f>
        <v/>
      </c>
      <c r="Q19" s="57" t="str">
        <f t="array" ref="Q19">_xlfn.XLOOKUP(B19,'Up Stats'!A:A,'Up Stats'!E:E,)</f>
        <v/>
      </c>
      <c r="R19" s="54" t="str">
        <f>IFERROR(__xludf.DUMMYFUNCTION("if(AND(S19=FALSE,T19=FALSE),,if(S19=T19,JOIN("""",""Static: "",S19),JOIN("""",""Min:  "",S19, CHAR(10),""Max: "",T19)))"),"")</f>
        <v/>
      </c>
      <c r="S19" s="55" t="str">
        <f t="array" ref="S19">_xlfn.XLOOKUP(B19,'Up Min'!A:A,'Up Min'!E:E,)</f>
        <v/>
      </c>
      <c r="T19" s="55" t="str">
        <f t="array" ref="T19">_xlfn.XLOOKUP(B19,'Up Max'!A:A,'Up Max'!E:E,)</f>
        <v/>
      </c>
      <c r="U19" s="57" t="str">
        <f t="array" ref="U19">_xlfn.XLOOKUP(B19,'Up Stats'!A:A,'Up Stats'!F:F,)</f>
        <v/>
      </c>
      <c r="V19" s="54" t="str">
        <f>IFERROR(__xludf.DUMMYFUNCTION("if(AND(W19=FALSE,X19=FALSE),,if(W19=X19,JOIN("""",""Static: "",W19),JOIN("""",""Min:  "",W19, CHAR(10),""Max: "",X19)))"),"")</f>
        <v/>
      </c>
      <c r="W19" s="55" t="str">
        <f t="array" ref="W19">_xlfn.XLOOKUP(B19,'Up Min'!A:A,'Up Min'!F:F,)</f>
        <v/>
      </c>
      <c r="X19" s="55" t="str">
        <f t="array" ref="X19">_xlfn.XLOOKUP(B19,'Up Max'!A:A,'Up Max'!F:F,)</f>
        <v/>
      </c>
      <c r="Y19" s="57" t="str">
        <f t="array" ref="Y19">_xlfn.XLOOKUP(B19,'Up Stats'!A:A,'Up Stats'!G:G,)</f>
        <v/>
      </c>
      <c r="Z19" s="54" t="str">
        <f>IFERROR(__xludf.DUMMYFUNCTION("if(AND(AA19=FALSE,AB19=FALSE),,if(AA19=AB19,JOIN("""",""Static: "",AA19),JOIN("""",""Min:  "",AA19, CHAR(10),""Max: "",AB19)))"),"")</f>
        <v/>
      </c>
      <c r="AA19" s="55" t="str">
        <f t="array" ref="AA19">_xlfn.XLOOKUP(B19,'Up Min'!A:A,'Up Min'!G:G,)</f>
        <v/>
      </c>
      <c r="AB19" s="55" t="str">
        <f t="array" ref="AB19">_xlfn.XLOOKUP(B19,'Up Max'!A:A,'Up Max'!G:G,)</f>
        <v/>
      </c>
      <c r="AC19" s="57" t="str">
        <f t="array" ref="AC19">_xlfn.XLOOKUP(B19,'Up Stats'!A:A,'Up Stats'!H:H,)</f>
        <v/>
      </c>
      <c r="AD19" s="54" t="str">
        <f>IFERROR(__xludf.DUMMYFUNCTION("if(AND(AE19=FALSE,AF19=FALSE),,if(AE19=AF19,JOIN("""",""Static: "",AE19),JOIN("""",""Min:  "",AE19, CHAR(10),""Max: "",AF19)))"),"")</f>
        <v/>
      </c>
      <c r="AE19" s="55" t="str">
        <f t="array" ref="AE19">_xlfn.XLOOKUP(B19,'Up Min'!A:A,'Up Min'!H:H,)</f>
        <v/>
      </c>
      <c r="AF19" s="55" t="str">
        <f t="array" ref="AF19">_xlfn.XLOOKUP(B19,'Up Max'!A:A,'Up Max'!H:H,)</f>
        <v/>
      </c>
      <c r="AG19" s="57" t="str">
        <f t="array" ref="AG19">_xlfn.XLOOKUP(B19,'Up Stats'!A:A,'Up Stats'!I:I,)</f>
        <v/>
      </c>
      <c r="AH19" s="54" t="str">
        <f>IFERROR(__xludf.DUMMYFUNCTION("if(AND(AI19=FALSE,AJ19=FALSE),,if(AI19=AJ19,JOIN("""",""Static: "",AI19),JOIN("""",""Min:  "",AI19, CHAR(10),""Max: "",AJ19)))"),"")</f>
        <v/>
      </c>
      <c r="AI19" s="55" t="str">
        <f t="array" ref="AI19">_xlfn.XLOOKUP(B19,'Up Min'!A:A,'Up Min'!I:I,)</f>
        <v/>
      </c>
      <c r="AJ19" s="55" t="str">
        <f t="array" ref="AJ19">_xlfn.XLOOKUP(B19,'Up Max'!A:A,'Up Max'!I:I,)</f>
        <v/>
      </c>
      <c r="AK19" s="57" t="str">
        <f t="array" ref="AK19">_xlfn.XLOOKUP(B19,'Up Stats'!A:A,'Up Stats'!J:J,)</f>
        <v/>
      </c>
      <c r="AL19" s="54" t="str">
        <f>IFERROR(__xludf.DUMMYFUNCTION("if(AND(AM19=FALSE,AN19=FALSE),,if(AM19=AN19,JOIN("""",""Static: "",AM19),JOIN("""",""Min:  "",AM19, CHAR(10),""Max: "",AN19)))"),"")</f>
        <v/>
      </c>
      <c r="AM19" s="55" t="str">
        <f t="array" ref="AM19">_xlfn.XLOOKUP(B19,'Up Min'!A:A,'Up Min'!J:J,)</f>
        <v/>
      </c>
      <c r="AN19" s="55" t="str">
        <f t="array" ref="AN19">_xlfn.XLOOKUP(B19,'Up Max'!A:A,'Up Max'!J:J,)</f>
        <v/>
      </c>
      <c r="AO19" s="51" t="str">
        <f t="array" ref="AO19">CONCATENATE(_xlfn.XLOOKUP(B19,'Up Cells'!A:A,'Up Cells'!B:B,))</f>
        <v>4</v>
      </c>
      <c r="AP19" s="51" t="str">
        <f t="array" ref="AP19">CONCATENATE(_xlfn.XLOOKUP(B19,'Up Rarity'!A:A,'Up Rarity'!B:B,),CHAR(10),"-")</f>
        <v>Epic
-</v>
      </c>
    </row>
    <row r="20">
      <c r="A20" s="83" t="str">
        <f t="array" ref="A20">_xlfn.XLOOKUP(B20,'Up Icon'!A:A,'Up Icon'!B:B,)</f>
        <v/>
      </c>
      <c r="B20" s="66" t="str">
        <f t="array" ref="B20">HYPERLINK(_xlfn.XLOOKUP('Up Names'!T18,'Up Wiki'!A:A,'Up Wiki'!B:B,),'Up Names'!T18)</f>
        <v>Battery Siphon</v>
      </c>
      <c r="C20" s="37" t="str">
        <f t="array" ref="C20">_xlfn.XLOOKUP(B20,'Up Desc'!A:A,'Up Desc'!B:B,)</f>
        <v>Move faster while holding a broken player.</v>
      </c>
      <c r="D20" s="37" t="str">
        <f t="array" ref="D20">_xlfn.XLOOKUP(B20,'Up Turbo'!A:A,'Up Turbo'!B:B,)</f>
        <v>n/a</v>
      </c>
      <c r="E20" s="39" t="str">
        <f t="array" ref="E20">_xlfn.XLOOKUP(B20,'Up Stats'!A:A,'Up Stats'!B:B,)</f>
        <v>Speed</v>
      </c>
      <c r="F20" s="40" t="str">
        <f>IFERROR(__xludf.DUMMYFUNCTION("if(AND(G20=FALSE,H20=FALSE),,if(G20=H20,JOIN("""",""Static: "",G20),JOIN("""",""Min:  "",G20, CHAR(10),""Max: "",H20)))"),"Min:  8.7
Max: 12")</f>
        <v>Min:  8.7
Max: 12</v>
      </c>
      <c r="G20" s="69">
        <f t="array" ref="G20">_xlfn.XLOOKUP(B20,'Up Min'!A:A,'Up Min'!B:B,)</f>
        <v>8.7</v>
      </c>
      <c r="H20" s="68">
        <f t="array" ref="H20">_xlfn.XLOOKUP(B20,'Up Max'!A:A,'Up Max'!B:B,)</f>
        <v>12</v>
      </c>
      <c r="I20" s="39" t="str">
        <f t="array" ref="I20">_xlfn.XLOOKUP(B20,'Up Stats'!A:A,'Up Stats'!C:C,)</f>
        <v/>
      </c>
      <c r="J20" s="40" t="str">
        <f>IFERROR(__xludf.DUMMYFUNCTION("if(AND(K20=FALSE,L20=FALSE),,if(K20=L20,JOIN("""",""Static: "",K20),JOIN("""",""Min:  "",K20, CHAR(10),""Max: "",L20)))"),"")</f>
        <v/>
      </c>
      <c r="K20" s="74" t="str">
        <f t="array" ref="K20">_xlfn.XLOOKUP(B20,'Up Min'!A:A,'Up Min'!C:C,)</f>
        <v/>
      </c>
      <c r="L20" s="74" t="str">
        <f t="array" ref="L20">_xlfn.XLOOKUP(B20,'Up Max'!A:A,'Up Max'!C:C,)</f>
        <v/>
      </c>
      <c r="M20" s="48" t="str">
        <f t="array" ref="M20">_xlfn.XLOOKUP(B20,'Up Stats'!A:A,'Up Stats'!D:D,)</f>
        <v/>
      </c>
      <c r="N20" s="40" t="str">
        <f>IFERROR(__xludf.DUMMYFUNCTION("if(AND(O20=FALSE,P20=FALSE),,if(O20=P20,JOIN("""",""Static: "",O20),JOIN("""",""Min:  "",O20, CHAR(10),""Max: "",P20)))"),"")</f>
        <v/>
      </c>
      <c r="O20" s="42" t="str">
        <f t="array" ref="O20">_xlfn.XLOOKUP(B20,'Up Min'!A:A,'Up Min'!D:D,)</f>
        <v/>
      </c>
      <c r="P20" s="42" t="str">
        <f t="array" ref="P20">_xlfn.XLOOKUP(B20,'Up Max'!A:A,'Up Max'!D:D,)</f>
        <v/>
      </c>
      <c r="Q20" s="48" t="str">
        <f t="array" ref="Q20">_xlfn.XLOOKUP(B20,'Up Stats'!A:A,'Up Stats'!E:E,)</f>
        <v/>
      </c>
      <c r="R20" s="40" t="str">
        <f>IFERROR(__xludf.DUMMYFUNCTION("if(AND(S20=FALSE,T20=FALSE),,if(S20=T20,JOIN("""",""Static: "",S20),JOIN("""",""Min:  "",S20, CHAR(10),""Max: "",T20)))"),"")</f>
        <v/>
      </c>
      <c r="S20" s="42" t="str">
        <f t="array" ref="S20">_xlfn.XLOOKUP(B20,'Up Min'!A:A,'Up Min'!E:E,)</f>
        <v/>
      </c>
      <c r="T20" s="42" t="str">
        <f t="array" ref="T20">_xlfn.XLOOKUP(B20,'Up Max'!A:A,'Up Max'!E:E,)</f>
        <v/>
      </c>
      <c r="U20" s="48" t="str">
        <f t="array" ref="U20">_xlfn.XLOOKUP(B20,'Up Stats'!A:A,'Up Stats'!F:F,)</f>
        <v/>
      </c>
      <c r="V20" s="40" t="str">
        <f>IFERROR(__xludf.DUMMYFUNCTION("if(AND(W20=FALSE,X20=FALSE),,if(W20=X20,JOIN("""",""Static: "",W20),JOIN("""",""Min:  "",W20, CHAR(10),""Max: "",X20)))"),"")</f>
        <v/>
      </c>
      <c r="W20" s="42" t="str">
        <f t="array" ref="W20">_xlfn.XLOOKUP(B20,'Up Min'!A:A,'Up Min'!F:F,)</f>
        <v/>
      </c>
      <c r="X20" s="42" t="str">
        <f t="array" ref="X20">_xlfn.XLOOKUP(B20,'Up Max'!A:A,'Up Max'!F:F,)</f>
        <v/>
      </c>
      <c r="Y20" s="48" t="str">
        <f t="array" ref="Y20">_xlfn.XLOOKUP(B20,'Up Stats'!A:A,'Up Stats'!G:G,)</f>
        <v/>
      </c>
      <c r="Z20" s="40" t="str">
        <f>IFERROR(__xludf.DUMMYFUNCTION("if(AND(AA20=FALSE,AB20=FALSE),,if(AA20=AB20,JOIN("""",""Static: "",AA20),JOIN("""",""Min:  "",AA20, CHAR(10),""Max: "",AB20)))"),"")</f>
        <v/>
      </c>
      <c r="AA20" s="42" t="str">
        <f t="array" ref="AA20">_xlfn.XLOOKUP(B20,'Up Min'!A:A,'Up Min'!G:G,)</f>
        <v/>
      </c>
      <c r="AB20" s="42" t="str">
        <f t="array" ref="AB20">_xlfn.XLOOKUP(B20,'Up Max'!A:A,'Up Max'!G:G,)</f>
        <v/>
      </c>
      <c r="AC20" s="48" t="str">
        <f t="array" ref="AC20">_xlfn.XLOOKUP(B20,'Up Stats'!A:A,'Up Stats'!H:H,)</f>
        <v/>
      </c>
      <c r="AD20" s="40" t="str">
        <f>IFERROR(__xludf.DUMMYFUNCTION("if(AND(AE20=FALSE,AF20=FALSE),,if(AE20=AF20,JOIN("""",""Static: "",AE20),JOIN("""",""Min:  "",AE20, CHAR(10),""Max: "",AF20)))"),"")</f>
        <v/>
      </c>
      <c r="AE20" s="42" t="str">
        <f t="array" ref="AE20">_xlfn.XLOOKUP(B20,'Up Min'!A:A,'Up Min'!H:H,)</f>
        <v/>
      </c>
      <c r="AF20" s="42" t="str">
        <f t="array" ref="AF20">_xlfn.XLOOKUP(B20,'Up Max'!A:A,'Up Max'!H:H,)</f>
        <v/>
      </c>
      <c r="AG20" s="48" t="str">
        <f t="array" ref="AG20">_xlfn.XLOOKUP(B20,'Up Stats'!A:A,'Up Stats'!I:I,)</f>
        <v/>
      </c>
      <c r="AH20" s="40" t="str">
        <f>IFERROR(__xludf.DUMMYFUNCTION("if(AND(AI20=FALSE,AJ20=FALSE),,if(AI20=AJ20,JOIN("""",""Static: "",AI20),JOIN("""",""Min:  "",AI20, CHAR(10),""Max: "",AJ20)))"),"")</f>
        <v/>
      </c>
      <c r="AI20" s="42" t="str">
        <f t="array" ref="AI20">_xlfn.XLOOKUP(B20,'Up Min'!A:A,'Up Min'!I:I,)</f>
        <v/>
      </c>
      <c r="AJ20" s="42" t="str">
        <f t="array" ref="AJ20">_xlfn.XLOOKUP(B20,'Up Max'!A:A,'Up Max'!I:I,)</f>
        <v/>
      </c>
      <c r="AK20" s="48" t="str">
        <f t="array" ref="AK20">_xlfn.XLOOKUP(B20,'Up Stats'!A:A,'Up Stats'!J:J,)</f>
        <v/>
      </c>
      <c r="AL20" s="40" t="str">
        <f>IFERROR(__xludf.DUMMYFUNCTION("if(AND(AM20=FALSE,AN20=FALSE),,if(AM20=AN20,JOIN("""",""Static: "",AM20),JOIN("""",""Min:  "",AM20, CHAR(10),""Max: "",AN20)))"),"")</f>
        <v/>
      </c>
      <c r="AM20" s="42" t="str">
        <f t="array" ref="AM20">_xlfn.XLOOKUP(B20,'Up Min'!A:A,'Up Min'!J:J,)</f>
        <v/>
      </c>
      <c r="AN20" s="42" t="str">
        <f t="array" ref="AN20">_xlfn.XLOOKUP(B20,'Up Max'!A:A,'Up Max'!J:J,)</f>
        <v/>
      </c>
      <c r="AO20" s="34" t="str">
        <f t="array" ref="AO20">CONCATENATE(_xlfn.XLOOKUP(B20,'Up Cells'!A:A,'Up Cells'!B:B,))</f>
        <v>3</v>
      </c>
      <c r="AP20" s="34" t="str">
        <f t="array" ref="AP20">CONCATENATE(_xlfn.XLOOKUP(B20,'Up Rarity'!A:A,'Up Rarity'!B:B,),CHAR(10),"-")</f>
        <v>Rare
-</v>
      </c>
    </row>
    <row r="21">
      <c r="A21" s="83" t="str">
        <f t="array" ref="A21">_xlfn.XLOOKUP(B21,'Up Icon'!A:A,'Up Icon'!B:B,)</f>
        <v/>
      </c>
      <c r="B21" s="63" t="str">
        <f t="array" ref="B21">HYPERLINK(_xlfn.XLOOKUP('Up Names'!T19,'Up Wiki'!A:A,'Up Wiki'!B:B,),'Up Names'!T19)</f>
        <v>Charge Rerouting</v>
      </c>
      <c r="C21" s="52" t="str">
        <f t="array" ref="C21">_xlfn.XLOOKUP(B21,'Up Desc'!A:A,'Up Desc'!B:B,)</f>
        <v>Heal yourself when you fire a salvo rocket at an ally.</v>
      </c>
      <c r="D21" s="52" t="str">
        <f t="array" ref="D21">_xlfn.XLOOKUP(B21,'Up Turbo'!A:A,'Up Turbo'!B:B,)</f>
        <v>n/a</v>
      </c>
      <c r="E21" s="53" t="str">
        <f t="array" ref="E21">_xlfn.XLOOKUP(B21,'Up Stats'!A:A,'Up Stats'!B:B,)</f>
        <v>Healing</v>
      </c>
      <c r="F21" s="54" t="str">
        <f>IFERROR(__xludf.DUMMYFUNCTION("if(AND(G21=FALSE,H21=FALSE),,if(G21=H21,JOIN("""",""Static: "",G21),JOIN("""",""Min:  "",G21, CHAR(10),""Max: "",H21)))"),"Min:  4
Max: 7")</f>
        <v>Min:  4
Max: 7</v>
      </c>
      <c r="G21" s="64">
        <f t="array" ref="G21">_xlfn.XLOOKUP(B21,'Up Min'!A:A,'Up Min'!B:B,)</f>
        <v>4</v>
      </c>
      <c r="H21" s="65">
        <f t="array" ref="H21">_xlfn.XLOOKUP(B21,'Up Max'!A:A,'Up Max'!B:B,)</f>
        <v>7</v>
      </c>
      <c r="I21" s="53" t="str">
        <f t="array" ref="I21">_xlfn.XLOOKUP(B21,'Up Stats'!A:A,'Up Stats'!C:C,)</f>
        <v/>
      </c>
      <c r="J21" s="54" t="str">
        <f>IFERROR(__xludf.DUMMYFUNCTION("if(AND(K21=FALSE,L21=FALSE),,if(K21=L21,JOIN("""",""Static: "",K21),JOIN("""",""Min:  "",K21, CHAR(10),""Max: "",L21)))"),"")</f>
        <v/>
      </c>
      <c r="K21" s="72" t="str">
        <f t="array" ref="K21">_xlfn.XLOOKUP(B21,'Up Min'!A:A,'Up Min'!C:C,)</f>
        <v/>
      </c>
      <c r="L21" s="72" t="str">
        <f t="array" ref="L21">_xlfn.XLOOKUP(B21,'Up Max'!A:A,'Up Max'!C:C,)</f>
        <v/>
      </c>
      <c r="M21" s="57" t="str">
        <f t="array" ref="M21">_xlfn.XLOOKUP(B21,'Up Stats'!A:A,'Up Stats'!D:D,)</f>
        <v/>
      </c>
      <c r="N21" s="54" t="str">
        <f>IFERROR(__xludf.DUMMYFUNCTION("if(AND(O21=FALSE,P21=FALSE),,if(O21=P21,JOIN("""",""Static: "",O21),JOIN("""",""Min:  "",O21, CHAR(10),""Max: "",P21)))"),"")</f>
        <v/>
      </c>
      <c r="O21" s="55" t="str">
        <f t="array" ref="O21">_xlfn.XLOOKUP(B21,'Up Min'!A:A,'Up Min'!D:D,)</f>
        <v/>
      </c>
      <c r="P21" s="55" t="str">
        <f t="array" ref="P21">_xlfn.XLOOKUP(B21,'Up Max'!A:A,'Up Max'!D:D,)</f>
        <v/>
      </c>
      <c r="Q21" s="57" t="str">
        <f t="array" ref="Q21">_xlfn.XLOOKUP(B21,'Up Stats'!A:A,'Up Stats'!E:E,)</f>
        <v/>
      </c>
      <c r="R21" s="54" t="str">
        <f>IFERROR(__xludf.DUMMYFUNCTION("if(AND(S21=FALSE,T21=FALSE),,if(S21=T21,JOIN("""",""Static: "",S21),JOIN("""",""Min:  "",S21, CHAR(10),""Max: "",T21)))"),"")</f>
        <v/>
      </c>
      <c r="S21" s="55" t="str">
        <f t="array" ref="S21">_xlfn.XLOOKUP(B21,'Up Min'!A:A,'Up Min'!E:E,)</f>
        <v/>
      </c>
      <c r="T21" s="55" t="str">
        <f t="array" ref="T21">_xlfn.XLOOKUP(B21,'Up Max'!A:A,'Up Max'!E:E,)</f>
        <v/>
      </c>
      <c r="U21" s="57" t="str">
        <f t="array" ref="U21">_xlfn.XLOOKUP(B21,'Up Stats'!A:A,'Up Stats'!F:F,)</f>
        <v/>
      </c>
      <c r="V21" s="54" t="str">
        <f>IFERROR(__xludf.DUMMYFUNCTION("if(AND(W21=FALSE,X21=FALSE),,if(W21=X21,JOIN("""",""Static: "",W21),JOIN("""",""Min:  "",W21, CHAR(10),""Max: "",X21)))"),"")</f>
        <v/>
      </c>
      <c r="W21" s="55" t="str">
        <f t="array" ref="W21">_xlfn.XLOOKUP(B21,'Up Min'!A:A,'Up Min'!F:F,)</f>
        <v/>
      </c>
      <c r="X21" s="55" t="str">
        <f t="array" ref="X21">_xlfn.XLOOKUP(B21,'Up Max'!A:A,'Up Max'!F:F,)</f>
        <v/>
      </c>
      <c r="Y21" s="57" t="str">
        <f t="array" ref="Y21">_xlfn.XLOOKUP(B21,'Up Stats'!A:A,'Up Stats'!G:G,)</f>
        <v/>
      </c>
      <c r="Z21" s="54" t="str">
        <f>IFERROR(__xludf.DUMMYFUNCTION("if(AND(AA21=FALSE,AB21=FALSE),,if(AA21=AB21,JOIN("""",""Static: "",AA21),JOIN("""",""Min:  "",AA21, CHAR(10),""Max: "",AB21)))"),"")</f>
        <v/>
      </c>
      <c r="AA21" s="55" t="str">
        <f t="array" ref="AA21">_xlfn.XLOOKUP(B21,'Up Min'!A:A,'Up Min'!G:G,)</f>
        <v/>
      </c>
      <c r="AB21" s="55" t="str">
        <f t="array" ref="AB21">_xlfn.XLOOKUP(B21,'Up Max'!A:A,'Up Max'!G:G,)</f>
        <v/>
      </c>
      <c r="AC21" s="57" t="str">
        <f t="array" ref="AC21">_xlfn.XLOOKUP(B21,'Up Stats'!A:A,'Up Stats'!H:H,)</f>
        <v/>
      </c>
      <c r="AD21" s="54" t="str">
        <f>IFERROR(__xludf.DUMMYFUNCTION("if(AND(AE21=FALSE,AF21=FALSE),,if(AE21=AF21,JOIN("""",""Static: "",AE21),JOIN("""",""Min:  "",AE21, CHAR(10),""Max: "",AF21)))"),"")</f>
        <v/>
      </c>
      <c r="AE21" s="55" t="str">
        <f t="array" ref="AE21">_xlfn.XLOOKUP(B21,'Up Min'!A:A,'Up Min'!H:H,)</f>
        <v/>
      </c>
      <c r="AF21" s="55" t="str">
        <f t="array" ref="AF21">_xlfn.XLOOKUP(B21,'Up Max'!A:A,'Up Max'!H:H,)</f>
        <v/>
      </c>
      <c r="AG21" s="57" t="str">
        <f t="array" ref="AG21">_xlfn.XLOOKUP(B21,'Up Stats'!A:A,'Up Stats'!I:I,)</f>
        <v/>
      </c>
      <c r="AH21" s="54" t="str">
        <f>IFERROR(__xludf.DUMMYFUNCTION("if(AND(AI21=FALSE,AJ21=FALSE),,if(AI21=AJ21,JOIN("""",""Static: "",AI21),JOIN("""",""Min:  "",AI21, CHAR(10),""Max: "",AJ21)))"),"")</f>
        <v/>
      </c>
      <c r="AI21" s="55" t="str">
        <f t="array" ref="AI21">_xlfn.XLOOKUP(B21,'Up Min'!A:A,'Up Min'!I:I,)</f>
        <v/>
      </c>
      <c r="AJ21" s="55" t="str">
        <f t="array" ref="AJ21">_xlfn.XLOOKUP(B21,'Up Max'!A:A,'Up Max'!I:I,)</f>
        <v/>
      </c>
      <c r="AK21" s="57" t="str">
        <f t="array" ref="AK21">_xlfn.XLOOKUP(B21,'Up Stats'!A:A,'Up Stats'!J:J,)</f>
        <v/>
      </c>
      <c r="AL21" s="54" t="str">
        <f>IFERROR(__xludf.DUMMYFUNCTION("if(AND(AM21=FALSE,AN21=FALSE),,if(AM21=AN21,JOIN("""",""Static: "",AM21),JOIN("""",""Min:  "",AM21, CHAR(10),""Max: "",AN21)))"),"")</f>
        <v/>
      </c>
      <c r="AM21" s="55" t="str">
        <f t="array" ref="AM21">_xlfn.XLOOKUP(B21,'Up Min'!A:A,'Up Min'!J:J,)</f>
        <v/>
      </c>
      <c r="AN21" s="55" t="str">
        <f t="array" ref="AN21">_xlfn.XLOOKUP(B21,'Up Max'!A:A,'Up Max'!J:J,)</f>
        <v/>
      </c>
      <c r="AO21" s="51" t="str">
        <f t="array" ref="AO21">CONCATENATE(_xlfn.XLOOKUP(B21,'Up Cells'!A:A,'Up Cells'!B:B,))</f>
        <v>4</v>
      </c>
      <c r="AP21" s="51" t="str">
        <f t="array" ref="AP21">CONCATENATE(_xlfn.XLOOKUP(B21,'Up Rarity'!A:A,'Up Rarity'!B:B,),CHAR(10),"-")</f>
        <v>Rare
-</v>
      </c>
    </row>
    <row r="22">
      <c r="A22" s="83" t="str">
        <f t="array" ref="A22">_xlfn.XLOOKUP(B22,'Up Icon'!A:A,'Up Icon'!B:B,)</f>
        <v/>
      </c>
      <c r="B22" s="66" t="str">
        <f t="array" ref="B22">HYPERLINK(_xlfn.XLOOKUP('Up Names'!T20,'Up Wiki'!A:A,'Up Wiki'!B:B,),'Up Names'!T20)</f>
        <v>Elemental Tips</v>
      </c>
      <c r="C22" s="37" t="str">
        <f t="array" ref="C22">_xlfn.XLOOKUP(B22,'Up Desc'!A:A,'Up Desc'!B:B,)</f>
        <v>Salvo rockets apply the given element.</v>
      </c>
      <c r="D22" s="37" t="str">
        <f t="array" ref="D22">_xlfn.XLOOKUP(B22,'Up Turbo'!A:A,'Up Turbo'!B:B,)</f>
        <v>n/a</v>
      </c>
      <c r="E22" s="39" t="str">
        <f t="array" ref="E22">_xlfn.XLOOKUP(B22,'Up Stats'!A:A,'Up Stats'!B:B,)</f>
        <v>Element</v>
      </c>
      <c r="F22" s="40" t="str">
        <f>IFERROR(__xludf.DUMMYFUNCTION("if(AND(G22=FALSE,H22=FALSE),,if(G22=H22,JOIN("""",""Static: "",G22),JOIN("""",""Min:  "",G22, CHAR(10),""Max: "",H22)))"),"Static: element")</f>
        <v>Static: element</v>
      </c>
      <c r="G22" s="69" t="str">
        <f t="array" ref="G22">_xlfn.XLOOKUP(B22,'Up Min'!A:A,'Up Min'!B:B,)</f>
        <v>element</v>
      </c>
      <c r="H22" s="68" t="str">
        <f t="array" ref="H22">_xlfn.XLOOKUP(B22,'Up Max'!A:A,'Up Max'!B:B,)</f>
        <v>element</v>
      </c>
      <c r="I22" s="39" t="str">
        <f t="array" ref="I22">_xlfn.XLOOKUP(B22,'Up Stats'!A:A,'Up Stats'!C:C,)</f>
        <v>Element</v>
      </c>
      <c r="J22" s="40" t="str">
        <f>IFERROR(__xludf.DUMMYFUNCTION("if(AND(K22=FALSE,L22=FALSE),,if(K22=L22,JOIN("""",""Static: "",K22),JOIN("""",""Min:  "",K22, CHAR(10),""Max: "",L22)))"),"Static: 10")</f>
        <v>Static: 10</v>
      </c>
      <c r="K22" s="68">
        <f t="array" ref="K22">_xlfn.XLOOKUP(B22,'Up Min'!A:A,'Up Min'!C:C,)</f>
        <v>10</v>
      </c>
      <c r="L22" s="69">
        <f t="array" ref="L22">_xlfn.XLOOKUP(B22,'Up Max'!A:A,'Up Max'!C:C,)</f>
        <v>10</v>
      </c>
      <c r="M22" s="39" t="str">
        <f t="array" ref="M22">_xlfn.XLOOKUP(B22,'Up Stats'!A:A,'Up Stats'!D:D,)</f>
        <v/>
      </c>
      <c r="N22" s="40" t="str">
        <f>IFERROR(__xludf.DUMMYFUNCTION("if(AND(O22=FALSE,P22=FALSE),,if(O22=P22,JOIN("""",""Static: "",O22),JOIN("""",""Min:  "",O22, CHAR(10),""Max: "",P22)))"),"")</f>
        <v/>
      </c>
      <c r="O22" s="42" t="str">
        <f t="array" ref="O22">_xlfn.XLOOKUP(B22,'Up Min'!A:A,'Up Min'!D:D,)</f>
        <v/>
      </c>
      <c r="P22" s="42" t="str">
        <f t="array" ref="P22">_xlfn.XLOOKUP(B22,'Up Max'!A:A,'Up Max'!D:D,)</f>
        <v/>
      </c>
      <c r="Q22" s="48" t="str">
        <f t="array" ref="Q22">_xlfn.XLOOKUP(B22,'Up Stats'!A:A,'Up Stats'!E:E,)</f>
        <v/>
      </c>
      <c r="R22" s="40" t="str">
        <f>IFERROR(__xludf.DUMMYFUNCTION("if(AND(S22=FALSE,T22=FALSE),,if(S22=T22,JOIN("""",""Static: "",S22),JOIN("""",""Min:  "",S22, CHAR(10),""Max: "",T22)))"),"")</f>
        <v/>
      </c>
      <c r="S22" s="42" t="str">
        <f t="array" ref="S22">_xlfn.XLOOKUP(B22,'Up Min'!A:A,'Up Min'!E:E,)</f>
        <v/>
      </c>
      <c r="T22" s="42" t="str">
        <f t="array" ref="T22">_xlfn.XLOOKUP(B22,'Up Max'!A:A,'Up Max'!E:E,)</f>
        <v/>
      </c>
      <c r="U22" s="48" t="str">
        <f t="array" ref="U22">_xlfn.XLOOKUP(B22,'Up Stats'!A:A,'Up Stats'!F:F,)</f>
        <v/>
      </c>
      <c r="V22" s="40" t="str">
        <f>IFERROR(__xludf.DUMMYFUNCTION("if(AND(W22=FALSE,X22=FALSE),,if(W22=X22,JOIN("""",""Static: "",W22),JOIN("""",""Min:  "",W22, CHAR(10),""Max: "",X22)))"),"")</f>
        <v/>
      </c>
      <c r="W22" s="42" t="str">
        <f t="array" ref="W22">_xlfn.XLOOKUP(B22,'Up Min'!A:A,'Up Min'!F:F,)</f>
        <v/>
      </c>
      <c r="X22" s="42" t="str">
        <f t="array" ref="X22">_xlfn.XLOOKUP(B22,'Up Max'!A:A,'Up Max'!F:F,)</f>
        <v/>
      </c>
      <c r="Y22" s="48" t="str">
        <f t="array" ref="Y22">_xlfn.XLOOKUP(B22,'Up Stats'!A:A,'Up Stats'!G:G,)</f>
        <v/>
      </c>
      <c r="Z22" s="40" t="str">
        <f>IFERROR(__xludf.DUMMYFUNCTION("if(AND(AA22=FALSE,AB22=FALSE),,if(AA22=AB22,JOIN("""",""Static: "",AA22),JOIN("""",""Min:  "",AA22, CHAR(10),""Max: "",AB22)))"),"")</f>
        <v/>
      </c>
      <c r="AA22" s="42" t="str">
        <f t="array" ref="AA22">_xlfn.XLOOKUP(B22,'Up Min'!A:A,'Up Min'!G:G,)</f>
        <v/>
      </c>
      <c r="AB22" s="42" t="str">
        <f t="array" ref="AB22">_xlfn.XLOOKUP(B22,'Up Max'!A:A,'Up Max'!G:G,)</f>
        <v/>
      </c>
      <c r="AC22" s="48" t="str">
        <f t="array" ref="AC22">_xlfn.XLOOKUP(B22,'Up Stats'!A:A,'Up Stats'!H:H,)</f>
        <v/>
      </c>
      <c r="AD22" s="40" t="str">
        <f>IFERROR(__xludf.DUMMYFUNCTION("if(AND(AE22=FALSE,AF22=FALSE),,if(AE22=AF22,JOIN("""",""Static: "",AE22),JOIN("""",""Min:  "",AE22, CHAR(10),""Max: "",AF22)))"),"")</f>
        <v/>
      </c>
      <c r="AE22" s="42" t="str">
        <f t="array" ref="AE22">_xlfn.XLOOKUP(B22,'Up Min'!A:A,'Up Min'!H:H,)</f>
        <v/>
      </c>
      <c r="AF22" s="42" t="str">
        <f t="array" ref="AF22">_xlfn.XLOOKUP(B22,'Up Max'!A:A,'Up Max'!H:H,)</f>
        <v/>
      </c>
      <c r="AG22" s="48" t="str">
        <f t="array" ref="AG22">_xlfn.XLOOKUP(B22,'Up Stats'!A:A,'Up Stats'!I:I,)</f>
        <v/>
      </c>
      <c r="AH22" s="40" t="str">
        <f>IFERROR(__xludf.DUMMYFUNCTION("if(AND(AI22=FALSE,AJ22=FALSE),,if(AI22=AJ22,JOIN("""",""Static: "",AI22),JOIN("""",""Min:  "",AI22, CHAR(10),""Max: "",AJ22)))"),"")</f>
        <v/>
      </c>
      <c r="AI22" s="42" t="str">
        <f t="array" ref="AI22">_xlfn.XLOOKUP(B22,'Up Min'!A:A,'Up Min'!I:I,)</f>
        <v/>
      </c>
      <c r="AJ22" s="42" t="str">
        <f t="array" ref="AJ22">_xlfn.XLOOKUP(B22,'Up Max'!A:A,'Up Max'!I:I,)</f>
        <v/>
      </c>
      <c r="AK22" s="48" t="str">
        <f t="array" ref="AK22">_xlfn.XLOOKUP(B22,'Up Stats'!A:A,'Up Stats'!J:J,)</f>
        <v/>
      </c>
      <c r="AL22" s="40" t="str">
        <f>IFERROR(__xludf.DUMMYFUNCTION("if(AND(AM22=FALSE,AN22=FALSE),,if(AM22=AN22,JOIN("""",""Static: "",AM22),JOIN("""",""Min:  "",AM22, CHAR(10),""Max: "",AN22)))"),"")</f>
        <v/>
      </c>
      <c r="AM22" s="42" t="str">
        <f t="array" ref="AM22">_xlfn.XLOOKUP(B22,'Up Min'!A:A,'Up Min'!J:J,)</f>
        <v/>
      </c>
      <c r="AN22" s="42" t="str">
        <f t="array" ref="AN22">_xlfn.XLOOKUP(B22,'Up Max'!A:A,'Up Max'!J:J,)</f>
        <v/>
      </c>
      <c r="AO22" s="34" t="str">
        <f t="array" ref="AO22">CONCATENATE(_xlfn.XLOOKUP(B22,'Up Cells'!A:A,'Up Cells'!B:B,))</f>
        <v>5</v>
      </c>
      <c r="AP22" s="34" t="str">
        <f t="array" ref="AP22">CONCATENATE(_xlfn.XLOOKUP(B22,'Up Rarity'!A:A,'Up Rarity'!B:B,),CHAR(10),"-")</f>
        <v>Rare
-</v>
      </c>
    </row>
    <row r="23">
      <c r="A23" s="83" t="str">
        <f t="array" ref="A23">_xlfn.XLOOKUP(B23,'Up Icon'!A:A,'Up Icon'!B:B,)</f>
        <v/>
      </c>
      <c r="B23" s="63" t="str">
        <f t="array" ref="B23">HYPERLINK(_xlfn.XLOOKUP('Up Names'!T21,'Up Wiki'!A:A,'Up Wiki'!B:B,),'Up Names'!T21)</f>
        <v>Energy Injection</v>
      </c>
      <c r="C23" s="52" t="str">
        <f t="array" ref="C23">_xlfn.XLOOKUP(B23,'Up Desc'!A:A,'Up Desc'!B:B,)</f>
        <v>Gain health when you pick up a broken player.</v>
      </c>
      <c r="D23" s="52" t="str">
        <f t="array" ref="D23">_xlfn.XLOOKUP(B23,'Up Turbo'!A:A,'Up Turbo'!B:B,)</f>
        <v>n/a</v>
      </c>
      <c r="E23" s="53" t="str">
        <f t="array" ref="E23">_xlfn.XLOOKUP(B23,'Up Stats'!A:A,'Up Stats'!B:B,)</f>
        <v>Healing</v>
      </c>
      <c r="F23" s="54" t="str">
        <f>IFERROR(__xludf.DUMMYFUNCTION("if(AND(G23=FALSE,H23=FALSE),,if(G23=H23,JOIN("""",""Static: "",G23),JOIN("""",""Min:  "",G23, CHAR(10),""Max: "",H23)))"),"Min:  10
Max: 20")</f>
        <v>Min:  10
Max: 20</v>
      </c>
      <c r="G23" s="64">
        <f t="array" ref="G23">_xlfn.XLOOKUP(B23,'Up Min'!A:A,'Up Min'!B:B,)</f>
        <v>10</v>
      </c>
      <c r="H23" s="65">
        <f t="array" ref="H23">_xlfn.XLOOKUP(B23,'Up Max'!A:A,'Up Max'!B:B,)</f>
        <v>20</v>
      </c>
      <c r="I23" s="53" t="str">
        <f t="array" ref="I23">_xlfn.XLOOKUP(B23,'Up Stats'!A:A,'Up Stats'!C:C,)</f>
        <v/>
      </c>
      <c r="J23" s="54" t="str">
        <f>IFERROR(__xludf.DUMMYFUNCTION("if(AND(K23=FALSE,L23=FALSE),,if(K23=L23,JOIN("""",""Static: "",K23),JOIN("""",""Min:  "",K23, CHAR(10),""Max: "",L23)))"),"")</f>
        <v/>
      </c>
      <c r="K23" s="72" t="str">
        <f t="array" ref="K23">_xlfn.XLOOKUP(B23,'Up Min'!A:A,'Up Min'!C:C,)</f>
        <v/>
      </c>
      <c r="L23" s="72" t="str">
        <f t="array" ref="L23">_xlfn.XLOOKUP(B23,'Up Max'!A:A,'Up Max'!C:C,)</f>
        <v/>
      </c>
      <c r="M23" s="57" t="str">
        <f t="array" ref="M23">_xlfn.XLOOKUP(B23,'Up Stats'!A:A,'Up Stats'!D:D,)</f>
        <v/>
      </c>
      <c r="N23" s="54" t="str">
        <f>IFERROR(__xludf.DUMMYFUNCTION("if(AND(O23=FALSE,P23=FALSE),,if(O23=P23,JOIN("""",""Static: "",O23),JOIN("""",""Min:  "",O23, CHAR(10),""Max: "",P23)))"),"")</f>
        <v/>
      </c>
      <c r="O23" s="55" t="str">
        <f t="array" ref="O23">_xlfn.XLOOKUP(B23,'Up Min'!A:A,'Up Min'!D:D,)</f>
        <v/>
      </c>
      <c r="P23" s="55" t="str">
        <f t="array" ref="P23">_xlfn.XLOOKUP(B23,'Up Max'!A:A,'Up Max'!D:D,)</f>
        <v/>
      </c>
      <c r="Q23" s="57" t="str">
        <f t="array" ref="Q23">_xlfn.XLOOKUP(B23,'Up Stats'!A:A,'Up Stats'!E:E,)</f>
        <v/>
      </c>
      <c r="R23" s="54" t="str">
        <f>IFERROR(__xludf.DUMMYFUNCTION("if(AND(S23=FALSE,T23=FALSE),,if(S23=T23,JOIN("""",""Static: "",S23),JOIN("""",""Min:  "",S23, CHAR(10),""Max: "",T23)))"),"")</f>
        <v/>
      </c>
      <c r="S23" s="55" t="str">
        <f t="array" ref="S23">_xlfn.XLOOKUP(B23,'Up Min'!A:A,'Up Min'!E:E,)</f>
        <v/>
      </c>
      <c r="T23" s="55" t="str">
        <f t="array" ref="T23">_xlfn.XLOOKUP(B23,'Up Max'!A:A,'Up Max'!E:E,)</f>
        <v/>
      </c>
      <c r="U23" s="57" t="str">
        <f t="array" ref="U23">_xlfn.XLOOKUP(B23,'Up Stats'!A:A,'Up Stats'!F:F,)</f>
        <v/>
      </c>
      <c r="V23" s="54" t="str">
        <f>IFERROR(__xludf.DUMMYFUNCTION("if(AND(W23=FALSE,X23=FALSE),,if(W23=X23,JOIN("""",""Static: "",W23),JOIN("""",""Min:  "",W23, CHAR(10),""Max: "",X23)))"),"")</f>
        <v/>
      </c>
      <c r="W23" s="55" t="str">
        <f t="array" ref="W23">_xlfn.XLOOKUP(B23,'Up Min'!A:A,'Up Min'!F:F,)</f>
        <v/>
      </c>
      <c r="X23" s="55" t="str">
        <f t="array" ref="X23">_xlfn.XLOOKUP(B23,'Up Max'!A:A,'Up Max'!F:F,)</f>
        <v/>
      </c>
      <c r="Y23" s="57" t="str">
        <f t="array" ref="Y23">_xlfn.XLOOKUP(B23,'Up Stats'!A:A,'Up Stats'!G:G,)</f>
        <v/>
      </c>
      <c r="Z23" s="54" t="str">
        <f>IFERROR(__xludf.DUMMYFUNCTION("if(AND(AA23=FALSE,AB23=FALSE),,if(AA23=AB23,JOIN("""",""Static: "",AA23),JOIN("""",""Min:  "",AA23, CHAR(10),""Max: "",AB23)))"),"")</f>
        <v/>
      </c>
      <c r="AA23" s="55" t="str">
        <f t="array" ref="AA23">_xlfn.XLOOKUP(B23,'Up Min'!A:A,'Up Min'!G:G,)</f>
        <v/>
      </c>
      <c r="AB23" s="55" t="str">
        <f t="array" ref="AB23">_xlfn.XLOOKUP(B23,'Up Max'!A:A,'Up Max'!G:G,)</f>
        <v/>
      </c>
      <c r="AC23" s="57" t="str">
        <f t="array" ref="AC23">_xlfn.XLOOKUP(B23,'Up Stats'!A:A,'Up Stats'!H:H,)</f>
        <v/>
      </c>
      <c r="AD23" s="54" t="str">
        <f>IFERROR(__xludf.DUMMYFUNCTION("if(AND(AE23=FALSE,AF23=FALSE),,if(AE23=AF23,JOIN("""",""Static: "",AE23),JOIN("""",""Min:  "",AE23, CHAR(10),""Max: "",AF23)))"),"")</f>
        <v/>
      </c>
      <c r="AE23" s="55" t="str">
        <f t="array" ref="AE23">_xlfn.XLOOKUP(B23,'Up Min'!A:A,'Up Min'!H:H,)</f>
        <v/>
      </c>
      <c r="AF23" s="55" t="str">
        <f t="array" ref="AF23">_xlfn.XLOOKUP(B23,'Up Max'!A:A,'Up Max'!H:H,)</f>
        <v/>
      </c>
      <c r="AG23" s="57" t="str">
        <f t="array" ref="AG23">_xlfn.XLOOKUP(B23,'Up Stats'!A:A,'Up Stats'!I:I,)</f>
        <v/>
      </c>
      <c r="AH23" s="54" t="str">
        <f>IFERROR(__xludf.DUMMYFUNCTION("if(AND(AI23=FALSE,AJ23=FALSE),,if(AI23=AJ23,JOIN("""",""Static: "",AI23),JOIN("""",""Min:  "",AI23, CHAR(10),""Max: "",AJ23)))"),"")</f>
        <v/>
      </c>
      <c r="AI23" s="55" t="str">
        <f t="array" ref="AI23">_xlfn.XLOOKUP(B23,'Up Min'!A:A,'Up Min'!I:I,)</f>
        <v/>
      </c>
      <c r="AJ23" s="55" t="str">
        <f t="array" ref="AJ23">_xlfn.XLOOKUP(B23,'Up Max'!A:A,'Up Max'!I:I,)</f>
        <v/>
      </c>
      <c r="AK23" s="57" t="str">
        <f t="array" ref="AK23">_xlfn.XLOOKUP(B23,'Up Stats'!A:A,'Up Stats'!J:J,)</f>
        <v/>
      </c>
      <c r="AL23" s="54" t="str">
        <f>IFERROR(__xludf.DUMMYFUNCTION("if(AND(AM23=FALSE,AN23=FALSE),,if(AM23=AN23,JOIN("""",""Static: "",AM23),JOIN("""",""Min:  "",AM23, CHAR(10),""Max: "",AN23)))"),"")</f>
        <v/>
      </c>
      <c r="AM23" s="55" t="str">
        <f t="array" ref="AM23">_xlfn.XLOOKUP(B23,'Up Min'!A:A,'Up Min'!J:J,)</f>
        <v/>
      </c>
      <c r="AN23" s="55" t="str">
        <f t="array" ref="AN23">_xlfn.XLOOKUP(B23,'Up Max'!A:A,'Up Max'!J:J,)</f>
        <v/>
      </c>
      <c r="AO23" s="51" t="str">
        <f t="array" ref="AO23">CONCATENATE(_xlfn.XLOOKUP(B23,'Up Cells'!A:A,'Up Cells'!B:B,))</f>
        <v>3</v>
      </c>
      <c r="AP23" s="51" t="str">
        <f t="array" ref="AP23">CONCATENATE(_xlfn.XLOOKUP(B23,'Up Rarity'!A:A,'Up Rarity'!B:B,),CHAR(10),"-")</f>
        <v>Rare
-</v>
      </c>
    </row>
    <row r="24">
      <c r="A24" s="83" t="str">
        <f t="array" ref="A24">_xlfn.XLOOKUP(B24,'Up Icon'!A:A,'Up Icon'!B:B,)</f>
        <v/>
      </c>
      <c r="B24" s="66" t="str">
        <f t="array" ref="B24">HYPERLINK(_xlfn.XLOOKUP('Up Names'!T22,'Up Wiki'!A:A,'Up Wiki'!B:B,),'Up Names'!T22)</f>
        <v>High-Velocity Targeting</v>
      </c>
      <c r="C24" s="37" t="str">
        <f t="array" ref="C24">_xlfn.XLOOKUP(B24,'Up Desc'!A:A,'Up Desc'!B:B,)</f>
        <v>You deal more damage while airborne.</v>
      </c>
      <c r="D24" s="37" t="str">
        <f t="array" ref="D24">_xlfn.XLOOKUP(B24,'Up Turbo'!A:A,'Up Turbo'!B:B,)</f>
        <v>n/a</v>
      </c>
      <c r="E24" s="39" t="str">
        <f t="array" ref="E24">_xlfn.XLOOKUP(B24,'Up Stats'!A:A,'Up Stats'!B:B,)</f>
        <v>Airborne Damage</v>
      </c>
      <c r="F24" s="40" t="str">
        <f>IFERROR(__xludf.DUMMYFUNCTION("if(AND(G24=FALSE,H24=FALSE),,if(G24=H24,JOIN("""",""Static: "",G24),JOIN("""",""Min:  "",G24, CHAR(10),""Max: "",H24)))"),"Min:  6.50%
Max: 15%")</f>
        <v>Min:  6.50%
Max: 15%</v>
      </c>
      <c r="G24" s="78">
        <f t="array" ref="G24">_xlfn.XLOOKUP(B24,'Up Min'!A:A,'Up Min'!B:B,)</f>
        <v>0.065</v>
      </c>
      <c r="H24" s="41">
        <f t="array" ref="H24">_xlfn.XLOOKUP(B24,'Up Max'!A:A,'Up Max'!B:B,)</f>
        <v>0.15</v>
      </c>
      <c r="I24" s="39" t="str">
        <f t="array" ref="I24">_xlfn.XLOOKUP(B24,'Up Stats'!A:A,'Up Stats'!C:C,)</f>
        <v/>
      </c>
      <c r="J24" s="40" t="str">
        <f>IFERROR(__xludf.DUMMYFUNCTION("if(AND(K24=FALSE,L24=FALSE),,if(K24=L24,JOIN("""",""Static: "",K24),JOIN("""",""Min:  "",K24, CHAR(10),""Max: "",L24)))"),"")</f>
        <v/>
      </c>
      <c r="K24" s="74" t="str">
        <f t="array" ref="K24">_xlfn.XLOOKUP(B24,'Up Min'!A:A,'Up Min'!C:C,)</f>
        <v/>
      </c>
      <c r="L24" s="74" t="str">
        <f t="array" ref="L24">_xlfn.XLOOKUP(B24,'Up Max'!A:A,'Up Max'!C:C,)</f>
        <v/>
      </c>
      <c r="M24" s="48" t="str">
        <f t="array" ref="M24">_xlfn.XLOOKUP(B24,'Up Stats'!A:A,'Up Stats'!D:D,)</f>
        <v/>
      </c>
      <c r="N24" s="40" t="str">
        <f>IFERROR(__xludf.DUMMYFUNCTION("if(AND(O24=FALSE,P24=FALSE),,if(O24=P24,JOIN("""",""Static: "",O24),JOIN("""",""Min:  "",O24, CHAR(10),""Max: "",P24)))"),"")</f>
        <v/>
      </c>
      <c r="O24" s="42" t="str">
        <f t="array" ref="O24">_xlfn.XLOOKUP(B24,'Up Min'!A:A,'Up Min'!D:D,)</f>
        <v/>
      </c>
      <c r="P24" s="42" t="str">
        <f t="array" ref="P24">_xlfn.XLOOKUP(B24,'Up Max'!A:A,'Up Max'!D:D,)</f>
        <v/>
      </c>
      <c r="Q24" s="48" t="str">
        <f t="array" ref="Q24">_xlfn.XLOOKUP(B24,'Up Stats'!A:A,'Up Stats'!E:E,)</f>
        <v/>
      </c>
      <c r="R24" s="40" t="str">
        <f>IFERROR(__xludf.DUMMYFUNCTION("if(AND(S24=FALSE,T24=FALSE),,if(S24=T24,JOIN("""",""Static: "",S24),JOIN("""",""Min:  "",S24, CHAR(10),""Max: "",T24)))"),"")</f>
        <v/>
      </c>
      <c r="S24" s="42" t="str">
        <f t="array" ref="S24">_xlfn.XLOOKUP(B24,'Up Min'!A:A,'Up Min'!E:E,)</f>
        <v/>
      </c>
      <c r="T24" s="42" t="str">
        <f t="array" ref="T24">_xlfn.XLOOKUP(B24,'Up Max'!A:A,'Up Max'!E:E,)</f>
        <v/>
      </c>
      <c r="U24" s="48" t="str">
        <f t="array" ref="U24">_xlfn.XLOOKUP(B24,'Up Stats'!A:A,'Up Stats'!F:F,)</f>
        <v/>
      </c>
      <c r="V24" s="40" t="str">
        <f>IFERROR(__xludf.DUMMYFUNCTION("if(AND(W24=FALSE,X24=FALSE),,if(W24=X24,JOIN("""",""Static: "",W24),JOIN("""",""Min:  "",W24, CHAR(10),""Max: "",X24)))"),"")</f>
        <v/>
      </c>
      <c r="W24" s="42" t="str">
        <f t="array" ref="W24">_xlfn.XLOOKUP(B24,'Up Min'!A:A,'Up Min'!F:F,)</f>
        <v/>
      </c>
      <c r="X24" s="42" t="str">
        <f t="array" ref="X24">_xlfn.XLOOKUP(B24,'Up Max'!A:A,'Up Max'!F:F,)</f>
        <v/>
      </c>
      <c r="Y24" s="48" t="str">
        <f t="array" ref="Y24">_xlfn.XLOOKUP(B24,'Up Stats'!A:A,'Up Stats'!G:G,)</f>
        <v/>
      </c>
      <c r="Z24" s="40" t="str">
        <f>IFERROR(__xludf.DUMMYFUNCTION("if(AND(AA24=FALSE,AB24=FALSE),,if(AA24=AB24,JOIN("""",""Static: "",AA24),JOIN("""",""Min:  "",AA24, CHAR(10),""Max: "",AB24)))"),"")</f>
        <v/>
      </c>
      <c r="AA24" s="42" t="str">
        <f t="array" ref="AA24">_xlfn.XLOOKUP(B24,'Up Min'!A:A,'Up Min'!G:G,)</f>
        <v/>
      </c>
      <c r="AB24" s="42" t="str">
        <f t="array" ref="AB24">_xlfn.XLOOKUP(B24,'Up Max'!A:A,'Up Max'!G:G,)</f>
        <v/>
      </c>
      <c r="AC24" s="48" t="str">
        <f t="array" ref="AC24">_xlfn.XLOOKUP(B24,'Up Stats'!A:A,'Up Stats'!H:H,)</f>
        <v/>
      </c>
      <c r="AD24" s="40" t="str">
        <f>IFERROR(__xludf.DUMMYFUNCTION("if(AND(AE24=FALSE,AF24=FALSE),,if(AE24=AF24,JOIN("""",""Static: "",AE24),JOIN("""",""Min:  "",AE24, CHAR(10),""Max: "",AF24)))"),"")</f>
        <v/>
      </c>
      <c r="AE24" s="42" t="str">
        <f t="array" ref="AE24">_xlfn.XLOOKUP(B24,'Up Min'!A:A,'Up Min'!H:H,)</f>
        <v/>
      </c>
      <c r="AF24" s="42" t="str">
        <f t="array" ref="AF24">_xlfn.XLOOKUP(B24,'Up Max'!A:A,'Up Max'!H:H,)</f>
        <v/>
      </c>
      <c r="AG24" s="48" t="str">
        <f t="array" ref="AG24">_xlfn.XLOOKUP(B24,'Up Stats'!A:A,'Up Stats'!I:I,)</f>
        <v/>
      </c>
      <c r="AH24" s="40" t="str">
        <f>IFERROR(__xludf.DUMMYFUNCTION("if(AND(AI24=FALSE,AJ24=FALSE),,if(AI24=AJ24,JOIN("""",""Static: "",AI24),JOIN("""",""Min:  "",AI24, CHAR(10),""Max: "",AJ24)))"),"")</f>
        <v/>
      </c>
      <c r="AI24" s="42" t="str">
        <f t="array" ref="AI24">_xlfn.XLOOKUP(B24,'Up Min'!A:A,'Up Min'!I:I,)</f>
        <v/>
      </c>
      <c r="AJ24" s="42" t="str">
        <f t="array" ref="AJ24">_xlfn.XLOOKUP(B24,'Up Max'!A:A,'Up Max'!I:I,)</f>
        <v/>
      </c>
      <c r="AK24" s="48" t="str">
        <f t="array" ref="AK24">_xlfn.XLOOKUP(B24,'Up Stats'!A:A,'Up Stats'!J:J,)</f>
        <v/>
      </c>
      <c r="AL24" s="40" t="str">
        <f>IFERROR(__xludf.DUMMYFUNCTION("if(AND(AM24=FALSE,AN24=FALSE),,if(AM24=AN24,JOIN("""",""Static: "",AM24),JOIN("""",""Min:  "",AM24, CHAR(10),""Max: "",AN24)))"),"")</f>
        <v/>
      </c>
      <c r="AM24" s="42" t="str">
        <f t="array" ref="AM24">_xlfn.XLOOKUP(B24,'Up Min'!A:A,'Up Min'!J:J,)</f>
        <v/>
      </c>
      <c r="AN24" s="42" t="str">
        <f t="array" ref="AN24">_xlfn.XLOOKUP(B24,'Up Max'!A:A,'Up Max'!J:J,)</f>
        <v/>
      </c>
      <c r="AO24" s="34" t="str">
        <f t="array" ref="AO24">CONCATENATE(_xlfn.XLOOKUP(B24,'Up Cells'!A:A,'Up Cells'!B:B,))</f>
        <v>4</v>
      </c>
      <c r="AP24" s="34" t="str">
        <f t="array" ref="AP24">CONCATENATE(_xlfn.XLOOKUP(B24,'Up Rarity'!A:A,'Up Rarity'!B:B,),CHAR(10),"-")</f>
        <v>Rare
-</v>
      </c>
    </row>
    <row r="25">
      <c r="A25" s="83" t="str">
        <f t="array" ref="A25">_xlfn.XLOOKUP(B25,'Up Icon'!A:A,'Up Icon'!B:B,)</f>
        <v/>
      </c>
      <c r="B25" s="63" t="str">
        <f t="array" ref="B25">HYPERLINK(_xlfn.XLOOKUP('Up Names'!T23,'Up Wiki'!A:A,'Up Wiki'!B:B,),'Up Names'!T23)</f>
        <v>Hover Precision</v>
      </c>
      <c r="C25" s="52" t="str">
        <f t="array" ref="C25">_xlfn.XLOOKUP(B25,'Up Desc'!A:A,'Up Desc'!B:B,)</f>
        <v>You fall slower while aiming your Rocket Salvo.</v>
      </c>
      <c r="D25" s="52" t="str">
        <f t="array" ref="D25">_xlfn.XLOOKUP(B25,'Up Turbo'!A:A,'Up Turbo'!B:B,)</f>
        <v>n/a</v>
      </c>
      <c r="E25" s="53" t="str">
        <f t="array" ref="E25">_xlfn.XLOOKUP(B25,'Up Stats'!A:A,'Up Stats'!B:B,)</f>
        <v>Speed</v>
      </c>
      <c r="F25" s="54" t="str">
        <f>IFERROR(__xludf.DUMMYFUNCTION("if(AND(G25=FALSE,H25=FALSE),,if(G25=H25,JOIN("""",""Static: "",G25),JOIN("""",""Min:  "",G25, CHAR(10),""Max: "",H25)))"),"Min:  -85%
Max: -77%")</f>
        <v>Min:  -85%
Max: -77%</v>
      </c>
      <c r="G25" s="59">
        <f t="array" ref="G25">_xlfn.XLOOKUP(B25,'Up Min'!A:A,'Up Min'!B:B,)</f>
        <v>-0.85</v>
      </c>
      <c r="H25" s="59">
        <f t="array" ref="H25">_xlfn.XLOOKUP(B25,'Up Max'!A:A,'Up Max'!B:B,)</f>
        <v>-0.77</v>
      </c>
      <c r="I25" s="53" t="str">
        <f t="array" ref="I25">_xlfn.XLOOKUP(B25,'Up Stats'!A:A,'Up Stats'!C:C,)</f>
        <v/>
      </c>
      <c r="J25" s="54" t="str">
        <f>IFERROR(__xludf.DUMMYFUNCTION("if(AND(K25=FALSE,L25=FALSE),,if(K25=L25,JOIN("""",""Static: "",K25),JOIN("""",""Min:  "",K25, CHAR(10),""Max: "",L25)))"),"")</f>
        <v/>
      </c>
      <c r="K25" s="72" t="str">
        <f t="array" ref="K25">_xlfn.XLOOKUP(B25,'Up Min'!A:A,'Up Min'!C:C,)</f>
        <v/>
      </c>
      <c r="L25" s="72" t="str">
        <f t="array" ref="L25">_xlfn.XLOOKUP(B25,'Up Max'!A:A,'Up Max'!C:C,)</f>
        <v/>
      </c>
      <c r="M25" s="57" t="str">
        <f t="array" ref="M25">_xlfn.XLOOKUP(B25,'Up Stats'!A:A,'Up Stats'!D:D,)</f>
        <v/>
      </c>
      <c r="N25" s="54" t="str">
        <f>IFERROR(__xludf.DUMMYFUNCTION("if(AND(O25=FALSE,P25=FALSE),,if(O25=P25,JOIN("""",""Static: "",O25),JOIN("""",""Min:  "",O25, CHAR(10),""Max: "",P25)))"),"")</f>
        <v/>
      </c>
      <c r="O25" s="55" t="str">
        <f t="array" ref="O25">_xlfn.XLOOKUP(B25,'Up Min'!A:A,'Up Min'!D:D,)</f>
        <v/>
      </c>
      <c r="P25" s="55" t="str">
        <f t="array" ref="P25">_xlfn.XLOOKUP(B25,'Up Max'!A:A,'Up Max'!D:D,)</f>
        <v/>
      </c>
      <c r="Q25" s="57" t="str">
        <f t="array" ref="Q25">_xlfn.XLOOKUP(B25,'Up Stats'!A:A,'Up Stats'!E:E,)</f>
        <v/>
      </c>
      <c r="R25" s="54" t="str">
        <f>IFERROR(__xludf.DUMMYFUNCTION("if(AND(S25=FALSE,T25=FALSE),,if(S25=T25,JOIN("""",""Static: "",S25),JOIN("""",""Min:  "",S25, CHAR(10),""Max: "",T25)))"),"")</f>
        <v/>
      </c>
      <c r="S25" s="55" t="str">
        <f t="array" ref="S25">_xlfn.XLOOKUP(B25,'Up Min'!A:A,'Up Min'!E:E,)</f>
        <v/>
      </c>
      <c r="T25" s="55" t="str">
        <f t="array" ref="T25">_xlfn.XLOOKUP(B25,'Up Max'!A:A,'Up Max'!E:E,)</f>
        <v/>
      </c>
      <c r="U25" s="57" t="str">
        <f t="array" ref="U25">_xlfn.XLOOKUP(B25,'Up Stats'!A:A,'Up Stats'!F:F,)</f>
        <v/>
      </c>
      <c r="V25" s="54" t="str">
        <f>IFERROR(__xludf.DUMMYFUNCTION("if(AND(W25=FALSE,X25=FALSE),,if(W25=X25,JOIN("""",""Static: "",W25),JOIN("""",""Min:  "",W25, CHAR(10),""Max: "",X25)))"),"")</f>
        <v/>
      </c>
      <c r="W25" s="55" t="str">
        <f t="array" ref="W25">_xlfn.XLOOKUP(B25,'Up Min'!A:A,'Up Min'!F:F,)</f>
        <v/>
      </c>
      <c r="X25" s="55" t="str">
        <f t="array" ref="X25">_xlfn.XLOOKUP(B25,'Up Max'!A:A,'Up Max'!F:F,)</f>
        <v/>
      </c>
      <c r="Y25" s="57" t="str">
        <f t="array" ref="Y25">_xlfn.XLOOKUP(B25,'Up Stats'!A:A,'Up Stats'!G:G,)</f>
        <v/>
      </c>
      <c r="Z25" s="54" t="str">
        <f>IFERROR(__xludf.DUMMYFUNCTION("if(AND(AA25=FALSE,AB25=FALSE),,if(AA25=AB25,JOIN("""",""Static: "",AA25),JOIN("""",""Min:  "",AA25, CHAR(10),""Max: "",AB25)))"),"")</f>
        <v/>
      </c>
      <c r="AA25" s="55" t="str">
        <f t="array" ref="AA25">_xlfn.XLOOKUP(B25,'Up Min'!A:A,'Up Min'!G:G,)</f>
        <v/>
      </c>
      <c r="AB25" s="55" t="str">
        <f t="array" ref="AB25">_xlfn.XLOOKUP(B25,'Up Max'!A:A,'Up Max'!G:G,)</f>
        <v/>
      </c>
      <c r="AC25" s="57" t="str">
        <f t="array" ref="AC25">_xlfn.XLOOKUP(B25,'Up Stats'!A:A,'Up Stats'!H:H,)</f>
        <v/>
      </c>
      <c r="AD25" s="54" t="str">
        <f>IFERROR(__xludf.DUMMYFUNCTION("if(AND(AE25=FALSE,AF25=FALSE),,if(AE25=AF25,JOIN("""",""Static: "",AE25),JOIN("""",""Min:  "",AE25, CHAR(10),""Max: "",AF25)))"),"")</f>
        <v/>
      </c>
      <c r="AE25" s="55" t="str">
        <f t="array" ref="AE25">_xlfn.XLOOKUP(B25,'Up Min'!A:A,'Up Min'!H:H,)</f>
        <v/>
      </c>
      <c r="AF25" s="55" t="str">
        <f t="array" ref="AF25">_xlfn.XLOOKUP(B25,'Up Max'!A:A,'Up Max'!H:H,)</f>
        <v/>
      </c>
      <c r="AG25" s="57" t="str">
        <f t="array" ref="AG25">_xlfn.XLOOKUP(B25,'Up Stats'!A:A,'Up Stats'!I:I,)</f>
        <v/>
      </c>
      <c r="AH25" s="54" t="str">
        <f>IFERROR(__xludf.DUMMYFUNCTION("if(AND(AI25=FALSE,AJ25=FALSE),,if(AI25=AJ25,JOIN("""",""Static: "",AI25),JOIN("""",""Min:  "",AI25, CHAR(10),""Max: "",AJ25)))"),"")</f>
        <v/>
      </c>
      <c r="AI25" s="55" t="str">
        <f t="array" ref="AI25">_xlfn.XLOOKUP(B25,'Up Min'!A:A,'Up Min'!I:I,)</f>
        <v/>
      </c>
      <c r="AJ25" s="55" t="str">
        <f t="array" ref="AJ25">_xlfn.XLOOKUP(B25,'Up Max'!A:A,'Up Max'!I:I,)</f>
        <v/>
      </c>
      <c r="AK25" s="57" t="str">
        <f t="array" ref="AK25">_xlfn.XLOOKUP(B25,'Up Stats'!A:A,'Up Stats'!J:J,)</f>
        <v/>
      </c>
      <c r="AL25" s="54" t="str">
        <f>IFERROR(__xludf.DUMMYFUNCTION("if(AND(AM25=FALSE,AN25=FALSE),,if(AM25=AN25,JOIN("""",""Static: "",AM25),JOIN("""",""Min:  "",AM25, CHAR(10),""Max: "",AN25)))"),"")</f>
        <v/>
      </c>
      <c r="AM25" s="55" t="str">
        <f t="array" ref="AM25">_xlfn.XLOOKUP(B25,'Up Min'!A:A,'Up Min'!J:J,)</f>
        <v/>
      </c>
      <c r="AN25" s="55" t="str">
        <f t="array" ref="AN25">_xlfn.XLOOKUP(B25,'Up Max'!A:A,'Up Max'!J:J,)</f>
        <v/>
      </c>
      <c r="AO25" s="51" t="str">
        <f t="array" ref="AO25">CONCATENATE(_xlfn.XLOOKUP(B25,'Up Cells'!A:A,'Up Cells'!B:B,))</f>
        <v>3</v>
      </c>
      <c r="AP25" s="51" t="str">
        <f t="array" ref="AP25">CONCATENATE(_xlfn.XLOOKUP(B25,'Up Rarity'!A:A,'Up Rarity'!B:B,),CHAR(10),"-")</f>
        <v>Rare
-</v>
      </c>
    </row>
    <row r="26">
      <c r="A26" s="83" t="str">
        <f t="array" ref="A26">_xlfn.XLOOKUP(B26,'Up Icon'!A:A,'Up Icon'!B:B,)</f>
        <v/>
      </c>
      <c r="B26" s="66" t="str">
        <f t="array" ref="B26">HYPERLINK(_xlfn.XLOOKUP('Up Names'!T24,'Up Wiki'!A:A,'Up Wiki'!B:B,),'Up Names'!T24)</f>
        <v>Lateral Thrusters</v>
      </c>
      <c r="C26" s="37" t="str">
        <f t="array" ref="C26">_xlfn.XLOOKUP(B26,'Up Desc'!A:A,'Up Desc'!B:B,)</f>
        <v>You can change direction while flying.</v>
      </c>
      <c r="D26" s="37" t="str">
        <f t="array" ref="D26">_xlfn.XLOOKUP(B26,'Up Turbo'!A:A,'Up Turbo'!B:B,)</f>
        <v>n/a</v>
      </c>
      <c r="E26" s="39" t="str">
        <f t="array" ref="E26">_xlfn.XLOOKUP(B26,'Up Stats'!A:A,'Up Stats'!B:B,)</f>
        <v/>
      </c>
      <c r="F26" s="40" t="str">
        <f>IFERROR(__xludf.DUMMYFUNCTION("if(AND(G26=FALSE,H26=FALSE),,if(G26=H26,JOIN("""",""Static: "",G26),JOIN("""",""Min:  "",G26, CHAR(10),""Max: "",H26)))"),"")</f>
        <v/>
      </c>
      <c r="G26" s="42" t="str">
        <f t="array" ref="G26">_xlfn.XLOOKUP(B26,'Up Min'!A:A,'Up Min'!B:B,)</f>
        <v/>
      </c>
      <c r="H26" s="45" t="str">
        <f t="array" ref="H26">_xlfn.XLOOKUP(B26,'Up Max'!A:A,'Up Max'!B:B,)</f>
        <v/>
      </c>
      <c r="I26" s="48" t="str">
        <f t="array" ref="I26">_xlfn.XLOOKUP(B26,'Up Stats'!A:A,'Up Stats'!C:C,)</f>
        <v/>
      </c>
      <c r="J26" s="40" t="str">
        <f>IFERROR(__xludf.DUMMYFUNCTION("if(AND(K26=FALSE,L26=FALSE),,if(K26=L26,JOIN("""",""Static: "",K26),JOIN("""",""Min:  "",K26, CHAR(10),""Max: "",L26)))"),"")</f>
        <v/>
      </c>
      <c r="K26" s="74" t="str">
        <f t="array" ref="K26">_xlfn.XLOOKUP(B26,'Up Min'!A:A,'Up Min'!C:C,)</f>
        <v/>
      </c>
      <c r="L26" s="74" t="str">
        <f t="array" ref="L26">_xlfn.XLOOKUP(B26,'Up Max'!A:A,'Up Max'!C:C,)</f>
        <v/>
      </c>
      <c r="M26" s="48" t="str">
        <f t="array" ref="M26">_xlfn.XLOOKUP(B26,'Up Stats'!A:A,'Up Stats'!D:D,)</f>
        <v/>
      </c>
      <c r="N26" s="40" t="str">
        <f>IFERROR(__xludf.DUMMYFUNCTION("if(AND(O26=FALSE,P26=FALSE),,if(O26=P26,JOIN("""",""Static: "",O26),JOIN("""",""Min:  "",O26, CHAR(10),""Max: "",P26)))"),"")</f>
        <v/>
      </c>
      <c r="O26" s="42" t="str">
        <f t="array" ref="O26">_xlfn.XLOOKUP(B26,'Up Min'!A:A,'Up Min'!D:D,)</f>
        <v/>
      </c>
      <c r="P26" s="42" t="str">
        <f t="array" ref="P26">_xlfn.XLOOKUP(B26,'Up Max'!A:A,'Up Max'!D:D,)</f>
        <v/>
      </c>
      <c r="Q26" s="48" t="str">
        <f t="array" ref="Q26">_xlfn.XLOOKUP(B26,'Up Stats'!A:A,'Up Stats'!E:E,)</f>
        <v/>
      </c>
      <c r="R26" s="40" t="str">
        <f>IFERROR(__xludf.DUMMYFUNCTION("if(AND(S26=FALSE,T26=FALSE),,if(S26=T26,JOIN("""",""Static: "",S26),JOIN("""",""Min:  "",S26, CHAR(10),""Max: "",T26)))"),"")</f>
        <v/>
      </c>
      <c r="S26" s="42" t="str">
        <f t="array" ref="S26">_xlfn.XLOOKUP(B26,'Up Min'!A:A,'Up Min'!E:E,)</f>
        <v/>
      </c>
      <c r="T26" s="42" t="str">
        <f t="array" ref="T26">_xlfn.XLOOKUP(B26,'Up Max'!A:A,'Up Max'!E:E,)</f>
        <v/>
      </c>
      <c r="U26" s="48" t="str">
        <f t="array" ref="U26">_xlfn.XLOOKUP(B26,'Up Stats'!A:A,'Up Stats'!F:F,)</f>
        <v/>
      </c>
      <c r="V26" s="40" t="str">
        <f>IFERROR(__xludf.DUMMYFUNCTION("if(AND(W26=FALSE,X26=FALSE),,if(W26=X26,JOIN("""",""Static: "",W26),JOIN("""",""Min:  "",W26, CHAR(10),""Max: "",X26)))"),"")</f>
        <v/>
      </c>
      <c r="W26" s="42" t="str">
        <f t="array" ref="W26">_xlfn.XLOOKUP(B26,'Up Min'!A:A,'Up Min'!F:F,)</f>
        <v/>
      </c>
      <c r="X26" s="42" t="str">
        <f t="array" ref="X26">_xlfn.XLOOKUP(B26,'Up Max'!A:A,'Up Max'!F:F,)</f>
        <v/>
      </c>
      <c r="Y26" s="48" t="str">
        <f t="array" ref="Y26">_xlfn.XLOOKUP(B26,'Up Stats'!A:A,'Up Stats'!G:G,)</f>
        <v/>
      </c>
      <c r="Z26" s="40" t="str">
        <f>IFERROR(__xludf.DUMMYFUNCTION("if(AND(AA26=FALSE,AB26=FALSE),,if(AA26=AB26,JOIN("""",""Static: "",AA26),JOIN("""",""Min:  "",AA26, CHAR(10),""Max: "",AB26)))"),"")</f>
        <v/>
      </c>
      <c r="AA26" s="42" t="str">
        <f t="array" ref="AA26">_xlfn.XLOOKUP(B26,'Up Min'!A:A,'Up Min'!G:G,)</f>
        <v/>
      </c>
      <c r="AB26" s="42" t="str">
        <f t="array" ref="AB26">_xlfn.XLOOKUP(B26,'Up Max'!A:A,'Up Max'!G:G,)</f>
        <v/>
      </c>
      <c r="AC26" s="48" t="str">
        <f t="array" ref="AC26">_xlfn.XLOOKUP(B26,'Up Stats'!A:A,'Up Stats'!H:H,)</f>
        <v/>
      </c>
      <c r="AD26" s="40" t="str">
        <f>IFERROR(__xludf.DUMMYFUNCTION("if(AND(AE26=FALSE,AF26=FALSE),,if(AE26=AF26,JOIN("""",""Static: "",AE26),JOIN("""",""Min:  "",AE26, CHAR(10),""Max: "",AF26)))"),"")</f>
        <v/>
      </c>
      <c r="AE26" s="42" t="str">
        <f t="array" ref="AE26">_xlfn.XLOOKUP(B26,'Up Min'!A:A,'Up Min'!H:H,)</f>
        <v/>
      </c>
      <c r="AF26" s="42" t="str">
        <f t="array" ref="AF26">_xlfn.XLOOKUP(B26,'Up Max'!A:A,'Up Max'!H:H,)</f>
        <v/>
      </c>
      <c r="AG26" s="48" t="str">
        <f t="array" ref="AG26">_xlfn.XLOOKUP(B26,'Up Stats'!A:A,'Up Stats'!I:I,)</f>
        <v/>
      </c>
      <c r="AH26" s="40" t="str">
        <f>IFERROR(__xludf.DUMMYFUNCTION("if(AND(AI26=FALSE,AJ26=FALSE),,if(AI26=AJ26,JOIN("""",""Static: "",AI26),JOIN("""",""Min:  "",AI26, CHAR(10),""Max: "",AJ26)))"),"")</f>
        <v/>
      </c>
      <c r="AI26" s="42" t="str">
        <f t="array" ref="AI26">_xlfn.XLOOKUP(B26,'Up Min'!A:A,'Up Min'!I:I,)</f>
        <v/>
      </c>
      <c r="AJ26" s="42" t="str">
        <f t="array" ref="AJ26">_xlfn.XLOOKUP(B26,'Up Max'!A:A,'Up Max'!I:I,)</f>
        <v/>
      </c>
      <c r="AK26" s="48" t="str">
        <f t="array" ref="AK26">_xlfn.XLOOKUP(B26,'Up Stats'!A:A,'Up Stats'!J:J,)</f>
        <v/>
      </c>
      <c r="AL26" s="40" t="str">
        <f>IFERROR(__xludf.DUMMYFUNCTION("if(AND(AM26=FALSE,AN26=FALSE),,if(AM26=AN26,JOIN("""",""Static: "",AM26),JOIN("""",""Min:  "",AM26, CHAR(10),""Max: "",AN26)))"),"")</f>
        <v/>
      </c>
      <c r="AM26" s="42" t="str">
        <f t="array" ref="AM26">_xlfn.XLOOKUP(B26,'Up Min'!A:A,'Up Min'!J:J,)</f>
        <v/>
      </c>
      <c r="AN26" s="42" t="str">
        <f t="array" ref="AN26">_xlfn.XLOOKUP(B26,'Up Max'!A:A,'Up Max'!J:J,)</f>
        <v/>
      </c>
      <c r="AO26" s="34" t="str">
        <f t="array" ref="AO26">CONCATENATE(_xlfn.XLOOKUP(B26,'Up Cells'!A:A,'Up Cells'!B:B,))</f>
        <v>4</v>
      </c>
      <c r="AP26" s="34" t="str">
        <f t="array" ref="AP26">CONCATENATE(_xlfn.XLOOKUP(B26,'Up Rarity'!A:A,'Up Rarity'!B:B,),CHAR(10),"-")</f>
        <v>Rare
-</v>
      </c>
    </row>
    <row r="27">
      <c r="A27" s="83" t="str">
        <f t="array" ref="A27">_xlfn.XLOOKUP(B27,'Up Icon'!A:A,'Up Icon'!B:B,)</f>
        <v/>
      </c>
      <c r="B27" s="63" t="str">
        <f t="array" ref="B27">HYPERLINK(_xlfn.XLOOKUP('Up Names'!T25,'Up Wiki'!A:A,'Up Wiki'!B:B,),'Up Names'!T25)</f>
        <v>Panic Systems</v>
      </c>
      <c r="C27" s="52" t="str">
        <f t="array" ref="C27">_xlfn.XLOOKUP(B27,'Up Desc'!A:A,'Up Desc'!B:B,)</f>
        <v>Speed is increased when flying backward.</v>
      </c>
      <c r="D27" s="52" t="str">
        <f t="array" ref="D27">_xlfn.XLOOKUP(B27,'Up Turbo'!A:A,'Up Turbo'!B:B,)</f>
        <v>n/a</v>
      </c>
      <c r="E27" s="53" t="str">
        <f t="array" ref="E27">_xlfn.XLOOKUP(B27,'Up Stats'!A:A,'Up Stats'!B:B,)</f>
        <v>Speed</v>
      </c>
      <c r="F27" s="54" t="str">
        <f>IFERROR(__xludf.DUMMYFUNCTION("if(AND(G27=FALSE,H27=FALSE),,if(G27=H27,JOIN("""",""Static: "",G27),JOIN("""",""Min:  "",G27, CHAR(10),""Max: "",H27)))"),"Min:  20%
Max: 52%")</f>
        <v>Min:  20%
Max: 52%</v>
      </c>
      <c r="G27" s="59">
        <f t="array" ref="G27">_xlfn.XLOOKUP(B27,'Up Min'!A:A,'Up Min'!B:B,)</f>
        <v>0.2</v>
      </c>
      <c r="H27" s="59">
        <f t="array" ref="H27">_xlfn.XLOOKUP(B27,'Up Max'!A:A,'Up Max'!B:B,)</f>
        <v>0.52</v>
      </c>
      <c r="I27" s="53" t="str">
        <f t="array" ref="I27">_xlfn.XLOOKUP(B27,'Up Stats'!A:A,'Up Stats'!C:C,)</f>
        <v/>
      </c>
      <c r="J27" s="54" t="str">
        <f>IFERROR(__xludf.DUMMYFUNCTION("if(AND(K27=FALSE,L27=FALSE),,if(K27=L27,JOIN("""",""Static: "",K27),JOIN("""",""Min:  "",K27, CHAR(10),""Max: "",L27)))"),"")</f>
        <v/>
      </c>
      <c r="K27" s="72" t="str">
        <f t="array" ref="K27">_xlfn.XLOOKUP(B27,'Up Min'!A:A,'Up Min'!C:C,)</f>
        <v/>
      </c>
      <c r="L27" s="72" t="str">
        <f t="array" ref="L27">_xlfn.XLOOKUP(B27,'Up Max'!A:A,'Up Max'!C:C,)</f>
        <v/>
      </c>
      <c r="M27" s="57" t="str">
        <f t="array" ref="M27">_xlfn.XLOOKUP(B27,'Up Stats'!A:A,'Up Stats'!D:D,)</f>
        <v/>
      </c>
      <c r="N27" s="54" t="str">
        <f>IFERROR(__xludf.DUMMYFUNCTION("if(AND(O27=FALSE,P27=FALSE),,if(O27=P27,JOIN("""",""Static: "",O27),JOIN("""",""Min:  "",O27, CHAR(10),""Max: "",P27)))"),"")</f>
        <v/>
      </c>
      <c r="O27" s="55" t="str">
        <f t="array" ref="O27">_xlfn.XLOOKUP(B27,'Up Min'!A:A,'Up Min'!D:D,)</f>
        <v/>
      </c>
      <c r="P27" s="55" t="str">
        <f t="array" ref="P27">_xlfn.XLOOKUP(B27,'Up Max'!A:A,'Up Max'!D:D,)</f>
        <v/>
      </c>
      <c r="Q27" s="57" t="str">
        <f t="array" ref="Q27">_xlfn.XLOOKUP(B27,'Up Stats'!A:A,'Up Stats'!E:E,)</f>
        <v/>
      </c>
      <c r="R27" s="54" t="str">
        <f>IFERROR(__xludf.DUMMYFUNCTION("if(AND(S27=FALSE,T27=FALSE),,if(S27=T27,JOIN("""",""Static: "",S27),JOIN("""",""Min:  "",S27, CHAR(10),""Max: "",T27)))"),"")</f>
        <v/>
      </c>
      <c r="S27" s="55" t="str">
        <f t="array" ref="S27">_xlfn.XLOOKUP(B27,'Up Min'!A:A,'Up Min'!E:E,)</f>
        <v/>
      </c>
      <c r="T27" s="55" t="str">
        <f t="array" ref="T27">_xlfn.XLOOKUP(B27,'Up Max'!A:A,'Up Max'!E:E,)</f>
        <v/>
      </c>
      <c r="U27" s="57" t="str">
        <f t="array" ref="U27">_xlfn.XLOOKUP(B27,'Up Stats'!A:A,'Up Stats'!F:F,)</f>
        <v/>
      </c>
      <c r="V27" s="54" t="str">
        <f>IFERROR(__xludf.DUMMYFUNCTION("if(AND(W27=FALSE,X27=FALSE),,if(W27=X27,JOIN("""",""Static: "",W27),JOIN("""",""Min:  "",W27, CHAR(10),""Max: "",X27)))"),"")</f>
        <v/>
      </c>
      <c r="W27" s="55" t="str">
        <f t="array" ref="W27">_xlfn.XLOOKUP(B27,'Up Min'!A:A,'Up Min'!F:F,)</f>
        <v/>
      </c>
      <c r="X27" s="55" t="str">
        <f t="array" ref="X27">_xlfn.XLOOKUP(B27,'Up Max'!A:A,'Up Max'!F:F,)</f>
        <v/>
      </c>
      <c r="Y27" s="57" t="str">
        <f t="array" ref="Y27">_xlfn.XLOOKUP(B27,'Up Stats'!A:A,'Up Stats'!G:G,)</f>
        <v/>
      </c>
      <c r="Z27" s="54" t="str">
        <f>IFERROR(__xludf.DUMMYFUNCTION("if(AND(AA27=FALSE,AB27=FALSE),,if(AA27=AB27,JOIN("""",""Static: "",AA27),JOIN("""",""Min:  "",AA27, CHAR(10),""Max: "",AB27)))"),"")</f>
        <v/>
      </c>
      <c r="AA27" s="55" t="str">
        <f t="array" ref="AA27">_xlfn.XLOOKUP(B27,'Up Min'!A:A,'Up Min'!G:G,)</f>
        <v/>
      </c>
      <c r="AB27" s="55" t="str">
        <f t="array" ref="AB27">_xlfn.XLOOKUP(B27,'Up Max'!A:A,'Up Max'!G:G,)</f>
        <v/>
      </c>
      <c r="AC27" s="57" t="str">
        <f t="array" ref="AC27">_xlfn.XLOOKUP(B27,'Up Stats'!A:A,'Up Stats'!H:H,)</f>
        <v/>
      </c>
      <c r="AD27" s="54" t="str">
        <f>IFERROR(__xludf.DUMMYFUNCTION("if(AND(AE27=FALSE,AF27=FALSE),,if(AE27=AF27,JOIN("""",""Static: "",AE27),JOIN("""",""Min:  "",AE27, CHAR(10),""Max: "",AF27)))"),"")</f>
        <v/>
      </c>
      <c r="AE27" s="55" t="str">
        <f t="array" ref="AE27">_xlfn.XLOOKUP(B27,'Up Min'!A:A,'Up Min'!H:H,)</f>
        <v/>
      </c>
      <c r="AF27" s="55" t="str">
        <f t="array" ref="AF27">_xlfn.XLOOKUP(B27,'Up Max'!A:A,'Up Max'!H:H,)</f>
        <v/>
      </c>
      <c r="AG27" s="57" t="str">
        <f t="array" ref="AG27">_xlfn.XLOOKUP(B27,'Up Stats'!A:A,'Up Stats'!I:I,)</f>
        <v/>
      </c>
      <c r="AH27" s="54" t="str">
        <f>IFERROR(__xludf.DUMMYFUNCTION("if(AND(AI27=FALSE,AJ27=FALSE),,if(AI27=AJ27,JOIN("""",""Static: "",AI27),JOIN("""",""Min:  "",AI27, CHAR(10),""Max: "",AJ27)))"),"")</f>
        <v/>
      </c>
      <c r="AI27" s="55" t="str">
        <f t="array" ref="AI27">_xlfn.XLOOKUP(B27,'Up Min'!A:A,'Up Min'!I:I,)</f>
        <v/>
      </c>
      <c r="AJ27" s="55" t="str">
        <f t="array" ref="AJ27">_xlfn.XLOOKUP(B27,'Up Max'!A:A,'Up Max'!I:I,)</f>
        <v/>
      </c>
      <c r="AK27" s="57" t="str">
        <f t="array" ref="AK27">_xlfn.XLOOKUP(B27,'Up Stats'!A:A,'Up Stats'!J:J,)</f>
        <v/>
      </c>
      <c r="AL27" s="54" t="str">
        <f>IFERROR(__xludf.DUMMYFUNCTION("if(AND(AM27=FALSE,AN27=FALSE),,if(AM27=AN27,JOIN("""",""Static: "",AM27),JOIN("""",""Min:  "",AM27, CHAR(10),""Max: "",AN27)))"),"")</f>
        <v/>
      </c>
      <c r="AM27" s="55" t="str">
        <f t="array" ref="AM27">_xlfn.XLOOKUP(B27,'Up Min'!A:A,'Up Min'!J:J,)</f>
        <v/>
      </c>
      <c r="AN27" s="55" t="str">
        <f t="array" ref="AN27">_xlfn.XLOOKUP(B27,'Up Max'!A:A,'Up Max'!J:J,)</f>
        <v/>
      </c>
      <c r="AO27" s="51" t="str">
        <f t="array" ref="AO27">CONCATENATE(_xlfn.XLOOKUP(B27,'Up Cells'!A:A,'Up Cells'!B:B,))</f>
        <v>5</v>
      </c>
      <c r="AP27" s="51" t="str">
        <f t="array" ref="AP27">CONCATENATE(_xlfn.XLOOKUP(B27,'Up Rarity'!A:A,'Up Rarity'!B:B,),CHAR(10),"-")</f>
        <v>Rare
-</v>
      </c>
    </row>
    <row r="28">
      <c r="A28" s="83" t="str">
        <f t="array" ref="A28">_xlfn.XLOOKUP(B28,'Up Icon'!A:A,'Up Icon'!B:B,)</f>
        <v/>
      </c>
      <c r="B28" s="66" t="str">
        <f t="array" ref="B28">HYPERLINK(_xlfn.XLOOKUP('Up Names'!T26,'Up Wiki'!A:A,'Up Wiki'!B:B,),'Up Names'!T26)</f>
        <v>Pocket Rocket</v>
      </c>
      <c r="C28" s="37" t="str">
        <f t="array" ref="C28">_xlfn.XLOOKUP(B28,'Up Desc'!A:A,'Up Desc'!B:B,)</f>
        <v>Rocket Salvo fires an extra healing rocket that tracks to a nearby player.</v>
      </c>
      <c r="D28" s="37" t="str">
        <f t="array" ref="D28">_xlfn.XLOOKUP(B28,'Up Turbo'!A:A,'Up Turbo'!B:B,)</f>
        <v>n/a</v>
      </c>
      <c r="E28" s="48" t="str">
        <f t="array" ref="E28">_xlfn.XLOOKUP(B28,'Up Stats'!A:A,'Up Stats'!B:B,)</f>
        <v/>
      </c>
      <c r="F28" s="40" t="str">
        <f>IFERROR(__xludf.DUMMYFUNCTION("if(AND(G28=FALSE,H28=FALSE),,if(G28=H28,JOIN("""",""Static: "",G28),JOIN("""",""Min:  "",G28, CHAR(10),""Max: "",H28)))"),"")</f>
        <v/>
      </c>
      <c r="G28" s="42" t="str">
        <f t="array" ref="G28">_xlfn.XLOOKUP(B28,'Up Min'!A:A,'Up Min'!B:B,)</f>
        <v/>
      </c>
      <c r="H28" s="42" t="str">
        <f t="array" ref="H28">_xlfn.XLOOKUP(B28,'Up Max'!A:A,'Up Max'!B:B,)</f>
        <v/>
      </c>
      <c r="I28" s="48" t="str">
        <f t="array" ref="I28">_xlfn.XLOOKUP(B28,'Up Stats'!A:A,'Up Stats'!C:C,)</f>
        <v/>
      </c>
      <c r="J28" s="40" t="str">
        <f>IFERROR(__xludf.DUMMYFUNCTION("if(AND(K28=FALSE,L28=FALSE),,if(K28=L28,JOIN("""",""Static: "",K28),JOIN("""",""Min:  "",K28, CHAR(10),""Max: "",L28)))"),"")</f>
        <v/>
      </c>
      <c r="K28" s="74" t="str">
        <f t="array" ref="K28">_xlfn.XLOOKUP(B28,'Up Min'!A:A,'Up Min'!C:C,)</f>
        <v/>
      </c>
      <c r="L28" s="74" t="str">
        <f t="array" ref="L28">_xlfn.XLOOKUP(B28,'Up Max'!A:A,'Up Max'!C:C,)</f>
        <v/>
      </c>
      <c r="M28" s="48" t="str">
        <f t="array" ref="M28">_xlfn.XLOOKUP(B28,'Up Stats'!A:A,'Up Stats'!D:D,)</f>
        <v/>
      </c>
      <c r="N28" s="40" t="str">
        <f>IFERROR(__xludf.DUMMYFUNCTION("if(AND(O28=FALSE,P28=FALSE),,if(O28=P28,JOIN("""",""Static: "",O28),JOIN("""",""Min:  "",O28, CHAR(10),""Max: "",P28)))"),"")</f>
        <v/>
      </c>
      <c r="O28" s="42" t="str">
        <f t="array" ref="O28">_xlfn.XLOOKUP(B28,'Up Min'!A:A,'Up Min'!D:D,)</f>
        <v/>
      </c>
      <c r="P28" s="42" t="str">
        <f t="array" ref="P28">_xlfn.XLOOKUP(B28,'Up Max'!A:A,'Up Max'!D:D,)</f>
        <v/>
      </c>
      <c r="Q28" s="48" t="str">
        <f t="array" ref="Q28">_xlfn.XLOOKUP(B28,'Up Stats'!A:A,'Up Stats'!E:E,)</f>
        <v/>
      </c>
      <c r="R28" s="40" t="str">
        <f>IFERROR(__xludf.DUMMYFUNCTION("if(AND(S28=FALSE,T28=FALSE),,if(S28=T28,JOIN("""",""Static: "",S28),JOIN("""",""Min:  "",S28, CHAR(10),""Max: "",T28)))"),"")</f>
        <v/>
      </c>
      <c r="S28" s="42" t="str">
        <f t="array" ref="S28">_xlfn.XLOOKUP(B28,'Up Min'!A:A,'Up Min'!E:E,)</f>
        <v/>
      </c>
      <c r="T28" s="42" t="str">
        <f t="array" ref="T28">_xlfn.XLOOKUP(B28,'Up Max'!A:A,'Up Max'!E:E,)</f>
        <v/>
      </c>
      <c r="U28" s="48" t="str">
        <f t="array" ref="U28">_xlfn.XLOOKUP(B28,'Up Stats'!A:A,'Up Stats'!F:F,)</f>
        <v/>
      </c>
      <c r="V28" s="40" t="str">
        <f>IFERROR(__xludf.DUMMYFUNCTION("if(AND(W28=FALSE,X28=FALSE),,if(W28=X28,JOIN("""",""Static: "",W28),JOIN("""",""Min:  "",W28, CHAR(10),""Max: "",X28)))"),"")</f>
        <v/>
      </c>
      <c r="W28" s="42" t="str">
        <f t="array" ref="W28">_xlfn.XLOOKUP(B28,'Up Min'!A:A,'Up Min'!F:F,)</f>
        <v/>
      </c>
      <c r="X28" s="42" t="str">
        <f t="array" ref="X28">_xlfn.XLOOKUP(B28,'Up Max'!A:A,'Up Max'!F:F,)</f>
        <v/>
      </c>
      <c r="Y28" s="48" t="str">
        <f t="array" ref="Y28">_xlfn.XLOOKUP(B28,'Up Stats'!A:A,'Up Stats'!G:G,)</f>
        <v/>
      </c>
      <c r="Z28" s="40" t="str">
        <f>IFERROR(__xludf.DUMMYFUNCTION("if(AND(AA28=FALSE,AB28=FALSE),,if(AA28=AB28,JOIN("""",""Static: "",AA28),JOIN("""",""Min:  "",AA28, CHAR(10),""Max: "",AB28)))"),"")</f>
        <v/>
      </c>
      <c r="AA28" s="42" t="str">
        <f t="array" ref="AA28">_xlfn.XLOOKUP(B28,'Up Min'!A:A,'Up Min'!G:G,)</f>
        <v/>
      </c>
      <c r="AB28" s="42" t="str">
        <f t="array" ref="AB28">_xlfn.XLOOKUP(B28,'Up Max'!A:A,'Up Max'!G:G,)</f>
        <v/>
      </c>
      <c r="AC28" s="48" t="str">
        <f t="array" ref="AC28">_xlfn.XLOOKUP(B28,'Up Stats'!A:A,'Up Stats'!H:H,)</f>
        <v/>
      </c>
      <c r="AD28" s="40" t="str">
        <f>IFERROR(__xludf.DUMMYFUNCTION("if(AND(AE28=FALSE,AF28=FALSE),,if(AE28=AF28,JOIN("""",""Static: "",AE28),JOIN("""",""Min:  "",AE28, CHAR(10),""Max: "",AF28)))"),"")</f>
        <v/>
      </c>
      <c r="AE28" s="42" t="str">
        <f t="array" ref="AE28">_xlfn.XLOOKUP(B28,'Up Min'!A:A,'Up Min'!H:H,)</f>
        <v/>
      </c>
      <c r="AF28" s="42" t="str">
        <f t="array" ref="AF28">_xlfn.XLOOKUP(B28,'Up Max'!A:A,'Up Max'!H:H,)</f>
        <v/>
      </c>
      <c r="AG28" s="48" t="str">
        <f t="array" ref="AG28">_xlfn.XLOOKUP(B28,'Up Stats'!A:A,'Up Stats'!I:I,)</f>
        <v/>
      </c>
      <c r="AH28" s="40" t="str">
        <f>IFERROR(__xludf.DUMMYFUNCTION("if(AND(AI28=FALSE,AJ28=FALSE),,if(AI28=AJ28,JOIN("""",""Static: "",AI28),JOIN("""",""Min:  "",AI28, CHAR(10),""Max: "",AJ28)))"),"")</f>
        <v/>
      </c>
      <c r="AI28" s="42" t="str">
        <f t="array" ref="AI28">_xlfn.XLOOKUP(B28,'Up Min'!A:A,'Up Min'!I:I,)</f>
        <v/>
      </c>
      <c r="AJ28" s="42" t="str">
        <f t="array" ref="AJ28">_xlfn.XLOOKUP(B28,'Up Max'!A:A,'Up Max'!I:I,)</f>
        <v/>
      </c>
      <c r="AK28" s="48" t="str">
        <f t="array" ref="AK28">_xlfn.XLOOKUP(B28,'Up Stats'!A:A,'Up Stats'!J:J,)</f>
        <v/>
      </c>
      <c r="AL28" s="40" t="str">
        <f>IFERROR(__xludf.DUMMYFUNCTION("if(AND(AM28=FALSE,AN28=FALSE),,if(AM28=AN28,JOIN("""",""Static: "",AM28),JOIN("""",""Min:  "",AM28, CHAR(10),""Max: "",AN28)))"),"")</f>
        <v/>
      </c>
      <c r="AM28" s="42" t="str">
        <f t="array" ref="AM28">_xlfn.XLOOKUP(B28,'Up Min'!A:A,'Up Min'!J:J,)</f>
        <v/>
      </c>
      <c r="AN28" s="42" t="str">
        <f t="array" ref="AN28">_xlfn.XLOOKUP(B28,'Up Max'!A:A,'Up Max'!J:J,)</f>
        <v/>
      </c>
      <c r="AO28" s="34" t="str">
        <f t="array" ref="AO28">CONCATENATE(_xlfn.XLOOKUP(B28,'Up Cells'!A:A,'Up Cells'!B:B,))</f>
        <v>4</v>
      </c>
      <c r="AP28" s="34" t="str">
        <f t="array" ref="AP28">CONCATENATE(_xlfn.XLOOKUP(B28,'Up Rarity'!A:A,'Up Rarity'!B:B,),CHAR(10),"-")</f>
        <v>Rare
-</v>
      </c>
    </row>
    <row r="29">
      <c r="A29" s="83" t="str">
        <f t="array" ref="A29">_xlfn.XLOOKUP(B29,'Up Icon'!A:A,'Up Icon'!B:B,)</f>
        <v/>
      </c>
      <c r="B29" s="63" t="str">
        <f t="array" ref="B29">HYPERLINK(_xlfn.XLOOKUP('Up Names'!T27,'Up Wiki'!A:A,'Up Wiki'!B:B,),'Up Names'!T27)</f>
        <v>Point Detonators</v>
      </c>
      <c r="C29" s="52" t="str">
        <f t="array" ref="C29">_xlfn.XLOOKUP(B29,'Up Desc'!A:A,'Up Desc'!B:B,)</f>
        <v>Salvo rockets deal increased damage but no longer explode.</v>
      </c>
      <c r="D29" s="52" t="str">
        <f t="array" ref="D29">_xlfn.XLOOKUP(B29,'Up Turbo'!A:A,'Up Turbo'!B:B,)</f>
        <v>n/a</v>
      </c>
      <c r="E29" s="53" t="str">
        <f t="array" ref="E29">_xlfn.XLOOKUP(B29,'Up Stats'!A:A,'Up Stats'!B:B,)</f>
        <v>Damage</v>
      </c>
      <c r="F29" s="54" t="str">
        <f>IFERROR(__xludf.DUMMYFUNCTION("if(AND(G29=FALSE,H29=FALSE),,if(G29=H29,JOIN("""",""Static: "",G29),JOIN("""",""Min:  "",G29, CHAR(10),""Max: "",H29)))"),"Min:  320%
Max: 420%")</f>
        <v>Min:  320%
Max: 420%</v>
      </c>
      <c r="G29" s="59">
        <f t="array" ref="G29">_xlfn.XLOOKUP(B29,'Up Min'!A:A,'Up Min'!B:B,)</f>
        <v>3.2</v>
      </c>
      <c r="H29" s="59">
        <f t="array" ref="H29">_xlfn.XLOOKUP(B29,'Up Max'!A:A,'Up Max'!B:B,)</f>
        <v>4.2</v>
      </c>
      <c r="I29" s="53" t="str">
        <f t="array" ref="I29">_xlfn.XLOOKUP(B29,'Up Stats'!A:A,'Up Stats'!C:C,)</f>
        <v>Explosion Size</v>
      </c>
      <c r="J29" s="54" t="str">
        <f>IFERROR(__xludf.DUMMYFUNCTION("if(AND(K29=FALSE,L29=FALSE),,if(K29=L29,JOIN("""",""Static: "",K29),JOIN("""",""Min:  "",K29, CHAR(10),""Max: "",L29)))"),"Static: 0")</f>
        <v>Static: 0</v>
      </c>
      <c r="K29" s="65">
        <f t="array" ref="K29">_xlfn.XLOOKUP(B29,'Up Min'!A:A,'Up Min'!C:C,)</f>
        <v>0</v>
      </c>
      <c r="L29" s="64">
        <f t="array" ref="L29">_xlfn.XLOOKUP(B29,'Up Max'!A:A,'Up Max'!C:C,)</f>
        <v>0</v>
      </c>
      <c r="M29" s="53" t="str">
        <f t="array" ref="M29">_xlfn.XLOOKUP(B29,'Up Stats'!A:A,'Up Stats'!D:D,)</f>
        <v/>
      </c>
      <c r="N29" s="54" t="str">
        <f>IFERROR(__xludf.DUMMYFUNCTION("if(AND(O29=FALSE,P29=FALSE),,if(O29=P29,JOIN("""",""Static: "",O29),JOIN("""",""Min:  "",O29, CHAR(10),""Max: "",P29)))"),"")</f>
        <v/>
      </c>
      <c r="O29" s="55" t="str">
        <f t="array" ref="O29">_xlfn.XLOOKUP(B29,'Up Min'!A:A,'Up Min'!D:D,)</f>
        <v/>
      </c>
      <c r="P29" s="55" t="str">
        <f t="array" ref="P29">_xlfn.XLOOKUP(B29,'Up Max'!A:A,'Up Max'!D:D,)</f>
        <v/>
      </c>
      <c r="Q29" s="57" t="str">
        <f t="array" ref="Q29">_xlfn.XLOOKUP(B29,'Up Stats'!A:A,'Up Stats'!E:E,)</f>
        <v/>
      </c>
      <c r="R29" s="54" t="str">
        <f>IFERROR(__xludf.DUMMYFUNCTION("if(AND(S29=FALSE,T29=FALSE),,if(S29=T29,JOIN("""",""Static: "",S29),JOIN("""",""Min:  "",S29, CHAR(10),""Max: "",T29)))"),"")</f>
        <v/>
      </c>
      <c r="S29" s="55" t="str">
        <f t="array" ref="S29">_xlfn.XLOOKUP(B29,'Up Min'!A:A,'Up Min'!E:E,)</f>
        <v/>
      </c>
      <c r="T29" s="55" t="str">
        <f t="array" ref="T29">_xlfn.XLOOKUP(B29,'Up Max'!A:A,'Up Max'!E:E,)</f>
        <v/>
      </c>
      <c r="U29" s="57" t="str">
        <f t="array" ref="U29">_xlfn.XLOOKUP(B29,'Up Stats'!A:A,'Up Stats'!F:F,)</f>
        <v/>
      </c>
      <c r="V29" s="54" t="str">
        <f>IFERROR(__xludf.DUMMYFUNCTION("if(AND(W29=FALSE,X29=FALSE),,if(W29=X29,JOIN("""",""Static: "",W29),JOIN("""",""Min:  "",W29, CHAR(10),""Max: "",X29)))"),"")</f>
        <v/>
      </c>
      <c r="W29" s="55" t="str">
        <f t="array" ref="W29">_xlfn.XLOOKUP(B29,'Up Min'!A:A,'Up Min'!F:F,)</f>
        <v/>
      </c>
      <c r="X29" s="55" t="str">
        <f t="array" ref="X29">_xlfn.XLOOKUP(B29,'Up Max'!A:A,'Up Max'!F:F,)</f>
        <v/>
      </c>
      <c r="Y29" s="57" t="str">
        <f t="array" ref="Y29">_xlfn.XLOOKUP(B29,'Up Stats'!A:A,'Up Stats'!G:G,)</f>
        <v/>
      </c>
      <c r="Z29" s="54" t="str">
        <f>IFERROR(__xludf.DUMMYFUNCTION("if(AND(AA29=FALSE,AB29=FALSE),,if(AA29=AB29,JOIN("""",""Static: "",AA29),JOIN("""",""Min:  "",AA29, CHAR(10),""Max: "",AB29)))"),"")</f>
        <v/>
      </c>
      <c r="AA29" s="55" t="str">
        <f t="array" ref="AA29">_xlfn.XLOOKUP(B29,'Up Min'!A:A,'Up Min'!G:G,)</f>
        <v/>
      </c>
      <c r="AB29" s="55" t="str">
        <f t="array" ref="AB29">_xlfn.XLOOKUP(B29,'Up Max'!A:A,'Up Max'!G:G,)</f>
        <v/>
      </c>
      <c r="AC29" s="57" t="str">
        <f t="array" ref="AC29">_xlfn.XLOOKUP(B29,'Up Stats'!A:A,'Up Stats'!H:H,)</f>
        <v/>
      </c>
      <c r="AD29" s="54" t="str">
        <f>IFERROR(__xludf.DUMMYFUNCTION("if(AND(AE29=FALSE,AF29=FALSE),,if(AE29=AF29,JOIN("""",""Static: "",AE29),JOIN("""",""Min:  "",AE29, CHAR(10),""Max: "",AF29)))"),"")</f>
        <v/>
      </c>
      <c r="AE29" s="55" t="str">
        <f t="array" ref="AE29">_xlfn.XLOOKUP(B29,'Up Min'!A:A,'Up Min'!H:H,)</f>
        <v/>
      </c>
      <c r="AF29" s="55" t="str">
        <f t="array" ref="AF29">_xlfn.XLOOKUP(B29,'Up Max'!A:A,'Up Max'!H:H,)</f>
        <v/>
      </c>
      <c r="AG29" s="57" t="str">
        <f t="array" ref="AG29">_xlfn.XLOOKUP(B29,'Up Stats'!A:A,'Up Stats'!I:I,)</f>
        <v/>
      </c>
      <c r="AH29" s="54" t="str">
        <f>IFERROR(__xludf.DUMMYFUNCTION("if(AND(AI29=FALSE,AJ29=FALSE),,if(AI29=AJ29,JOIN("""",""Static: "",AI29),JOIN("""",""Min:  "",AI29, CHAR(10),""Max: "",AJ29)))"),"")</f>
        <v/>
      </c>
      <c r="AI29" s="55" t="str">
        <f t="array" ref="AI29">_xlfn.XLOOKUP(B29,'Up Min'!A:A,'Up Min'!I:I,)</f>
        <v/>
      </c>
      <c r="AJ29" s="55" t="str">
        <f t="array" ref="AJ29">_xlfn.XLOOKUP(B29,'Up Max'!A:A,'Up Max'!I:I,)</f>
        <v/>
      </c>
      <c r="AK29" s="57" t="str">
        <f t="array" ref="AK29">_xlfn.XLOOKUP(B29,'Up Stats'!A:A,'Up Stats'!J:J,)</f>
        <v/>
      </c>
      <c r="AL29" s="54" t="str">
        <f>IFERROR(__xludf.DUMMYFUNCTION("if(AND(AM29=FALSE,AN29=FALSE),,if(AM29=AN29,JOIN("""",""Static: "",AM29),JOIN("""",""Min:  "",AM29, CHAR(10),""Max: "",AN29)))"),"")</f>
        <v/>
      </c>
      <c r="AM29" s="55" t="str">
        <f t="array" ref="AM29">_xlfn.XLOOKUP(B29,'Up Min'!A:A,'Up Min'!J:J,)</f>
        <v/>
      </c>
      <c r="AN29" s="55" t="str">
        <f t="array" ref="AN29">_xlfn.XLOOKUP(B29,'Up Max'!A:A,'Up Max'!J:J,)</f>
        <v/>
      </c>
      <c r="AO29" s="51" t="str">
        <f t="array" ref="AO29">CONCATENATE(_xlfn.XLOOKUP(B29,'Up Cells'!A:A,'Up Cells'!B:B,))</f>
        <v>4</v>
      </c>
      <c r="AP29" s="51" t="str">
        <f t="array" ref="AP29">CONCATENATE(_xlfn.XLOOKUP(B29,'Up Rarity'!A:A,'Up Rarity'!B:B,),CHAR(10),"-")</f>
        <v>Rare
-</v>
      </c>
    </row>
    <row r="30">
      <c r="A30" s="83" t="str">
        <f t="array" ref="A30">_xlfn.XLOOKUP(B30,'Up Icon'!A:A,'Up Icon'!B:B,)</f>
        <v/>
      </c>
      <c r="B30" s="66" t="str">
        <f t="array" ref="B30">HYPERLINK(_xlfn.XLOOKUP('Up Names'!T28,'Up Wiki'!A:A,'Up Wiki'!B:B,),'Up Names'!T28)</f>
        <v>Proprietary Packing Algorithm</v>
      </c>
      <c r="C30" s="37" t="str">
        <f t="array" ref="C30">_xlfn.XLOOKUP(B30,'Up Desc'!A:A,'Up Desc'!B:B,)</f>
        <v>Fire more rockets that deal reduced damage.</v>
      </c>
      <c r="D30" s="37" t="str">
        <f t="array" ref="D30">_xlfn.XLOOKUP(B30,'Up Turbo'!A:A,'Up Turbo'!B:B,)</f>
        <v>n/a</v>
      </c>
      <c r="E30" s="39" t="str">
        <f t="array" ref="E30">_xlfn.XLOOKUP(B30,'Up Stats'!A:A,'Up Stats'!B:B,)</f>
        <v>Salvo Target Locks</v>
      </c>
      <c r="F30" s="40" t="str">
        <f>IFERROR(__xludf.DUMMYFUNCTION("if(AND(G30=FALSE,H30=FALSE),,if(G30=H30,JOIN("""",""Static: "",G30),JOIN("""",""Min:  "",G30, CHAR(10),""Max: "",H30)))"),"Static: 3")</f>
        <v>Static: 3</v>
      </c>
      <c r="G30" s="69">
        <f t="array" ref="G30">_xlfn.XLOOKUP(B30,'Up Min'!A:A,'Up Min'!B:B,)</f>
        <v>3</v>
      </c>
      <c r="H30" s="68">
        <f t="array" ref="H30">_xlfn.XLOOKUP(B30,'Up Max'!A:A,'Up Max'!B:B,)</f>
        <v>3</v>
      </c>
      <c r="I30" s="39" t="str">
        <f t="array" ref="I30">_xlfn.XLOOKUP(B30,'Up Stats'!A:A,'Up Stats'!C:C,)</f>
        <v>Damage</v>
      </c>
      <c r="J30" s="40" t="str">
        <f>IFERROR(__xludf.DUMMYFUNCTION("if(AND(K30=FALSE,L30=FALSE),,if(K30=L30,JOIN("""",""Static: "",K30),JOIN("""",""Min:  "",K30, CHAR(10),""Max: "",L30)))"),"Min:  -70%
Max: -42%")</f>
        <v>Min:  -70%
Max: -42%</v>
      </c>
      <c r="K30" s="41">
        <f t="array" ref="K30">_xlfn.XLOOKUP(B30,'Up Min'!A:A,'Up Min'!C:C,)</f>
        <v>-0.7</v>
      </c>
      <c r="L30" s="41">
        <f t="array" ref="L30">_xlfn.XLOOKUP(B30,'Up Max'!A:A,'Up Max'!C:C,)</f>
        <v>-0.42</v>
      </c>
      <c r="M30" s="39" t="str">
        <f t="array" ref="M30">_xlfn.XLOOKUP(B30,'Up Stats'!A:A,'Up Stats'!D:D,)</f>
        <v/>
      </c>
      <c r="N30" s="40" t="str">
        <f>IFERROR(__xludf.DUMMYFUNCTION("if(AND(O30=FALSE,P30=FALSE),,if(O30=P30,JOIN("""",""Static: "",O30),JOIN("""",""Min:  "",O30, CHAR(10),""Max: "",P30)))"),"")</f>
        <v/>
      </c>
      <c r="O30" s="42" t="str">
        <f t="array" ref="O30">_xlfn.XLOOKUP(B30,'Up Min'!A:A,'Up Min'!D:D,)</f>
        <v/>
      </c>
      <c r="P30" s="42" t="str">
        <f t="array" ref="P30">_xlfn.XLOOKUP(B30,'Up Max'!A:A,'Up Max'!D:D,)</f>
        <v/>
      </c>
      <c r="Q30" s="48" t="str">
        <f t="array" ref="Q30">_xlfn.XLOOKUP(B30,'Up Stats'!A:A,'Up Stats'!E:E,)</f>
        <v/>
      </c>
      <c r="R30" s="40" t="str">
        <f>IFERROR(__xludf.DUMMYFUNCTION("if(AND(S30=FALSE,T30=FALSE),,if(S30=T30,JOIN("""",""Static: "",S30),JOIN("""",""Min:  "",S30, CHAR(10),""Max: "",T30)))"),"")</f>
        <v/>
      </c>
      <c r="S30" s="42" t="str">
        <f t="array" ref="S30">_xlfn.XLOOKUP(B30,'Up Min'!A:A,'Up Min'!E:E,)</f>
        <v/>
      </c>
      <c r="T30" s="42" t="str">
        <f t="array" ref="T30">_xlfn.XLOOKUP(B30,'Up Max'!A:A,'Up Max'!E:E,)</f>
        <v/>
      </c>
      <c r="U30" s="48" t="str">
        <f t="array" ref="U30">_xlfn.XLOOKUP(B30,'Up Stats'!A:A,'Up Stats'!F:F,)</f>
        <v/>
      </c>
      <c r="V30" s="40" t="str">
        <f>IFERROR(__xludf.DUMMYFUNCTION("if(AND(W30=FALSE,X30=FALSE),,if(W30=X30,JOIN("""",""Static: "",W30),JOIN("""",""Min:  "",W30, CHAR(10),""Max: "",X30)))"),"")</f>
        <v/>
      </c>
      <c r="W30" s="42" t="str">
        <f t="array" ref="W30">_xlfn.XLOOKUP(B30,'Up Min'!A:A,'Up Min'!F:F,)</f>
        <v/>
      </c>
      <c r="X30" s="42" t="str">
        <f t="array" ref="X30">_xlfn.XLOOKUP(B30,'Up Max'!A:A,'Up Max'!F:F,)</f>
        <v/>
      </c>
      <c r="Y30" s="48" t="str">
        <f t="array" ref="Y30">_xlfn.XLOOKUP(B30,'Up Stats'!A:A,'Up Stats'!G:G,)</f>
        <v/>
      </c>
      <c r="Z30" s="40" t="str">
        <f>IFERROR(__xludf.DUMMYFUNCTION("if(AND(AA30=FALSE,AB30=FALSE),,if(AA30=AB30,JOIN("""",""Static: "",AA30),JOIN("""",""Min:  "",AA30, CHAR(10),""Max: "",AB30)))"),"")</f>
        <v/>
      </c>
      <c r="AA30" s="42" t="str">
        <f t="array" ref="AA30">_xlfn.XLOOKUP(B30,'Up Min'!A:A,'Up Min'!G:G,)</f>
        <v/>
      </c>
      <c r="AB30" s="42" t="str">
        <f t="array" ref="AB30">_xlfn.XLOOKUP(B30,'Up Max'!A:A,'Up Max'!G:G,)</f>
        <v/>
      </c>
      <c r="AC30" s="48" t="str">
        <f t="array" ref="AC30">_xlfn.XLOOKUP(B30,'Up Stats'!A:A,'Up Stats'!H:H,)</f>
        <v/>
      </c>
      <c r="AD30" s="40" t="str">
        <f>IFERROR(__xludf.DUMMYFUNCTION("if(AND(AE30=FALSE,AF30=FALSE),,if(AE30=AF30,JOIN("""",""Static: "",AE30),JOIN("""",""Min:  "",AE30, CHAR(10),""Max: "",AF30)))"),"")</f>
        <v/>
      </c>
      <c r="AE30" s="42" t="str">
        <f t="array" ref="AE30">_xlfn.XLOOKUP(B30,'Up Min'!A:A,'Up Min'!H:H,)</f>
        <v/>
      </c>
      <c r="AF30" s="42" t="str">
        <f t="array" ref="AF30">_xlfn.XLOOKUP(B30,'Up Max'!A:A,'Up Max'!H:H,)</f>
        <v/>
      </c>
      <c r="AG30" s="48" t="str">
        <f t="array" ref="AG30">_xlfn.XLOOKUP(B30,'Up Stats'!A:A,'Up Stats'!I:I,)</f>
        <v/>
      </c>
      <c r="AH30" s="40" t="str">
        <f>IFERROR(__xludf.DUMMYFUNCTION("if(AND(AI30=FALSE,AJ30=FALSE),,if(AI30=AJ30,JOIN("""",""Static: "",AI30),JOIN("""",""Min:  "",AI30, CHAR(10),""Max: "",AJ30)))"),"")</f>
        <v/>
      </c>
      <c r="AI30" s="42" t="str">
        <f t="array" ref="AI30">_xlfn.XLOOKUP(B30,'Up Min'!A:A,'Up Min'!I:I,)</f>
        <v/>
      </c>
      <c r="AJ30" s="42" t="str">
        <f t="array" ref="AJ30">_xlfn.XLOOKUP(B30,'Up Max'!A:A,'Up Max'!I:I,)</f>
        <v/>
      </c>
      <c r="AK30" s="48" t="str">
        <f t="array" ref="AK30">_xlfn.XLOOKUP(B30,'Up Stats'!A:A,'Up Stats'!J:J,)</f>
        <v/>
      </c>
      <c r="AL30" s="40" t="str">
        <f>IFERROR(__xludf.DUMMYFUNCTION("if(AND(AM30=FALSE,AN30=FALSE),,if(AM30=AN30,JOIN("""",""Static: "",AM30),JOIN("""",""Min:  "",AM30, CHAR(10),""Max: "",AN30)))"),"")</f>
        <v/>
      </c>
      <c r="AM30" s="42" t="str">
        <f t="array" ref="AM30">_xlfn.XLOOKUP(B30,'Up Min'!A:A,'Up Min'!J:J,)</f>
        <v/>
      </c>
      <c r="AN30" s="42" t="str">
        <f t="array" ref="AN30">_xlfn.XLOOKUP(B30,'Up Max'!A:A,'Up Max'!J:J,)</f>
        <v/>
      </c>
      <c r="AO30" s="34" t="str">
        <f t="array" ref="AO30">CONCATENATE(_xlfn.XLOOKUP(B30,'Up Cells'!A:A,'Up Cells'!B:B,))</f>
        <v>6</v>
      </c>
      <c r="AP30" s="34" t="str">
        <f t="array" ref="AP30">CONCATENATE(_xlfn.XLOOKUP(B30,'Up Rarity'!A:A,'Up Rarity'!B:B,),CHAR(10),"-")</f>
        <v>Rare
-</v>
      </c>
    </row>
    <row r="31">
      <c r="A31" s="83" t="str">
        <f t="array" ref="A31">_xlfn.XLOOKUP(B31,'Up Icon'!A:A,'Up Icon'!B:B,)</f>
        <v/>
      </c>
      <c r="B31" s="63" t="str">
        <f t="array" ref="B31">HYPERLINK(_xlfn.XLOOKUP('Up Names'!T29,'Up Wiki'!A:A,'Up Wiki'!B:B,),'Up Names'!T29)</f>
        <v>Weight Reduction</v>
      </c>
      <c r="C31" s="52" t="str">
        <f t="array" ref="C31">_xlfn.XLOOKUP(B31,'Up Desc'!A:A,'Up Desc'!B:B,)</f>
        <v>Fly speed is increased, but so is your Rocket Salvo's cooldown.</v>
      </c>
      <c r="D31" s="52" t="str">
        <f t="array" ref="D31">_xlfn.XLOOKUP(B31,'Up Turbo'!A:A,'Up Turbo'!B:B,)</f>
        <v>n/a</v>
      </c>
      <c r="E31" s="53" t="str">
        <f t="array" ref="E31">_xlfn.XLOOKUP(B31,'Up Stats'!A:A,'Up Stats'!B:B,)</f>
        <v>Fly Speed</v>
      </c>
      <c r="F31" s="54" t="str">
        <f>IFERROR(__xludf.DUMMYFUNCTION("if(AND(G31=FALSE,H31=FALSE),,if(G31=H31,JOIN("""",""Static: "",G31),JOIN("""",""Min:  "",G31, CHAR(10),""Max: "",H31)))"),"Min:  23%
Max: 45%")</f>
        <v>Min:  23%
Max: 45%</v>
      </c>
      <c r="G31" s="59">
        <f t="array" ref="G31">_xlfn.XLOOKUP(B31,'Up Min'!A:A,'Up Min'!B:B,)</f>
        <v>0.23</v>
      </c>
      <c r="H31" s="59">
        <f t="array" ref="H31">_xlfn.XLOOKUP(B31,'Up Max'!A:A,'Up Max'!B:B,)</f>
        <v>0.45</v>
      </c>
      <c r="I31" s="53" t="str">
        <f t="array" ref="I31">_xlfn.XLOOKUP(B31,'Up Stats'!A:A,'Up Stats'!C:C,)</f>
        <v>Recharge Speed</v>
      </c>
      <c r="J31" s="54" t="str">
        <f>IFERROR(__xludf.DUMMYFUNCTION("if(AND(K31=FALSE,L31=FALSE),,if(K31=L31,JOIN("""",""Static: "",K31),JOIN("""",""Min:  "",K31, CHAR(10),""Max: "",L31)))"),"Min:  -22.48%
Max: -29.58%")</f>
        <v>Min:  -22.48%
Max: -29.58%</v>
      </c>
      <c r="K31" s="71">
        <f t="array" ref="K31">_xlfn.XLOOKUP(B31,'Up Min'!A:A,'Up Min'!C:C,)</f>
        <v>-0.2248</v>
      </c>
      <c r="L31" s="71">
        <f t="array" ref="L31">_xlfn.XLOOKUP(B31,'Up Max'!A:A,'Up Max'!C:C,)</f>
        <v>-0.2958</v>
      </c>
      <c r="M31" s="53" t="str">
        <f t="array" ref="M31">_xlfn.XLOOKUP(B31,'Up Stats'!A:A,'Up Stats'!D:D,)</f>
        <v/>
      </c>
      <c r="N31" s="54" t="str">
        <f>IFERROR(__xludf.DUMMYFUNCTION("if(AND(O31=FALSE,P31=FALSE),,if(O31=P31,JOIN("""",""Static: "",O31),JOIN("""",""Min:  "",O31, CHAR(10),""Max: "",P31)))"),"")</f>
        <v/>
      </c>
      <c r="O31" s="55" t="str">
        <f t="array" ref="O31">_xlfn.XLOOKUP(B31,'Up Min'!A:A,'Up Min'!D:D,)</f>
        <v/>
      </c>
      <c r="P31" s="55" t="str">
        <f t="array" ref="P31">_xlfn.XLOOKUP(B31,'Up Max'!A:A,'Up Max'!D:D,)</f>
        <v/>
      </c>
      <c r="Q31" s="57" t="str">
        <f t="array" ref="Q31">_xlfn.XLOOKUP(B31,'Up Stats'!A:A,'Up Stats'!E:E,)</f>
        <v/>
      </c>
      <c r="R31" s="54" t="str">
        <f>IFERROR(__xludf.DUMMYFUNCTION("if(AND(S31=FALSE,T31=FALSE),,if(S31=T31,JOIN("""",""Static: "",S31),JOIN("""",""Min:  "",S31, CHAR(10),""Max: "",T31)))"),"")</f>
        <v/>
      </c>
      <c r="S31" s="55" t="str">
        <f t="array" ref="S31">_xlfn.XLOOKUP(B31,'Up Min'!A:A,'Up Min'!E:E,)</f>
        <v/>
      </c>
      <c r="T31" s="55" t="str">
        <f t="array" ref="T31">_xlfn.XLOOKUP(B31,'Up Max'!A:A,'Up Max'!E:E,)</f>
        <v/>
      </c>
      <c r="U31" s="57" t="str">
        <f t="array" ref="U31">_xlfn.XLOOKUP(B31,'Up Stats'!A:A,'Up Stats'!F:F,)</f>
        <v/>
      </c>
      <c r="V31" s="54" t="str">
        <f>IFERROR(__xludf.DUMMYFUNCTION("if(AND(W31=FALSE,X31=FALSE),,if(W31=X31,JOIN("""",""Static: "",W31),JOIN("""",""Min:  "",W31, CHAR(10),""Max: "",X31)))"),"")</f>
        <v/>
      </c>
      <c r="W31" s="55" t="str">
        <f t="array" ref="W31">_xlfn.XLOOKUP(B31,'Up Min'!A:A,'Up Min'!F:F,)</f>
        <v/>
      </c>
      <c r="X31" s="55" t="str">
        <f t="array" ref="X31">_xlfn.XLOOKUP(B31,'Up Max'!A:A,'Up Max'!F:F,)</f>
        <v/>
      </c>
      <c r="Y31" s="57" t="str">
        <f t="array" ref="Y31">_xlfn.XLOOKUP(B31,'Up Stats'!A:A,'Up Stats'!G:G,)</f>
        <v/>
      </c>
      <c r="Z31" s="54" t="str">
        <f>IFERROR(__xludf.DUMMYFUNCTION("if(AND(AA31=FALSE,AB31=FALSE),,if(AA31=AB31,JOIN("""",""Static: "",AA31),JOIN("""",""Min:  "",AA31, CHAR(10),""Max: "",AB31)))"),"")</f>
        <v/>
      </c>
      <c r="AA31" s="55" t="str">
        <f t="array" ref="AA31">_xlfn.XLOOKUP(B31,'Up Min'!A:A,'Up Min'!G:G,)</f>
        <v/>
      </c>
      <c r="AB31" s="55" t="str">
        <f t="array" ref="AB31">_xlfn.XLOOKUP(B31,'Up Max'!A:A,'Up Max'!G:G,)</f>
        <v/>
      </c>
      <c r="AC31" s="57" t="str">
        <f t="array" ref="AC31">_xlfn.XLOOKUP(B31,'Up Stats'!A:A,'Up Stats'!H:H,)</f>
        <v/>
      </c>
      <c r="AD31" s="54" t="str">
        <f>IFERROR(__xludf.DUMMYFUNCTION("if(AND(AE31=FALSE,AF31=FALSE),,if(AE31=AF31,JOIN("""",""Static: "",AE31),JOIN("""",""Min:  "",AE31, CHAR(10),""Max: "",AF31)))"),"")</f>
        <v/>
      </c>
      <c r="AE31" s="55" t="str">
        <f t="array" ref="AE31">_xlfn.XLOOKUP(B31,'Up Min'!A:A,'Up Min'!H:H,)</f>
        <v/>
      </c>
      <c r="AF31" s="55" t="str">
        <f t="array" ref="AF31">_xlfn.XLOOKUP(B31,'Up Max'!A:A,'Up Max'!H:H,)</f>
        <v/>
      </c>
      <c r="AG31" s="57" t="str">
        <f t="array" ref="AG31">_xlfn.XLOOKUP(B31,'Up Stats'!A:A,'Up Stats'!I:I,)</f>
        <v/>
      </c>
      <c r="AH31" s="54" t="str">
        <f>IFERROR(__xludf.DUMMYFUNCTION("if(AND(AI31=FALSE,AJ31=FALSE),,if(AI31=AJ31,JOIN("""",""Static: "",AI31),JOIN("""",""Min:  "",AI31, CHAR(10),""Max: "",AJ31)))"),"")</f>
        <v/>
      </c>
      <c r="AI31" s="55" t="str">
        <f t="array" ref="AI31">_xlfn.XLOOKUP(B31,'Up Min'!A:A,'Up Min'!I:I,)</f>
        <v/>
      </c>
      <c r="AJ31" s="55" t="str">
        <f t="array" ref="AJ31">_xlfn.XLOOKUP(B31,'Up Max'!A:A,'Up Max'!I:I,)</f>
        <v/>
      </c>
      <c r="AK31" s="57" t="str">
        <f t="array" ref="AK31">_xlfn.XLOOKUP(B31,'Up Stats'!A:A,'Up Stats'!J:J,)</f>
        <v/>
      </c>
      <c r="AL31" s="54" t="str">
        <f>IFERROR(__xludf.DUMMYFUNCTION("if(AND(AM31=FALSE,AN31=FALSE),,if(AM31=AN31,JOIN("""",""Static: "",AM31),JOIN("""",""Min:  "",AM31, CHAR(10),""Max: "",AN31)))"),"")</f>
        <v/>
      </c>
      <c r="AM31" s="55" t="str">
        <f t="array" ref="AM31">_xlfn.XLOOKUP(B31,'Up Min'!A:A,'Up Min'!J:J,)</f>
        <v/>
      </c>
      <c r="AN31" s="55" t="str">
        <f t="array" ref="AN31">_xlfn.XLOOKUP(B31,'Up Max'!A:A,'Up Max'!J:J,)</f>
        <v/>
      </c>
      <c r="AO31" s="51" t="str">
        <f t="array" ref="AO31">CONCATENATE(_xlfn.XLOOKUP(B31,'Up Cells'!A:A,'Up Cells'!B:B,))</f>
        <v>4</v>
      </c>
      <c r="AP31" s="51" t="str">
        <f t="array" ref="AP31">CONCATENATE(_xlfn.XLOOKUP(B31,'Up Rarity'!A:A,'Up Rarity'!B:B,),CHAR(10),"-")</f>
        <v>Rare
-</v>
      </c>
    </row>
    <row r="32">
      <c r="A32" s="84" t="str">
        <f t="array" ref="A32">_xlfn.XLOOKUP(B32,'Up Icon'!A:A,'Up Icon'!B:B,)</f>
        <v/>
      </c>
      <c r="B32" s="66" t="str">
        <f t="array" ref="B32">HYPERLINK(_xlfn.XLOOKUP('Up Names'!T30,'Up Wiki'!A:A,'Up Wiki'!B:B,),'Up Names'!T30)</f>
        <v>Efficient Storage</v>
      </c>
      <c r="C32" s="37" t="str">
        <f t="array" ref="C32">_xlfn.XLOOKUP(B32,'Up Desc'!A:A,'Up Desc'!B:B,)</f>
        <v>Fire an extra rocket. Rocket Salvo damage is decreased.</v>
      </c>
      <c r="D32" s="37" t="str">
        <f t="array" ref="D32">_xlfn.XLOOKUP(B32,'Up Turbo'!A:A,'Up Turbo'!B:B,)</f>
        <v>n/a</v>
      </c>
      <c r="E32" s="39" t="str">
        <f t="array" ref="E32">_xlfn.XLOOKUP(B32,'Up Stats'!A:A,'Up Stats'!B:B,)</f>
        <v>Salvo Target Locks</v>
      </c>
      <c r="F32" s="40" t="str">
        <f>IFERROR(__xludf.DUMMYFUNCTION("if(AND(G32=FALSE,H32=FALSE),,if(G32=H32,JOIN("""",""Static: "",G32),JOIN("""",""Min:  "",G32, CHAR(10),""Max: "",H32)))"),"Static: 1")</f>
        <v>Static: 1</v>
      </c>
      <c r="G32" s="69">
        <f t="array" ref="G32">_xlfn.XLOOKUP(B32,'Up Min'!A:A,'Up Min'!B:B,)</f>
        <v>1</v>
      </c>
      <c r="H32" s="68">
        <f t="array" ref="H32">_xlfn.XLOOKUP(B32,'Up Max'!A:A,'Up Max'!B:B,)</f>
        <v>1</v>
      </c>
      <c r="I32" s="39" t="str">
        <f t="array" ref="I32">_xlfn.XLOOKUP(B32,'Up Stats'!A:A,'Up Stats'!C:C,)</f>
        <v>Damage</v>
      </c>
      <c r="J32" s="40" t="str">
        <f>IFERROR(__xludf.DUMMYFUNCTION("if(AND(K32=FALSE,L32=FALSE),,if(K32=L32,JOIN("""",""Static: "",K32),JOIN("""",""Min:  "",K32, CHAR(10),""Max: "",L32)))"),"Min:  -25%
Max: -15%")</f>
        <v>Min:  -25%
Max: -15%</v>
      </c>
      <c r="K32" s="41">
        <f t="array" ref="K32">_xlfn.XLOOKUP(B32,'Up Min'!A:A,'Up Min'!C:C,)</f>
        <v>-0.25</v>
      </c>
      <c r="L32" s="41">
        <f t="array" ref="L32">_xlfn.XLOOKUP(B32,'Up Max'!A:A,'Up Max'!C:C,)</f>
        <v>-0.15</v>
      </c>
      <c r="M32" s="39" t="str">
        <f t="array" ref="M32">_xlfn.XLOOKUP(B32,'Up Stats'!A:A,'Up Stats'!D:D,)</f>
        <v/>
      </c>
      <c r="N32" s="40" t="str">
        <f>IFERROR(__xludf.DUMMYFUNCTION("if(AND(O32=FALSE,P32=FALSE),,if(O32=P32,JOIN("""",""Static: "",O32),JOIN("""",""Min:  "",O32, CHAR(10),""Max: "",P32)))"),"")</f>
        <v/>
      </c>
      <c r="O32" s="42" t="str">
        <f t="array" ref="O32">_xlfn.XLOOKUP(B32,'Up Min'!A:A,'Up Min'!D:D,)</f>
        <v/>
      </c>
      <c r="P32" s="42" t="str">
        <f t="array" ref="P32">_xlfn.XLOOKUP(B32,'Up Max'!A:A,'Up Max'!D:D,)</f>
        <v/>
      </c>
      <c r="Q32" s="48" t="str">
        <f t="array" ref="Q32">_xlfn.XLOOKUP(B32,'Up Stats'!A:A,'Up Stats'!E:E,)</f>
        <v/>
      </c>
      <c r="R32" s="40" t="str">
        <f>IFERROR(__xludf.DUMMYFUNCTION("if(AND(S32=FALSE,T32=FALSE),,if(S32=T32,JOIN("""",""Static: "",S32),JOIN("""",""Min:  "",S32, CHAR(10),""Max: "",T32)))"),"")</f>
        <v/>
      </c>
      <c r="S32" s="42" t="str">
        <f t="array" ref="S32">_xlfn.XLOOKUP(B32,'Up Min'!A:A,'Up Min'!E:E,)</f>
        <v/>
      </c>
      <c r="T32" s="42" t="str">
        <f t="array" ref="T32">_xlfn.XLOOKUP(B32,'Up Max'!A:A,'Up Max'!E:E,)</f>
        <v/>
      </c>
      <c r="U32" s="48" t="str">
        <f t="array" ref="U32">_xlfn.XLOOKUP(B32,'Up Stats'!A:A,'Up Stats'!F:F,)</f>
        <v/>
      </c>
      <c r="V32" s="40" t="str">
        <f>IFERROR(__xludf.DUMMYFUNCTION("if(AND(W32=FALSE,X32=FALSE),,if(W32=X32,JOIN("""",""Static: "",W32),JOIN("""",""Min:  "",W32, CHAR(10),""Max: "",X32)))"),"")</f>
        <v/>
      </c>
      <c r="W32" s="42" t="str">
        <f t="array" ref="W32">_xlfn.XLOOKUP(B32,'Up Min'!A:A,'Up Min'!F:F,)</f>
        <v/>
      </c>
      <c r="X32" s="42" t="str">
        <f t="array" ref="X32">_xlfn.XLOOKUP(B32,'Up Max'!A:A,'Up Max'!F:F,)</f>
        <v/>
      </c>
      <c r="Y32" s="48" t="str">
        <f t="array" ref="Y32">_xlfn.XLOOKUP(B32,'Up Stats'!A:A,'Up Stats'!G:G,)</f>
        <v/>
      </c>
      <c r="Z32" s="40" t="str">
        <f>IFERROR(__xludf.DUMMYFUNCTION("if(AND(AA32=FALSE,AB32=FALSE),,if(AA32=AB32,JOIN("""",""Static: "",AA32),JOIN("""",""Min:  "",AA32, CHAR(10),""Max: "",AB32)))"),"")</f>
        <v/>
      </c>
      <c r="AA32" s="42" t="str">
        <f t="array" ref="AA32">_xlfn.XLOOKUP(B32,'Up Min'!A:A,'Up Min'!G:G,)</f>
        <v/>
      </c>
      <c r="AB32" s="42" t="str">
        <f t="array" ref="AB32">_xlfn.XLOOKUP(B32,'Up Max'!A:A,'Up Max'!G:G,)</f>
        <v/>
      </c>
      <c r="AC32" s="48" t="str">
        <f t="array" ref="AC32">_xlfn.XLOOKUP(B32,'Up Stats'!A:A,'Up Stats'!H:H,)</f>
        <v/>
      </c>
      <c r="AD32" s="40" t="str">
        <f>IFERROR(__xludf.DUMMYFUNCTION("if(AND(AE32=FALSE,AF32=FALSE),,if(AE32=AF32,JOIN("""",""Static: "",AE32),JOIN("""",""Min:  "",AE32, CHAR(10),""Max: "",AF32)))"),"")</f>
        <v/>
      </c>
      <c r="AE32" s="42" t="str">
        <f t="array" ref="AE32">_xlfn.XLOOKUP(B32,'Up Min'!A:A,'Up Min'!H:H,)</f>
        <v/>
      </c>
      <c r="AF32" s="42" t="str">
        <f t="array" ref="AF32">_xlfn.XLOOKUP(B32,'Up Max'!A:A,'Up Max'!H:H,)</f>
        <v/>
      </c>
      <c r="AG32" s="48" t="str">
        <f t="array" ref="AG32">_xlfn.XLOOKUP(B32,'Up Stats'!A:A,'Up Stats'!I:I,)</f>
        <v/>
      </c>
      <c r="AH32" s="40" t="str">
        <f>IFERROR(__xludf.DUMMYFUNCTION("if(AND(AI32=FALSE,AJ32=FALSE),,if(AI32=AJ32,JOIN("""",""Static: "",AI32),JOIN("""",""Min:  "",AI32, CHAR(10),""Max: "",AJ32)))"),"")</f>
        <v/>
      </c>
      <c r="AI32" s="42" t="str">
        <f t="array" ref="AI32">_xlfn.XLOOKUP(B32,'Up Min'!A:A,'Up Min'!I:I,)</f>
        <v/>
      </c>
      <c r="AJ32" s="42" t="str">
        <f t="array" ref="AJ32">_xlfn.XLOOKUP(B32,'Up Max'!A:A,'Up Max'!I:I,)</f>
        <v/>
      </c>
      <c r="AK32" s="48" t="str">
        <f t="array" ref="AK32">_xlfn.XLOOKUP(B32,'Up Stats'!A:A,'Up Stats'!J:J,)</f>
        <v/>
      </c>
      <c r="AL32" s="40" t="str">
        <f>IFERROR(__xludf.DUMMYFUNCTION("if(AND(AM32=FALSE,AN32=FALSE),,if(AM32=AN32,JOIN("""",""Static: "",AM32),JOIN("""",""Min:  "",AM32, CHAR(10),""Max: "",AN32)))"),"")</f>
        <v/>
      </c>
      <c r="AM32" s="42" t="str">
        <f t="array" ref="AM32">_xlfn.XLOOKUP(B32,'Up Min'!A:A,'Up Min'!J:J,)</f>
        <v/>
      </c>
      <c r="AN32" s="42" t="str">
        <f t="array" ref="AN32">_xlfn.XLOOKUP(B32,'Up Max'!A:A,'Up Max'!J:J,)</f>
        <v/>
      </c>
      <c r="AO32" s="34" t="str">
        <f t="array" ref="AO32">CONCATENATE(_xlfn.XLOOKUP(B32,'Up Cells'!A:A,'Up Cells'!B:B,))</f>
        <v>3</v>
      </c>
      <c r="AP32" s="34" t="str">
        <f t="array" ref="AP32">CONCATENATE(_xlfn.XLOOKUP(B32,'Up Rarity'!A:A,'Up Rarity'!B:B,),CHAR(10),"-")</f>
        <v>Standard
-</v>
      </c>
    </row>
    <row r="33">
      <c r="A33" s="84" t="str">
        <f t="array" ref="A33">_xlfn.XLOOKUP(B33,'Up Icon'!A:A,'Up Icon'!B:B,)</f>
        <v/>
      </c>
      <c r="B33" s="63" t="str">
        <f t="array" ref="B33">HYPERLINK(_xlfn.XLOOKUP('Up Names'!T31,'Up Wiki'!A:A,'Up Wiki'!B:B,),'Up Names'!T31)</f>
        <v>Fuel Reserves</v>
      </c>
      <c r="C33" s="52" t="str">
        <f t="array" ref="C33">_xlfn.XLOOKUP(B33,'Up Desc'!A:A,'Up Desc'!B:B,)</f>
        <v>Wingsuit fly duration is increased.</v>
      </c>
      <c r="D33" s="52" t="str">
        <f t="array" ref="D33">_xlfn.XLOOKUP(B33,'Up Turbo'!A:A,'Up Turbo'!B:B,)</f>
        <v>n/a</v>
      </c>
      <c r="E33" s="53" t="str">
        <f t="array" ref="E33">_xlfn.XLOOKUP(B33,'Up Stats'!A:A,'Up Stats'!B:B,)</f>
        <v>Fly Duration</v>
      </c>
      <c r="F33" s="54" t="str">
        <f>IFERROR(__xludf.DUMMYFUNCTION("if(AND(G33=FALSE,H33=FALSE),,if(G33=H33,JOIN("""",""Static: "",G33),JOIN("""",""Min:  "",G33, CHAR(10),""Max: "",H33)))"),"Min:  14.94%
Max: 8.70%")</f>
        <v>Min:  14.94%
Max: 8.70%</v>
      </c>
      <c r="G33" s="71">
        <f t="array" ref="G33">_xlfn.XLOOKUP(B33,'Up Min'!A:A,'Up Min'!B:B,)</f>
        <v>0.1494</v>
      </c>
      <c r="H33" s="71">
        <f t="array" ref="H33">_xlfn.XLOOKUP(B33,'Up Max'!A:A,'Up Max'!B:B,)</f>
        <v>0.087</v>
      </c>
      <c r="I33" s="53" t="str">
        <f t="array" ref="I33">_xlfn.XLOOKUP(B33,'Up Stats'!A:A,'Up Stats'!C:C,)</f>
        <v/>
      </c>
      <c r="J33" s="54" t="str">
        <f>IFERROR(__xludf.DUMMYFUNCTION("if(AND(K33=FALSE,L33=FALSE),,if(K33=L33,JOIN("""",""Static: "",K33),JOIN("""",""Min:  "",K33, CHAR(10),""Max: "",L33)))"),"")</f>
        <v/>
      </c>
      <c r="K33" s="72" t="str">
        <f t="array" ref="K33">_xlfn.XLOOKUP(B33,'Up Min'!A:A,'Up Min'!C:C,)</f>
        <v/>
      </c>
      <c r="L33" s="72" t="str">
        <f t="array" ref="L33">_xlfn.XLOOKUP(B33,'Up Max'!A:A,'Up Max'!C:C,)</f>
        <v/>
      </c>
      <c r="M33" s="57" t="str">
        <f t="array" ref="M33">_xlfn.XLOOKUP(B33,'Up Stats'!A:A,'Up Stats'!D:D,)</f>
        <v/>
      </c>
      <c r="N33" s="54" t="str">
        <f>IFERROR(__xludf.DUMMYFUNCTION("if(AND(O33=FALSE,P33=FALSE),,if(O33=P33,JOIN("""",""Static: "",O33),JOIN("""",""Min:  "",O33, CHAR(10),""Max: "",P33)))"),"")</f>
        <v/>
      </c>
      <c r="O33" s="55" t="str">
        <f t="array" ref="O33">_xlfn.XLOOKUP(B33,'Up Min'!A:A,'Up Min'!D:D,)</f>
        <v/>
      </c>
      <c r="P33" s="55" t="str">
        <f t="array" ref="P33">_xlfn.XLOOKUP(B33,'Up Max'!A:A,'Up Max'!D:D,)</f>
        <v/>
      </c>
      <c r="Q33" s="57" t="str">
        <f t="array" ref="Q33">_xlfn.XLOOKUP(B33,'Up Stats'!A:A,'Up Stats'!E:E,)</f>
        <v/>
      </c>
      <c r="R33" s="54" t="str">
        <f>IFERROR(__xludf.DUMMYFUNCTION("if(AND(S33=FALSE,T33=FALSE),,if(S33=T33,JOIN("""",""Static: "",S33),JOIN("""",""Min:  "",S33, CHAR(10),""Max: "",T33)))"),"")</f>
        <v/>
      </c>
      <c r="S33" s="55" t="str">
        <f t="array" ref="S33">_xlfn.XLOOKUP(B33,'Up Min'!A:A,'Up Min'!E:E,)</f>
        <v/>
      </c>
      <c r="T33" s="55" t="str">
        <f t="array" ref="T33">_xlfn.XLOOKUP(B33,'Up Max'!A:A,'Up Max'!E:E,)</f>
        <v/>
      </c>
      <c r="U33" s="57" t="str">
        <f t="array" ref="U33">_xlfn.XLOOKUP(B33,'Up Stats'!A:A,'Up Stats'!F:F,)</f>
        <v/>
      </c>
      <c r="V33" s="54" t="str">
        <f>IFERROR(__xludf.DUMMYFUNCTION("if(AND(W33=FALSE,X33=FALSE),,if(W33=X33,JOIN("""",""Static: "",W33),JOIN("""",""Min:  "",W33, CHAR(10),""Max: "",X33)))"),"")</f>
        <v/>
      </c>
      <c r="W33" s="55" t="str">
        <f t="array" ref="W33">_xlfn.XLOOKUP(B33,'Up Min'!A:A,'Up Min'!F:F,)</f>
        <v/>
      </c>
      <c r="X33" s="55" t="str">
        <f t="array" ref="X33">_xlfn.XLOOKUP(B33,'Up Max'!A:A,'Up Max'!F:F,)</f>
        <v/>
      </c>
      <c r="Y33" s="57" t="str">
        <f t="array" ref="Y33">_xlfn.XLOOKUP(B33,'Up Stats'!A:A,'Up Stats'!G:G,)</f>
        <v/>
      </c>
      <c r="Z33" s="54" t="str">
        <f>IFERROR(__xludf.DUMMYFUNCTION("if(AND(AA33=FALSE,AB33=FALSE),,if(AA33=AB33,JOIN("""",""Static: "",AA33),JOIN("""",""Min:  "",AA33, CHAR(10),""Max: "",AB33)))"),"")</f>
        <v/>
      </c>
      <c r="AA33" s="55" t="str">
        <f t="array" ref="AA33">_xlfn.XLOOKUP(B33,'Up Min'!A:A,'Up Min'!G:G,)</f>
        <v/>
      </c>
      <c r="AB33" s="55" t="str">
        <f t="array" ref="AB33">_xlfn.XLOOKUP(B33,'Up Max'!A:A,'Up Max'!G:G,)</f>
        <v/>
      </c>
      <c r="AC33" s="57" t="str">
        <f t="array" ref="AC33">_xlfn.XLOOKUP(B33,'Up Stats'!A:A,'Up Stats'!H:H,)</f>
        <v/>
      </c>
      <c r="AD33" s="54" t="str">
        <f>IFERROR(__xludf.DUMMYFUNCTION("if(AND(AE33=FALSE,AF33=FALSE),,if(AE33=AF33,JOIN("""",""Static: "",AE33),JOIN("""",""Min:  "",AE33, CHAR(10),""Max: "",AF33)))"),"")</f>
        <v/>
      </c>
      <c r="AE33" s="55" t="str">
        <f t="array" ref="AE33">_xlfn.XLOOKUP(B33,'Up Min'!A:A,'Up Min'!H:H,)</f>
        <v/>
      </c>
      <c r="AF33" s="55" t="str">
        <f t="array" ref="AF33">_xlfn.XLOOKUP(B33,'Up Max'!A:A,'Up Max'!H:H,)</f>
        <v/>
      </c>
      <c r="AG33" s="57" t="str">
        <f t="array" ref="AG33">_xlfn.XLOOKUP(B33,'Up Stats'!A:A,'Up Stats'!I:I,)</f>
        <v/>
      </c>
      <c r="AH33" s="54" t="str">
        <f>IFERROR(__xludf.DUMMYFUNCTION("if(AND(AI33=FALSE,AJ33=FALSE),,if(AI33=AJ33,JOIN("""",""Static: "",AI33),JOIN("""",""Min:  "",AI33, CHAR(10),""Max: "",AJ33)))"),"")</f>
        <v/>
      </c>
      <c r="AI33" s="55" t="str">
        <f t="array" ref="AI33">_xlfn.XLOOKUP(B33,'Up Min'!A:A,'Up Min'!I:I,)</f>
        <v/>
      </c>
      <c r="AJ33" s="55" t="str">
        <f t="array" ref="AJ33">_xlfn.XLOOKUP(B33,'Up Max'!A:A,'Up Max'!I:I,)</f>
        <v/>
      </c>
      <c r="AK33" s="57" t="str">
        <f t="array" ref="AK33">_xlfn.XLOOKUP(B33,'Up Stats'!A:A,'Up Stats'!J:J,)</f>
        <v/>
      </c>
      <c r="AL33" s="54" t="str">
        <f>IFERROR(__xludf.DUMMYFUNCTION("if(AND(AM33=FALSE,AN33=FALSE),,if(AM33=AN33,JOIN("""",""Static: "",AM33),JOIN("""",""Min:  "",AM33, CHAR(10),""Max: "",AN33)))"),"")</f>
        <v/>
      </c>
      <c r="AM33" s="55" t="str">
        <f t="array" ref="AM33">_xlfn.XLOOKUP(B33,'Up Min'!A:A,'Up Min'!J:J,)</f>
        <v/>
      </c>
      <c r="AN33" s="55" t="str">
        <f t="array" ref="AN33">_xlfn.XLOOKUP(B33,'Up Max'!A:A,'Up Max'!J:J,)</f>
        <v/>
      </c>
      <c r="AO33" s="51" t="str">
        <f t="array" ref="AO33">CONCATENATE(_xlfn.XLOOKUP(B33,'Up Cells'!A:A,'Up Cells'!B:B,))</f>
        <v>3</v>
      </c>
      <c r="AP33" s="51" t="str">
        <f t="array" ref="AP33">CONCATENATE(_xlfn.XLOOKUP(B33,'Up Rarity'!A:A,'Up Rarity'!B:B,),CHAR(10),"-")</f>
        <v>Standard
-</v>
      </c>
    </row>
    <row r="34">
      <c r="A34" s="84" t="str">
        <f t="array" ref="A34">_xlfn.XLOOKUP(B34,'Up Icon'!A:A,'Up Icon'!B:B,)</f>
        <v/>
      </c>
      <c r="B34" s="66" t="str">
        <f t="array" ref="B34">HYPERLINK(_xlfn.XLOOKUP('Up Names'!T32,'Up Wiki'!A:A,'Up Wiki'!B:B,),'Up Names'!T32)</f>
        <v>Nanite Breeding</v>
      </c>
      <c r="C34" s="37" t="str">
        <f t="array" ref="C34">_xlfn.XLOOKUP(B34,'Up Desc'!A:A,'Up Desc'!B:B,)</f>
        <v>Rocket Salvo healing is increased.</v>
      </c>
      <c r="D34" s="37" t="str">
        <f t="array" ref="D34">_xlfn.XLOOKUP(B34,'Up Turbo'!A:A,'Up Turbo'!B:B,)</f>
        <v>n/a</v>
      </c>
      <c r="E34" s="39" t="str">
        <f t="array" ref="E34">_xlfn.XLOOKUP(B34,'Up Stats'!A:A,'Up Stats'!B:B,)</f>
        <v>Healing</v>
      </c>
      <c r="F34" s="40" t="str">
        <f>IFERROR(__xludf.DUMMYFUNCTION("if(AND(G34=FALSE,H34=FALSE),,if(G34=H34,JOIN("""",""Static: "",G34),JOIN("""",""Min:  "",G34, CHAR(10),""Max: "",H34)))"),"Min:  20%
Max: 40%")</f>
        <v>Min:  20%
Max: 40%</v>
      </c>
      <c r="G34" s="41">
        <f t="array" ref="G34">_xlfn.XLOOKUP(B34,'Up Min'!A:A,'Up Min'!B:B,)</f>
        <v>0.2</v>
      </c>
      <c r="H34" s="41">
        <f t="array" ref="H34">_xlfn.XLOOKUP(B34,'Up Max'!A:A,'Up Max'!B:B,)</f>
        <v>0.4</v>
      </c>
      <c r="I34" s="39" t="str">
        <f t="array" ref="I34">_xlfn.XLOOKUP(B34,'Up Stats'!A:A,'Up Stats'!C:C,)</f>
        <v/>
      </c>
      <c r="J34" s="40" t="str">
        <f>IFERROR(__xludf.DUMMYFUNCTION("if(AND(K34=FALSE,L34=FALSE),,if(K34=L34,JOIN("""",""Static: "",K34),JOIN("""",""Min:  "",K34, CHAR(10),""Max: "",L34)))"),"")</f>
        <v/>
      </c>
      <c r="K34" s="74" t="str">
        <f t="array" ref="K34">_xlfn.XLOOKUP(B34,'Up Min'!A:A,'Up Min'!C:C,)</f>
        <v/>
      </c>
      <c r="L34" s="74" t="str">
        <f t="array" ref="L34">_xlfn.XLOOKUP(B34,'Up Max'!A:A,'Up Max'!C:C,)</f>
        <v/>
      </c>
      <c r="M34" s="48" t="str">
        <f t="array" ref="M34">_xlfn.XLOOKUP(B34,'Up Stats'!A:A,'Up Stats'!D:D,)</f>
        <v/>
      </c>
      <c r="N34" s="40" t="str">
        <f>IFERROR(__xludf.DUMMYFUNCTION("if(AND(O34=FALSE,P34=FALSE),,if(O34=P34,JOIN("""",""Static: "",O34),JOIN("""",""Min:  "",O34, CHAR(10),""Max: "",P34)))"),"")</f>
        <v/>
      </c>
      <c r="O34" s="42" t="str">
        <f t="array" ref="O34">_xlfn.XLOOKUP(B34,'Up Min'!A:A,'Up Min'!D:D,)</f>
        <v/>
      </c>
      <c r="P34" s="42" t="str">
        <f t="array" ref="P34">_xlfn.XLOOKUP(B34,'Up Max'!A:A,'Up Max'!D:D,)</f>
        <v/>
      </c>
      <c r="Q34" s="48" t="str">
        <f t="array" ref="Q34">_xlfn.XLOOKUP(B34,'Up Stats'!A:A,'Up Stats'!E:E,)</f>
        <v/>
      </c>
      <c r="R34" s="40" t="str">
        <f>IFERROR(__xludf.DUMMYFUNCTION("if(AND(S34=FALSE,T34=FALSE),,if(S34=T34,JOIN("""",""Static: "",S34),JOIN("""",""Min:  "",S34, CHAR(10),""Max: "",T34)))"),"")</f>
        <v/>
      </c>
      <c r="S34" s="42" t="str">
        <f t="array" ref="S34">_xlfn.XLOOKUP(B34,'Up Min'!A:A,'Up Min'!E:E,)</f>
        <v/>
      </c>
      <c r="T34" s="42" t="str">
        <f t="array" ref="T34">_xlfn.XLOOKUP(B34,'Up Max'!A:A,'Up Max'!E:E,)</f>
        <v/>
      </c>
      <c r="U34" s="48" t="str">
        <f t="array" ref="U34">_xlfn.XLOOKUP(B34,'Up Stats'!A:A,'Up Stats'!F:F,)</f>
        <v/>
      </c>
      <c r="V34" s="40" t="str">
        <f>IFERROR(__xludf.DUMMYFUNCTION("if(AND(W34=FALSE,X34=FALSE),,if(W34=X34,JOIN("""",""Static: "",W34),JOIN("""",""Min:  "",W34, CHAR(10),""Max: "",X34)))"),"")</f>
        <v/>
      </c>
      <c r="W34" s="42" t="str">
        <f t="array" ref="W34">_xlfn.XLOOKUP(B34,'Up Min'!A:A,'Up Min'!F:F,)</f>
        <v/>
      </c>
      <c r="X34" s="42" t="str">
        <f t="array" ref="X34">_xlfn.XLOOKUP(B34,'Up Max'!A:A,'Up Max'!F:F,)</f>
        <v/>
      </c>
      <c r="Y34" s="48" t="str">
        <f t="array" ref="Y34">_xlfn.XLOOKUP(B34,'Up Stats'!A:A,'Up Stats'!G:G,)</f>
        <v/>
      </c>
      <c r="Z34" s="40" t="str">
        <f>IFERROR(__xludf.DUMMYFUNCTION("if(AND(AA34=FALSE,AB34=FALSE),,if(AA34=AB34,JOIN("""",""Static: "",AA34),JOIN("""",""Min:  "",AA34, CHAR(10),""Max: "",AB34)))"),"")</f>
        <v/>
      </c>
      <c r="AA34" s="42" t="str">
        <f t="array" ref="AA34">_xlfn.XLOOKUP(B34,'Up Min'!A:A,'Up Min'!G:G,)</f>
        <v/>
      </c>
      <c r="AB34" s="42" t="str">
        <f t="array" ref="AB34">_xlfn.XLOOKUP(B34,'Up Max'!A:A,'Up Max'!G:G,)</f>
        <v/>
      </c>
      <c r="AC34" s="48" t="str">
        <f t="array" ref="AC34">_xlfn.XLOOKUP(B34,'Up Stats'!A:A,'Up Stats'!H:H,)</f>
        <v/>
      </c>
      <c r="AD34" s="40" t="str">
        <f>IFERROR(__xludf.DUMMYFUNCTION("if(AND(AE34=FALSE,AF34=FALSE),,if(AE34=AF34,JOIN("""",""Static: "",AE34),JOIN("""",""Min:  "",AE34, CHAR(10),""Max: "",AF34)))"),"")</f>
        <v/>
      </c>
      <c r="AE34" s="42" t="str">
        <f t="array" ref="AE34">_xlfn.XLOOKUP(B34,'Up Min'!A:A,'Up Min'!H:H,)</f>
        <v/>
      </c>
      <c r="AF34" s="42" t="str">
        <f t="array" ref="AF34">_xlfn.XLOOKUP(B34,'Up Max'!A:A,'Up Max'!H:H,)</f>
        <v/>
      </c>
      <c r="AG34" s="48" t="str">
        <f t="array" ref="AG34">_xlfn.XLOOKUP(B34,'Up Stats'!A:A,'Up Stats'!I:I,)</f>
        <v/>
      </c>
      <c r="AH34" s="40" t="str">
        <f>IFERROR(__xludf.DUMMYFUNCTION("if(AND(AI34=FALSE,AJ34=FALSE),,if(AI34=AJ34,JOIN("""",""Static: "",AI34),JOIN("""",""Min:  "",AI34, CHAR(10),""Max: "",AJ34)))"),"")</f>
        <v/>
      </c>
      <c r="AI34" s="42" t="str">
        <f t="array" ref="AI34">_xlfn.XLOOKUP(B34,'Up Min'!A:A,'Up Min'!I:I,)</f>
        <v/>
      </c>
      <c r="AJ34" s="42" t="str">
        <f t="array" ref="AJ34">_xlfn.XLOOKUP(B34,'Up Max'!A:A,'Up Max'!I:I,)</f>
        <v/>
      </c>
      <c r="AK34" s="48" t="str">
        <f t="array" ref="AK34">_xlfn.XLOOKUP(B34,'Up Stats'!A:A,'Up Stats'!J:J,)</f>
        <v/>
      </c>
      <c r="AL34" s="40" t="str">
        <f>IFERROR(__xludf.DUMMYFUNCTION("if(AND(AM34=FALSE,AN34=FALSE),,if(AM34=AN34,JOIN("""",""Static: "",AM34),JOIN("""",""Min:  "",AM34, CHAR(10),""Max: "",AN34)))"),"")</f>
        <v/>
      </c>
      <c r="AM34" s="42" t="str">
        <f t="array" ref="AM34">_xlfn.XLOOKUP(B34,'Up Min'!A:A,'Up Min'!J:J,)</f>
        <v/>
      </c>
      <c r="AN34" s="42" t="str">
        <f t="array" ref="AN34">_xlfn.XLOOKUP(B34,'Up Max'!A:A,'Up Max'!J:J,)</f>
        <v/>
      </c>
      <c r="AO34" s="34" t="str">
        <f t="array" ref="AO34">CONCATENATE(_xlfn.XLOOKUP(B34,'Up Cells'!A:A,'Up Cells'!B:B,))</f>
        <v>3</v>
      </c>
      <c r="AP34" s="34" t="str">
        <f t="array" ref="AP34">CONCATENATE(_xlfn.XLOOKUP(B34,'Up Rarity'!A:A,'Up Rarity'!B:B,),CHAR(10),"-")</f>
        <v>Standard
-</v>
      </c>
    </row>
    <row r="35">
      <c r="A35" s="84" t="str">
        <f t="array" ref="A35">_xlfn.XLOOKUP(B35,'Up Icon'!A:A,'Up Icon'!B:B,)</f>
        <v/>
      </c>
      <c r="B35" s="63" t="str">
        <f t="array" ref="B35">HYPERLINK(_xlfn.XLOOKUP('Up Names'!T33,'Up Wiki'!A:A,'Up Wiki'!B:B,),'Up Names'!T33)</f>
        <v>Rearm Mechanism</v>
      </c>
      <c r="C35" s="52" t="str">
        <f t="array" ref="C35">_xlfn.XLOOKUP(B35,'Up Desc'!A:A,'Up Desc'!B:B,)</f>
        <v>Rocket Salvo cooldown is reduced.</v>
      </c>
      <c r="D35" s="52" t="str">
        <f t="array" ref="D35">_xlfn.XLOOKUP(B35,'Up Turbo'!A:A,'Up Turbo'!B:B,)</f>
        <v>n/a</v>
      </c>
      <c r="E35" s="53" t="str">
        <f t="array" ref="E35">_xlfn.XLOOKUP(B35,'Up Stats'!A:A,'Up Stats'!B:B,)</f>
        <v>Recharge Speed</v>
      </c>
      <c r="F35" s="54" t="str">
        <f>IFERROR(__xludf.DUMMYFUNCTION("if(AND(G35=FALSE,H35=FALSE),,if(G35=H35,JOIN("""",""Static: "",G35),JOIN("""",""Min:  "",G35, CHAR(10),""Max: "",H35)))"),"Min:  13.64%
Max: 6.38%")</f>
        <v>Min:  13.64%
Max: 6.38%</v>
      </c>
      <c r="G35" s="71">
        <f t="array" ref="G35">_xlfn.XLOOKUP(B35,'Up Min'!A:A,'Up Min'!B:B,)</f>
        <v>0.1364</v>
      </c>
      <c r="H35" s="71">
        <f t="array" ref="H35">_xlfn.XLOOKUP(B35,'Up Max'!A:A,'Up Max'!B:B,)</f>
        <v>0.0638</v>
      </c>
      <c r="I35" s="53" t="str">
        <f t="array" ref="I35">_xlfn.XLOOKUP(B35,'Up Stats'!A:A,'Up Stats'!C:C,)</f>
        <v/>
      </c>
      <c r="J35" s="54" t="str">
        <f>IFERROR(__xludf.DUMMYFUNCTION("if(AND(K35=FALSE,L35=FALSE),,if(K35=L35,JOIN("""",""Static: "",K35),JOIN("""",""Min:  "",K35, CHAR(10),""Max: "",L35)))"),"")</f>
        <v/>
      </c>
      <c r="K35" s="72" t="str">
        <f t="array" ref="K35">_xlfn.XLOOKUP(B35,'Up Min'!A:A,'Up Min'!C:C,)</f>
        <v/>
      </c>
      <c r="L35" s="72" t="str">
        <f t="array" ref="L35">_xlfn.XLOOKUP(B35,'Up Max'!A:A,'Up Max'!C:C,)</f>
        <v/>
      </c>
      <c r="M35" s="57" t="str">
        <f t="array" ref="M35">_xlfn.XLOOKUP(B35,'Up Stats'!A:A,'Up Stats'!D:D,)</f>
        <v/>
      </c>
      <c r="N35" s="54" t="str">
        <f>IFERROR(__xludf.DUMMYFUNCTION("if(AND(O35=FALSE,P35=FALSE),,if(O35=P35,JOIN("""",""Static: "",O35),JOIN("""",""Min:  "",O35, CHAR(10),""Max: "",P35)))"),"")</f>
        <v/>
      </c>
      <c r="O35" s="55" t="str">
        <f t="array" ref="O35">_xlfn.XLOOKUP(B35,'Up Min'!A:A,'Up Min'!D:D,)</f>
        <v/>
      </c>
      <c r="P35" s="55" t="str">
        <f t="array" ref="P35">_xlfn.XLOOKUP(B35,'Up Max'!A:A,'Up Max'!D:D,)</f>
        <v/>
      </c>
      <c r="Q35" s="57" t="str">
        <f t="array" ref="Q35">_xlfn.XLOOKUP(B35,'Up Stats'!A:A,'Up Stats'!E:E,)</f>
        <v/>
      </c>
      <c r="R35" s="54" t="str">
        <f>IFERROR(__xludf.DUMMYFUNCTION("if(AND(S35=FALSE,T35=FALSE),,if(S35=T35,JOIN("""",""Static: "",S35),JOIN("""",""Min:  "",S35, CHAR(10),""Max: "",T35)))"),"")</f>
        <v/>
      </c>
      <c r="S35" s="55" t="str">
        <f t="array" ref="S35">_xlfn.XLOOKUP(B35,'Up Min'!A:A,'Up Min'!E:E,)</f>
        <v/>
      </c>
      <c r="T35" s="55" t="str">
        <f t="array" ref="T35">_xlfn.XLOOKUP(B35,'Up Max'!A:A,'Up Max'!E:E,)</f>
        <v/>
      </c>
      <c r="U35" s="57" t="str">
        <f t="array" ref="U35">_xlfn.XLOOKUP(B35,'Up Stats'!A:A,'Up Stats'!F:F,)</f>
        <v/>
      </c>
      <c r="V35" s="54" t="str">
        <f>IFERROR(__xludf.DUMMYFUNCTION("if(AND(W35=FALSE,X35=FALSE),,if(W35=X35,JOIN("""",""Static: "",W35),JOIN("""",""Min:  "",W35, CHAR(10),""Max: "",X35)))"),"")</f>
        <v/>
      </c>
      <c r="W35" s="55" t="str">
        <f t="array" ref="W35">_xlfn.XLOOKUP(B35,'Up Min'!A:A,'Up Min'!F:F,)</f>
        <v/>
      </c>
      <c r="X35" s="55" t="str">
        <f t="array" ref="X35">_xlfn.XLOOKUP(B35,'Up Max'!A:A,'Up Max'!F:F,)</f>
        <v/>
      </c>
      <c r="Y35" s="57" t="str">
        <f t="array" ref="Y35">_xlfn.XLOOKUP(B35,'Up Stats'!A:A,'Up Stats'!G:G,)</f>
        <v/>
      </c>
      <c r="Z35" s="54" t="str">
        <f>IFERROR(__xludf.DUMMYFUNCTION("if(AND(AA35=FALSE,AB35=FALSE),,if(AA35=AB35,JOIN("""",""Static: "",AA35),JOIN("""",""Min:  "",AA35, CHAR(10),""Max: "",AB35)))"),"")</f>
        <v/>
      </c>
      <c r="AA35" s="55" t="str">
        <f t="array" ref="AA35">_xlfn.XLOOKUP(B35,'Up Min'!A:A,'Up Min'!G:G,)</f>
        <v/>
      </c>
      <c r="AB35" s="55" t="str">
        <f t="array" ref="AB35">_xlfn.XLOOKUP(B35,'Up Max'!A:A,'Up Max'!G:G,)</f>
        <v/>
      </c>
      <c r="AC35" s="57" t="str">
        <f t="array" ref="AC35">_xlfn.XLOOKUP(B35,'Up Stats'!A:A,'Up Stats'!H:H,)</f>
        <v/>
      </c>
      <c r="AD35" s="54" t="str">
        <f>IFERROR(__xludf.DUMMYFUNCTION("if(AND(AE35=FALSE,AF35=FALSE),,if(AE35=AF35,JOIN("""",""Static: "",AE35),JOIN("""",""Min:  "",AE35, CHAR(10),""Max: "",AF35)))"),"")</f>
        <v/>
      </c>
      <c r="AE35" s="55" t="str">
        <f t="array" ref="AE35">_xlfn.XLOOKUP(B35,'Up Min'!A:A,'Up Min'!H:H,)</f>
        <v/>
      </c>
      <c r="AF35" s="55" t="str">
        <f t="array" ref="AF35">_xlfn.XLOOKUP(B35,'Up Max'!A:A,'Up Max'!H:H,)</f>
        <v/>
      </c>
      <c r="AG35" s="57" t="str">
        <f t="array" ref="AG35">_xlfn.XLOOKUP(B35,'Up Stats'!A:A,'Up Stats'!I:I,)</f>
        <v/>
      </c>
      <c r="AH35" s="54" t="str">
        <f>IFERROR(__xludf.DUMMYFUNCTION("if(AND(AI35=FALSE,AJ35=FALSE),,if(AI35=AJ35,JOIN("""",""Static: "",AI35),JOIN("""",""Min:  "",AI35, CHAR(10),""Max: "",AJ35)))"),"")</f>
        <v/>
      </c>
      <c r="AI35" s="55" t="str">
        <f t="array" ref="AI35">_xlfn.XLOOKUP(B35,'Up Min'!A:A,'Up Min'!I:I,)</f>
        <v/>
      </c>
      <c r="AJ35" s="55" t="str">
        <f t="array" ref="AJ35">_xlfn.XLOOKUP(B35,'Up Max'!A:A,'Up Max'!I:I,)</f>
        <v/>
      </c>
      <c r="AK35" s="57" t="str">
        <f t="array" ref="AK35">_xlfn.XLOOKUP(B35,'Up Stats'!A:A,'Up Stats'!J:J,)</f>
        <v/>
      </c>
      <c r="AL35" s="54" t="str">
        <f>IFERROR(__xludf.DUMMYFUNCTION("if(AND(AM35=FALSE,AN35=FALSE),,if(AM35=AN35,JOIN("""",""Static: "",AM35),JOIN("""",""Min:  "",AM35, CHAR(10),""Max: "",AN35)))"),"")</f>
        <v/>
      </c>
      <c r="AM35" s="55" t="str">
        <f t="array" ref="AM35">_xlfn.XLOOKUP(B35,'Up Min'!A:A,'Up Min'!J:J,)</f>
        <v/>
      </c>
      <c r="AN35" s="55" t="str">
        <f t="array" ref="AN35">_xlfn.XLOOKUP(B35,'Up Max'!A:A,'Up Max'!J:J,)</f>
        <v/>
      </c>
      <c r="AO35" s="51" t="str">
        <f t="array" ref="AO35">CONCATENATE(_xlfn.XLOOKUP(B35,'Up Cells'!A:A,'Up Cells'!B:B,))</f>
        <v>3</v>
      </c>
      <c r="AP35" s="51" t="str">
        <f t="array" ref="AP35">CONCATENATE(_xlfn.XLOOKUP(B35,'Up Rarity'!A:A,'Up Rarity'!B:B,),CHAR(10),"-")</f>
        <v>Standard
-</v>
      </c>
    </row>
    <row r="36">
      <c r="A36" s="84" t="str">
        <f t="array" ref="A36">_xlfn.XLOOKUP(B36,'Up Icon'!A:A,'Up Icon'!B:B,)</f>
        <v/>
      </c>
      <c r="B36" s="66" t="str">
        <f t="array" ref="B36">HYPERLINK(_xlfn.XLOOKUP('Up Names'!T34,'Up Wiki'!A:A,'Up Wiki'!B:B,),'Up Names'!T34)</f>
        <v>Streamlined</v>
      </c>
      <c r="C36" s="37" t="str">
        <f t="array" ref="C36">_xlfn.XLOOKUP(B36,'Up Desc'!A:A,'Up Desc'!B:B,)</f>
        <v>Fly speed is increased.</v>
      </c>
      <c r="D36" s="37" t="str">
        <f t="array" ref="D36">_xlfn.XLOOKUP(B36,'Up Turbo'!A:A,'Up Turbo'!B:B,)</f>
        <v>n/a</v>
      </c>
      <c r="E36" s="39" t="str">
        <f t="array" ref="E36">_xlfn.XLOOKUP(B36,'Up Stats'!A:A,'Up Stats'!B:B,)</f>
        <v>Fly Speed</v>
      </c>
      <c r="F36" s="40" t="str">
        <f>IFERROR(__xludf.DUMMYFUNCTION("if(AND(G36=FALSE,H36=FALSE),,if(G36=H36,JOIN("""",""Static: "",G36),JOIN("""",""Min:  "",G36, CHAR(10),""Max: "",H36)))"),"Min:  8%
Max: 12%")</f>
        <v>Min:  8%
Max: 12%</v>
      </c>
      <c r="G36" s="41">
        <f t="array" ref="G36">_xlfn.XLOOKUP(B36,'Up Min'!A:A,'Up Min'!B:B,)</f>
        <v>0.08</v>
      </c>
      <c r="H36" s="41">
        <f t="array" ref="H36">_xlfn.XLOOKUP(B36,'Up Max'!A:A,'Up Max'!B:B,)</f>
        <v>0.12</v>
      </c>
      <c r="I36" s="39" t="str">
        <f t="array" ref="I36">_xlfn.XLOOKUP(B36,'Up Stats'!A:A,'Up Stats'!C:C,)</f>
        <v/>
      </c>
      <c r="J36" s="40" t="str">
        <f>IFERROR(__xludf.DUMMYFUNCTION("if(AND(K36=FALSE,L36=FALSE),,if(K36=L36,JOIN("""",""Static: "",K36),JOIN("""",""Min:  "",K36, CHAR(10),""Max: "",L36)))"),"")</f>
        <v/>
      </c>
      <c r="K36" s="74" t="str">
        <f t="array" ref="K36">_xlfn.XLOOKUP(B36,'Up Min'!A:A,'Up Min'!C:C,)</f>
        <v/>
      </c>
      <c r="L36" s="74" t="str">
        <f t="array" ref="L36">_xlfn.XLOOKUP(B36,'Up Max'!A:A,'Up Max'!C:C,)</f>
        <v/>
      </c>
      <c r="M36" s="48" t="str">
        <f t="array" ref="M36">_xlfn.XLOOKUP(B36,'Up Stats'!A:A,'Up Stats'!D:D,)</f>
        <v/>
      </c>
      <c r="N36" s="40" t="str">
        <f>IFERROR(__xludf.DUMMYFUNCTION("if(AND(O36=FALSE,P36=FALSE),,if(O36=P36,JOIN("""",""Static: "",O36),JOIN("""",""Min:  "",O36, CHAR(10),""Max: "",P36)))"),"")</f>
        <v/>
      </c>
      <c r="O36" s="42" t="str">
        <f t="array" ref="O36">_xlfn.XLOOKUP(B36,'Up Min'!A:A,'Up Min'!D:D,)</f>
        <v/>
      </c>
      <c r="P36" s="42" t="str">
        <f t="array" ref="P36">_xlfn.XLOOKUP(B36,'Up Max'!A:A,'Up Max'!D:D,)</f>
        <v/>
      </c>
      <c r="Q36" s="48" t="str">
        <f t="array" ref="Q36">_xlfn.XLOOKUP(B36,'Up Stats'!A:A,'Up Stats'!E:E,)</f>
        <v/>
      </c>
      <c r="R36" s="40" t="str">
        <f>IFERROR(__xludf.DUMMYFUNCTION("if(AND(S36=FALSE,T36=FALSE),,if(S36=T36,JOIN("""",""Static: "",S36),JOIN("""",""Min:  "",S36, CHAR(10),""Max: "",T36)))"),"")</f>
        <v/>
      </c>
      <c r="S36" s="42" t="str">
        <f t="array" ref="S36">_xlfn.XLOOKUP(B36,'Up Min'!A:A,'Up Min'!E:E,)</f>
        <v/>
      </c>
      <c r="T36" s="42" t="str">
        <f t="array" ref="T36">_xlfn.XLOOKUP(B36,'Up Max'!A:A,'Up Max'!E:E,)</f>
        <v/>
      </c>
      <c r="U36" s="48" t="str">
        <f t="array" ref="U36">_xlfn.XLOOKUP(B36,'Up Stats'!A:A,'Up Stats'!F:F,)</f>
        <v/>
      </c>
      <c r="V36" s="40" t="str">
        <f>IFERROR(__xludf.DUMMYFUNCTION("if(AND(W36=FALSE,X36=FALSE),,if(W36=X36,JOIN("""",""Static: "",W36),JOIN("""",""Min:  "",W36, CHAR(10),""Max: "",X36)))"),"")</f>
        <v/>
      </c>
      <c r="W36" s="42" t="str">
        <f t="array" ref="W36">_xlfn.XLOOKUP(B36,'Up Min'!A:A,'Up Min'!F:F,)</f>
        <v/>
      </c>
      <c r="X36" s="42" t="str">
        <f t="array" ref="X36">_xlfn.XLOOKUP(B36,'Up Max'!A:A,'Up Max'!F:F,)</f>
        <v/>
      </c>
      <c r="Y36" s="48" t="str">
        <f t="array" ref="Y36">_xlfn.XLOOKUP(B36,'Up Stats'!A:A,'Up Stats'!G:G,)</f>
        <v/>
      </c>
      <c r="Z36" s="40" t="str">
        <f>IFERROR(__xludf.DUMMYFUNCTION("if(AND(AA36=FALSE,AB36=FALSE),,if(AA36=AB36,JOIN("""",""Static: "",AA36),JOIN("""",""Min:  "",AA36, CHAR(10),""Max: "",AB36)))"),"")</f>
        <v/>
      </c>
      <c r="AA36" s="42" t="str">
        <f t="array" ref="AA36">_xlfn.XLOOKUP(B36,'Up Min'!A:A,'Up Min'!G:G,)</f>
        <v/>
      </c>
      <c r="AB36" s="42" t="str">
        <f t="array" ref="AB36">_xlfn.XLOOKUP(B36,'Up Max'!A:A,'Up Max'!G:G,)</f>
        <v/>
      </c>
      <c r="AC36" s="48" t="str">
        <f t="array" ref="AC36">_xlfn.XLOOKUP(B36,'Up Stats'!A:A,'Up Stats'!H:H,)</f>
        <v/>
      </c>
      <c r="AD36" s="40" t="str">
        <f>IFERROR(__xludf.DUMMYFUNCTION("if(AND(AE36=FALSE,AF36=FALSE),,if(AE36=AF36,JOIN("""",""Static: "",AE36),JOIN("""",""Min:  "",AE36, CHAR(10),""Max: "",AF36)))"),"")</f>
        <v/>
      </c>
      <c r="AE36" s="42" t="str">
        <f t="array" ref="AE36">_xlfn.XLOOKUP(B36,'Up Min'!A:A,'Up Min'!H:H,)</f>
        <v/>
      </c>
      <c r="AF36" s="42" t="str">
        <f t="array" ref="AF36">_xlfn.XLOOKUP(B36,'Up Max'!A:A,'Up Max'!H:H,)</f>
        <v/>
      </c>
      <c r="AG36" s="48" t="str">
        <f t="array" ref="AG36">_xlfn.XLOOKUP(B36,'Up Stats'!A:A,'Up Stats'!I:I,)</f>
        <v/>
      </c>
      <c r="AH36" s="40" t="str">
        <f>IFERROR(__xludf.DUMMYFUNCTION("if(AND(AI36=FALSE,AJ36=FALSE),,if(AI36=AJ36,JOIN("""",""Static: "",AI36),JOIN("""",""Min:  "",AI36, CHAR(10),""Max: "",AJ36)))"),"")</f>
        <v/>
      </c>
      <c r="AI36" s="42" t="str">
        <f t="array" ref="AI36">_xlfn.XLOOKUP(B36,'Up Min'!A:A,'Up Min'!I:I,)</f>
        <v/>
      </c>
      <c r="AJ36" s="42" t="str">
        <f t="array" ref="AJ36">_xlfn.XLOOKUP(B36,'Up Max'!A:A,'Up Max'!I:I,)</f>
        <v/>
      </c>
      <c r="AK36" s="48" t="str">
        <f t="array" ref="AK36">_xlfn.XLOOKUP(B36,'Up Stats'!A:A,'Up Stats'!J:J,)</f>
        <v/>
      </c>
      <c r="AL36" s="40" t="str">
        <f>IFERROR(__xludf.DUMMYFUNCTION("if(AND(AM36=FALSE,AN36=FALSE),,if(AM36=AN36,JOIN("""",""Static: "",AM36),JOIN("""",""Min:  "",AM36, CHAR(10),""Max: "",AN36)))"),"")</f>
        <v/>
      </c>
      <c r="AM36" s="42" t="str">
        <f t="array" ref="AM36">_xlfn.XLOOKUP(B36,'Up Min'!A:A,'Up Min'!J:J,)</f>
        <v/>
      </c>
      <c r="AN36" s="42" t="str">
        <f t="array" ref="AN36">_xlfn.XLOOKUP(B36,'Up Max'!A:A,'Up Max'!J:J,)</f>
        <v/>
      </c>
      <c r="AO36" s="34" t="str">
        <f t="array" ref="AO36">CONCATENATE(_xlfn.XLOOKUP(B36,'Up Cells'!A:A,'Up Cells'!B:B,))</f>
        <v>3</v>
      </c>
      <c r="AP36" s="34" t="str">
        <f t="array" ref="AP36">CONCATENATE(_xlfn.XLOOKUP(B36,'Up Rarity'!A:A,'Up Rarity'!B:B,),CHAR(10),"-")</f>
        <v>Standard
-</v>
      </c>
    </row>
    <row r="37">
      <c r="A37" s="86" t="str">
        <f t="array" ref="A37">_xlfn.XLOOKUP(B37,'Up Icon'!A:A,'Up Icon'!B:B,)</f>
        <v/>
      </c>
      <c r="B37" s="51" t="str">
        <f t="array" ref="B37">HYPERLINK(_xlfn.XLOOKUP('Up Names'!T37,'Up Wiki'!A:A,'Up Wiki'!B:B,),'Up Names'!T37)</f>
        <v/>
      </c>
      <c r="C37" s="52" t="str">
        <f t="array" ref="C37">_xlfn.XLOOKUP(B37,'Up Desc'!A:A,'Up Desc'!B:B,)</f>
        <v/>
      </c>
      <c r="D37" s="52" t="str">
        <f t="array" ref="D37">_xlfn.XLOOKUP(B37,'Up Turbo'!A:A,'Up Turbo'!B:B,)</f>
        <v/>
      </c>
      <c r="E37" s="53" t="str">
        <f t="array" ref="E37">_xlfn.XLOOKUP(B37,'Up Stats'!A:A,'Up Stats'!B:B,)</f>
        <v/>
      </c>
      <c r="F37" s="54" t="str">
        <f>IFERROR(__xludf.DUMMYFUNCTION("if(AND(G37=FALSE,H37=FALSE),,if(G37=H37,JOIN("""",""Static: "",G37),JOIN("""",""Min:  "",G37, CHAR(10),""Max: "",H37)))"),"")</f>
        <v/>
      </c>
      <c r="G37" s="55" t="str">
        <f t="array" ref="G37">_xlfn.XLOOKUP(B37,'Up Min'!A:A,'Up Min'!B:B,)</f>
        <v/>
      </c>
      <c r="H37" s="56" t="str">
        <f t="array" ref="H37">_xlfn.XLOOKUP(B37,'Up Max'!A:A,'Up Max'!B:B,)</f>
        <v/>
      </c>
      <c r="I37" s="53" t="str">
        <f t="array" ref="I37">_xlfn.XLOOKUP(B37,'Up Stats'!A:A,'Up Stats'!C:C,)</f>
        <v/>
      </c>
      <c r="J37" s="54" t="str">
        <f>IFERROR(__xludf.DUMMYFUNCTION("if(AND(K37=FALSE,L37=FALSE),,if(K37=L37,JOIN("""",""Static: "",K37),JOIN("""",""Min:  "",K37, CHAR(10),""Max: "",L37)))"),"")</f>
        <v/>
      </c>
      <c r="K37" s="55" t="str">
        <f t="array" ref="K37">_xlfn.XLOOKUP(B37,'Up Min'!A:A,'Up Min'!C:C,)</f>
        <v/>
      </c>
      <c r="L37" s="55" t="str">
        <f t="array" ref="L37">_xlfn.XLOOKUP(B37,'Up Max'!A:A,'Up Max'!C:C,)</f>
        <v/>
      </c>
      <c r="M37" s="57" t="str">
        <f t="array" ref="M37">_xlfn.XLOOKUP(B37,'Up Stats'!A:A,'Up Stats'!D:D,)</f>
        <v/>
      </c>
      <c r="N37" s="54" t="str">
        <f>IFERROR(__xludf.DUMMYFUNCTION("if(AND(O37=FALSE,P37=FALSE),,if(O37=P37,JOIN("""",""Static: "",O37),JOIN("""",""Min:  "",O37, CHAR(10),""Max: "",P37)))"),"")</f>
        <v/>
      </c>
      <c r="O37" s="55" t="str">
        <f t="array" ref="O37">_xlfn.XLOOKUP(B37,'Up Min'!A:A,'Up Min'!D:D,)</f>
        <v/>
      </c>
      <c r="P37" s="55" t="str">
        <f t="array" ref="P37">_xlfn.XLOOKUP(B37,'Up Max'!A:A,'Up Max'!D:D,)</f>
        <v/>
      </c>
      <c r="Q37" s="57" t="str">
        <f t="array" ref="Q37">_xlfn.XLOOKUP(B37,'Up Stats'!A:A,'Up Stats'!E:E,)</f>
        <v/>
      </c>
      <c r="R37" s="54" t="str">
        <f>IFERROR(__xludf.DUMMYFUNCTION("if(AND(S37=FALSE,T37=FALSE),,if(S37=T37,JOIN("""",""Static: "",S37),JOIN("""",""Min:  "",S37, CHAR(10),""Max: "",T37)))"),"")</f>
        <v/>
      </c>
      <c r="S37" s="55" t="str">
        <f t="array" ref="S37">_xlfn.XLOOKUP(B37,'Up Min'!A:A,'Up Min'!E:E,)</f>
        <v/>
      </c>
      <c r="T37" s="55" t="str">
        <f t="array" ref="T37">_xlfn.XLOOKUP(B37,'Up Max'!A:A,'Up Max'!E:E,)</f>
        <v/>
      </c>
      <c r="U37" s="57" t="str">
        <f t="array" ref="U37">_xlfn.XLOOKUP(B37,'Up Stats'!A:A,'Up Stats'!F:F,)</f>
        <v/>
      </c>
      <c r="V37" s="54" t="str">
        <f>IFERROR(__xludf.DUMMYFUNCTION("if(AND(W37=FALSE,X37=FALSE),,if(W37=X37,JOIN("""",""Static: "",W37),JOIN("""",""Min:  "",W37, CHAR(10),""Max: "",X37)))"),"")</f>
        <v/>
      </c>
      <c r="W37" s="55" t="str">
        <f t="array" ref="W37">_xlfn.XLOOKUP(B37,'Up Min'!A:A,'Up Min'!F:F,)</f>
        <v/>
      </c>
      <c r="X37" s="55" t="str">
        <f t="array" ref="X37">_xlfn.XLOOKUP(B37,'Up Max'!A:A,'Up Max'!F:F,)</f>
        <v/>
      </c>
      <c r="Y37" s="57" t="str">
        <f t="array" ref="Y37">_xlfn.XLOOKUP(B37,'Up Stats'!A:A,'Up Stats'!G:G,)</f>
        <v/>
      </c>
      <c r="Z37" s="54" t="str">
        <f>IFERROR(__xludf.DUMMYFUNCTION("if(AND(AA37=FALSE,AB37=FALSE),,if(AA37=AB37,JOIN("""",""Static: "",AA37),JOIN("""",""Min:  "",AA37, CHAR(10),""Max: "",AB37)))"),"")</f>
        <v/>
      </c>
      <c r="AA37" s="55" t="str">
        <f t="array" ref="AA37">_xlfn.XLOOKUP(B37,'Up Min'!A:A,'Up Min'!G:G,)</f>
        <v/>
      </c>
      <c r="AB37" s="55" t="str">
        <f t="array" ref="AB37">_xlfn.XLOOKUP(B37,'Up Max'!A:A,'Up Max'!G:G,)</f>
        <v/>
      </c>
      <c r="AC37" s="57" t="str">
        <f t="array" ref="AC37">_xlfn.XLOOKUP(B37,'Up Stats'!A:A,'Up Stats'!H:H,)</f>
        <v/>
      </c>
      <c r="AD37" s="54" t="str">
        <f>IFERROR(__xludf.DUMMYFUNCTION("if(AND(AE37=FALSE,AF37=FALSE),,if(AE37=AF37,JOIN("""",""Static: "",AE37),JOIN("""",""Min:  "",AE37, CHAR(10),""Max: "",AF37)))"),"")</f>
        <v/>
      </c>
      <c r="AE37" s="55" t="str">
        <f t="array" ref="AE37">_xlfn.XLOOKUP(B37,'Up Min'!A:A,'Up Min'!H:H,)</f>
        <v/>
      </c>
      <c r="AF37" s="55" t="str">
        <f t="array" ref="AF37">_xlfn.XLOOKUP(B37,'Up Max'!A:A,'Up Max'!H:H,)</f>
        <v/>
      </c>
      <c r="AG37" s="57" t="str">
        <f t="array" ref="AG37">_xlfn.XLOOKUP(B37,'Up Stats'!A:A,'Up Stats'!I:I,)</f>
        <v/>
      </c>
      <c r="AH37" s="54" t="str">
        <f>IFERROR(__xludf.DUMMYFUNCTION("if(AND(AI37=FALSE,AJ37=FALSE),,if(AI37=AJ37,JOIN("""",""Static: "",AI37),JOIN("""",""Min:  "",AI37, CHAR(10),""Max: "",AJ37)))"),"")</f>
        <v/>
      </c>
      <c r="AI37" s="55" t="str">
        <f t="array" ref="AI37">_xlfn.XLOOKUP(B37,'Up Min'!A:A,'Up Min'!I:I,)</f>
        <v/>
      </c>
      <c r="AJ37" s="55" t="str">
        <f t="array" ref="AJ37">_xlfn.XLOOKUP(B37,'Up Max'!A:A,'Up Max'!I:I,)</f>
        <v/>
      </c>
      <c r="AK37" s="57" t="str">
        <f t="array" ref="AK37">_xlfn.XLOOKUP(B37,'Up Stats'!A:A,'Up Stats'!J:J,)</f>
        <v/>
      </c>
      <c r="AL37" s="54" t="str">
        <f>IFERROR(__xludf.DUMMYFUNCTION("if(AND(AM37=FALSE,AN37=FALSE),,if(AM37=AN37,JOIN("""",""Static: "",AM37),JOIN("""",""Min:  "",AM37, CHAR(10),""Max: "",AN37)))"),"")</f>
        <v/>
      </c>
      <c r="AM37" s="55" t="str">
        <f t="array" ref="AM37">_xlfn.XLOOKUP(B37,'Up Min'!A:A,'Up Min'!J:J,)</f>
        <v/>
      </c>
      <c r="AN37" s="55" t="str">
        <f t="array" ref="AN37">_xlfn.XLOOKUP(B37,'Up Max'!A:A,'Up Max'!J:J,)</f>
        <v/>
      </c>
      <c r="AO37" s="51" t="str">
        <f t="array" ref="AO37">CONCATENATE(_xlfn.XLOOKUP(B37,'Up Cells'!A:A,'Up Cells'!B:B,))</f>
        <v/>
      </c>
      <c r="AP37" s="51" t="str">
        <f t="array" ref="AP37">CONCATENATE(_xlfn.XLOOKUP(B37,'Up Rarity'!A:A,'Up Rarity'!B:B,),CHAR(10),"-")</f>
        <v>
-</v>
      </c>
    </row>
    <row r="38">
      <c r="A38" s="87" t="str">
        <f t="array" ref="A38">_xlfn.XLOOKUP(B38,'Up Icon'!A:A,'Up Icon'!B:B,)</f>
        <v/>
      </c>
      <c r="B38" s="34" t="str">
        <f t="array" ref="B38">HYPERLINK(_xlfn.XLOOKUP('Up Names'!T38,'Up Wiki'!A:A,'Up Wiki'!B:B,),'Up Names'!T38)</f>
        <v/>
      </c>
      <c r="C38" s="37" t="str">
        <f t="array" ref="C38">_xlfn.XLOOKUP(B38,'Up Desc'!A:A,'Up Desc'!B:B,)</f>
        <v/>
      </c>
      <c r="D38" s="37" t="str">
        <f t="array" ref="D38">_xlfn.XLOOKUP(B38,'Up Turbo'!A:A,'Up Turbo'!B:B,)</f>
        <v/>
      </c>
      <c r="E38" s="39" t="str">
        <f t="array" ref="E38">_xlfn.XLOOKUP(B38,'Up Stats'!A:A,'Up Stats'!B:B,)</f>
        <v/>
      </c>
      <c r="F38" s="40" t="str">
        <f>IFERROR(__xludf.DUMMYFUNCTION("if(AND(G38=FALSE,H38=FALSE),,if(G38=H38,JOIN("""",""Static: "",G38),JOIN("""",""Min:  "",G38, CHAR(10),""Max: "",H38)))"),"")</f>
        <v/>
      </c>
      <c r="G38" s="42" t="str">
        <f t="array" ref="G38">_xlfn.XLOOKUP(B38,'Up Min'!A:A,'Up Min'!B:B,)</f>
        <v/>
      </c>
      <c r="H38" s="45" t="str">
        <f t="array" ref="H38">_xlfn.XLOOKUP(B38,'Up Max'!A:A,'Up Max'!B:B,)</f>
        <v/>
      </c>
      <c r="I38" s="39" t="str">
        <f t="array" ref="I38">_xlfn.XLOOKUP(B38,'Up Stats'!A:A,'Up Stats'!C:C,)</f>
        <v/>
      </c>
      <c r="J38" s="40" t="str">
        <f>IFERROR(__xludf.DUMMYFUNCTION("if(AND(K38=FALSE,L38=FALSE),,if(K38=L38,JOIN("""",""Static: "",K38),JOIN("""",""Min:  "",K38, CHAR(10),""Max: "",L38)))"),"")</f>
        <v/>
      </c>
      <c r="K38" s="42" t="str">
        <f t="array" ref="K38">_xlfn.XLOOKUP(B38,'Up Min'!A:A,'Up Min'!C:C,)</f>
        <v/>
      </c>
      <c r="L38" s="42" t="str">
        <f t="array" ref="L38">_xlfn.XLOOKUP(B38,'Up Max'!A:A,'Up Max'!C:C,)</f>
        <v/>
      </c>
      <c r="M38" s="48" t="str">
        <f t="array" ref="M38">_xlfn.XLOOKUP(B38,'Up Stats'!A:A,'Up Stats'!D:D,)</f>
        <v/>
      </c>
      <c r="N38" s="40" t="str">
        <f>IFERROR(__xludf.DUMMYFUNCTION("if(AND(O38=FALSE,P38=FALSE),,if(O38=P38,JOIN("""",""Static: "",O38),JOIN("""",""Min:  "",O38, CHAR(10),""Max: "",P38)))"),"")</f>
        <v/>
      </c>
      <c r="O38" s="42" t="str">
        <f t="array" ref="O38">_xlfn.XLOOKUP(B38,'Up Min'!A:A,'Up Min'!D:D,)</f>
        <v/>
      </c>
      <c r="P38" s="42" t="str">
        <f t="array" ref="P38">_xlfn.XLOOKUP(B38,'Up Max'!A:A,'Up Max'!D:D,)</f>
        <v/>
      </c>
      <c r="Q38" s="48" t="str">
        <f t="array" ref="Q38">_xlfn.XLOOKUP(B38,'Up Stats'!A:A,'Up Stats'!E:E,)</f>
        <v/>
      </c>
      <c r="R38" s="40" t="str">
        <f>IFERROR(__xludf.DUMMYFUNCTION("if(AND(S38=FALSE,T38=FALSE),,if(S38=T38,JOIN("""",""Static: "",S38),JOIN("""",""Min:  "",S38, CHAR(10),""Max: "",T38)))"),"")</f>
        <v/>
      </c>
      <c r="S38" s="42" t="str">
        <f t="array" ref="S38">_xlfn.XLOOKUP(B38,'Up Min'!A:A,'Up Min'!E:E,)</f>
        <v/>
      </c>
      <c r="T38" s="42" t="str">
        <f t="array" ref="T38">_xlfn.XLOOKUP(B38,'Up Max'!A:A,'Up Max'!E:E,)</f>
        <v/>
      </c>
      <c r="U38" s="48" t="str">
        <f t="array" ref="U38">_xlfn.XLOOKUP(B38,'Up Stats'!A:A,'Up Stats'!F:F,)</f>
        <v/>
      </c>
      <c r="V38" s="40" t="str">
        <f>IFERROR(__xludf.DUMMYFUNCTION("if(AND(W38=FALSE,X38=FALSE),,if(W38=X38,JOIN("""",""Static: "",W38),JOIN("""",""Min:  "",W38, CHAR(10),""Max: "",X38)))"),"")</f>
        <v/>
      </c>
      <c r="W38" s="42" t="str">
        <f t="array" ref="W38">_xlfn.XLOOKUP(B38,'Up Min'!A:A,'Up Min'!F:F,)</f>
        <v/>
      </c>
      <c r="X38" s="42" t="str">
        <f t="array" ref="X38">_xlfn.XLOOKUP(B38,'Up Max'!A:A,'Up Max'!F:F,)</f>
        <v/>
      </c>
      <c r="Y38" s="48" t="str">
        <f t="array" ref="Y38">_xlfn.XLOOKUP(B38,'Up Stats'!A:A,'Up Stats'!G:G,)</f>
        <v/>
      </c>
      <c r="Z38" s="40" t="str">
        <f>IFERROR(__xludf.DUMMYFUNCTION("if(AND(AA38=FALSE,AB38=FALSE),,if(AA38=AB38,JOIN("""",""Static: "",AA38),JOIN("""",""Min:  "",AA38, CHAR(10),""Max: "",AB38)))"),"")</f>
        <v/>
      </c>
      <c r="AA38" s="42" t="str">
        <f t="array" ref="AA38">_xlfn.XLOOKUP(B38,'Up Min'!A:A,'Up Min'!G:G,)</f>
        <v/>
      </c>
      <c r="AB38" s="42" t="str">
        <f t="array" ref="AB38">_xlfn.XLOOKUP(B38,'Up Max'!A:A,'Up Max'!G:G,)</f>
        <v/>
      </c>
      <c r="AC38" s="48" t="str">
        <f t="array" ref="AC38">_xlfn.XLOOKUP(B38,'Up Stats'!A:A,'Up Stats'!H:H,)</f>
        <v/>
      </c>
      <c r="AD38" s="40" t="str">
        <f>IFERROR(__xludf.DUMMYFUNCTION("if(AND(AE38=FALSE,AF38=FALSE),,if(AE38=AF38,JOIN("""",""Static: "",AE38),JOIN("""",""Min:  "",AE38, CHAR(10),""Max: "",AF38)))"),"")</f>
        <v/>
      </c>
      <c r="AE38" s="42" t="str">
        <f t="array" ref="AE38">_xlfn.XLOOKUP(B38,'Up Min'!A:A,'Up Min'!H:H,)</f>
        <v/>
      </c>
      <c r="AF38" s="42" t="str">
        <f t="array" ref="AF38">_xlfn.XLOOKUP(B38,'Up Max'!A:A,'Up Max'!H:H,)</f>
        <v/>
      </c>
      <c r="AG38" s="48" t="str">
        <f t="array" ref="AG38">_xlfn.XLOOKUP(B38,'Up Stats'!A:A,'Up Stats'!I:I,)</f>
        <v/>
      </c>
      <c r="AH38" s="40" t="str">
        <f>IFERROR(__xludf.DUMMYFUNCTION("if(AND(AI38=FALSE,AJ38=FALSE),,if(AI38=AJ38,JOIN("""",""Static: "",AI38),JOIN("""",""Min:  "",AI38, CHAR(10),""Max: "",AJ38)))"),"")</f>
        <v/>
      </c>
      <c r="AI38" s="42" t="str">
        <f t="array" ref="AI38">_xlfn.XLOOKUP(B38,'Up Min'!A:A,'Up Min'!I:I,)</f>
        <v/>
      </c>
      <c r="AJ38" s="42" t="str">
        <f t="array" ref="AJ38">_xlfn.XLOOKUP(B38,'Up Max'!A:A,'Up Max'!I:I,)</f>
        <v/>
      </c>
      <c r="AK38" s="48" t="str">
        <f t="array" ref="AK38">_xlfn.XLOOKUP(B38,'Up Stats'!A:A,'Up Stats'!J:J,)</f>
        <v/>
      </c>
      <c r="AL38" s="40" t="str">
        <f>IFERROR(__xludf.DUMMYFUNCTION("if(AND(AM38=FALSE,AN38=FALSE),,if(AM38=AN38,JOIN("""",""Static: "",AM38),JOIN("""",""Min:  "",AM38, CHAR(10),""Max: "",AN38)))"),"")</f>
        <v/>
      </c>
      <c r="AM38" s="42" t="str">
        <f t="array" ref="AM38">_xlfn.XLOOKUP(B38,'Up Min'!A:A,'Up Min'!J:J,)</f>
        <v/>
      </c>
      <c r="AN38" s="42" t="str">
        <f t="array" ref="AN38">_xlfn.XLOOKUP(B38,'Up Max'!A:A,'Up Max'!J:J,)</f>
        <v/>
      </c>
      <c r="AO38" s="34" t="str">
        <f t="array" ref="AO38">CONCATENATE(_xlfn.XLOOKUP(B38,'Up Cells'!A:A,'Up Cells'!B:B,))</f>
        <v/>
      </c>
      <c r="AP38" s="34" t="str">
        <f t="array" ref="AP38">CONCATENATE(_xlfn.XLOOKUP(B38,'Up Rarity'!A:A,'Up Rarity'!B:B,),CHAR(10),"-")</f>
        <v>
-</v>
      </c>
    </row>
    <row r="39">
      <c r="A39" s="86" t="str">
        <f t="array" ref="A39">_xlfn.XLOOKUP(B39,'Up Icon'!A:A,'Up Icon'!B:B,)</f>
        <v/>
      </c>
      <c r="B39" s="51" t="str">
        <f t="array" ref="B39">HYPERLINK(_xlfn.XLOOKUP('Up Names'!T39,'Up Wiki'!A:A,'Up Wiki'!B:B,),'Up Names'!T39)</f>
        <v/>
      </c>
      <c r="C39" s="52" t="str">
        <f t="array" ref="C39">_xlfn.XLOOKUP(B39,'Up Desc'!A:A,'Up Desc'!B:B,)</f>
        <v/>
      </c>
      <c r="D39" s="52" t="str">
        <f t="array" ref="D39">_xlfn.XLOOKUP(B39,'Up Turbo'!A:A,'Up Turbo'!B:B,)</f>
        <v/>
      </c>
      <c r="E39" s="53" t="str">
        <f t="array" ref="E39">_xlfn.XLOOKUP(B39,'Up Stats'!A:A,'Up Stats'!B:B,)</f>
        <v/>
      </c>
      <c r="F39" s="54" t="str">
        <f>IFERROR(__xludf.DUMMYFUNCTION("if(AND(G39=FALSE,H39=FALSE),,if(G39=H39,JOIN("""",""Static: "",G39),JOIN("""",""Min:  "",G39, CHAR(10),""Max: "",H39)))"),"")</f>
        <v/>
      </c>
      <c r="G39" s="55" t="str">
        <f t="array" ref="G39">_xlfn.XLOOKUP(B39,'Up Min'!A:A,'Up Min'!B:B,)</f>
        <v/>
      </c>
      <c r="H39" s="56" t="str">
        <f t="array" ref="H39">_xlfn.XLOOKUP(B39,'Up Max'!A:A,'Up Max'!B:B,)</f>
        <v/>
      </c>
      <c r="I39" s="53" t="str">
        <f t="array" ref="I39">_xlfn.XLOOKUP(B39,'Up Stats'!A:A,'Up Stats'!C:C,)</f>
        <v/>
      </c>
      <c r="J39" s="54" t="str">
        <f>IFERROR(__xludf.DUMMYFUNCTION("if(AND(K39=FALSE,L39=FALSE),,if(K39=L39,JOIN("""",""Static: "",K39),JOIN("""",""Min:  "",K39, CHAR(10),""Max: "",L39)))"),"")</f>
        <v/>
      </c>
      <c r="K39" s="55" t="str">
        <f t="array" ref="K39">_xlfn.XLOOKUP(B39,'Up Min'!A:A,'Up Min'!C:C,)</f>
        <v/>
      </c>
      <c r="L39" s="55" t="str">
        <f t="array" ref="L39">_xlfn.XLOOKUP(B39,'Up Max'!A:A,'Up Max'!C:C,)</f>
        <v/>
      </c>
      <c r="M39" s="57" t="str">
        <f t="array" ref="M39">_xlfn.XLOOKUP(B39,'Up Stats'!A:A,'Up Stats'!D:D,)</f>
        <v/>
      </c>
      <c r="N39" s="54" t="str">
        <f>IFERROR(__xludf.DUMMYFUNCTION("if(AND(O39=FALSE,P39=FALSE),,if(O39=P39,JOIN("""",""Static: "",O39),JOIN("""",""Min:  "",O39, CHAR(10),""Max: "",P39)))"),"")</f>
        <v/>
      </c>
      <c r="O39" s="55" t="str">
        <f t="array" ref="O39">_xlfn.XLOOKUP(B39,'Up Min'!A:A,'Up Min'!D:D,)</f>
        <v/>
      </c>
      <c r="P39" s="55" t="str">
        <f t="array" ref="P39">_xlfn.XLOOKUP(B39,'Up Max'!A:A,'Up Max'!D:D,)</f>
        <v/>
      </c>
      <c r="Q39" s="57" t="str">
        <f t="array" ref="Q39">_xlfn.XLOOKUP(B39,'Up Stats'!A:A,'Up Stats'!E:E,)</f>
        <v/>
      </c>
      <c r="R39" s="54" t="str">
        <f>IFERROR(__xludf.DUMMYFUNCTION("if(AND(S39=FALSE,T39=FALSE),,if(S39=T39,JOIN("""",""Static: "",S39),JOIN("""",""Min:  "",S39, CHAR(10),""Max: "",T39)))"),"")</f>
        <v/>
      </c>
      <c r="S39" s="55" t="str">
        <f t="array" ref="S39">_xlfn.XLOOKUP(B39,'Up Min'!A:A,'Up Min'!E:E,)</f>
        <v/>
      </c>
      <c r="T39" s="55" t="str">
        <f t="array" ref="T39">_xlfn.XLOOKUP(B39,'Up Max'!A:A,'Up Max'!E:E,)</f>
        <v/>
      </c>
      <c r="U39" s="57" t="str">
        <f t="array" ref="U39">_xlfn.XLOOKUP(B39,'Up Stats'!A:A,'Up Stats'!F:F,)</f>
        <v/>
      </c>
      <c r="V39" s="54" t="str">
        <f>IFERROR(__xludf.DUMMYFUNCTION("if(AND(W39=FALSE,X39=FALSE),,if(W39=X39,JOIN("""",""Static: "",W39),JOIN("""",""Min:  "",W39, CHAR(10),""Max: "",X39)))"),"")</f>
        <v/>
      </c>
      <c r="W39" s="55" t="str">
        <f t="array" ref="W39">_xlfn.XLOOKUP(B39,'Up Min'!A:A,'Up Min'!F:F,)</f>
        <v/>
      </c>
      <c r="X39" s="55" t="str">
        <f t="array" ref="X39">_xlfn.XLOOKUP(B39,'Up Max'!A:A,'Up Max'!F:F,)</f>
        <v/>
      </c>
      <c r="Y39" s="57" t="str">
        <f t="array" ref="Y39">_xlfn.XLOOKUP(B39,'Up Stats'!A:A,'Up Stats'!G:G,)</f>
        <v/>
      </c>
      <c r="Z39" s="54" t="str">
        <f>IFERROR(__xludf.DUMMYFUNCTION("if(AND(AA39=FALSE,AB39=FALSE),,if(AA39=AB39,JOIN("""",""Static: "",AA39),JOIN("""",""Min:  "",AA39, CHAR(10),""Max: "",AB39)))"),"")</f>
        <v/>
      </c>
      <c r="AA39" s="55" t="str">
        <f t="array" ref="AA39">_xlfn.XLOOKUP(B39,'Up Min'!A:A,'Up Min'!G:G,)</f>
        <v/>
      </c>
      <c r="AB39" s="55" t="str">
        <f t="array" ref="AB39">_xlfn.XLOOKUP(B39,'Up Max'!A:A,'Up Max'!G:G,)</f>
        <v/>
      </c>
      <c r="AC39" s="57" t="str">
        <f t="array" ref="AC39">_xlfn.XLOOKUP(B39,'Up Stats'!A:A,'Up Stats'!H:H,)</f>
        <v/>
      </c>
      <c r="AD39" s="54" t="str">
        <f>IFERROR(__xludf.DUMMYFUNCTION("if(AND(AE39=FALSE,AF39=FALSE),,if(AE39=AF39,JOIN("""",""Static: "",AE39),JOIN("""",""Min:  "",AE39, CHAR(10),""Max: "",AF39)))"),"")</f>
        <v/>
      </c>
      <c r="AE39" s="55" t="str">
        <f t="array" ref="AE39">_xlfn.XLOOKUP(B39,'Up Min'!A:A,'Up Min'!H:H,)</f>
        <v/>
      </c>
      <c r="AF39" s="55" t="str">
        <f t="array" ref="AF39">_xlfn.XLOOKUP(B39,'Up Max'!A:A,'Up Max'!H:H,)</f>
        <v/>
      </c>
      <c r="AG39" s="57" t="str">
        <f t="array" ref="AG39">_xlfn.XLOOKUP(B39,'Up Stats'!A:A,'Up Stats'!I:I,)</f>
        <v/>
      </c>
      <c r="AH39" s="54" t="str">
        <f>IFERROR(__xludf.DUMMYFUNCTION("if(AND(AI39=FALSE,AJ39=FALSE),,if(AI39=AJ39,JOIN("""",""Static: "",AI39),JOIN("""",""Min:  "",AI39, CHAR(10),""Max: "",AJ39)))"),"")</f>
        <v/>
      </c>
      <c r="AI39" s="55" t="str">
        <f t="array" ref="AI39">_xlfn.XLOOKUP(B39,'Up Min'!A:A,'Up Min'!I:I,)</f>
        <v/>
      </c>
      <c r="AJ39" s="55" t="str">
        <f t="array" ref="AJ39">_xlfn.XLOOKUP(B39,'Up Max'!A:A,'Up Max'!I:I,)</f>
        <v/>
      </c>
      <c r="AK39" s="57" t="str">
        <f t="array" ref="AK39">_xlfn.XLOOKUP(B39,'Up Stats'!A:A,'Up Stats'!J:J,)</f>
        <v/>
      </c>
      <c r="AL39" s="54" t="str">
        <f>IFERROR(__xludf.DUMMYFUNCTION("if(AND(AM39=FALSE,AN39=FALSE),,if(AM39=AN39,JOIN("""",""Static: "",AM39),JOIN("""",""Min:  "",AM39, CHAR(10),""Max: "",AN39)))"),"")</f>
        <v/>
      </c>
      <c r="AM39" s="55" t="str">
        <f t="array" ref="AM39">_xlfn.XLOOKUP(B39,'Up Min'!A:A,'Up Min'!J:J,)</f>
        <v/>
      </c>
      <c r="AN39" s="55" t="str">
        <f t="array" ref="AN39">_xlfn.XLOOKUP(B39,'Up Max'!A:A,'Up Max'!J:J,)</f>
        <v/>
      </c>
      <c r="AO39" s="51" t="str">
        <f t="array" ref="AO39">CONCATENATE(_xlfn.XLOOKUP(B39,'Up Cells'!A:A,'Up Cells'!B:B,))</f>
        <v/>
      </c>
      <c r="AP39" s="51" t="str">
        <f t="array" ref="AP39">CONCATENATE(_xlfn.XLOOKUP(B39,'Up Rarity'!A:A,'Up Rarity'!B:B,),CHAR(10),"-")</f>
        <v>
-</v>
      </c>
    </row>
    <row r="40">
      <c r="A40" s="87" t="str">
        <f t="array" ref="A40">_xlfn.XLOOKUP(B40,'Up Icon'!A:A,'Up Icon'!B:B,)</f>
        <v/>
      </c>
      <c r="B40" s="34" t="str">
        <f t="array" ref="B40">HYPERLINK(_xlfn.XLOOKUP('Up Names'!T40,'Up Wiki'!A:A,'Up Wiki'!B:B,),'Up Names'!T40)</f>
        <v/>
      </c>
      <c r="C40" s="37" t="str">
        <f t="array" ref="C40">_xlfn.XLOOKUP(B40,'Up Desc'!A:A,'Up Desc'!B:B,)</f>
        <v/>
      </c>
      <c r="D40" s="37" t="str">
        <f t="array" ref="D40">_xlfn.XLOOKUP(B40,'Up Turbo'!A:A,'Up Turbo'!B:B,)</f>
        <v/>
      </c>
      <c r="E40" s="39" t="str">
        <f t="array" ref="E40">_xlfn.XLOOKUP(B40,'Up Stats'!A:A,'Up Stats'!B:B,)</f>
        <v/>
      </c>
      <c r="F40" s="40" t="str">
        <f>IFERROR(__xludf.DUMMYFUNCTION("if(AND(G40=FALSE,H40=FALSE),,if(G40=H40,JOIN("""",""Static: "",G40),JOIN("""",""Min:  "",G40, CHAR(10),""Max: "",H40)))"),"")</f>
        <v/>
      </c>
      <c r="G40" s="42" t="str">
        <f t="array" ref="G40">_xlfn.XLOOKUP(B40,'Up Min'!A:A,'Up Min'!B:B,)</f>
        <v/>
      </c>
      <c r="H40" s="45" t="str">
        <f t="array" ref="H40">_xlfn.XLOOKUP(B40,'Up Max'!A:A,'Up Max'!B:B,)</f>
        <v/>
      </c>
      <c r="I40" s="39" t="str">
        <f t="array" ref="I40">_xlfn.XLOOKUP(B40,'Up Stats'!A:A,'Up Stats'!C:C,)</f>
        <v/>
      </c>
      <c r="J40" s="40" t="str">
        <f>IFERROR(__xludf.DUMMYFUNCTION("if(AND(K40=FALSE,L40=FALSE),,if(K40=L40,JOIN("""",""Static: "",K40),JOIN("""",""Min:  "",K40, CHAR(10),""Max: "",L40)))"),"")</f>
        <v/>
      </c>
      <c r="K40" s="42" t="str">
        <f t="array" ref="K40">_xlfn.XLOOKUP(B40,'Up Min'!A:A,'Up Min'!C:C,)</f>
        <v/>
      </c>
      <c r="L40" s="42" t="str">
        <f t="array" ref="L40">_xlfn.XLOOKUP(B40,'Up Max'!A:A,'Up Max'!C:C,)</f>
        <v/>
      </c>
      <c r="M40" s="48" t="str">
        <f t="array" ref="M40">_xlfn.XLOOKUP(B40,'Up Stats'!A:A,'Up Stats'!D:D,)</f>
        <v/>
      </c>
      <c r="N40" s="40" t="str">
        <f>IFERROR(__xludf.DUMMYFUNCTION("if(AND(O40=FALSE,P40=FALSE),,if(O40=P40,JOIN("""",""Static: "",O40),JOIN("""",""Min:  "",O40, CHAR(10),""Max: "",P40)))"),"")</f>
        <v/>
      </c>
      <c r="O40" s="42" t="str">
        <f t="array" ref="O40">_xlfn.XLOOKUP(B40,'Up Min'!A:A,'Up Min'!D:D,)</f>
        <v/>
      </c>
      <c r="P40" s="42" t="str">
        <f t="array" ref="P40">_xlfn.XLOOKUP(B40,'Up Max'!A:A,'Up Max'!D:D,)</f>
        <v/>
      </c>
      <c r="Q40" s="48" t="str">
        <f t="array" ref="Q40">_xlfn.XLOOKUP(B40,'Up Stats'!A:A,'Up Stats'!E:E,)</f>
        <v/>
      </c>
      <c r="R40" s="40" t="str">
        <f>IFERROR(__xludf.DUMMYFUNCTION("if(AND(S40=FALSE,T40=FALSE),,if(S40=T40,JOIN("""",""Static: "",S40),JOIN("""",""Min:  "",S40, CHAR(10),""Max: "",T40)))"),"")</f>
        <v/>
      </c>
      <c r="S40" s="42" t="str">
        <f t="array" ref="S40">_xlfn.XLOOKUP(B40,'Up Min'!A:A,'Up Min'!E:E,)</f>
        <v/>
      </c>
      <c r="T40" s="42" t="str">
        <f t="array" ref="T40">_xlfn.XLOOKUP(B40,'Up Max'!A:A,'Up Max'!E:E,)</f>
        <v/>
      </c>
      <c r="U40" s="48" t="str">
        <f t="array" ref="U40">_xlfn.XLOOKUP(B40,'Up Stats'!A:A,'Up Stats'!F:F,)</f>
        <v/>
      </c>
      <c r="V40" s="40" t="str">
        <f>IFERROR(__xludf.DUMMYFUNCTION("if(AND(W40=FALSE,X40=FALSE),,if(W40=X40,JOIN("""",""Static: "",W40),JOIN("""",""Min:  "",W40, CHAR(10),""Max: "",X40)))"),"")</f>
        <v/>
      </c>
      <c r="W40" s="42" t="str">
        <f t="array" ref="W40">_xlfn.XLOOKUP(B40,'Up Min'!A:A,'Up Min'!F:F,)</f>
        <v/>
      </c>
      <c r="X40" s="42" t="str">
        <f t="array" ref="X40">_xlfn.XLOOKUP(B40,'Up Max'!A:A,'Up Max'!F:F,)</f>
        <v/>
      </c>
      <c r="Y40" s="48" t="str">
        <f t="array" ref="Y40">_xlfn.XLOOKUP(B40,'Up Stats'!A:A,'Up Stats'!G:G,)</f>
        <v/>
      </c>
      <c r="Z40" s="40" t="str">
        <f>IFERROR(__xludf.DUMMYFUNCTION("if(AND(AA40=FALSE,AB40=FALSE),,if(AA40=AB40,JOIN("""",""Static: "",AA40),JOIN("""",""Min:  "",AA40, CHAR(10),""Max: "",AB40)))"),"")</f>
        <v/>
      </c>
      <c r="AA40" s="42" t="str">
        <f t="array" ref="AA40">_xlfn.XLOOKUP(B40,'Up Min'!A:A,'Up Min'!G:G,)</f>
        <v/>
      </c>
      <c r="AB40" s="42" t="str">
        <f t="array" ref="AB40">_xlfn.XLOOKUP(B40,'Up Max'!A:A,'Up Max'!G:G,)</f>
        <v/>
      </c>
      <c r="AC40" s="48" t="str">
        <f t="array" ref="AC40">_xlfn.XLOOKUP(B40,'Up Stats'!A:A,'Up Stats'!H:H,)</f>
        <v/>
      </c>
      <c r="AD40" s="40" t="str">
        <f>IFERROR(__xludf.DUMMYFUNCTION("if(AND(AE40=FALSE,AF40=FALSE),,if(AE40=AF40,JOIN("""",""Static: "",AE40),JOIN("""",""Min:  "",AE40, CHAR(10),""Max: "",AF40)))"),"")</f>
        <v/>
      </c>
      <c r="AE40" s="42" t="str">
        <f t="array" ref="AE40">_xlfn.XLOOKUP(B40,'Up Min'!A:A,'Up Min'!H:H,)</f>
        <v/>
      </c>
      <c r="AF40" s="42" t="str">
        <f t="array" ref="AF40">_xlfn.XLOOKUP(B40,'Up Max'!A:A,'Up Max'!H:H,)</f>
        <v/>
      </c>
      <c r="AG40" s="48" t="str">
        <f t="array" ref="AG40">_xlfn.XLOOKUP(B40,'Up Stats'!A:A,'Up Stats'!I:I,)</f>
        <v/>
      </c>
      <c r="AH40" s="40" t="str">
        <f>IFERROR(__xludf.DUMMYFUNCTION("if(AND(AI40=FALSE,AJ40=FALSE),,if(AI40=AJ40,JOIN("""",""Static: "",AI40),JOIN("""",""Min:  "",AI40, CHAR(10),""Max: "",AJ40)))"),"")</f>
        <v/>
      </c>
      <c r="AI40" s="42" t="str">
        <f t="array" ref="AI40">_xlfn.XLOOKUP(B40,'Up Min'!A:A,'Up Min'!I:I,)</f>
        <v/>
      </c>
      <c r="AJ40" s="42" t="str">
        <f t="array" ref="AJ40">_xlfn.XLOOKUP(B40,'Up Max'!A:A,'Up Max'!I:I,)</f>
        <v/>
      </c>
      <c r="AK40" s="48" t="str">
        <f t="array" ref="AK40">_xlfn.XLOOKUP(B40,'Up Stats'!A:A,'Up Stats'!J:J,)</f>
        <v/>
      </c>
      <c r="AL40" s="40" t="str">
        <f>IFERROR(__xludf.DUMMYFUNCTION("if(AND(AM40=FALSE,AN40=FALSE),,if(AM40=AN40,JOIN("""",""Static: "",AM40),JOIN("""",""Min:  "",AM40, CHAR(10),""Max: "",AN40)))"),"")</f>
        <v/>
      </c>
      <c r="AM40" s="42" t="str">
        <f t="array" ref="AM40">_xlfn.XLOOKUP(B40,'Up Min'!A:A,'Up Min'!J:J,)</f>
        <v/>
      </c>
      <c r="AN40" s="42" t="str">
        <f t="array" ref="AN40">_xlfn.XLOOKUP(B40,'Up Max'!A:A,'Up Max'!J:J,)</f>
        <v/>
      </c>
      <c r="AO40" s="34" t="str">
        <f t="array" ref="AO40">CONCATENATE(_xlfn.XLOOKUP(B40,'Up Cells'!A:A,'Up Cells'!B:B,))</f>
        <v/>
      </c>
      <c r="AP40" s="34" t="str">
        <f t="array" ref="AP40">CONCATENATE(_xlfn.XLOOKUP(B40,'Up Rarity'!A:A,'Up Rarity'!B:B,),CHAR(10),"-")</f>
        <v>
-</v>
      </c>
    </row>
    <row r="41">
      <c r="A41" s="86" t="str">
        <f t="array" ref="A41">_xlfn.XLOOKUP(B41,'Up Icon'!A:A,'Up Icon'!B:B,)</f>
        <v/>
      </c>
      <c r="B41" s="51" t="str">
        <f t="array" ref="B41">HYPERLINK(_xlfn.XLOOKUP('Up Names'!T41,'Up Wiki'!A:A,'Up Wiki'!B:B,),'Up Names'!T41)</f>
        <v/>
      </c>
      <c r="C41" s="52" t="str">
        <f t="array" ref="C41">_xlfn.XLOOKUP(B41,'Up Desc'!A:A,'Up Desc'!B:B,)</f>
        <v/>
      </c>
      <c r="D41" s="52" t="str">
        <f t="array" ref="D41">_xlfn.XLOOKUP(B41,'Up Turbo'!A:A,'Up Turbo'!B:B,)</f>
        <v/>
      </c>
      <c r="E41" s="53" t="str">
        <f t="array" ref="E41">_xlfn.XLOOKUP(B41,'Up Stats'!A:A,'Up Stats'!B:B,)</f>
        <v/>
      </c>
      <c r="F41" s="54" t="str">
        <f>IFERROR(__xludf.DUMMYFUNCTION("if(AND(G41=FALSE,H41=FALSE),,if(G41=H41,JOIN("""",""Static: "",G41),JOIN("""",""Min:  "",G41, CHAR(10),""Max: "",H41)))"),"")</f>
        <v/>
      </c>
      <c r="G41" s="55" t="str">
        <f t="array" ref="G41">_xlfn.XLOOKUP(B41,'Up Min'!A:A,'Up Min'!B:B,)</f>
        <v/>
      </c>
      <c r="H41" s="56" t="str">
        <f t="array" ref="H41">_xlfn.XLOOKUP(B41,'Up Max'!A:A,'Up Max'!B:B,)</f>
        <v/>
      </c>
      <c r="I41" s="53" t="str">
        <f t="array" ref="I41">_xlfn.XLOOKUP(B41,'Up Stats'!A:A,'Up Stats'!C:C,)</f>
        <v/>
      </c>
      <c r="J41" s="54" t="str">
        <f>IFERROR(__xludf.DUMMYFUNCTION("if(AND(K41=FALSE,L41=FALSE),,if(K41=L41,JOIN("""",""Static: "",K41),JOIN("""",""Min:  "",K41, CHAR(10),""Max: "",L41)))"),"")</f>
        <v/>
      </c>
      <c r="K41" s="55" t="str">
        <f t="array" ref="K41">_xlfn.XLOOKUP(B41,'Up Min'!A:A,'Up Min'!C:C,)</f>
        <v/>
      </c>
      <c r="L41" s="55" t="str">
        <f t="array" ref="L41">_xlfn.XLOOKUP(B41,'Up Max'!A:A,'Up Max'!C:C,)</f>
        <v/>
      </c>
      <c r="M41" s="57" t="str">
        <f t="array" ref="M41">_xlfn.XLOOKUP(B41,'Up Stats'!A:A,'Up Stats'!D:D,)</f>
        <v/>
      </c>
      <c r="N41" s="54" t="str">
        <f>IFERROR(__xludf.DUMMYFUNCTION("if(AND(O41=FALSE,P41=FALSE),,if(O41=P41,JOIN("""",""Static: "",O41),JOIN("""",""Min:  "",O41, CHAR(10),""Max: "",P41)))"),"")</f>
        <v/>
      </c>
      <c r="O41" s="55" t="str">
        <f t="array" ref="O41">_xlfn.XLOOKUP(B41,'Up Min'!A:A,'Up Min'!D:D,)</f>
        <v/>
      </c>
      <c r="P41" s="55" t="str">
        <f t="array" ref="P41">_xlfn.XLOOKUP(B41,'Up Max'!A:A,'Up Max'!D:D,)</f>
        <v/>
      </c>
      <c r="Q41" s="57" t="str">
        <f t="array" ref="Q41">_xlfn.XLOOKUP(B41,'Up Stats'!A:A,'Up Stats'!E:E,)</f>
        <v/>
      </c>
      <c r="R41" s="54" t="str">
        <f>IFERROR(__xludf.DUMMYFUNCTION("if(AND(S41=FALSE,T41=FALSE),,if(S41=T41,JOIN("""",""Static: "",S41),JOIN("""",""Min:  "",S41, CHAR(10),""Max: "",T41)))"),"")</f>
        <v/>
      </c>
      <c r="S41" s="55" t="str">
        <f t="array" ref="S41">_xlfn.XLOOKUP(B41,'Up Min'!A:A,'Up Min'!E:E,)</f>
        <v/>
      </c>
      <c r="T41" s="55" t="str">
        <f t="array" ref="T41">_xlfn.XLOOKUP(B41,'Up Max'!A:A,'Up Max'!E:E,)</f>
        <v/>
      </c>
      <c r="U41" s="57" t="str">
        <f t="array" ref="U41">_xlfn.XLOOKUP(B41,'Up Stats'!A:A,'Up Stats'!F:F,)</f>
        <v/>
      </c>
      <c r="V41" s="54" t="str">
        <f>IFERROR(__xludf.DUMMYFUNCTION("if(AND(W41=FALSE,X41=FALSE),,if(W41=X41,JOIN("""",""Static: "",W41),JOIN("""",""Min:  "",W41, CHAR(10),""Max: "",X41)))"),"")</f>
        <v/>
      </c>
      <c r="W41" s="55" t="str">
        <f t="array" ref="W41">_xlfn.XLOOKUP(B41,'Up Min'!A:A,'Up Min'!F:F,)</f>
        <v/>
      </c>
      <c r="X41" s="55" t="str">
        <f t="array" ref="X41">_xlfn.XLOOKUP(B41,'Up Max'!A:A,'Up Max'!F:F,)</f>
        <v/>
      </c>
      <c r="Y41" s="57" t="str">
        <f t="array" ref="Y41">_xlfn.XLOOKUP(B41,'Up Stats'!A:A,'Up Stats'!G:G,)</f>
        <v/>
      </c>
      <c r="Z41" s="54" t="str">
        <f>IFERROR(__xludf.DUMMYFUNCTION("if(AND(AA41=FALSE,AB41=FALSE),,if(AA41=AB41,JOIN("""",""Static: "",AA41),JOIN("""",""Min:  "",AA41, CHAR(10),""Max: "",AB41)))"),"")</f>
        <v/>
      </c>
      <c r="AA41" s="55" t="str">
        <f t="array" ref="AA41">_xlfn.XLOOKUP(B41,'Up Min'!A:A,'Up Min'!G:G,)</f>
        <v/>
      </c>
      <c r="AB41" s="55" t="str">
        <f t="array" ref="AB41">_xlfn.XLOOKUP(B41,'Up Max'!A:A,'Up Max'!G:G,)</f>
        <v/>
      </c>
      <c r="AC41" s="57" t="str">
        <f t="array" ref="AC41">_xlfn.XLOOKUP(B41,'Up Stats'!A:A,'Up Stats'!H:H,)</f>
        <v/>
      </c>
      <c r="AD41" s="54" t="str">
        <f>IFERROR(__xludf.DUMMYFUNCTION("if(AND(AE41=FALSE,AF41=FALSE),,if(AE41=AF41,JOIN("""",""Static: "",AE41),JOIN("""",""Min:  "",AE41, CHAR(10),""Max: "",AF41)))"),"")</f>
        <v/>
      </c>
      <c r="AE41" s="55" t="str">
        <f t="array" ref="AE41">_xlfn.XLOOKUP(B41,'Up Min'!A:A,'Up Min'!H:H,)</f>
        <v/>
      </c>
      <c r="AF41" s="55" t="str">
        <f t="array" ref="AF41">_xlfn.XLOOKUP(B41,'Up Max'!A:A,'Up Max'!H:H,)</f>
        <v/>
      </c>
      <c r="AG41" s="57" t="str">
        <f t="array" ref="AG41">_xlfn.XLOOKUP(B41,'Up Stats'!A:A,'Up Stats'!I:I,)</f>
        <v/>
      </c>
      <c r="AH41" s="54" t="str">
        <f>IFERROR(__xludf.DUMMYFUNCTION("if(AND(AI41=FALSE,AJ41=FALSE),,if(AI41=AJ41,JOIN("""",""Static: "",AI41),JOIN("""",""Min:  "",AI41, CHAR(10),""Max: "",AJ41)))"),"")</f>
        <v/>
      </c>
      <c r="AI41" s="55" t="str">
        <f t="array" ref="AI41">_xlfn.XLOOKUP(B41,'Up Min'!A:A,'Up Min'!I:I,)</f>
        <v/>
      </c>
      <c r="AJ41" s="55" t="str">
        <f t="array" ref="AJ41">_xlfn.XLOOKUP(B41,'Up Max'!A:A,'Up Max'!I:I,)</f>
        <v/>
      </c>
      <c r="AK41" s="57" t="str">
        <f t="array" ref="AK41">_xlfn.XLOOKUP(B41,'Up Stats'!A:A,'Up Stats'!J:J,)</f>
        <v/>
      </c>
      <c r="AL41" s="54" t="str">
        <f>IFERROR(__xludf.DUMMYFUNCTION("if(AND(AM41=FALSE,AN41=FALSE),,if(AM41=AN41,JOIN("""",""Static: "",AM41),JOIN("""",""Min:  "",AM41, CHAR(10),""Max: "",AN41)))"),"")</f>
        <v/>
      </c>
      <c r="AM41" s="55" t="str">
        <f t="array" ref="AM41">_xlfn.XLOOKUP(B41,'Up Min'!A:A,'Up Min'!J:J,)</f>
        <v/>
      </c>
      <c r="AN41" s="55" t="str">
        <f t="array" ref="AN41">_xlfn.XLOOKUP(B41,'Up Max'!A:A,'Up Max'!J:J,)</f>
        <v/>
      </c>
      <c r="AO41" s="51" t="str">
        <f t="array" ref="AO41">CONCATENATE(_xlfn.XLOOKUP(B41,'Up Cells'!A:A,'Up Cells'!B:B,))</f>
        <v/>
      </c>
      <c r="AP41" s="51" t="str">
        <f t="array" ref="AP41">CONCATENATE(_xlfn.XLOOKUP(B41,'Up Rarity'!A:A,'Up Rarity'!B:B,),CHAR(10),"-")</f>
        <v>
-</v>
      </c>
    </row>
    <row r="42">
      <c r="A42" s="87" t="str">
        <f t="array" ref="A42">_xlfn.XLOOKUP(B42,'Up Icon'!A:A,'Up Icon'!B:B,)</f>
        <v/>
      </c>
      <c r="B42" s="34" t="str">
        <f t="array" ref="B42">HYPERLINK(_xlfn.XLOOKUP('Up Names'!T42,'Up Wiki'!A:A,'Up Wiki'!B:B,),'Up Names'!T42)</f>
        <v/>
      </c>
      <c r="C42" s="37" t="str">
        <f t="array" ref="C42">_xlfn.XLOOKUP(B42,'Up Desc'!A:A,'Up Desc'!B:B,)</f>
        <v/>
      </c>
      <c r="D42" s="37" t="str">
        <f t="array" ref="D42">_xlfn.XLOOKUP(B42,'Up Turbo'!A:A,'Up Turbo'!B:B,)</f>
        <v/>
      </c>
      <c r="E42" s="39" t="str">
        <f t="array" ref="E42">_xlfn.XLOOKUP(B42,'Up Stats'!A:A,'Up Stats'!B:B,)</f>
        <v/>
      </c>
      <c r="F42" s="40" t="str">
        <f>IFERROR(__xludf.DUMMYFUNCTION("if(AND(G42=FALSE,H42=FALSE),,if(G42=H42,JOIN("""",""Static: "",G42),JOIN("""",""Min:  "",G42, CHAR(10),""Max: "",H42)))"),"")</f>
        <v/>
      </c>
      <c r="G42" s="42" t="str">
        <f t="array" ref="G42">_xlfn.XLOOKUP(B42,'Up Min'!A:A,'Up Min'!B:B,)</f>
        <v/>
      </c>
      <c r="H42" s="45" t="str">
        <f t="array" ref="H42">_xlfn.XLOOKUP(B42,'Up Max'!A:A,'Up Max'!B:B,)</f>
        <v/>
      </c>
      <c r="I42" s="39" t="str">
        <f t="array" ref="I42">_xlfn.XLOOKUP(B42,'Up Stats'!A:A,'Up Stats'!C:C,)</f>
        <v/>
      </c>
      <c r="J42" s="40" t="str">
        <f>IFERROR(__xludf.DUMMYFUNCTION("if(AND(K42=FALSE,L42=FALSE),,if(K42=L42,JOIN("""",""Static: "",K42),JOIN("""",""Min:  "",K42, CHAR(10),""Max: "",L42)))"),"")</f>
        <v/>
      </c>
      <c r="K42" s="42" t="str">
        <f t="array" ref="K42">_xlfn.XLOOKUP(B42,'Up Min'!A:A,'Up Min'!C:C,)</f>
        <v/>
      </c>
      <c r="L42" s="42" t="str">
        <f t="array" ref="L42">_xlfn.XLOOKUP(B42,'Up Max'!A:A,'Up Max'!C:C,)</f>
        <v/>
      </c>
      <c r="M42" s="48" t="str">
        <f t="array" ref="M42">_xlfn.XLOOKUP(B42,'Up Stats'!A:A,'Up Stats'!D:D,)</f>
        <v/>
      </c>
      <c r="N42" s="40" t="str">
        <f>IFERROR(__xludf.DUMMYFUNCTION("if(AND(O42=FALSE,P42=FALSE),,if(O42=P42,JOIN("""",""Static: "",O42),JOIN("""",""Min:  "",O42, CHAR(10),""Max: "",P42)))"),"")</f>
        <v/>
      </c>
      <c r="O42" s="42" t="str">
        <f t="array" ref="O42">_xlfn.XLOOKUP(B42,'Up Min'!A:A,'Up Min'!D:D,)</f>
        <v/>
      </c>
      <c r="P42" s="42" t="str">
        <f t="array" ref="P42">_xlfn.XLOOKUP(B42,'Up Max'!A:A,'Up Max'!D:D,)</f>
        <v/>
      </c>
      <c r="Q42" s="48" t="str">
        <f t="array" ref="Q42">_xlfn.XLOOKUP(B42,'Up Stats'!A:A,'Up Stats'!E:E,)</f>
        <v/>
      </c>
      <c r="R42" s="40" t="str">
        <f>IFERROR(__xludf.DUMMYFUNCTION("if(AND(S42=FALSE,T42=FALSE),,if(S42=T42,JOIN("""",""Static: "",S42),JOIN("""",""Min:  "",S42, CHAR(10),""Max: "",T42)))"),"")</f>
        <v/>
      </c>
      <c r="S42" s="42" t="str">
        <f t="array" ref="S42">_xlfn.XLOOKUP(B42,'Up Min'!A:A,'Up Min'!E:E,)</f>
        <v/>
      </c>
      <c r="T42" s="42" t="str">
        <f t="array" ref="T42">_xlfn.XLOOKUP(B42,'Up Max'!A:A,'Up Max'!E:E,)</f>
        <v/>
      </c>
      <c r="U42" s="48" t="str">
        <f t="array" ref="U42">_xlfn.XLOOKUP(B42,'Up Stats'!A:A,'Up Stats'!F:F,)</f>
        <v/>
      </c>
      <c r="V42" s="40" t="str">
        <f>IFERROR(__xludf.DUMMYFUNCTION("if(AND(W42=FALSE,X42=FALSE),,if(W42=X42,JOIN("""",""Static: "",W42),JOIN("""",""Min:  "",W42, CHAR(10),""Max: "",X42)))"),"")</f>
        <v/>
      </c>
      <c r="W42" s="42" t="str">
        <f t="array" ref="W42">_xlfn.XLOOKUP(B42,'Up Min'!A:A,'Up Min'!F:F,)</f>
        <v/>
      </c>
      <c r="X42" s="42" t="str">
        <f t="array" ref="X42">_xlfn.XLOOKUP(B42,'Up Max'!A:A,'Up Max'!F:F,)</f>
        <v/>
      </c>
      <c r="Y42" s="48" t="str">
        <f t="array" ref="Y42">_xlfn.XLOOKUP(B42,'Up Stats'!A:A,'Up Stats'!G:G,)</f>
        <v/>
      </c>
      <c r="Z42" s="40" t="str">
        <f>IFERROR(__xludf.DUMMYFUNCTION("if(AND(AA42=FALSE,AB42=FALSE),,if(AA42=AB42,JOIN("""",""Static: "",AA42),JOIN("""",""Min:  "",AA42, CHAR(10),""Max: "",AB42)))"),"")</f>
        <v/>
      </c>
      <c r="AA42" s="42" t="str">
        <f t="array" ref="AA42">_xlfn.XLOOKUP(B42,'Up Min'!A:A,'Up Min'!G:G,)</f>
        <v/>
      </c>
      <c r="AB42" s="42" t="str">
        <f t="array" ref="AB42">_xlfn.XLOOKUP(B42,'Up Max'!A:A,'Up Max'!G:G,)</f>
        <v/>
      </c>
      <c r="AC42" s="48" t="str">
        <f t="array" ref="AC42">_xlfn.XLOOKUP(B42,'Up Stats'!A:A,'Up Stats'!H:H,)</f>
        <v/>
      </c>
      <c r="AD42" s="40" t="str">
        <f>IFERROR(__xludf.DUMMYFUNCTION("if(AND(AE42=FALSE,AF42=FALSE),,if(AE42=AF42,JOIN("""",""Static: "",AE42),JOIN("""",""Min:  "",AE42, CHAR(10),""Max: "",AF42)))"),"")</f>
        <v/>
      </c>
      <c r="AE42" s="42" t="str">
        <f t="array" ref="AE42">_xlfn.XLOOKUP(B42,'Up Min'!A:A,'Up Min'!H:H,)</f>
        <v/>
      </c>
      <c r="AF42" s="42" t="str">
        <f t="array" ref="AF42">_xlfn.XLOOKUP(B42,'Up Max'!A:A,'Up Max'!H:H,)</f>
        <v/>
      </c>
      <c r="AG42" s="48" t="str">
        <f t="array" ref="AG42">_xlfn.XLOOKUP(B42,'Up Stats'!A:A,'Up Stats'!I:I,)</f>
        <v/>
      </c>
      <c r="AH42" s="40" t="str">
        <f>IFERROR(__xludf.DUMMYFUNCTION("if(AND(AI42=FALSE,AJ42=FALSE),,if(AI42=AJ42,JOIN("""",""Static: "",AI42),JOIN("""",""Min:  "",AI42, CHAR(10),""Max: "",AJ42)))"),"")</f>
        <v/>
      </c>
      <c r="AI42" s="42" t="str">
        <f t="array" ref="AI42">_xlfn.XLOOKUP(B42,'Up Min'!A:A,'Up Min'!I:I,)</f>
        <v/>
      </c>
      <c r="AJ42" s="42" t="str">
        <f t="array" ref="AJ42">_xlfn.XLOOKUP(B42,'Up Max'!A:A,'Up Max'!I:I,)</f>
        <v/>
      </c>
      <c r="AK42" s="48" t="str">
        <f t="array" ref="AK42">_xlfn.XLOOKUP(B42,'Up Stats'!A:A,'Up Stats'!J:J,)</f>
        <v/>
      </c>
      <c r="AL42" s="40" t="str">
        <f>IFERROR(__xludf.DUMMYFUNCTION("if(AND(AM42=FALSE,AN42=FALSE),,if(AM42=AN42,JOIN("""",""Static: "",AM42),JOIN("""",""Min:  "",AM42, CHAR(10),""Max: "",AN42)))"),"")</f>
        <v/>
      </c>
      <c r="AM42" s="42" t="str">
        <f t="array" ref="AM42">_xlfn.XLOOKUP(B42,'Up Min'!A:A,'Up Min'!J:J,)</f>
        <v/>
      </c>
      <c r="AN42" s="42" t="str">
        <f t="array" ref="AN42">_xlfn.XLOOKUP(B42,'Up Max'!A:A,'Up Max'!J:J,)</f>
        <v/>
      </c>
      <c r="AO42" s="34" t="str">
        <f t="array" ref="AO42">CONCATENATE(_xlfn.XLOOKUP(B42,'Up Cells'!A:A,'Up Cells'!B:B,))</f>
        <v/>
      </c>
      <c r="AP42" s="34" t="str">
        <f t="array" ref="AP42">CONCATENATE(_xlfn.XLOOKUP(B42,'Up Rarity'!A:A,'Up Rarity'!B:B,),CHAR(10),"-")</f>
        <v>
-</v>
      </c>
    </row>
    <row r="43">
      <c r="A43" s="86" t="str">
        <f t="array" ref="A43">_xlfn.XLOOKUP(B43,'Up Icon'!A:A,'Up Icon'!B:B,)</f>
        <v/>
      </c>
      <c r="B43" s="51" t="str">
        <f t="array" ref="B43">HYPERLINK(_xlfn.XLOOKUP('Up Names'!T43,'Up Wiki'!A:A,'Up Wiki'!B:B,),'Up Names'!T43)</f>
        <v/>
      </c>
      <c r="C43" s="52" t="str">
        <f t="array" ref="C43">_xlfn.XLOOKUP(B43,'Up Desc'!A:A,'Up Desc'!B:B,)</f>
        <v/>
      </c>
      <c r="D43" s="52" t="str">
        <f t="array" ref="D43">_xlfn.XLOOKUP(B43,'Up Turbo'!A:A,'Up Turbo'!B:B,)</f>
        <v/>
      </c>
      <c r="E43" s="53" t="str">
        <f t="array" ref="E43">_xlfn.XLOOKUP(B43,'Up Stats'!A:A,'Up Stats'!B:B,)</f>
        <v/>
      </c>
      <c r="F43" s="54" t="str">
        <f>IFERROR(__xludf.DUMMYFUNCTION("if(AND(G43=FALSE,H43=FALSE),,if(G43=H43,JOIN("""",""Static: "",G43),JOIN("""",""Min:  "",G43, CHAR(10),""Max: "",H43)))"),"")</f>
        <v/>
      </c>
      <c r="G43" s="55" t="str">
        <f t="array" ref="G43">_xlfn.XLOOKUP(B43,'Up Min'!A:A,'Up Min'!B:B,)</f>
        <v/>
      </c>
      <c r="H43" s="56" t="str">
        <f t="array" ref="H43">_xlfn.XLOOKUP(B43,'Up Max'!A:A,'Up Max'!B:B,)</f>
        <v/>
      </c>
      <c r="I43" s="53" t="str">
        <f t="array" ref="I43">_xlfn.XLOOKUP(B43,'Up Stats'!A:A,'Up Stats'!C:C,)</f>
        <v/>
      </c>
      <c r="J43" s="54" t="str">
        <f>IFERROR(__xludf.DUMMYFUNCTION("if(AND(K43=FALSE,L43=FALSE),,if(K43=L43,JOIN("""",""Static: "",K43),JOIN("""",""Min:  "",K43, CHAR(10),""Max: "",L43)))"),"")</f>
        <v/>
      </c>
      <c r="K43" s="55" t="str">
        <f t="array" ref="K43">_xlfn.XLOOKUP(B43,'Up Min'!A:A,'Up Min'!C:C,)</f>
        <v/>
      </c>
      <c r="L43" s="55" t="str">
        <f t="array" ref="L43">_xlfn.XLOOKUP(B43,'Up Max'!A:A,'Up Max'!C:C,)</f>
        <v/>
      </c>
      <c r="M43" s="57" t="str">
        <f t="array" ref="M43">_xlfn.XLOOKUP(B43,'Up Stats'!A:A,'Up Stats'!D:D,)</f>
        <v/>
      </c>
      <c r="N43" s="54" t="str">
        <f>IFERROR(__xludf.DUMMYFUNCTION("if(AND(O43=FALSE,P43=FALSE),,if(O43=P43,JOIN("""",""Static: "",O43),JOIN("""",""Min:  "",O43, CHAR(10),""Max: "",P43)))"),"")</f>
        <v/>
      </c>
      <c r="O43" s="55" t="str">
        <f t="array" ref="O43">_xlfn.XLOOKUP(B43,'Up Min'!A:A,'Up Min'!D:D,)</f>
        <v/>
      </c>
      <c r="P43" s="55" t="str">
        <f t="array" ref="P43">_xlfn.XLOOKUP(B43,'Up Max'!A:A,'Up Max'!D:D,)</f>
        <v/>
      </c>
      <c r="Q43" s="57" t="str">
        <f t="array" ref="Q43">_xlfn.XLOOKUP(B43,'Up Stats'!A:A,'Up Stats'!E:E,)</f>
        <v/>
      </c>
      <c r="R43" s="54" t="str">
        <f>IFERROR(__xludf.DUMMYFUNCTION("if(AND(S43=FALSE,T43=FALSE),,if(S43=T43,JOIN("""",""Static: "",S43),JOIN("""",""Min:  "",S43, CHAR(10),""Max: "",T43)))"),"")</f>
        <v/>
      </c>
      <c r="S43" s="55" t="str">
        <f t="array" ref="S43">_xlfn.XLOOKUP(B43,'Up Min'!A:A,'Up Min'!E:E,)</f>
        <v/>
      </c>
      <c r="T43" s="55" t="str">
        <f t="array" ref="T43">_xlfn.XLOOKUP(B43,'Up Max'!A:A,'Up Max'!E:E,)</f>
        <v/>
      </c>
      <c r="U43" s="57" t="str">
        <f t="array" ref="U43">_xlfn.XLOOKUP(B43,'Up Stats'!A:A,'Up Stats'!F:F,)</f>
        <v/>
      </c>
      <c r="V43" s="54" t="str">
        <f>IFERROR(__xludf.DUMMYFUNCTION("if(AND(W43=FALSE,X43=FALSE),,if(W43=X43,JOIN("""",""Static: "",W43),JOIN("""",""Min:  "",W43, CHAR(10),""Max: "",X43)))"),"")</f>
        <v/>
      </c>
      <c r="W43" s="55" t="str">
        <f t="array" ref="W43">_xlfn.XLOOKUP(B43,'Up Min'!A:A,'Up Min'!F:F,)</f>
        <v/>
      </c>
      <c r="X43" s="55" t="str">
        <f t="array" ref="X43">_xlfn.XLOOKUP(B43,'Up Max'!A:A,'Up Max'!F:F,)</f>
        <v/>
      </c>
      <c r="Y43" s="57" t="str">
        <f t="array" ref="Y43">_xlfn.XLOOKUP(B43,'Up Stats'!A:A,'Up Stats'!G:G,)</f>
        <v/>
      </c>
      <c r="Z43" s="54" t="str">
        <f>IFERROR(__xludf.DUMMYFUNCTION("if(AND(AA43=FALSE,AB43=FALSE),,if(AA43=AB43,JOIN("""",""Static: "",AA43),JOIN("""",""Min:  "",AA43, CHAR(10),""Max: "",AB43)))"),"")</f>
        <v/>
      </c>
      <c r="AA43" s="55" t="str">
        <f t="array" ref="AA43">_xlfn.XLOOKUP(B43,'Up Min'!A:A,'Up Min'!G:G,)</f>
        <v/>
      </c>
      <c r="AB43" s="55" t="str">
        <f t="array" ref="AB43">_xlfn.XLOOKUP(B43,'Up Max'!A:A,'Up Max'!G:G,)</f>
        <v/>
      </c>
      <c r="AC43" s="57" t="str">
        <f t="array" ref="AC43">_xlfn.XLOOKUP(B43,'Up Stats'!A:A,'Up Stats'!H:H,)</f>
        <v/>
      </c>
      <c r="AD43" s="54" t="str">
        <f>IFERROR(__xludf.DUMMYFUNCTION("if(AND(AE43=FALSE,AF43=FALSE),,if(AE43=AF43,JOIN("""",""Static: "",AE43),JOIN("""",""Min:  "",AE43, CHAR(10),""Max: "",AF43)))"),"")</f>
        <v/>
      </c>
      <c r="AE43" s="55" t="str">
        <f t="array" ref="AE43">_xlfn.XLOOKUP(B43,'Up Min'!A:A,'Up Min'!H:H,)</f>
        <v/>
      </c>
      <c r="AF43" s="55" t="str">
        <f t="array" ref="AF43">_xlfn.XLOOKUP(B43,'Up Max'!A:A,'Up Max'!H:H,)</f>
        <v/>
      </c>
      <c r="AG43" s="57" t="str">
        <f t="array" ref="AG43">_xlfn.XLOOKUP(B43,'Up Stats'!A:A,'Up Stats'!I:I,)</f>
        <v/>
      </c>
      <c r="AH43" s="54" t="str">
        <f>IFERROR(__xludf.DUMMYFUNCTION("if(AND(AI43=FALSE,AJ43=FALSE),,if(AI43=AJ43,JOIN("""",""Static: "",AI43),JOIN("""",""Min:  "",AI43, CHAR(10),""Max: "",AJ43)))"),"")</f>
        <v/>
      </c>
      <c r="AI43" s="55" t="str">
        <f t="array" ref="AI43">_xlfn.XLOOKUP(B43,'Up Min'!A:A,'Up Min'!I:I,)</f>
        <v/>
      </c>
      <c r="AJ43" s="55" t="str">
        <f t="array" ref="AJ43">_xlfn.XLOOKUP(B43,'Up Max'!A:A,'Up Max'!I:I,)</f>
        <v/>
      </c>
      <c r="AK43" s="57" t="str">
        <f t="array" ref="AK43">_xlfn.XLOOKUP(B43,'Up Stats'!A:A,'Up Stats'!J:J,)</f>
        <v/>
      </c>
      <c r="AL43" s="54" t="str">
        <f>IFERROR(__xludf.DUMMYFUNCTION("if(AND(AM43=FALSE,AN43=FALSE),,if(AM43=AN43,JOIN("""",""Static: "",AM43),JOIN("""",""Min:  "",AM43, CHAR(10),""Max: "",AN43)))"),"")</f>
        <v/>
      </c>
      <c r="AM43" s="55" t="str">
        <f t="array" ref="AM43">_xlfn.XLOOKUP(B43,'Up Min'!A:A,'Up Min'!J:J,)</f>
        <v/>
      </c>
      <c r="AN43" s="55" t="str">
        <f t="array" ref="AN43">_xlfn.XLOOKUP(B43,'Up Max'!A:A,'Up Max'!J:J,)</f>
        <v/>
      </c>
      <c r="AO43" s="51" t="str">
        <f t="array" ref="AO43">CONCATENATE(_xlfn.XLOOKUP(B43,'Up Cells'!A:A,'Up Cells'!B:B,))</f>
        <v/>
      </c>
      <c r="AP43" s="51" t="str">
        <f t="array" ref="AP43">CONCATENATE(_xlfn.XLOOKUP(B43,'Up Rarity'!A:A,'Up Rarity'!B:B,),CHAR(10),"-")</f>
        <v>
-</v>
      </c>
    </row>
    <row r="44">
      <c r="A44" s="87" t="str">
        <f t="array" ref="A44">_xlfn.XLOOKUP(B44,'Up Icon'!A:A,'Up Icon'!B:B,)</f>
        <v/>
      </c>
      <c r="B44" s="34" t="str">
        <f t="array" ref="B44">HYPERLINK(_xlfn.XLOOKUP('Up Names'!T44,'Up Wiki'!A:A,'Up Wiki'!B:B,),'Up Names'!T44)</f>
        <v/>
      </c>
      <c r="C44" s="37" t="str">
        <f t="array" ref="C44">_xlfn.XLOOKUP(B44,'Up Desc'!A:A,'Up Desc'!B:B,)</f>
        <v/>
      </c>
      <c r="D44" s="37" t="str">
        <f t="array" ref="D44">_xlfn.XLOOKUP(B44,'Up Turbo'!A:A,'Up Turbo'!B:B,)</f>
        <v/>
      </c>
      <c r="E44" s="39" t="str">
        <f t="array" ref="E44">_xlfn.XLOOKUP(B44,'Up Stats'!A:A,'Up Stats'!B:B,)</f>
        <v/>
      </c>
      <c r="F44" s="40" t="str">
        <f>IFERROR(__xludf.DUMMYFUNCTION("if(AND(G44=FALSE,H44=FALSE),,if(G44=H44,JOIN("""",""Static: "",G44),JOIN("""",""Min:  "",G44, CHAR(10),""Max: "",H44)))"),"")</f>
        <v/>
      </c>
      <c r="G44" s="42" t="str">
        <f t="array" ref="G44">_xlfn.XLOOKUP(B44,'Up Min'!A:A,'Up Min'!B:B,)</f>
        <v/>
      </c>
      <c r="H44" s="45" t="str">
        <f t="array" ref="H44">_xlfn.XLOOKUP(B44,'Up Max'!A:A,'Up Max'!B:B,)</f>
        <v/>
      </c>
      <c r="I44" s="39" t="str">
        <f t="array" ref="I44">_xlfn.XLOOKUP(B44,'Up Stats'!A:A,'Up Stats'!C:C,)</f>
        <v/>
      </c>
      <c r="J44" s="40" t="str">
        <f>IFERROR(__xludf.DUMMYFUNCTION("if(AND(K44=FALSE,L44=FALSE),,if(K44=L44,JOIN("""",""Static: "",K44),JOIN("""",""Min:  "",K44, CHAR(10),""Max: "",L44)))"),"")</f>
        <v/>
      </c>
      <c r="K44" s="42" t="str">
        <f t="array" ref="K44">_xlfn.XLOOKUP(B44,'Up Min'!A:A,'Up Min'!C:C,)</f>
        <v/>
      </c>
      <c r="L44" s="42" t="str">
        <f t="array" ref="L44">_xlfn.XLOOKUP(B44,'Up Max'!A:A,'Up Max'!C:C,)</f>
        <v/>
      </c>
      <c r="M44" s="48" t="str">
        <f t="array" ref="M44">_xlfn.XLOOKUP(B44,'Up Stats'!A:A,'Up Stats'!D:D,)</f>
        <v/>
      </c>
      <c r="N44" s="40" t="str">
        <f>IFERROR(__xludf.DUMMYFUNCTION("if(AND(O44=FALSE,P44=FALSE),,if(O44=P44,JOIN("""",""Static: "",O44),JOIN("""",""Min:  "",O44, CHAR(10),""Max: "",P44)))"),"")</f>
        <v/>
      </c>
      <c r="O44" s="42" t="str">
        <f t="array" ref="O44">_xlfn.XLOOKUP(B44,'Up Min'!A:A,'Up Min'!D:D,)</f>
        <v/>
      </c>
      <c r="P44" s="42" t="str">
        <f t="array" ref="P44">_xlfn.XLOOKUP(B44,'Up Max'!A:A,'Up Max'!D:D,)</f>
        <v/>
      </c>
      <c r="Q44" s="48" t="str">
        <f t="array" ref="Q44">_xlfn.XLOOKUP(B44,'Up Stats'!A:A,'Up Stats'!E:E,)</f>
        <v/>
      </c>
      <c r="R44" s="40" t="str">
        <f>IFERROR(__xludf.DUMMYFUNCTION("if(AND(S44=FALSE,T44=FALSE),,if(S44=T44,JOIN("""",""Static: "",S44),JOIN("""",""Min:  "",S44, CHAR(10),""Max: "",T44)))"),"")</f>
        <v/>
      </c>
      <c r="S44" s="42" t="str">
        <f t="array" ref="S44">_xlfn.XLOOKUP(B44,'Up Min'!A:A,'Up Min'!E:E,)</f>
        <v/>
      </c>
      <c r="T44" s="42" t="str">
        <f t="array" ref="T44">_xlfn.XLOOKUP(B44,'Up Max'!A:A,'Up Max'!E:E,)</f>
        <v/>
      </c>
      <c r="U44" s="48" t="str">
        <f t="array" ref="U44">_xlfn.XLOOKUP(B44,'Up Stats'!A:A,'Up Stats'!F:F,)</f>
        <v/>
      </c>
      <c r="V44" s="40" t="str">
        <f>IFERROR(__xludf.DUMMYFUNCTION("if(AND(W44=FALSE,X44=FALSE),,if(W44=X44,JOIN("""",""Static: "",W44),JOIN("""",""Min:  "",W44, CHAR(10),""Max: "",X44)))"),"")</f>
        <v/>
      </c>
      <c r="W44" s="42" t="str">
        <f t="array" ref="W44">_xlfn.XLOOKUP(B44,'Up Min'!A:A,'Up Min'!F:F,)</f>
        <v/>
      </c>
      <c r="X44" s="42" t="str">
        <f t="array" ref="X44">_xlfn.XLOOKUP(B44,'Up Max'!A:A,'Up Max'!F:F,)</f>
        <v/>
      </c>
      <c r="Y44" s="48" t="str">
        <f t="array" ref="Y44">_xlfn.XLOOKUP(B44,'Up Stats'!A:A,'Up Stats'!G:G,)</f>
        <v/>
      </c>
      <c r="Z44" s="40" t="str">
        <f>IFERROR(__xludf.DUMMYFUNCTION("if(AND(AA44=FALSE,AB44=FALSE),,if(AA44=AB44,JOIN("""",""Static: "",AA44),JOIN("""",""Min:  "",AA44, CHAR(10),""Max: "",AB44)))"),"")</f>
        <v/>
      </c>
      <c r="AA44" s="42" t="str">
        <f t="array" ref="AA44">_xlfn.XLOOKUP(B44,'Up Min'!A:A,'Up Min'!G:G,)</f>
        <v/>
      </c>
      <c r="AB44" s="42" t="str">
        <f t="array" ref="AB44">_xlfn.XLOOKUP(B44,'Up Max'!A:A,'Up Max'!G:G,)</f>
        <v/>
      </c>
      <c r="AC44" s="48" t="str">
        <f t="array" ref="AC44">_xlfn.XLOOKUP(B44,'Up Stats'!A:A,'Up Stats'!H:H,)</f>
        <v/>
      </c>
      <c r="AD44" s="40" t="str">
        <f>IFERROR(__xludf.DUMMYFUNCTION("if(AND(AE44=FALSE,AF44=FALSE),,if(AE44=AF44,JOIN("""",""Static: "",AE44),JOIN("""",""Min:  "",AE44, CHAR(10),""Max: "",AF44)))"),"")</f>
        <v/>
      </c>
      <c r="AE44" s="42" t="str">
        <f t="array" ref="AE44">_xlfn.XLOOKUP(B44,'Up Min'!A:A,'Up Min'!H:H,)</f>
        <v/>
      </c>
      <c r="AF44" s="42" t="str">
        <f t="array" ref="AF44">_xlfn.XLOOKUP(B44,'Up Max'!A:A,'Up Max'!H:H,)</f>
        <v/>
      </c>
      <c r="AG44" s="48" t="str">
        <f t="array" ref="AG44">_xlfn.XLOOKUP(B44,'Up Stats'!A:A,'Up Stats'!I:I,)</f>
        <v/>
      </c>
      <c r="AH44" s="40" t="str">
        <f>IFERROR(__xludf.DUMMYFUNCTION("if(AND(AI44=FALSE,AJ44=FALSE),,if(AI44=AJ44,JOIN("""",""Static: "",AI44),JOIN("""",""Min:  "",AI44, CHAR(10),""Max: "",AJ44)))"),"")</f>
        <v/>
      </c>
      <c r="AI44" s="42" t="str">
        <f t="array" ref="AI44">_xlfn.XLOOKUP(B44,'Up Min'!A:A,'Up Min'!I:I,)</f>
        <v/>
      </c>
      <c r="AJ44" s="42" t="str">
        <f t="array" ref="AJ44">_xlfn.XLOOKUP(B44,'Up Max'!A:A,'Up Max'!I:I,)</f>
        <v/>
      </c>
      <c r="AK44" s="48" t="str">
        <f t="array" ref="AK44">_xlfn.XLOOKUP(B44,'Up Stats'!A:A,'Up Stats'!J:J,)</f>
        <v/>
      </c>
      <c r="AL44" s="40" t="str">
        <f>IFERROR(__xludf.DUMMYFUNCTION("if(AND(AM44=FALSE,AN44=FALSE),,if(AM44=AN44,JOIN("""",""Static: "",AM44),JOIN("""",""Min:  "",AM44, CHAR(10),""Max: "",AN44)))"),"")</f>
        <v/>
      </c>
      <c r="AM44" s="42" t="str">
        <f t="array" ref="AM44">_xlfn.XLOOKUP(B44,'Up Min'!A:A,'Up Min'!J:J,)</f>
        <v/>
      </c>
      <c r="AN44" s="42" t="str">
        <f t="array" ref="AN44">_xlfn.XLOOKUP(B44,'Up Max'!A:A,'Up Max'!J:J,)</f>
        <v/>
      </c>
      <c r="AO44" s="34" t="str">
        <f t="array" ref="AO44">CONCATENATE(_xlfn.XLOOKUP(B44,'Up Cells'!A:A,'Up Cells'!B:B,))</f>
        <v/>
      </c>
      <c r="AP44" s="34" t="str">
        <f t="array" ref="AP44">CONCATENATE(_xlfn.XLOOKUP(B44,'Up Rarity'!A:A,'Up Rarity'!B:B,),CHAR(10),"-")</f>
        <v>
-</v>
      </c>
    </row>
    <row r="45">
      <c r="A45" s="86" t="str">
        <f t="array" ref="A45">_xlfn.XLOOKUP(B45,'Up Icon'!A:A,'Up Icon'!B:B,)</f>
        <v/>
      </c>
      <c r="B45" s="51" t="str">
        <f t="array" ref="B45">HYPERLINK(_xlfn.XLOOKUP('Up Names'!T45,'Up Wiki'!A:A,'Up Wiki'!B:B,),'Up Names'!T45)</f>
        <v/>
      </c>
      <c r="C45" s="52" t="str">
        <f t="array" ref="C45">_xlfn.XLOOKUP(B45,'Up Desc'!A:A,'Up Desc'!B:B,)</f>
        <v/>
      </c>
      <c r="D45" s="52" t="str">
        <f t="array" ref="D45">_xlfn.XLOOKUP(B45,'Up Turbo'!A:A,'Up Turbo'!B:B,)</f>
        <v/>
      </c>
      <c r="E45" s="53" t="str">
        <f t="array" ref="E45">_xlfn.XLOOKUP(B45,'Up Stats'!A:A,'Up Stats'!B:B,)</f>
        <v/>
      </c>
      <c r="F45" s="54" t="str">
        <f>IFERROR(__xludf.DUMMYFUNCTION("if(AND(G45=FALSE,H45=FALSE),,if(G45=H45,JOIN("""",""Static: "",G45),JOIN("""",""Min:  "",G45, CHAR(10),""Max: "",H45)))"),"")</f>
        <v/>
      </c>
      <c r="G45" s="55" t="str">
        <f t="array" ref="G45">_xlfn.XLOOKUP(B45,'Up Min'!A:A,'Up Min'!B:B,)</f>
        <v/>
      </c>
      <c r="H45" s="56" t="str">
        <f t="array" ref="H45">_xlfn.XLOOKUP(B45,'Up Max'!A:A,'Up Max'!B:B,)</f>
        <v/>
      </c>
      <c r="I45" s="53" t="str">
        <f t="array" ref="I45">_xlfn.XLOOKUP(B45,'Up Stats'!A:A,'Up Stats'!C:C,)</f>
        <v/>
      </c>
      <c r="J45" s="54" t="str">
        <f>IFERROR(__xludf.DUMMYFUNCTION("if(AND(K45=FALSE,L45=FALSE),,if(K45=L45,JOIN("""",""Static: "",K45),JOIN("""",""Min:  "",K45, CHAR(10),""Max: "",L45)))"),"")</f>
        <v/>
      </c>
      <c r="K45" s="55" t="str">
        <f t="array" ref="K45">_xlfn.XLOOKUP(B45,'Up Min'!A:A,'Up Min'!C:C,)</f>
        <v/>
      </c>
      <c r="L45" s="55" t="str">
        <f t="array" ref="L45">_xlfn.XLOOKUP(B45,'Up Max'!A:A,'Up Max'!C:C,)</f>
        <v/>
      </c>
      <c r="M45" s="57" t="str">
        <f t="array" ref="M45">_xlfn.XLOOKUP(B45,'Up Stats'!A:A,'Up Stats'!D:D,)</f>
        <v/>
      </c>
      <c r="N45" s="54" t="str">
        <f>IFERROR(__xludf.DUMMYFUNCTION("if(AND(O45=FALSE,P45=FALSE),,if(O45=P45,JOIN("""",""Static: "",O45),JOIN("""",""Min:  "",O45, CHAR(10),""Max: "",P45)))"),"")</f>
        <v/>
      </c>
      <c r="O45" s="55" t="str">
        <f t="array" ref="O45">_xlfn.XLOOKUP(B45,'Up Min'!A:A,'Up Min'!D:D,)</f>
        <v/>
      </c>
      <c r="P45" s="55" t="str">
        <f t="array" ref="P45">_xlfn.XLOOKUP(B45,'Up Max'!A:A,'Up Max'!D:D,)</f>
        <v/>
      </c>
      <c r="Q45" s="57" t="str">
        <f t="array" ref="Q45">_xlfn.XLOOKUP(B45,'Up Stats'!A:A,'Up Stats'!E:E,)</f>
        <v/>
      </c>
      <c r="R45" s="54" t="str">
        <f>IFERROR(__xludf.DUMMYFUNCTION("if(AND(S45=FALSE,T45=FALSE),,if(S45=T45,JOIN("""",""Static: "",S45),JOIN("""",""Min:  "",S45, CHAR(10),""Max: "",T45)))"),"")</f>
        <v/>
      </c>
      <c r="S45" s="55" t="str">
        <f t="array" ref="S45">_xlfn.XLOOKUP(B45,'Up Min'!A:A,'Up Min'!E:E,)</f>
        <v/>
      </c>
      <c r="T45" s="55" t="str">
        <f t="array" ref="T45">_xlfn.XLOOKUP(B45,'Up Max'!A:A,'Up Max'!E:E,)</f>
        <v/>
      </c>
      <c r="U45" s="57" t="str">
        <f t="array" ref="U45">_xlfn.XLOOKUP(B45,'Up Stats'!A:A,'Up Stats'!F:F,)</f>
        <v/>
      </c>
      <c r="V45" s="54" t="str">
        <f>IFERROR(__xludf.DUMMYFUNCTION("if(AND(W45=FALSE,X45=FALSE),,if(W45=X45,JOIN("""",""Static: "",W45),JOIN("""",""Min:  "",W45, CHAR(10),""Max: "",X45)))"),"")</f>
        <v/>
      </c>
      <c r="W45" s="55" t="str">
        <f t="array" ref="W45">_xlfn.XLOOKUP(B45,'Up Min'!A:A,'Up Min'!F:F,)</f>
        <v/>
      </c>
      <c r="X45" s="55" t="str">
        <f t="array" ref="X45">_xlfn.XLOOKUP(B45,'Up Max'!A:A,'Up Max'!F:F,)</f>
        <v/>
      </c>
      <c r="Y45" s="57" t="str">
        <f t="array" ref="Y45">_xlfn.XLOOKUP(B45,'Up Stats'!A:A,'Up Stats'!G:G,)</f>
        <v/>
      </c>
      <c r="Z45" s="54" t="str">
        <f>IFERROR(__xludf.DUMMYFUNCTION("if(AND(AA45=FALSE,AB45=FALSE),,if(AA45=AB45,JOIN("""",""Static: "",AA45),JOIN("""",""Min:  "",AA45, CHAR(10),""Max: "",AB45)))"),"")</f>
        <v/>
      </c>
      <c r="AA45" s="55" t="str">
        <f t="array" ref="AA45">_xlfn.XLOOKUP(B45,'Up Min'!A:A,'Up Min'!G:G,)</f>
        <v/>
      </c>
      <c r="AB45" s="55" t="str">
        <f t="array" ref="AB45">_xlfn.XLOOKUP(B45,'Up Max'!A:A,'Up Max'!G:G,)</f>
        <v/>
      </c>
      <c r="AC45" s="57" t="str">
        <f t="array" ref="AC45">_xlfn.XLOOKUP(B45,'Up Stats'!A:A,'Up Stats'!H:H,)</f>
        <v/>
      </c>
      <c r="AD45" s="54" t="str">
        <f>IFERROR(__xludf.DUMMYFUNCTION("if(AND(AE45=FALSE,AF45=FALSE),,if(AE45=AF45,JOIN("""",""Static: "",AE45),JOIN("""",""Min:  "",AE45, CHAR(10),""Max: "",AF45)))"),"")</f>
        <v/>
      </c>
      <c r="AE45" s="55" t="str">
        <f t="array" ref="AE45">_xlfn.XLOOKUP(B45,'Up Min'!A:A,'Up Min'!H:H,)</f>
        <v/>
      </c>
      <c r="AF45" s="55" t="str">
        <f t="array" ref="AF45">_xlfn.XLOOKUP(B45,'Up Max'!A:A,'Up Max'!H:H,)</f>
        <v/>
      </c>
      <c r="AG45" s="57" t="str">
        <f t="array" ref="AG45">_xlfn.XLOOKUP(B45,'Up Stats'!A:A,'Up Stats'!I:I,)</f>
        <v/>
      </c>
      <c r="AH45" s="54" t="str">
        <f>IFERROR(__xludf.DUMMYFUNCTION("if(AND(AI45=FALSE,AJ45=FALSE),,if(AI45=AJ45,JOIN("""",""Static: "",AI45),JOIN("""",""Min:  "",AI45, CHAR(10),""Max: "",AJ45)))"),"")</f>
        <v/>
      </c>
      <c r="AI45" s="55" t="str">
        <f t="array" ref="AI45">_xlfn.XLOOKUP(B45,'Up Min'!A:A,'Up Min'!I:I,)</f>
        <v/>
      </c>
      <c r="AJ45" s="55" t="str">
        <f t="array" ref="AJ45">_xlfn.XLOOKUP(B45,'Up Max'!A:A,'Up Max'!I:I,)</f>
        <v/>
      </c>
      <c r="AK45" s="57" t="str">
        <f t="array" ref="AK45">_xlfn.XLOOKUP(B45,'Up Stats'!A:A,'Up Stats'!J:J,)</f>
        <v/>
      </c>
      <c r="AL45" s="54" t="str">
        <f>IFERROR(__xludf.DUMMYFUNCTION("if(AND(AM45=FALSE,AN45=FALSE),,if(AM45=AN45,JOIN("""",""Static: "",AM45),JOIN("""",""Min:  "",AM45, CHAR(10),""Max: "",AN45)))"),"")</f>
        <v/>
      </c>
      <c r="AM45" s="55" t="str">
        <f t="array" ref="AM45">_xlfn.XLOOKUP(B45,'Up Min'!A:A,'Up Min'!J:J,)</f>
        <v/>
      </c>
      <c r="AN45" s="55" t="str">
        <f t="array" ref="AN45">_xlfn.XLOOKUP(B45,'Up Max'!A:A,'Up Max'!J:J,)</f>
        <v/>
      </c>
      <c r="AO45" s="51" t="str">
        <f t="array" ref="AO45">CONCATENATE(_xlfn.XLOOKUP(B45,'Up Cells'!A:A,'Up Cells'!B:B,))</f>
        <v/>
      </c>
      <c r="AP45" s="51" t="str">
        <f t="array" ref="AP45">CONCATENATE(_xlfn.XLOOKUP(B45,'Up Rarity'!A:A,'Up Rarity'!B:B,),CHAR(10),"-")</f>
        <v>
-</v>
      </c>
    </row>
    <row r="46">
      <c r="A46" s="87" t="str">
        <f t="array" ref="A46">_xlfn.XLOOKUP(B46,'Up Icon'!A:A,'Up Icon'!B:B,)</f>
        <v/>
      </c>
      <c r="B46" s="34" t="str">
        <f t="array" ref="B46">HYPERLINK(_xlfn.XLOOKUP('Up Names'!T46,'Up Wiki'!A:A,'Up Wiki'!B:B,),'Up Names'!T46)</f>
        <v/>
      </c>
      <c r="C46" s="37" t="str">
        <f t="array" ref="C46">_xlfn.XLOOKUP(B46,'Up Desc'!A:A,'Up Desc'!B:B,)</f>
        <v/>
      </c>
      <c r="D46" s="37" t="str">
        <f t="array" ref="D46">_xlfn.XLOOKUP(B46,'Up Turbo'!A:A,'Up Turbo'!B:B,)</f>
        <v/>
      </c>
      <c r="E46" s="39" t="str">
        <f t="array" ref="E46">_xlfn.XLOOKUP(B46,'Up Stats'!A:A,'Up Stats'!B:B,)</f>
        <v/>
      </c>
      <c r="F46" s="40" t="str">
        <f>IFERROR(__xludf.DUMMYFUNCTION("if(AND(G46=FALSE,H46=FALSE),,if(G46=H46,JOIN("""",""Static: "",G46),JOIN("""",""Min:  "",G46, CHAR(10),""Max: "",H46)))"),"")</f>
        <v/>
      </c>
      <c r="G46" s="42" t="str">
        <f t="array" ref="G46">_xlfn.XLOOKUP(B46,'Up Min'!A:A,'Up Min'!B:B,)</f>
        <v/>
      </c>
      <c r="H46" s="45" t="str">
        <f t="array" ref="H46">_xlfn.XLOOKUP(B46,'Up Max'!A:A,'Up Max'!B:B,)</f>
        <v/>
      </c>
      <c r="I46" s="39" t="str">
        <f t="array" ref="I46">_xlfn.XLOOKUP(B46,'Up Stats'!A:A,'Up Stats'!C:C,)</f>
        <v/>
      </c>
      <c r="J46" s="40" t="str">
        <f>IFERROR(__xludf.DUMMYFUNCTION("if(AND(K46=FALSE,L46=FALSE),,if(K46=L46,JOIN("""",""Static: "",K46),JOIN("""",""Min:  "",K46, CHAR(10),""Max: "",L46)))"),"")</f>
        <v/>
      </c>
      <c r="K46" s="42" t="str">
        <f t="array" ref="K46">_xlfn.XLOOKUP(B46,'Up Min'!A:A,'Up Min'!C:C,)</f>
        <v/>
      </c>
      <c r="L46" s="42" t="str">
        <f t="array" ref="L46">_xlfn.XLOOKUP(B46,'Up Max'!A:A,'Up Max'!C:C,)</f>
        <v/>
      </c>
      <c r="M46" s="48" t="str">
        <f t="array" ref="M46">_xlfn.XLOOKUP(B46,'Up Stats'!A:A,'Up Stats'!D:D,)</f>
        <v/>
      </c>
      <c r="N46" s="40" t="str">
        <f>IFERROR(__xludf.DUMMYFUNCTION("if(AND(O46=FALSE,P46=FALSE),,if(O46=P46,JOIN("""",""Static: "",O46),JOIN("""",""Min:  "",O46, CHAR(10),""Max: "",P46)))"),"")</f>
        <v/>
      </c>
      <c r="O46" s="42" t="str">
        <f t="array" ref="O46">_xlfn.XLOOKUP(B46,'Up Min'!A:A,'Up Min'!D:D,)</f>
        <v/>
      </c>
      <c r="P46" s="42" t="str">
        <f t="array" ref="P46">_xlfn.XLOOKUP(B46,'Up Max'!A:A,'Up Max'!D:D,)</f>
        <v/>
      </c>
      <c r="Q46" s="48" t="str">
        <f t="array" ref="Q46">_xlfn.XLOOKUP(B46,'Up Stats'!A:A,'Up Stats'!E:E,)</f>
        <v/>
      </c>
      <c r="R46" s="40" t="str">
        <f>IFERROR(__xludf.DUMMYFUNCTION("if(AND(S46=FALSE,T46=FALSE),,if(S46=T46,JOIN("""",""Static: "",S46),JOIN("""",""Min:  "",S46, CHAR(10),""Max: "",T46)))"),"")</f>
        <v/>
      </c>
      <c r="S46" s="42" t="str">
        <f t="array" ref="S46">_xlfn.XLOOKUP(B46,'Up Min'!A:A,'Up Min'!E:E,)</f>
        <v/>
      </c>
      <c r="T46" s="42" t="str">
        <f t="array" ref="T46">_xlfn.XLOOKUP(B46,'Up Max'!A:A,'Up Max'!E:E,)</f>
        <v/>
      </c>
      <c r="U46" s="48" t="str">
        <f t="array" ref="U46">_xlfn.XLOOKUP(B46,'Up Stats'!A:A,'Up Stats'!F:F,)</f>
        <v/>
      </c>
      <c r="V46" s="40" t="str">
        <f>IFERROR(__xludf.DUMMYFUNCTION("if(AND(W46=FALSE,X46=FALSE),,if(W46=X46,JOIN("""",""Static: "",W46),JOIN("""",""Min:  "",W46, CHAR(10),""Max: "",X46)))"),"")</f>
        <v/>
      </c>
      <c r="W46" s="42" t="str">
        <f t="array" ref="W46">_xlfn.XLOOKUP(B46,'Up Min'!A:A,'Up Min'!F:F,)</f>
        <v/>
      </c>
      <c r="X46" s="42" t="str">
        <f t="array" ref="X46">_xlfn.XLOOKUP(B46,'Up Max'!A:A,'Up Max'!F:F,)</f>
        <v/>
      </c>
      <c r="Y46" s="48" t="str">
        <f t="array" ref="Y46">_xlfn.XLOOKUP(B46,'Up Stats'!A:A,'Up Stats'!G:G,)</f>
        <v/>
      </c>
      <c r="Z46" s="40" t="str">
        <f>IFERROR(__xludf.DUMMYFUNCTION("if(AND(AA46=FALSE,AB46=FALSE),,if(AA46=AB46,JOIN("""",""Static: "",AA46),JOIN("""",""Min:  "",AA46, CHAR(10),""Max: "",AB46)))"),"")</f>
        <v/>
      </c>
      <c r="AA46" s="42" t="str">
        <f t="array" ref="AA46">_xlfn.XLOOKUP(B46,'Up Min'!A:A,'Up Min'!G:G,)</f>
        <v/>
      </c>
      <c r="AB46" s="42" t="str">
        <f t="array" ref="AB46">_xlfn.XLOOKUP(B46,'Up Max'!A:A,'Up Max'!G:G,)</f>
        <v/>
      </c>
      <c r="AC46" s="48" t="str">
        <f t="array" ref="AC46">_xlfn.XLOOKUP(B46,'Up Stats'!A:A,'Up Stats'!H:H,)</f>
        <v/>
      </c>
      <c r="AD46" s="40" t="str">
        <f>IFERROR(__xludf.DUMMYFUNCTION("if(AND(AE46=FALSE,AF46=FALSE),,if(AE46=AF46,JOIN("""",""Static: "",AE46),JOIN("""",""Min:  "",AE46, CHAR(10),""Max: "",AF46)))"),"")</f>
        <v/>
      </c>
      <c r="AE46" s="42" t="str">
        <f t="array" ref="AE46">_xlfn.XLOOKUP(B46,'Up Min'!A:A,'Up Min'!H:H,)</f>
        <v/>
      </c>
      <c r="AF46" s="42" t="str">
        <f t="array" ref="AF46">_xlfn.XLOOKUP(B46,'Up Max'!A:A,'Up Max'!H:H,)</f>
        <v/>
      </c>
      <c r="AG46" s="48" t="str">
        <f t="array" ref="AG46">_xlfn.XLOOKUP(B46,'Up Stats'!A:A,'Up Stats'!I:I,)</f>
        <v/>
      </c>
      <c r="AH46" s="40" t="str">
        <f>IFERROR(__xludf.DUMMYFUNCTION("if(AND(AI46=FALSE,AJ46=FALSE),,if(AI46=AJ46,JOIN("""",""Static: "",AI46),JOIN("""",""Min:  "",AI46, CHAR(10),""Max: "",AJ46)))"),"")</f>
        <v/>
      </c>
      <c r="AI46" s="42" t="str">
        <f t="array" ref="AI46">_xlfn.XLOOKUP(B46,'Up Min'!A:A,'Up Min'!I:I,)</f>
        <v/>
      </c>
      <c r="AJ46" s="42" t="str">
        <f t="array" ref="AJ46">_xlfn.XLOOKUP(B46,'Up Max'!A:A,'Up Max'!I:I,)</f>
        <v/>
      </c>
      <c r="AK46" s="48" t="str">
        <f t="array" ref="AK46">_xlfn.XLOOKUP(B46,'Up Stats'!A:A,'Up Stats'!J:J,)</f>
        <v/>
      </c>
      <c r="AL46" s="40" t="str">
        <f>IFERROR(__xludf.DUMMYFUNCTION("if(AND(AM46=FALSE,AN46=FALSE),,if(AM46=AN46,JOIN("""",""Static: "",AM46),JOIN("""",""Min:  "",AM46, CHAR(10),""Max: "",AN46)))"),"")</f>
        <v/>
      </c>
      <c r="AM46" s="42" t="str">
        <f t="array" ref="AM46">_xlfn.XLOOKUP(B46,'Up Min'!A:A,'Up Min'!J:J,)</f>
        <v/>
      </c>
      <c r="AN46" s="42" t="str">
        <f t="array" ref="AN46">_xlfn.XLOOKUP(B46,'Up Max'!A:A,'Up Max'!J:J,)</f>
        <v/>
      </c>
      <c r="AO46" s="34" t="str">
        <f t="array" ref="AO46">CONCATENATE(_xlfn.XLOOKUP(B46,'Up Cells'!A:A,'Up Cells'!B:B,))</f>
        <v/>
      </c>
      <c r="AP46" s="34" t="str">
        <f t="array" ref="AP46">CONCATENATE(_xlfn.XLOOKUP(B46,'Up Rarity'!A:A,'Up Rarity'!B:B,),CHAR(10),"-")</f>
        <v>
-</v>
      </c>
    </row>
    <row r="47">
      <c r="A47" s="86" t="str">
        <f t="array" ref="A47">_xlfn.XLOOKUP(B47,'Up Icon'!A:A,'Up Icon'!B:B,)</f>
        <v/>
      </c>
      <c r="B47" s="51" t="str">
        <f t="array" ref="B47">HYPERLINK(_xlfn.XLOOKUP('Up Names'!T47,'Up Wiki'!A:A,'Up Wiki'!B:B,),'Up Names'!T47)</f>
        <v/>
      </c>
      <c r="C47" s="52" t="str">
        <f t="array" ref="C47">_xlfn.XLOOKUP(B47,'Up Desc'!A:A,'Up Desc'!B:B,)</f>
        <v/>
      </c>
      <c r="D47" s="52" t="str">
        <f t="array" ref="D47">_xlfn.XLOOKUP(B47,'Up Turbo'!A:A,'Up Turbo'!B:B,)</f>
        <v/>
      </c>
      <c r="E47" s="53" t="str">
        <f t="array" ref="E47">_xlfn.XLOOKUP(B47,'Up Stats'!A:A,'Up Stats'!B:B,)</f>
        <v/>
      </c>
      <c r="F47" s="54" t="str">
        <f>IFERROR(__xludf.DUMMYFUNCTION("if(AND(G47=FALSE,H47=FALSE),,if(G47=H47,JOIN("""",""Static: "",G47),JOIN("""",""Min:  "",G47, CHAR(10),""Max: "",H47)))"),"")</f>
        <v/>
      </c>
      <c r="G47" s="55" t="str">
        <f t="array" ref="G47">_xlfn.XLOOKUP(B47,'Up Min'!A:A,'Up Min'!B:B,)</f>
        <v/>
      </c>
      <c r="H47" s="56" t="str">
        <f t="array" ref="H47">_xlfn.XLOOKUP(B47,'Up Max'!A:A,'Up Max'!B:B,)</f>
        <v/>
      </c>
      <c r="I47" s="53" t="str">
        <f t="array" ref="I47">_xlfn.XLOOKUP(B47,'Up Stats'!A:A,'Up Stats'!C:C,)</f>
        <v/>
      </c>
      <c r="J47" s="54" t="str">
        <f>IFERROR(__xludf.DUMMYFUNCTION("if(AND(K47=FALSE,L47=FALSE),,if(K47=L47,JOIN("""",""Static: "",K47),JOIN("""",""Min:  "",K47, CHAR(10),""Max: "",L47)))"),"")</f>
        <v/>
      </c>
      <c r="K47" s="55" t="str">
        <f t="array" ref="K47">_xlfn.XLOOKUP(B47,'Up Min'!A:A,'Up Min'!C:C,)</f>
        <v/>
      </c>
      <c r="L47" s="55" t="str">
        <f t="array" ref="L47">_xlfn.XLOOKUP(B47,'Up Max'!A:A,'Up Max'!C:C,)</f>
        <v/>
      </c>
      <c r="M47" s="57" t="str">
        <f t="array" ref="M47">_xlfn.XLOOKUP(B47,'Up Stats'!A:A,'Up Stats'!D:D,)</f>
        <v/>
      </c>
      <c r="N47" s="54" t="str">
        <f>IFERROR(__xludf.DUMMYFUNCTION("if(AND(O47=FALSE,P47=FALSE),,if(O47=P47,JOIN("""",""Static: "",O47),JOIN("""",""Min:  "",O47, CHAR(10),""Max: "",P47)))"),"")</f>
        <v/>
      </c>
      <c r="O47" s="55" t="str">
        <f t="array" ref="O47">_xlfn.XLOOKUP(B47,'Up Min'!A:A,'Up Min'!D:D,)</f>
        <v/>
      </c>
      <c r="P47" s="55" t="str">
        <f t="array" ref="P47">_xlfn.XLOOKUP(B47,'Up Max'!A:A,'Up Max'!D:D,)</f>
        <v/>
      </c>
      <c r="Q47" s="57" t="str">
        <f t="array" ref="Q47">_xlfn.XLOOKUP(B47,'Up Stats'!A:A,'Up Stats'!E:E,)</f>
        <v/>
      </c>
      <c r="R47" s="54" t="str">
        <f>IFERROR(__xludf.DUMMYFUNCTION("if(AND(S47=FALSE,T47=FALSE),,if(S47=T47,JOIN("""",""Static: "",S47),JOIN("""",""Min:  "",S47, CHAR(10),""Max: "",T47)))"),"")</f>
        <v/>
      </c>
      <c r="S47" s="55" t="str">
        <f t="array" ref="S47">_xlfn.XLOOKUP(B47,'Up Min'!A:A,'Up Min'!E:E,)</f>
        <v/>
      </c>
      <c r="T47" s="55" t="str">
        <f t="array" ref="T47">_xlfn.XLOOKUP(B47,'Up Max'!A:A,'Up Max'!E:E,)</f>
        <v/>
      </c>
      <c r="U47" s="57" t="str">
        <f t="array" ref="U47">_xlfn.XLOOKUP(B47,'Up Stats'!A:A,'Up Stats'!F:F,)</f>
        <v/>
      </c>
      <c r="V47" s="54" t="str">
        <f>IFERROR(__xludf.DUMMYFUNCTION("if(AND(W47=FALSE,X47=FALSE),,if(W47=X47,JOIN("""",""Static: "",W47),JOIN("""",""Min:  "",W47, CHAR(10),""Max: "",X47)))"),"")</f>
        <v/>
      </c>
      <c r="W47" s="55" t="str">
        <f t="array" ref="W47">_xlfn.XLOOKUP(B47,'Up Min'!A:A,'Up Min'!F:F,)</f>
        <v/>
      </c>
      <c r="X47" s="55" t="str">
        <f t="array" ref="X47">_xlfn.XLOOKUP(B47,'Up Max'!A:A,'Up Max'!F:F,)</f>
        <v/>
      </c>
      <c r="Y47" s="57" t="str">
        <f t="array" ref="Y47">_xlfn.XLOOKUP(B47,'Up Stats'!A:A,'Up Stats'!G:G,)</f>
        <v/>
      </c>
      <c r="Z47" s="54" t="str">
        <f>IFERROR(__xludf.DUMMYFUNCTION("if(AND(AA47=FALSE,AB47=FALSE),,if(AA47=AB47,JOIN("""",""Static: "",AA47),JOIN("""",""Min:  "",AA47, CHAR(10),""Max: "",AB47)))"),"")</f>
        <v/>
      </c>
      <c r="AA47" s="55" t="str">
        <f t="array" ref="AA47">_xlfn.XLOOKUP(B47,'Up Min'!A:A,'Up Min'!G:G,)</f>
        <v/>
      </c>
      <c r="AB47" s="55" t="str">
        <f t="array" ref="AB47">_xlfn.XLOOKUP(B47,'Up Max'!A:A,'Up Max'!G:G,)</f>
        <v/>
      </c>
      <c r="AC47" s="57" t="str">
        <f t="array" ref="AC47">_xlfn.XLOOKUP(B47,'Up Stats'!A:A,'Up Stats'!H:H,)</f>
        <v/>
      </c>
      <c r="AD47" s="54" t="str">
        <f>IFERROR(__xludf.DUMMYFUNCTION("if(AND(AE47=FALSE,AF47=FALSE),,if(AE47=AF47,JOIN("""",""Static: "",AE47),JOIN("""",""Min:  "",AE47, CHAR(10),""Max: "",AF47)))"),"")</f>
        <v/>
      </c>
      <c r="AE47" s="55" t="str">
        <f t="array" ref="AE47">_xlfn.XLOOKUP(B47,'Up Min'!A:A,'Up Min'!H:H,)</f>
        <v/>
      </c>
      <c r="AF47" s="55" t="str">
        <f t="array" ref="AF47">_xlfn.XLOOKUP(B47,'Up Max'!A:A,'Up Max'!H:H,)</f>
        <v/>
      </c>
      <c r="AG47" s="57" t="str">
        <f t="array" ref="AG47">_xlfn.XLOOKUP(B47,'Up Stats'!A:A,'Up Stats'!I:I,)</f>
        <v/>
      </c>
      <c r="AH47" s="54" t="str">
        <f>IFERROR(__xludf.DUMMYFUNCTION("if(AND(AI47=FALSE,AJ47=FALSE),,if(AI47=AJ47,JOIN("""",""Static: "",AI47),JOIN("""",""Min:  "",AI47, CHAR(10),""Max: "",AJ47)))"),"")</f>
        <v/>
      </c>
      <c r="AI47" s="55" t="str">
        <f t="array" ref="AI47">_xlfn.XLOOKUP(B47,'Up Min'!A:A,'Up Min'!I:I,)</f>
        <v/>
      </c>
      <c r="AJ47" s="55" t="str">
        <f t="array" ref="AJ47">_xlfn.XLOOKUP(B47,'Up Max'!A:A,'Up Max'!I:I,)</f>
        <v/>
      </c>
      <c r="AK47" s="57" t="str">
        <f t="array" ref="AK47">_xlfn.XLOOKUP(B47,'Up Stats'!A:A,'Up Stats'!J:J,)</f>
        <v/>
      </c>
      <c r="AL47" s="54" t="str">
        <f>IFERROR(__xludf.DUMMYFUNCTION("if(AND(AM47=FALSE,AN47=FALSE),,if(AM47=AN47,JOIN("""",""Static: "",AM47),JOIN("""",""Min:  "",AM47, CHAR(10),""Max: "",AN47)))"),"")</f>
        <v/>
      </c>
      <c r="AM47" s="55" t="str">
        <f t="array" ref="AM47">_xlfn.XLOOKUP(B47,'Up Min'!A:A,'Up Min'!J:J,)</f>
        <v/>
      </c>
      <c r="AN47" s="55" t="str">
        <f t="array" ref="AN47">_xlfn.XLOOKUP(B47,'Up Max'!A:A,'Up Max'!J:J,)</f>
        <v/>
      </c>
      <c r="AO47" s="51" t="str">
        <f t="array" ref="AO47">CONCATENATE(_xlfn.XLOOKUP(B47,'Up Cells'!A:A,'Up Cells'!B:B,))</f>
        <v/>
      </c>
      <c r="AP47" s="51" t="str">
        <f t="array" ref="AP47">CONCATENATE(_xlfn.XLOOKUP(B47,'Up Rarity'!A:A,'Up Rarity'!B:B,),CHAR(10),"-")</f>
        <v>
-</v>
      </c>
    </row>
  </sheetData>
  <autoFilter ref="$A$1:$AP$47">
    <sortState ref="A1:AP47">
      <sortCondition descending="1" sortBy="cellColor" ref="AP1:AP47" dxfId="24"/>
      <sortCondition ref="B1:B47"/>
    </sortState>
  </autoFilter>
  <conditionalFormatting sqref="AO1:AP47">
    <cfRule type="containsText" dxfId="3" priority="1" operator="containsText" text="Oddity">
      <formula>NOT(ISERROR(SEARCH(("Oddity"),(AO1))))</formula>
    </cfRule>
  </conditionalFormatting>
  <conditionalFormatting sqref="AO1:AP47">
    <cfRule type="containsText" dxfId="4" priority="2" operator="containsText" text="Exotic">
      <formula>NOT(ISERROR(SEARCH(("Exotic"),(AO1))))</formula>
    </cfRule>
  </conditionalFormatting>
  <conditionalFormatting sqref="AO1:AP47">
    <cfRule type="containsText" dxfId="5" priority="3" operator="containsText" text="Epic">
      <formula>NOT(ISERROR(SEARCH(("Epic"),(AO1))))</formula>
    </cfRule>
  </conditionalFormatting>
  <conditionalFormatting sqref="AO1:AP47">
    <cfRule type="containsText" dxfId="6" priority="4" operator="containsText" text="Rare">
      <formula>NOT(ISERROR(SEARCH(("Rare"),(AO1))))</formula>
    </cfRule>
  </conditionalFormatting>
  <conditionalFormatting sqref="AO1:AP47">
    <cfRule type="containsText" dxfId="7" priority="5" operator="containsText" text="Standard">
      <formula>NOT(ISERROR(SEARCH(("Standard"),(AO1))))</formula>
    </cfRule>
  </conditionalFormatting>
  <conditionalFormatting sqref="AO1:AP47">
    <cfRule type="containsText" dxfId="8" priority="6" operator="containsText" text="Contraband">
      <formula>NOT(ISERROR(SEARCH(("Contraband"),(AO1))))</formula>
    </cfRule>
  </conditionalFormatting>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8.88"/>
    <col hidden="1" min="5" max="8" width="12.63"/>
    <col customWidth="1" min="9" max="9" width="37.63"/>
    <col customWidth="1" min="10" max="10" width="31.38"/>
  </cols>
  <sheetData>
    <row r="1">
      <c r="A1" s="99" t="s">
        <v>37</v>
      </c>
      <c r="B1" s="99" t="s">
        <v>13</v>
      </c>
      <c r="C1" s="100" t="s">
        <v>10</v>
      </c>
      <c r="D1" s="100" t="s">
        <v>38</v>
      </c>
      <c r="E1" s="100" t="s">
        <v>39</v>
      </c>
      <c r="F1" s="100" t="s">
        <v>40</v>
      </c>
      <c r="G1" s="100" t="s">
        <v>41</v>
      </c>
      <c r="H1" s="100" t="s">
        <v>42</v>
      </c>
      <c r="I1" s="101" t="s">
        <v>43</v>
      </c>
      <c r="J1" s="101" t="s">
        <v>44</v>
      </c>
    </row>
    <row r="2" ht="225.0" customHeight="1">
      <c r="A2" s="102" t="s">
        <v>45</v>
      </c>
      <c r="B2" s="103" t="s">
        <v>46</v>
      </c>
      <c r="C2" s="104" t="s">
        <v>47</v>
      </c>
      <c r="D2" s="105">
        <v>0.024305555555555556</v>
      </c>
      <c r="E2" s="106" t="s">
        <v>48</v>
      </c>
      <c r="F2" s="106" t="s">
        <v>49</v>
      </c>
      <c r="G2" s="106" t="s">
        <v>50</v>
      </c>
      <c r="H2" s="106" t="s">
        <v>51</v>
      </c>
      <c r="I2" s="106" t="str">
        <f t="shared" ref="I2:I36" si="1">_xlfn.XLOOKUP(C2,'Testing Builds'!A:A,'Testing Builds'!B:B)</f>
        <v>#REF!</v>
      </c>
      <c r="J2" s="107"/>
    </row>
    <row r="3" ht="225.0" customHeight="1">
      <c r="A3" s="108" t="s">
        <v>52</v>
      </c>
      <c r="C3" s="109" t="s">
        <v>53</v>
      </c>
      <c r="D3" s="110">
        <v>0.02638888888888889</v>
      </c>
      <c r="E3" s="111" t="s">
        <v>48</v>
      </c>
      <c r="F3" s="111" t="s">
        <v>49</v>
      </c>
      <c r="G3" s="111" t="s">
        <v>50</v>
      </c>
      <c r="H3" s="111" t="s">
        <v>51</v>
      </c>
      <c r="I3" s="111" t="str">
        <f t="shared" si="1"/>
        <v>#REF!</v>
      </c>
      <c r="J3" s="112"/>
    </row>
    <row r="4" ht="225.0" customHeight="1">
      <c r="A4" s="108" t="s">
        <v>54</v>
      </c>
      <c r="B4" s="113" t="s">
        <v>55</v>
      </c>
      <c r="C4" s="104" t="s">
        <v>56</v>
      </c>
      <c r="D4" s="105">
        <v>0.03125</v>
      </c>
      <c r="E4" s="106" t="s">
        <v>57</v>
      </c>
      <c r="F4" s="106" t="s">
        <v>49</v>
      </c>
      <c r="G4" s="106" t="s">
        <v>50</v>
      </c>
      <c r="H4" s="106" t="s">
        <v>51</v>
      </c>
      <c r="I4" s="106" t="str">
        <f t="shared" si="1"/>
        <v>#REF!</v>
      </c>
      <c r="J4" s="107" t="s">
        <v>58</v>
      </c>
    </row>
    <row r="5" ht="225.0" customHeight="1">
      <c r="A5" s="108" t="s">
        <v>59</v>
      </c>
      <c r="C5" s="114" t="s">
        <v>60</v>
      </c>
      <c r="D5" s="110">
        <v>0.03263888888888889</v>
      </c>
      <c r="E5" s="111"/>
      <c r="F5" s="111"/>
      <c r="G5" s="111"/>
      <c r="H5" s="111"/>
      <c r="I5" s="111" t="str">
        <f t="shared" si="1"/>
        <v>#REF!</v>
      </c>
      <c r="J5" s="115" t="s">
        <v>61</v>
      </c>
    </row>
    <row r="6" ht="225.0" customHeight="1">
      <c r="A6" s="108"/>
      <c r="C6" s="116" t="s">
        <v>62</v>
      </c>
      <c r="D6" s="117">
        <v>0.035416666666666666</v>
      </c>
      <c r="E6" s="106"/>
      <c r="F6" s="118"/>
      <c r="G6" s="118"/>
      <c r="H6" s="118"/>
      <c r="I6" s="106" t="str">
        <f t="shared" si="1"/>
        <v>#REF!</v>
      </c>
      <c r="J6" s="119" t="s">
        <v>58</v>
      </c>
    </row>
    <row r="7" ht="225.0" customHeight="1">
      <c r="A7" s="108"/>
      <c r="C7" s="114" t="s">
        <v>63</v>
      </c>
      <c r="D7" s="110">
        <v>0.03680555555555556</v>
      </c>
      <c r="E7" s="111" t="s">
        <v>64</v>
      </c>
      <c r="F7" s="111" t="s">
        <v>49</v>
      </c>
      <c r="G7" s="111" t="s">
        <v>50</v>
      </c>
      <c r="H7" s="111" t="s">
        <v>51</v>
      </c>
      <c r="I7" s="111" t="str">
        <f t="shared" si="1"/>
        <v>#REF!</v>
      </c>
      <c r="J7" s="112"/>
    </row>
    <row r="8" ht="225.0" customHeight="1">
      <c r="A8" s="108"/>
      <c r="C8" s="104" t="s">
        <v>65</v>
      </c>
      <c r="D8" s="105">
        <v>0.0375</v>
      </c>
      <c r="E8" s="106" t="s">
        <v>48</v>
      </c>
      <c r="F8" s="106" t="s">
        <v>49</v>
      </c>
      <c r="G8" s="106" t="s">
        <v>50</v>
      </c>
      <c r="H8" s="106" t="s">
        <v>51</v>
      </c>
      <c r="I8" s="106" t="str">
        <f t="shared" si="1"/>
        <v>#REF!</v>
      </c>
      <c r="J8" s="107"/>
    </row>
    <row r="9" ht="225.0" customHeight="1">
      <c r="A9" s="108"/>
      <c r="C9" s="109" t="s">
        <v>66</v>
      </c>
      <c r="D9" s="110">
        <v>0.03819444444444445</v>
      </c>
      <c r="E9" s="111" t="s">
        <v>48</v>
      </c>
      <c r="F9" s="111" t="s">
        <v>49</v>
      </c>
      <c r="G9" s="111" t="s">
        <v>50</v>
      </c>
      <c r="H9" s="111" t="s">
        <v>51</v>
      </c>
      <c r="I9" s="111" t="str">
        <f t="shared" si="1"/>
        <v>#REF!</v>
      </c>
      <c r="J9" s="112"/>
    </row>
    <row r="10" ht="225.0" customHeight="1">
      <c r="A10" s="108"/>
      <c r="B10" s="120" t="s">
        <v>67</v>
      </c>
      <c r="C10" s="104" t="s">
        <v>68</v>
      </c>
      <c r="D10" s="105">
        <v>0.03819444444444445</v>
      </c>
      <c r="E10" s="106" t="s">
        <v>48</v>
      </c>
      <c r="F10" s="106" t="s">
        <v>49</v>
      </c>
      <c r="G10" s="106" t="s">
        <v>50</v>
      </c>
      <c r="H10" s="106" t="s">
        <v>51</v>
      </c>
      <c r="I10" s="106" t="str">
        <f t="shared" si="1"/>
        <v>#REF!</v>
      </c>
      <c r="J10" s="107"/>
    </row>
    <row r="11" ht="225.0" customHeight="1">
      <c r="A11" s="108"/>
      <c r="C11" s="109" t="s">
        <v>69</v>
      </c>
      <c r="D11" s="110">
        <v>0.03888888888888889</v>
      </c>
      <c r="E11" s="111" t="s">
        <v>48</v>
      </c>
      <c r="F11" s="111" t="s">
        <v>49</v>
      </c>
      <c r="G11" s="111" t="s">
        <v>50</v>
      </c>
      <c r="H11" s="111" t="s">
        <v>51</v>
      </c>
      <c r="I11" s="111" t="str">
        <f t="shared" si="1"/>
        <v>#REF!</v>
      </c>
      <c r="J11" s="112"/>
    </row>
    <row r="12" ht="225.0" customHeight="1">
      <c r="A12" s="108"/>
      <c r="C12" s="121" t="s">
        <v>70</v>
      </c>
      <c r="D12" s="105">
        <v>0.03958333333333333</v>
      </c>
      <c r="E12" s="106" t="s">
        <v>48</v>
      </c>
      <c r="F12" s="106" t="s">
        <v>49</v>
      </c>
      <c r="G12" s="106" t="s">
        <v>50</v>
      </c>
      <c r="H12" s="106" t="s">
        <v>51</v>
      </c>
      <c r="I12" s="106" t="str">
        <f t="shared" si="1"/>
        <v>#REF!</v>
      </c>
      <c r="J12" s="122" t="s">
        <v>71</v>
      </c>
    </row>
    <row r="13" ht="225.0" customHeight="1">
      <c r="A13" s="123"/>
      <c r="C13" s="114" t="s">
        <v>72</v>
      </c>
      <c r="D13" s="110">
        <v>0.04027777777777778</v>
      </c>
      <c r="E13" s="111"/>
      <c r="F13" s="111"/>
      <c r="G13" s="111"/>
      <c r="H13" s="111"/>
      <c r="I13" s="111" t="str">
        <f t="shared" si="1"/>
        <v>#REF!</v>
      </c>
      <c r="J13" s="115" t="s">
        <v>61</v>
      </c>
    </row>
    <row r="14" ht="225.0" customHeight="1">
      <c r="A14" s="100"/>
      <c r="C14" s="121" t="s">
        <v>73</v>
      </c>
      <c r="D14" s="105">
        <v>0.04583333333333333</v>
      </c>
      <c r="E14" s="106" t="s">
        <v>48</v>
      </c>
      <c r="F14" s="106" t="s">
        <v>49</v>
      </c>
      <c r="G14" s="106" t="s">
        <v>50</v>
      </c>
      <c r="H14" s="106" t="s">
        <v>51</v>
      </c>
      <c r="I14" s="106" t="str">
        <f t="shared" si="1"/>
        <v>#REF!</v>
      </c>
      <c r="J14" s="122"/>
    </row>
    <row r="15" ht="225.0" customHeight="1">
      <c r="A15" s="100"/>
      <c r="C15" s="109" t="s">
        <v>74</v>
      </c>
      <c r="D15" s="110">
        <v>0.04652777777777778</v>
      </c>
      <c r="E15" s="111" t="s">
        <v>57</v>
      </c>
      <c r="F15" s="111" t="s">
        <v>49</v>
      </c>
      <c r="G15" s="111" t="s">
        <v>50</v>
      </c>
      <c r="H15" s="111" t="s">
        <v>51</v>
      </c>
      <c r="I15" s="111" t="str">
        <f t="shared" si="1"/>
        <v>#REF!</v>
      </c>
      <c r="J15" s="112" t="s">
        <v>75</v>
      </c>
    </row>
    <row r="16" ht="225.0" customHeight="1">
      <c r="A16" s="100"/>
      <c r="C16" s="121" t="s">
        <v>76</v>
      </c>
      <c r="D16" s="105">
        <v>0.04652777777777778</v>
      </c>
      <c r="E16" s="106" t="s">
        <v>48</v>
      </c>
      <c r="F16" s="106" t="s">
        <v>49</v>
      </c>
      <c r="G16" s="106" t="s">
        <v>50</v>
      </c>
      <c r="H16" s="106" t="s">
        <v>51</v>
      </c>
      <c r="I16" s="106" t="str">
        <f t="shared" si="1"/>
        <v>#REF!</v>
      </c>
      <c r="J16" s="122"/>
    </row>
    <row r="17" ht="225.0" customHeight="1">
      <c r="A17" s="100"/>
      <c r="C17" s="114" t="s">
        <v>77</v>
      </c>
      <c r="D17" s="110">
        <v>0.04791666666666667</v>
      </c>
      <c r="E17" s="111" t="s">
        <v>48</v>
      </c>
      <c r="F17" s="111" t="s">
        <v>49</v>
      </c>
      <c r="G17" s="111" t="s">
        <v>50</v>
      </c>
      <c r="H17" s="111" t="s">
        <v>51</v>
      </c>
      <c r="I17" s="111" t="str">
        <f t="shared" si="1"/>
        <v>#REF!</v>
      </c>
      <c r="J17" s="115"/>
    </row>
    <row r="18" ht="225.0" customHeight="1">
      <c r="A18" s="100"/>
      <c r="C18" s="104" t="s">
        <v>78</v>
      </c>
      <c r="D18" s="105">
        <v>0.04861111111111111</v>
      </c>
      <c r="E18" s="106" t="s">
        <v>48</v>
      </c>
      <c r="F18" s="106" t="s">
        <v>49</v>
      </c>
      <c r="G18" s="106" t="s">
        <v>50</v>
      </c>
      <c r="H18" s="106" t="s">
        <v>51</v>
      </c>
      <c r="I18" s="106" t="str">
        <f t="shared" si="1"/>
        <v>#REF!</v>
      </c>
      <c r="J18" s="107" t="s">
        <v>79</v>
      </c>
    </row>
    <row r="19" ht="225.0" customHeight="1">
      <c r="A19" s="100"/>
      <c r="C19" s="114" t="s">
        <v>80</v>
      </c>
      <c r="D19" s="110">
        <v>0.050694444444444445</v>
      </c>
      <c r="E19" s="111" t="s">
        <v>81</v>
      </c>
      <c r="F19" s="111" t="s">
        <v>49</v>
      </c>
      <c r="G19" s="111" t="s">
        <v>50</v>
      </c>
      <c r="H19" s="111" t="s">
        <v>51</v>
      </c>
      <c r="I19" s="111" t="str">
        <f t="shared" si="1"/>
        <v>#REF!</v>
      </c>
      <c r="J19" s="112" t="s">
        <v>82</v>
      </c>
    </row>
    <row r="20" ht="225.0" customHeight="1">
      <c r="A20" s="100"/>
      <c r="C20" s="104" t="s">
        <v>83</v>
      </c>
      <c r="D20" s="105">
        <v>0.050694444444444445</v>
      </c>
      <c r="E20" s="106"/>
      <c r="F20" s="106"/>
      <c r="G20" s="106"/>
      <c r="H20" s="106"/>
      <c r="I20" s="106" t="str">
        <f t="shared" si="1"/>
        <v>#REF!</v>
      </c>
      <c r="J20" s="122"/>
    </row>
    <row r="21" ht="225.0" customHeight="1">
      <c r="A21" s="100"/>
      <c r="C21" s="124" t="s">
        <v>84</v>
      </c>
      <c r="D21" s="125">
        <v>0.052083333333333336</v>
      </c>
      <c r="E21" s="111" t="s">
        <v>57</v>
      </c>
      <c r="F21" s="126" t="s">
        <v>49</v>
      </c>
      <c r="G21" s="61" t="s">
        <v>50</v>
      </c>
      <c r="H21" s="126" t="s">
        <v>51</v>
      </c>
      <c r="I21" s="111" t="str">
        <f t="shared" si="1"/>
        <v>#REF!</v>
      </c>
      <c r="J21" s="127" t="s">
        <v>75</v>
      </c>
    </row>
    <row r="22" ht="225.0" customHeight="1">
      <c r="A22" s="100"/>
      <c r="C22" s="104" t="s">
        <v>85</v>
      </c>
      <c r="D22" s="105">
        <v>0.05277777777777778</v>
      </c>
      <c r="E22" s="106" t="s">
        <v>48</v>
      </c>
      <c r="F22" s="106" t="s">
        <v>49</v>
      </c>
      <c r="G22" s="106" t="s">
        <v>50</v>
      </c>
      <c r="H22" s="106" t="s">
        <v>51</v>
      </c>
      <c r="I22" s="106" t="str">
        <f t="shared" si="1"/>
        <v>#REF!</v>
      </c>
      <c r="J22" s="107"/>
    </row>
    <row r="23" ht="225.0" customHeight="1">
      <c r="A23" s="100"/>
      <c r="B23" s="128" t="s">
        <v>86</v>
      </c>
      <c r="C23" s="124" t="s">
        <v>87</v>
      </c>
      <c r="D23" s="125">
        <v>0.05347222222222222</v>
      </c>
      <c r="E23" s="111" t="s">
        <v>48</v>
      </c>
      <c r="F23" s="126" t="s">
        <v>49</v>
      </c>
      <c r="G23" s="126" t="s">
        <v>50</v>
      </c>
      <c r="H23" s="126" t="s">
        <v>51</v>
      </c>
      <c r="I23" s="111" t="str">
        <f t="shared" si="1"/>
        <v>#REF!</v>
      </c>
      <c r="J23" s="127"/>
    </row>
    <row r="24" ht="225.0" customHeight="1">
      <c r="A24" s="100"/>
      <c r="C24" s="121" t="s">
        <v>88</v>
      </c>
      <c r="D24" s="105">
        <v>0.06319444444444444</v>
      </c>
      <c r="E24" s="106" t="s">
        <v>48</v>
      </c>
      <c r="F24" s="106" t="s">
        <v>49</v>
      </c>
      <c r="G24" s="106" t="s">
        <v>50</v>
      </c>
      <c r="H24" s="106" t="s">
        <v>51</v>
      </c>
      <c r="I24" s="106" t="str">
        <f t="shared" si="1"/>
        <v>#REF!</v>
      </c>
      <c r="J24" s="122" t="s">
        <v>89</v>
      </c>
    </row>
    <row r="25" ht="225.0" customHeight="1">
      <c r="A25" s="100"/>
      <c r="C25" s="114" t="s">
        <v>90</v>
      </c>
      <c r="D25" s="110">
        <v>0.06736111111111111</v>
      </c>
      <c r="E25" s="111"/>
      <c r="F25" s="111"/>
      <c r="G25" s="111"/>
      <c r="H25" s="111"/>
      <c r="I25" s="111" t="str">
        <f t="shared" si="1"/>
        <v>#REF!</v>
      </c>
      <c r="J25" s="115"/>
    </row>
    <row r="26" ht="225.0" customHeight="1">
      <c r="A26" s="100"/>
      <c r="C26" s="121" t="s">
        <v>91</v>
      </c>
      <c r="D26" s="105">
        <v>0.07222222222222222</v>
      </c>
      <c r="E26" s="106"/>
      <c r="F26" s="106"/>
      <c r="G26" s="106"/>
      <c r="H26" s="106"/>
      <c r="I26" s="106" t="str">
        <f t="shared" si="1"/>
        <v>#REF!</v>
      </c>
      <c r="J26" s="122" t="s">
        <v>61</v>
      </c>
    </row>
    <row r="27" ht="225.0" customHeight="1">
      <c r="A27" s="100"/>
      <c r="C27" s="114" t="s">
        <v>92</v>
      </c>
      <c r="D27" s="110">
        <v>0.07222222222222222</v>
      </c>
      <c r="E27" s="111"/>
      <c r="F27" s="111"/>
      <c r="G27" s="111"/>
      <c r="H27" s="111"/>
      <c r="I27" s="111" t="str">
        <f t="shared" si="1"/>
        <v>#REF!</v>
      </c>
      <c r="J27" s="115" t="s">
        <v>61</v>
      </c>
    </row>
    <row r="28" ht="225.0" customHeight="1">
      <c r="A28" s="100"/>
      <c r="C28" s="121" t="s">
        <v>93</v>
      </c>
      <c r="D28" s="105">
        <v>0.08333333333333333</v>
      </c>
      <c r="E28" s="106" t="s">
        <v>81</v>
      </c>
      <c r="F28" s="106" t="s">
        <v>49</v>
      </c>
      <c r="G28" s="106" t="s">
        <v>50</v>
      </c>
      <c r="H28" s="106" t="s">
        <v>51</v>
      </c>
      <c r="I28" s="106" t="str">
        <f t="shared" si="1"/>
        <v>#REF!</v>
      </c>
      <c r="J28" s="107" t="s">
        <v>82</v>
      </c>
    </row>
    <row r="29" ht="225.0" customHeight="1">
      <c r="A29" s="100"/>
      <c r="C29" s="109" t="s">
        <v>94</v>
      </c>
      <c r="D29" s="110">
        <v>0.08333333333333333</v>
      </c>
      <c r="E29" s="111"/>
      <c r="F29" s="111"/>
      <c r="G29" s="111"/>
      <c r="H29" s="111"/>
      <c r="I29" s="111" t="str">
        <f t="shared" si="1"/>
        <v>#REF!</v>
      </c>
      <c r="J29" s="115"/>
    </row>
    <row r="30" ht="225.0" customHeight="1">
      <c r="A30" s="100"/>
      <c r="C30" s="104" t="s">
        <v>95</v>
      </c>
      <c r="D30" s="105">
        <v>0.0875</v>
      </c>
      <c r="E30" s="106" t="s">
        <v>48</v>
      </c>
      <c r="F30" s="106" t="s">
        <v>49</v>
      </c>
      <c r="G30" s="106" t="s">
        <v>50</v>
      </c>
      <c r="H30" s="106" t="s">
        <v>51</v>
      </c>
      <c r="I30" s="106" t="str">
        <f t="shared" si="1"/>
        <v>#REF!</v>
      </c>
      <c r="J30" s="122"/>
    </row>
    <row r="31" ht="225.0" customHeight="1">
      <c r="A31" s="100"/>
      <c r="C31" s="109" t="s">
        <v>96</v>
      </c>
      <c r="D31" s="110">
        <v>0.08958333333333333</v>
      </c>
      <c r="E31" s="111" t="s">
        <v>48</v>
      </c>
      <c r="F31" s="111" t="s">
        <v>49</v>
      </c>
      <c r="G31" s="111" t="s">
        <v>50</v>
      </c>
      <c r="H31" s="111" t="s">
        <v>51</v>
      </c>
      <c r="I31" s="111" t="str">
        <f t="shared" si="1"/>
        <v>#REF!</v>
      </c>
      <c r="J31" s="112"/>
    </row>
    <row r="32" ht="225.0" customHeight="1">
      <c r="A32" s="100"/>
      <c r="C32" s="121" t="s">
        <v>97</v>
      </c>
      <c r="D32" s="105">
        <v>0.09513888888888888</v>
      </c>
      <c r="E32" s="106" t="s">
        <v>48</v>
      </c>
      <c r="F32" s="106" t="s">
        <v>49</v>
      </c>
      <c r="G32" s="106" t="s">
        <v>98</v>
      </c>
      <c r="H32" s="106" t="s">
        <v>51</v>
      </c>
      <c r="I32" s="106" t="str">
        <f t="shared" si="1"/>
        <v>#REF!</v>
      </c>
      <c r="J32" s="122" t="s">
        <v>99</v>
      </c>
    </row>
    <row r="33" ht="225.0" customHeight="1">
      <c r="A33" s="100"/>
      <c r="B33" s="129" t="s">
        <v>100</v>
      </c>
      <c r="C33" s="109" t="s">
        <v>101</v>
      </c>
      <c r="D33" s="110">
        <v>0.10277777777777777</v>
      </c>
      <c r="E33" s="111" t="s">
        <v>102</v>
      </c>
      <c r="F33" s="111" t="s">
        <v>49</v>
      </c>
      <c r="G33" s="111" t="s">
        <v>50</v>
      </c>
      <c r="H33" s="111" t="s">
        <v>51</v>
      </c>
      <c r="I33" s="111" t="str">
        <f t="shared" si="1"/>
        <v>#REF!</v>
      </c>
      <c r="J33" s="115" t="s">
        <v>103</v>
      </c>
    </row>
    <row r="34" ht="225.0" customHeight="1">
      <c r="A34" s="100"/>
      <c r="C34" s="121" t="s">
        <v>104</v>
      </c>
      <c r="D34" s="105">
        <v>0.11597222222222223</v>
      </c>
      <c r="E34" s="106"/>
      <c r="F34" s="106"/>
      <c r="G34" s="106"/>
      <c r="H34" s="106"/>
      <c r="I34" s="106" t="str">
        <f t="shared" si="1"/>
        <v>#REF!</v>
      </c>
      <c r="J34" s="107" t="s">
        <v>105</v>
      </c>
    </row>
    <row r="35" ht="225.0" customHeight="1">
      <c r="A35" s="100"/>
      <c r="C35" s="114" t="s">
        <v>106</v>
      </c>
      <c r="D35" s="110">
        <v>0.11736111111111111</v>
      </c>
      <c r="E35" s="111" t="s">
        <v>48</v>
      </c>
      <c r="F35" s="111" t="s">
        <v>49</v>
      </c>
      <c r="G35" s="111" t="s">
        <v>50</v>
      </c>
      <c r="H35" s="111" t="s">
        <v>51</v>
      </c>
      <c r="I35" s="111" t="str">
        <f t="shared" si="1"/>
        <v>#REF!</v>
      </c>
      <c r="J35" s="115" t="s">
        <v>107</v>
      </c>
    </row>
    <row r="36" ht="225.0" customHeight="1">
      <c r="A36" s="100"/>
      <c r="C36" s="121" t="s">
        <v>108</v>
      </c>
      <c r="D36" s="105">
        <v>0.12361111111111112</v>
      </c>
      <c r="E36" s="106" t="s">
        <v>48</v>
      </c>
      <c r="F36" s="106" t="s">
        <v>49</v>
      </c>
      <c r="G36" s="106" t="s">
        <v>98</v>
      </c>
      <c r="H36" s="106" t="s">
        <v>51</v>
      </c>
      <c r="I36" s="106" t="str">
        <f t="shared" si="1"/>
        <v>#REF!</v>
      </c>
      <c r="J36" s="122" t="s">
        <v>99</v>
      </c>
    </row>
    <row r="37" ht="31.5" customHeight="1">
      <c r="A37" s="100" t="s">
        <v>109</v>
      </c>
    </row>
    <row r="38" ht="31.5" customHeight="1"/>
    <row r="39" ht="31.5" customHeight="1"/>
    <row r="40" ht="31.5" customHeight="1"/>
  </sheetData>
  <autoFilter ref="$C$1:$J$36">
    <sortState ref="C1:J36">
      <sortCondition ref="D1:D36"/>
      <sortCondition ref="C1:C36"/>
    </sortState>
  </autoFilter>
  <mergeCells count="6">
    <mergeCell ref="B2:B3"/>
    <mergeCell ref="B4:B9"/>
    <mergeCell ref="B10:B22"/>
    <mergeCell ref="B23:B32"/>
    <mergeCell ref="B33:B36"/>
    <mergeCell ref="A37:J40"/>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4" max="4" width="17.75"/>
  </cols>
  <sheetData>
    <row r="1">
      <c r="A1" s="130" t="str">
        <f>'Builds (old)'!B1</f>
        <v>Tier</v>
      </c>
      <c r="B1" s="131" t="str">
        <f>'Builds (old)'!C1</f>
        <v>Builds</v>
      </c>
      <c r="C1" s="132" t="str">
        <f>'Builds (old)'!D1</f>
        <v>Kill Times</v>
      </c>
      <c r="D1" s="131" t="str">
        <f t="shared" ref="D1:E1" si="1">'Standard Builds'!C1</f>
        <v>#REF!</v>
      </c>
      <c r="E1" s="132" t="str">
        <f t="shared" si="1"/>
        <v>#REF!</v>
      </c>
      <c r="F1" s="101" t="s">
        <v>110</v>
      </c>
    </row>
    <row r="2">
      <c r="A2" s="103" t="s">
        <v>46</v>
      </c>
      <c r="B2" s="133" t="str">
        <f>'Builds (old)'!C31</f>
        <v>Cycler
(Infinity Burn)</v>
      </c>
      <c r="C2" s="134">
        <f>'Builds (old)'!D31</f>
        <v>0.08958333333</v>
      </c>
      <c r="D2" s="133" t="str">
        <f t="shared" ref="D2:E2" si="2">'Standard Builds'!C11</f>
        <v>#REF!</v>
      </c>
      <c r="E2" s="135" t="str">
        <f t="shared" si="2"/>
        <v>#REF!</v>
      </c>
      <c r="F2" s="136" t="str">
        <f t="shared" ref="F2:F26" si="4">C2-E2</f>
        <v>#REF!</v>
      </c>
    </row>
    <row r="3">
      <c r="B3" s="137" t="str">
        <f>'Builds (old)'!C35</f>
        <v>Carver
(Overheat System)</v>
      </c>
      <c r="C3" s="138">
        <f>'Builds (old)'!D35</f>
        <v>0.1173611111</v>
      </c>
      <c r="D3" s="137" t="str">
        <f t="shared" ref="D3:E3" si="3">'Standard Builds'!C31</f>
        <v>#REF!</v>
      </c>
      <c r="E3" s="139" t="str">
        <f t="shared" si="3"/>
        <v>#REF!</v>
      </c>
      <c r="F3" s="140" t="str">
        <f t="shared" si="4"/>
        <v>#REF!</v>
      </c>
    </row>
    <row r="4">
      <c r="A4" s="113" t="s">
        <v>55</v>
      </c>
      <c r="B4" s="133" t="str">
        <f>'Builds (old)'!C34</f>
        <v>Globbler
(Flood)</v>
      </c>
      <c r="C4" s="134">
        <f>'Builds (old)'!D34</f>
        <v>0.1159722222</v>
      </c>
      <c r="D4" s="133" t="str">
        <f t="shared" ref="D4:E4" si="5">'Standard Builds'!C33</f>
        <v>#REF!</v>
      </c>
      <c r="E4" s="135" t="str">
        <f t="shared" si="5"/>
        <v>#REF!</v>
      </c>
      <c r="F4" s="136" t="str">
        <f t="shared" si="4"/>
        <v>#REF!</v>
      </c>
    </row>
    <row r="5">
      <c r="B5" s="137" t="str">
        <f>'Builds (old)'!C36</f>
        <v>Swarm
(High Caliber Pellets)</v>
      </c>
      <c r="C5" s="138">
        <f>'Builds (old)'!D36</f>
        <v>0.1236111111</v>
      </c>
      <c r="D5" s="137" t="str">
        <f t="shared" ref="D5:E5" si="6">#REF!</f>
        <v>#REF!</v>
      </c>
      <c r="E5" s="139" t="str">
        <f t="shared" si="6"/>
        <v>#REF!</v>
      </c>
      <c r="F5" s="140" t="str">
        <f t="shared" si="4"/>
        <v>#REF!</v>
      </c>
    </row>
    <row r="6">
      <c r="B6" s="133" t="str">
        <f>'Builds (old)'!C33</f>
        <v>Jackrabbit
(Pesticide)</v>
      </c>
      <c r="C6" s="134">
        <f>'Builds (old)'!D33</f>
        <v>0.1027777778</v>
      </c>
      <c r="D6" s="133" t="str">
        <f t="shared" ref="D6:E6" si="7">'Standard Builds'!C32</f>
        <v>#REF!</v>
      </c>
      <c r="E6" s="135" t="str">
        <f t="shared" si="7"/>
        <v>#REF!</v>
      </c>
      <c r="F6" s="136" t="str">
        <f t="shared" si="4"/>
        <v>#REF!</v>
      </c>
    </row>
    <row r="7">
      <c r="B7" s="137" t="str">
        <f>'Builds (old)'!C25</f>
        <v>Gunship
(Ballistic Charger)</v>
      </c>
      <c r="C7" s="138">
        <f>'Builds (old)'!D25</f>
        <v>0.06736111111</v>
      </c>
      <c r="D7" s="137" t="str">
        <f t="shared" ref="D7:E7" si="8">'Standard Builds'!C13</f>
        <v>#REF!</v>
      </c>
      <c r="E7" s="139" t="str">
        <f t="shared" si="8"/>
        <v>#REF!</v>
      </c>
      <c r="F7" s="140" t="str">
        <f t="shared" si="4"/>
        <v>#REF!</v>
      </c>
    </row>
    <row r="8">
      <c r="B8" s="133" t="str">
        <f>'Builds (old)'!C28</f>
        <v>Jackrabbit
(Pummeler)</v>
      </c>
      <c r="C8" s="134">
        <f>'Builds (old)'!D28</f>
        <v>0.08333333333</v>
      </c>
      <c r="D8" s="133" t="str">
        <f t="shared" ref="D8:E8" si="9">'Standard Builds'!C26</f>
        <v>#REF!</v>
      </c>
      <c r="E8" s="135" t="str">
        <f t="shared" si="9"/>
        <v>#REF!</v>
      </c>
      <c r="F8" s="136" t="str">
        <f t="shared" si="4"/>
        <v>#REF!</v>
      </c>
    </row>
    <row r="9">
      <c r="B9" s="137" t="str">
        <f>'Builds (old)'!C26</f>
        <v>Accelerator
(Ruptured Spleen)</v>
      </c>
      <c r="C9" s="138">
        <f>'Builds (old)'!D26</f>
        <v>0.07222222222</v>
      </c>
      <c r="D9" s="137" t="str">
        <f t="shared" ref="D9:E9" si="10">'Standard Builds'!C24</f>
        <v>#REF!</v>
      </c>
      <c r="E9" s="139" t="str">
        <f t="shared" si="10"/>
        <v>#REF!</v>
      </c>
      <c r="F9" s="140" t="str">
        <f t="shared" si="4"/>
        <v>#REF!</v>
      </c>
    </row>
    <row r="10">
      <c r="A10" s="120" t="s">
        <v>67</v>
      </c>
      <c r="B10" s="133" t="str">
        <f>'Builds (old)'!C22</f>
        <v>Flinger
(Double Action)</v>
      </c>
      <c r="C10" s="134">
        <f>'Builds (old)'!D22</f>
        <v>0.05277777778</v>
      </c>
      <c r="D10" s="133" t="str">
        <f t="shared" ref="D10:E10" si="11">'Standard Builds'!C10</f>
        <v>#REF!</v>
      </c>
      <c r="E10" s="135" t="str">
        <f t="shared" si="11"/>
        <v>#REF!</v>
      </c>
      <c r="F10" s="136" t="str">
        <f t="shared" si="4"/>
        <v>#REF!</v>
      </c>
    </row>
    <row r="11">
      <c r="B11" s="137" t="str">
        <f>'Builds (old)'!C19</f>
        <v>Jackrabbit
(Slideshot)</v>
      </c>
      <c r="C11" s="138">
        <f>'Builds (old)'!D19</f>
        <v>0.05069444444</v>
      </c>
      <c r="D11" s="137" t="str">
        <f t="shared" ref="D11:E11" si="12">'Standard Builds'!C7</f>
        <v>#REF!</v>
      </c>
      <c r="E11" s="139" t="str">
        <f t="shared" si="12"/>
        <v>#REF!</v>
      </c>
      <c r="F11" s="140" t="str">
        <f t="shared" si="4"/>
        <v>#REF!</v>
      </c>
    </row>
    <row r="12">
      <c r="B12" s="133" t="str">
        <f>'Builds (old)'!C32</f>
        <v>Swarm
(Mitosis)</v>
      </c>
      <c r="C12" s="134">
        <f>'Builds (old)'!D32</f>
        <v>0.09513888889</v>
      </c>
      <c r="D12" s="133" t="str">
        <f t="shared" ref="D12:E12" si="13">'Standard Builds'!C35</f>
        <v>#REF!</v>
      </c>
      <c r="E12" s="135" t="str">
        <f t="shared" si="13"/>
        <v>#REF!</v>
      </c>
      <c r="F12" s="136" t="str">
        <f t="shared" si="4"/>
        <v>#REF!</v>
      </c>
    </row>
    <row r="13">
      <c r="B13" s="137" t="str">
        <f>'Builds (old)'!C27</f>
        <v>Accelerator
(Requeening)</v>
      </c>
      <c r="C13" s="138">
        <f>'Builds (old)'!D27</f>
        <v>0.07222222222</v>
      </c>
      <c r="D13" s="137" t="str">
        <f t="shared" ref="D13:E13" si="14">'Standard Builds'!C30</f>
        <v>#REF!</v>
      </c>
      <c r="E13" s="139" t="str">
        <f t="shared" si="14"/>
        <v>#REF!</v>
      </c>
      <c r="F13" s="140" t="str">
        <f t="shared" si="4"/>
        <v>#REF!</v>
      </c>
    </row>
    <row r="14">
      <c r="B14" s="133" t="str">
        <f>'Builds (old)'!C13</f>
        <v>Accelerator
(Unstable Recursion)</v>
      </c>
      <c r="C14" s="134">
        <f>'Builds (old)'!D13</f>
        <v>0.04027777778</v>
      </c>
      <c r="D14" s="133" t="str">
        <f t="shared" ref="D14:E14" si="15">'Standard Builds'!C9</f>
        <v>#REF!</v>
      </c>
      <c r="E14" s="135" t="str">
        <f t="shared" si="15"/>
        <v>#REF!</v>
      </c>
      <c r="F14" s="136" t="str">
        <f t="shared" si="4"/>
        <v>#REF!</v>
      </c>
    </row>
    <row r="15">
      <c r="B15" s="137" t="str">
        <f>'Builds (old)'!C18</f>
        <v>Plate
(Damage Arc)</v>
      </c>
      <c r="C15" s="138">
        <f>'Builds (old)'!D18</f>
        <v>0.04861111111</v>
      </c>
      <c r="D15" s="137" t="str">
        <f t="shared" ref="D15:E15" si="16">'Standard Builds'!C17</f>
        <v>#REF!</v>
      </c>
      <c r="E15" s="139" t="str">
        <f t="shared" si="16"/>
        <v>#REF!</v>
      </c>
      <c r="F15" s="140" t="str">
        <f t="shared" si="4"/>
        <v>#REF!</v>
      </c>
    </row>
    <row r="16">
      <c r="B16" s="133" t="str">
        <f>'Builds (old)'!C9</f>
        <v>Gunship
(Missile Bay)</v>
      </c>
      <c r="C16" s="134">
        <f>'Builds (old)'!D9</f>
        <v>0.03819444444</v>
      </c>
      <c r="D16" s="133" t="str">
        <f t="shared" ref="D16:E16" si="17">'Standard Builds'!C5</f>
        <v>#REF!</v>
      </c>
      <c r="E16" s="135" t="str">
        <f t="shared" si="17"/>
        <v>#REF!</v>
      </c>
      <c r="F16" s="136" t="str">
        <f t="shared" si="4"/>
        <v>#REF!</v>
      </c>
    </row>
    <row r="17">
      <c r="B17" s="137" t="str">
        <f>'Builds (old)'!C24</f>
        <v>DMLR
(Coronal Ejection)</v>
      </c>
      <c r="C17" s="138">
        <f>'Builds (old)'!D24</f>
        <v>0.06319444444</v>
      </c>
      <c r="D17" s="137" t="str">
        <f t="shared" ref="D17:E17" si="18">'Standard Builds'!C29</f>
        <v>#REF!</v>
      </c>
      <c r="E17" s="139" t="str">
        <f t="shared" si="18"/>
        <v>#REF!</v>
      </c>
      <c r="F17" s="140" t="str">
        <f t="shared" si="4"/>
        <v>#REF!</v>
      </c>
    </row>
    <row r="18">
      <c r="B18" s="133" t="str">
        <f>'Builds (old)'!C16</f>
        <v>Shocklance
(Compressor)</v>
      </c>
      <c r="C18" s="134">
        <f>'Builds (old)'!D16</f>
        <v>0.04652777778</v>
      </c>
      <c r="D18" s="133" t="str">
        <f t="shared" ref="D18:E18" si="19">'Standard Builds'!C16</f>
        <v>#REF!</v>
      </c>
      <c r="E18" s="135" t="str">
        <f t="shared" si="19"/>
        <v>#REF!</v>
      </c>
      <c r="F18" s="136" t="str">
        <f t="shared" si="4"/>
        <v>#REF!</v>
      </c>
    </row>
    <row r="19">
      <c r="B19" s="137" t="str">
        <f>'Builds (old)'!C17</f>
        <v>Shocklance
(Auger Subroutine)</v>
      </c>
      <c r="C19" s="138">
        <f>'Builds (old)'!D17</f>
        <v>0.04791666667</v>
      </c>
      <c r="D19" s="137" t="str">
        <f t="shared" ref="D19:E19" si="20">'Standard Builds'!C20</f>
        <v>#REF!</v>
      </c>
      <c r="E19" s="139" t="str">
        <f t="shared" si="20"/>
        <v>#REF!</v>
      </c>
      <c r="F19" s="140" t="str">
        <f t="shared" si="4"/>
        <v>#REF!</v>
      </c>
    </row>
    <row r="20">
      <c r="B20" s="133" t="str">
        <f>'Builds (old)'!C29</f>
        <v>Jackrabbit
(All Powdered Up)</v>
      </c>
      <c r="C20" s="134">
        <f>'Builds (old)'!D29</f>
        <v>0.08333333333</v>
      </c>
      <c r="D20" s="133" t="str">
        <f t="shared" ref="D20:E20" si="21">'Standard Builds'!C34</f>
        <v>#REF!</v>
      </c>
      <c r="E20" s="135" t="str">
        <f t="shared" si="21"/>
        <v>#REF!</v>
      </c>
      <c r="F20" s="136" t="str">
        <f t="shared" si="4"/>
        <v>#REF!</v>
      </c>
    </row>
    <row r="21">
      <c r="B21" s="137" t="str">
        <f>'Builds (old)'!C21</f>
        <v>Cycler
(Corrode Siphon)</v>
      </c>
      <c r="C21" s="138">
        <f>'Builds (old)'!D21</f>
        <v>0.05208333333</v>
      </c>
      <c r="D21" s="137" t="str">
        <f t="shared" ref="D21:E21" si="22">'Standard Builds'!C22</f>
        <v>#REF!</v>
      </c>
      <c r="E21" s="139" t="str">
        <f t="shared" si="22"/>
        <v>#REF!</v>
      </c>
      <c r="F21" s="140" t="str">
        <f t="shared" si="4"/>
        <v>#REF!</v>
      </c>
    </row>
    <row r="22">
      <c r="B22" s="133" t="str">
        <f>'Builds (old)'!C7</f>
        <v>Globbler
(Pressure Cooker)</v>
      </c>
      <c r="C22" s="134">
        <f>'Builds (old)'!D7</f>
        <v>0.03680555556</v>
      </c>
      <c r="D22" s="133" t="str">
        <f t="shared" ref="D22:E22" si="23">'Standard Builds'!C8</f>
        <v>#REF!</v>
      </c>
      <c r="E22" s="135" t="str">
        <f t="shared" si="23"/>
        <v>#REF!</v>
      </c>
      <c r="F22" s="136" t="str">
        <f t="shared" si="4"/>
        <v>#REF!</v>
      </c>
    </row>
    <row r="23">
      <c r="A23" s="128" t="s">
        <v>86</v>
      </c>
      <c r="B23" s="137" t="str">
        <f>'Builds (old)'!C6</f>
        <v>Trident
(Broadside)</v>
      </c>
      <c r="C23" s="138">
        <f>'Builds (old)'!D6</f>
        <v>0.03541666667</v>
      </c>
      <c r="D23" s="137" t="str">
        <f t="shared" ref="D23:E23" si="24">'Standard Builds'!C6</f>
        <v>#REF!</v>
      </c>
      <c r="E23" s="139" t="str">
        <f t="shared" si="24"/>
        <v>#REF!</v>
      </c>
      <c r="F23" s="140" t="str">
        <f t="shared" si="4"/>
        <v>#REF!</v>
      </c>
    </row>
    <row r="24">
      <c r="B24" s="133" t="str">
        <f>'Builds (old)'!C12</f>
        <v>Plate
(Fencing Construction)</v>
      </c>
      <c r="C24" s="134">
        <f>'Builds (old)'!D12</f>
        <v>0.03958333333</v>
      </c>
      <c r="D24" s="133" t="str">
        <f t="shared" ref="D24:E24" si="25">'Standard Builds'!C12</f>
        <v>#REF!</v>
      </c>
      <c r="E24" s="135" t="str">
        <f t="shared" si="25"/>
        <v>#REF!</v>
      </c>
      <c r="F24" s="136" t="str">
        <f t="shared" si="4"/>
        <v>#REF!</v>
      </c>
    </row>
    <row r="25">
      <c r="B25" s="137" t="str">
        <f>'Builds (old)'!C4</f>
        <v>Trident
(Lone Cannoneer)</v>
      </c>
      <c r="C25" s="138">
        <f>'Builds (old)'!D4</f>
        <v>0.03125</v>
      </c>
      <c r="D25" s="137" t="str">
        <f t="shared" ref="D25:E25" si="26">'Standard Builds'!C3</f>
        <v>#REF!</v>
      </c>
      <c r="E25" s="139" t="str">
        <f t="shared" si="26"/>
        <v>#REF!</v>
      </c>
      <c r="F25" s="140" t="str">
        <f t="shared" si="4"/>
        <v>#REF!</v>
      </c>
    </row>
    <row r="26">
      <c r="B26" s="133" t="str">
        <f>'Builds (old)'!C23</f>
        <v>Cycler
(Shock Recursion)</v>
      </c>
      <c r="C26" s="134">
        <f>'Builds (old)'!D23</f>
        <v>0.05347222222</v>
      </c>
      <c r="D26" s="133" t="str">
        <f t="shared" ref="D26:E26" si="27">'Standard Builds'!C28</f>
        <v>#REF!</v>
      </c>
      <c r="E26" s="135" t="str">
        <f t="shared" si="27"/>
        <v>#REF!</v>
      </c>
      <c r="F26" s="136" t="str">
        <f t="shared" si="4"/>
        <v>#REF!</v>
      </c>
    </row>
    <row r="27">
      <c r="B27" s="137" t="str">
        <f>'Builds (old)'!C5</f>
        <v>Accelerator
(Inertia Accelerant)</v>
      </c>
      <c r="C27" s="138">
        <f>'Builds (old)'!D5</f>
        <v>0.03263888889</v>
      </c>
      <c r="D27" s="137" t="str">
        <f t="shared" ref="D27:E27" si="28">'Standard Builds'!C14</f>
        <v>#REF!</v>
      </c>
      <c r="E27" s="139" t="str">
        <f t="shared" si="28"/>
        <v>#REF!</v>
      </c>
      <c r="F27" s="140" t="str">
        <f>E27-C27</f>
        <v>#REF!</v>
      </c>
    </row>
    <row r="28">
      <c r="B28" s="133" t="str">
        <f>'Builds (old)'!C14</f>
        <v>Shocklance
(Railshot)</v>
      </c>
      <c r="C28" s="134">
        <f>'Builds (old)'!D14</f>
        <v>0.04583333333</v>
      </c>
      <c r="D28" s="133" t="str">
        <f t="shared" ref="D28:E28" si="29">'Standard Builds'!C21</f>
        <v>#REF!</v>
      </c>
      <c r="E28" s="135" t="str">
        <f t="shared" si="29"/>
        <v>#REF!</v>
      </c>
      <c r="F28" s="136" t="str">
        <f t="shared" ref="F28:F36" si="31">C28-E28</f>
        <v>#REF!</v>
      </c>
    </row>
    <row r="29">
      <c r="B29" s="137" t="str">
        <f>'Builds (old)'!C20</f>
        <v>Flinger
(No Doobie)</v>
      </c>
      <c r="C29" s="138">
        <f>'Builds (old)'!D20</f>
        <v>0.05069444444</v>
      </c>
      <c r="D29" s="137" t="str">
        <f t="shared" ref="D29:E29" si="30">'Standard Builds'!C25</f>
        <v>#REF!</v>
      </c>
      <c r="E29" s="139" t="str">
        <f t="shared" si="30"/>
        <v>#REF!</v>
      </c>
      <c r="F29" s="140" t="str">
        <f t="shared" si="31"/>
        <v>#REF!</v>
      </c>
    </row>
    <row r="30">
      <c r="B30" s="133" t="str">
        <f>'Builds (old)'!C2</f>
        <v>Gunship
(Tinderbox)</v>
      </c>
      <c r="C30" s="134">
        <f>'Builds (old)'!D2</f>
        <v>0.02430555556</v>
      </c>
      <c r="D30" s="133" t="str">
        <f t="shared" ref="D30:E30" si="32">'Standard Builds'!C2</f>
        <v>#REF!</v>
      </c>
      <c r="E30" s="135" t="str">
        <f t="shared" si="32"/>
        <v>#REF!</v>
      </c>
      <c r="F30" s="136" t="str">
        <f t="shared" si="31"/>
        <v>#REF!</v>
      </c>
    </row>
    <row r="31">
      <c r="B31" s="137" t="str">
        <f>'Builds (old)'!C30</f>
        <v>Cycler
(Decay)</v>
      </c>
      <c r="C31" s="138">
        <f>'Builds (old)'!D30</f>
        <v>0.0875</v>
      </c>
      <c r="D31" s="137" t="str">
        <f t="shared" ref="D31:E31" si="33">'Standard Builds'!C36</f>
        <v>#REF!</v>
      </c>
      <c r="E31" s="139" t="str">
        <f t="shared" si="33"/>
        <v>#REF!</v>
      </c>
      <c r="F31" s="140" t="str">
        <f t="shared" si="31"/>
        <v>#REF!</v>
      </c>
    </row>
    <row r="32">
      <c r="B32" s="133" t="str">
        <f>'Builds (old)'!C10</f>
        <v>DMLR
(Autocycler)</v>
      </c>
      <c r="C32" s="134">
        <f>'Builds (old)'!D10</f>
        <v>0.03819444444</v>
      </c>
      <c r="D32" s="133" t="str">
        <f t="shared" ref="D32:E32" si="34">'Standard Builds'!C18</f>
        <v>#REF!</v>
      </c>
      <c r="E32" s="135" t="str">
        <f t="shared" si="34"/>
        <v>#REF!</v>
      </c>
      <c r="F32" s="136" t="str">
        <f t="shared" si="31"/>
        <v>#REF!</v>
      </c>
    </row>
    <row r="33">
      <c r="A33" s="129" t="s">
        <v>100</v>
      </c>
      <c r="B33" s="137" t="str">
        <f>'Builds (old)'!C8</f>
        <v>Gunship
(Firmly Planted)</v>
      </c>
      <c r="C33" s="138">
        <f>'Builds (old)'!D8</f>
        <v>0.0375</v>
      </c>
      <c r="D33" s="137" t="str">
        <f t="shared" ref="D33:E33" si="35">'Standard Builds'!C15</f>
        <v>#REF!</v>
      </c>
      <c r="E33" s="139" t="str">
        <f t="shared" si="35"/>
        <v>#REF!</v>
      </c>
      <c r="F33" s="140" t="str">
        <f t="shared" si="31"/>
        <v>#REF!</v>
      </c>
    </row>
    <row r="34">
      <c r="B34" s="133" t="str">
        <f>'Builds (old)'!C3</f>
        <v>Gunship
(Lagrange Halo)</v>
      </c>
      <c r="C34" s="134">
        <f>'Builds (old)'!D3</f>
        <v>0.02638888889</v>
      </c>
      <c r="D34" s="133" t="str">
        <f t="shared" ref="D34:E34" si="36">'Standard Builds'!C4</f>
        <v>#REF!</v>
      </c>
      <c r="E34" s="135" t="str">
        <f t="shared" si="36"/>
        <v>#REF!</v>
      </c>
      <c r="F34" s="136" t="str">
        <f t="shared" si="31"/>
        <v>#REF!</v>
      </c>
    </row>
    <row r="35">
      <c r="B35" s="137" t="str">
        <f>'Builds (old)'!C11</f>
        <v>Plate
(Clearing Plasma)</v>
      </c>
      <c r="C35" s="138">
        <f>'Builds (old)'!D11</f>
        <v>0.03888888889</v>
      </c>
      <c r="D35" s="137" t="str">
        <f t="shared" ref="D35:E35" si="37">'Standard Builds'!C19</f>
        <v>#REF!</v>
      </c>
      <c r="E35" s="139" t="str">
        <f t="shared" si="37"/>
        <v>#REF!</v>
      </c>
      <c r="F35" s="140" t="str">
        <f t="shared" si="31"/>
        <v>#REF!</v>
      </c>
    </row>
    <row r="36">
      <c r="B36" s="147" t="str">
        <f>'Builds (old)'!C15</f>
        <v>Trident
(Shredify)</v>
      </c>
      <c r="C36" s="148">
        <f>'Builds (old)'!D15</f>
        <v>0.04652777778</v>
      </c>
      <c r="D36" s="147" t="str">
        <f t="shared" ref="D36:E36" si="38">'Standard Builds'!C23</f>
        <v>#REF!</v>
      </c>
      <c r="E36" s="149" t="str">
        <f t="shared" si="38"/>
        <v>#REF!</v>
      </c>
      <c r="F36" s="136" t="str">
        <f t="shared" si="31"/>
        <v>#REF!</v>
      </c>
    </row>
  </sheetData>
  <autoFilter ref="$B$1:$F$36">
    <sortState ref="B1:F36">
      <sortCondition descending="1" ref="F1:F36"/>
    </sortState>
  </autoFilter>
  <mergeCells count="5">
    <mergeCell ref="A2:A3"/>
    <mergeCell ref="A4:A9"/>
    <mergeCell ref="A10:A22"/>
    <mergeCell ref="A23:A32"/>
    <mergeCell ref="A33:A36"/>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41" t="s">
        <v>111</v>
      </c>
      <c r="B1" s="141" t="s">
        <v>112</v>
      </c>
      <c r="C1" s="141" t="s">
        <v>113</v>
      </c>
      <c r="D1" s="141" t="s">
        <v>114</v>
      </c>
      <c r="E1" s="141" t="s">
        <v>115</v>
      </c>
      <c r="F1" s="141" t="s">
        <v>116</v>
      </c>
      <c r="G1" s="141" t="s">
        <v>117</v>
      </c>
      <c r="H1" s="141" t="s">
        <v>118</v>
      </c>
      <c r="I1" s="141" t="s">
        <v>119</v>
      </c>
      <c r="J1" s="141" t="s">
        <v>120</v>
      </c>
      <c r="K1" s="142" t="s">
        <v>121</v>
      </c>
      <c r="L1" s="142" t="s">
        <v>122</v>
      </c>
      <c r="M1" s="141" t="s">
        <v>123</v>
      </c>
      <c r="N1" s="141" t="s">
        <v>124</v>
      </c>
      <c r="O1" s="141" t="s">
        <v>125</v>
      </c>
      <c r="P1" s="141" t="s">
        <v>126</v>
      </c>
      <c r="Q1" s="141" t="s">
        <v>127</v>
      </c>
      <c r="R1" s="141" t="s">
        <v>128</v>
      </c>
      <c r="S1" s="141" t="s">
        <v>129</v>
      </c>
      <c r="T1" s="141" t="s">
        <v>49</v>
      </c>
    </row>
    <row r="2">
      <c r="A2" s="143" t="s">
        <v>130</v>
      </c>
      <c r="B2" s="143" t="s">
        <v>131</v>
      </c>
      <c r="C2" s="143" t="s">
        <v>132</v>
      </c>
      <c r="D2" s="143" t="s">
        <v>133</v>
      </c>
      <c r="E2" s="143" t="s">
        <v>134</v>
      </c>
      <c r="F2" s="143" t="s">
        <v>135</v>
      </c>
      <c r="G2" s="143" t="s">
        <v>136</v>
      </c>
      <c r="H2" s="143" t="s">
        <v>137</v>
      </c>
      <c r="I2" s="143" t="s">
        <v>138</v>
      </c>
      <c r="J2" s="143" t="s">
        <v>139</v>
      </c>
      <c r="K2" s="144" t="s">
        <v>140</v>
      </c>
      <c r="L2" s="144" t="s">
        <v>141</v>
      </c>
      <c r="M2" s="143" t="s">
        <v>142</v>
      </c>
      <c r="N2" s="143" t="s">
        <v>143</v>
      </c>
      <c r="O2" s="143" t="s">
        <v>144</v>
      </c>
      <c r="P2" s="143" t="s">
        <v>145</v>
      </c>
      <c r="Q2" s="144" t="s">
        <v>146</v>
      </c>
      <c r="R2" s="143" t="s">
        <v>147</v>
      </c>
      <c r="S2" s="143" t="s">
        <v>148</v>
      </c>
      <c r="T2" s="143" t="s">
        <v>149</v>
      </c>
    </row>
    <row r="3">
      <c r="A3" s="145" t="s">
        <v>150</v>
      </c>
      <c r="B3" s="145" t="s">
        <v>151</v>
      </c>
      <c r="C3" s="145" t="s">
        <v>152</v>
      </c>
      <c r="D3" s="145" t="s">
        <v>153</v>
      </c>
      <c r="E3" s="145" t="s">
        <v>154</v>
      </c>
      <c r="F3" s="145" t="s">
        <v>155</v>
      </c>
      <c r="G3" s="145" t="s">
        <v>156</v>
      </c>
      <c r="H3" s="145" t="s">
        <v>157</v>
      </c>
      <c r="I3" s="145" t="s">
        <v>158</v>
      </c>
      <c r="J3" s="146" t="s">
        <v>159</v>
      </c>
      <c r="K3" s="146" t="s">
        <v>160</v>
      </c>
      <c r="L3" s="146" t="s">
        <v>161</v>
      </c>
      <c r="M3" s="145" t="s">
        <v>162</v>
      </c>
      <c r="N3" s="145" t="s">
        <v>163</v>
      </c>
      <c r="O3" s="145" t="s">
        <v>164</v>
      </c>
      <c r="P3" s="145" t="s">
        <v>165</v>
      </c>
      <c r="Q3" s="143" t="s">
        <v>166</v>
      </c>
      <c r="R3" s="145" t="s">
        <v>167</v>
      </c>
      <c r="S3" s="145" t="s">
        <v>168</v>
      </c>
      <c r="T3" s="145" t="s">
        <v>169</v>
      </c>
    </row>
    <row r="4">
      <c r="A4" s="143" t="s">
        <v>170</v>
      </c>
      <c r="B4" s="143" t="s">
        <v>171</v>
      </c>
      <c r="C4" s="143" t="s">
        <v>172</v>
      </c>
      <c r="D4" s="143" t="s">
        <v>173</v>
      </c>
      <c r="E4" s="143" t="s">
        <v>174</v>
      </c>
      <c r="F4" s="143" t="s">
        <v>175</v>
      </c>
      <c r="G4" s="143" t="s">
        <v>176</v>
      </c>
      <c r="H4" s="143" t="s">
        <v>177</v>
      </c>
      <c r="I4" s="143" t="s">
        <v>178</v>
      </c>
      <c r="J4" s="143" t="s">
        <v>179</v>
      </c>
      <c r="K4" s="144" t="s">
        <v>180</v>
      </c>
      <c r="L4" s="144" t="s">
        <v>181</v>
      </c>
      <c r="M4" s="143" t="s">
        <v>182</v>
      </c>
      <c r="N4" s="143" t="s">
        <v>183</v>
      </c>
      <c r="O4" s="144" t="s">
        <v>184</v>
      </c>
      <c r="P4" s="143" t="s">
        <v>185</v>
      </c>
      <c r="Q4" s="145" t="s">
        <v>186</v>
      </c>
      <c r="R4" s="143" t="s">
        <v>187</v>
      </c>
      <c r="S4" s="143" t="s">
        <v>188</v>
      </c>
      <c r="T4" s="143" t="s">
        <v>189</v>
      </c>
    </row>
    <row r="5">
      <c r="A5" s="145" t="s">
        <v>190</v>
      </c>
      <c r="B5" s="145" t="s">
        <v>191</v>
      </c>
      <c r="C5" s="145" t="s">
        <v>192</v>
      </c>
      <c r="D5" s="145" t="s">
        <v>193</v>
      </c>
      <c r="E5" s="145" t="s">
        <v>194</v>
      </c>
      <c r="F5" s="145" t="s">
        <v>195</v>
      </c>
      <c r="G5" s="145" t="s">
        <v>196</v>
      </c>
      <c r="H5" s="145" t="s">
        <v>197</v>
      </c>
      <c r="I5" s="145" t="s">
        <v>198</v>
      </c>
      <c r="J5" s="145" t="s">
        <v>199</v>
      </c>
      <c r="K5" s="146" t="s">
        <v>200</v>
      </c>
      <c r="L5" s="146" t="s">
        <v>201</v>
      </c>
      <c r="M5" s="145" t="s">
        <v>202</v>
      </c>
      <c r="N5" s="145" t="s">
        <v>203</v>
      </c>
      <c r="O5" s="145" t="s">
        <v>204</v>
      </c>
      <c r="P5" s="145" t="s">
        <v>205</v>
      </c>
      <c r="Q5" s="143" t="s">
        <v>206</v>
      </c>
      <c r="R5" s="145" t="s">
        <v>207</v>
      </c>
      <c r="S5" s="145" t="s">
        <v>208</v>
      </c>
      <c r="T5" s="145" t="s">
        <v>209</v>
      </c>
    </row>
    <row r="6">
      <c r="A6" s="143" t="s">
        <v>210</v>
      </c>
      <c r="B6" s="143" t="s">
        <v>211</v>
      </c>
      <c r="C6" s="143" t="s">
        <v>212</v>
      </c>
      <c r="D6" s="143" t="s">
        <v>213</v>
      </c>
      <c r="E6" s="143" t="s">
        <v>214</v>
      </c>
      <c r="F6" s="143" t="s">
        <v>215</v>
      </c>
      <c r="G6" s="143" t="s">
        <v>216</v>
      </c>
      <c r="H6" s="143" t="s">
        <v>217</v>
      </c>
      <c r="I6" s="143" t="s">
        <v>218</v>
      </c>
      <c r="J6" s="143" t="s">
        <v>219</v>
      </c>
      <c r="K6" s="144" t="s">
        <v>220</v>
      </c>
      <c r="L6" s="144" t="s">
        <v>221</v>
      </c>
      <c r="M6" s="143" t="s">
        <v>222</v>
      </c>
      <c r="N6" s="143" t="s">
        <v>223</v>
      </c>
      <c r="O6" s="143" t="s">
        <v>224</v>
      </c>
      <c r="P6" s="143" t="s">
        <v>39</v>
      </c>
      <c r="Q6" s="145" t="s">
        <v>225</v>
      </c>
      <c r="R6" s="143" t="s">
        <v>226</v>
      </c>
      <c r="S6" s="143" t="s">
        <v>227</v>
      </c>
      <c r="T6" s="143" t="s">
        <v>228</v>
      </c>
    </row>
    <row r="7">
      <c r="A7" s="145" t="s">
        <v>229</v>
      </c>
      <c r="B7" s="145" t="s">
        <v>230</v>
      </c>
      <c r="C7" s="145" t="s">
        <v>231</v>
      </c>
      <c r="D7" s="145" t="s">
        <v>232</v>
      </c>
      <c r="E7" s="145" t="s">
        <v>233</v>
      </c>
      <c r="F7" s="145" t="s">
        <v>234</v>
      </c>
      <c r="G7" s="145" t="s">
        <v>235</v>
      </c>
      <c r="H7" s="145" t="s">
        <v>236</v>
      </c>
      <c r="I7" s="145" t="s">
        <v>237</v>
      </c>
      <c r="J7" s="145" t="s">
        <v>238</v>
      </c>
      <c r="K7" s="146" t="s">
        <v>239</v>
      </c>
      <c r="L7" s="146" t="s">
        <v>240</v>
      </c>
      <c r="M7" s="145" t="s">
        <v>241</v>
      </c>
      <c r="N7" s="145" t="s">
        <v>242</v>
      </c>
      <c r="O7" s="145" t="s">
        <v>243</v>
      </c>
      <c r="P7" s="145" t="s">
        <v>244</v>
      </c>
      <c r="Q7" s="143" t="s">
        <v>245</v>
      </c>
      <c r="R7" s="145" t="s">
        <v>246</v>
      </c>
      <c r="S7" s="145" t="s">
        <v>247</v>
      </c>
      <c r="T7" s="145" t="s">
        <v>248</v>
      </c>
    </row>
    <row r="8">
      <c r="A8" s="143" t="s">
        <v>249</v>
      </c>
      <c r="B8" s="143" t="s">
        <v>250</v>
      </c>
      <c r="C8" s="143" t="s">
        <v>251</v>
      </c>
      <c r="D8" s="143" t="s">
        <v>252</v>
      </c>
      <c r="E8" s="143" t="s">
        <v>253</v>
      </c>
      <c r="F8" s="143" t="s">
        <v>254</v>
      </c>
      <c r="G8" s="143" t="s">
        <v>255</v>
      </c>
      <c r="H8" s="143" t="s">
        <v>256</v>
      </c>
      <c r="I8" s="143" t="s">
        <v>257</v>
      </c>
      <c r="J8" s="143" t="s">
        <v>258</v>
      </c>
      <c r="K8" s="144" t="s">
        <v>259</v>
      </c>
      <c r="L8" s="144" t="s">
        <v>260</v>
      </c>
      <c r="M8" s="143" t="s">
        <v>261</v>
      </c>
      <c r="N8" s="143" t="s">
        <v>262</v>
      </c>
      <c r="O8" s="143" t="s">
        <v>263</v>
      </c>
      <c r="P8" s="143" t="s">
        <v>264</v>
      </c>
      <c r="Q8" s="145" t="s">
        <v>265</v>
      </c>
      <c r="R8" s="143" t="s">
        <v>266</v>
      </c>
      <c r="S8" s="143" t="s">
        <v>267</v>
      </c>
      <c r="T8" s="143" t="s">
        <v>268</v>
      </c>
    </row>
    <row r="9">
      <c r="A9" s="145" t="s">
        <v>269</v>
      </c>
      <c r="B9" s="145" t="s">
        <v>270</v>
      </c>
      <c r="C9" s="145" t="s">
        <v>271</v>
      </c>
      <c r="D9" s="145" t="s">
        <v>272</v>
      </c>
      <c r="E9" s="145" t="s">
        <v>273</v>
      </c>
      <c r="F9" s="145" t="s">
        <v>274</v>
      </c>
      <c r="G9" s="145" t="s">
        <v>275</v>
      </c>
      <c r="H9" s="145" t="s">
        <v>276</v>
      </c>
      <c r="I9" s="145" t="s">
        <v>277</v>
      </c>
      <c r="J9" s="145" t="s">
        <v>278</v>
      </c>
      <c r="K9" s="146" t="s">
        <v>279</v>
      </c>
      <c r="L9" s="146" t="s">
        <v>280</v>
      </c>
      <c r="M9" s="145" t="s">
        <v>281</v>
      </c>
      <c r="N9" s="145" t="s">
        <v>282</v>
      </c>
      <c r="O9" s="145" t="s">
        <v>283</v>
      </c>
      <c r="P9" s="145" t="s">
        <v>284</v>
      </c>
      <c r="Q9" s="143" t="s">
        <v>285</v>
      </c>
      <c r="R9" s="145" t="s">
        <v>286</v>
      </c>
      <c r="S9" s="145" t="s">
        <v>287</v>
      </c>
      <c r="T9" s="145" t="s">
        <v>288</v>
      </c>
    </row>
    <row r="10">
      <c r="A10" s="143" t="s">
        <v>289</v>
      </c>
      <c r="B10" s="143" t="s">
        <v>290</v>
      </c>
      <c r="C10" s="143" t="s">
        <v>291</v>
      </c>
      <c r="D10" s="143" t="s">
        <v>292</v>
      </c>
      <c r="E10" s="143" t="s">
        <v>293</v>
      </c>
      <c r="F10" s="143" t="s">
        <v>294</v>
      </c>
      <c r="G10" s="143" t="s">
        <v>295</v>
      </c>
      <c r="H10" s="143" t="s">
        <v>296</v>
      </c>
      <c r="I10" s="143" t="s">
        <v>297</v>
      </c>
      <c r="J10" s="143" t="s">
        <v>298</v>
      </c>
      <c r="K10" s="144" t="s">
        <v>299</v>
      </c>
      <c r="L10" s="144" t="s">
        <v>300</v>
      </c>
      <c r="M10" s="143" t="s">
        <v>301</v>
      </c>
      <c r="N10" s="143" t="s">
        <v>302</v>
      </c>
      <c r="O10" s="143" t="s">
        <v>303</v>
      </c>
      <c r="P10" s="143" t="s">
        <v>304</v>
      </c>
      <c r="Q10" s="145" t="s">
        <v>305</v>
      </c>
      <c r="R10" s="143" t="s">
        <v>306</v>
      </c>
      <c r="S10" s="143" t="s">
        <v>307</v>
      </c>
      <c r="T10" s="143" t="s">
        <v>308</v>
      </c>
    </row>
    <row r="11">
      <c r="A11" s="145" t="s">
        <v>309</v>
      </c>
      <c r="B11" s="145" t="s">
        <v>310</v>
      </c>
      <c r="C11" s="145" t="s">
        <v>311</v>
      </c>
      <c r="D11" s="145" t="s">
        <v>312</v>
      </c>
      <c r="E11" s="145" t="s">
        <v>313</v>
      </c>
      <c r="F11" s="145" t="s">
        <v>314</v>
      </c>
      <c r="G11" s="145" t="s">
        <v>315</v>
      </c>
      <c r="H11" s="145" t="s">
        <v>316</v>
      </c>
      <c r="I11" s="145" t="s">
        <v>317</v>
      </c>
      <c r="J11" s="145" t="s">
        <v>318</v>
      </c>
      <c r="K11" s="146" t="s">
        <v>319</v>
      </c>
      <c r="L11" s="146" t="s">
        <v>320</v>
      </c>
      <c r="M11" s="145" t="s">
        <v>321</v>
      </c>
      <c r="N11" s="145" t="s">
        <v>322</v>
      </c>
      <c r="O11" s="145" t="s">
        <v>323</v>
      </c>
      <c r="P11" s="145" t="s">
        <v>324</v>
      </c>
      <c r="Q11" s="143" t="s">
        <v>325</v>
      </c>
      <c r="R11" s="145" t="s">
        <v>326</v>
      </c>
      <c r="S11" s="145" t="s">
        <v>327</v>
      </c>
      <c r="T11" s="145" t="s">
        <v>328</v>
      </c>
    </row>
    <row r="12">
      <c r="A12" s="143" t="s">
        <v>329</v>
      </c>
      <c r="B12" s="143" t="s">
        <v>330</v>
      </c>
      <c r="C12" s="143" t="s">
        <v>331</v>
      </c>
      <c r="D12" s="143" t="s">
        <v>332</v>
      </c>
      <c r="E12" s="143" t="s">
        <v>333</v>
      </c>
      <c r="F12" s="143" t="s">
        <v>334</v>
      </c>
      <c r="G12" s="143" t="s">
        <v>335</v>
      </c>
      <c r="H12" s="143" t="s">
        <v>336</v>
      </c>
      <c r="I12" s="143" t="s">
        <v>337</v>
      </c>
      <c r="J12" s="143" t="s">
        <v>338</v>
      </c>
      <c r="K12" s="144" t="s">
        <v>339</v>
      </c>
      <c r="L12" s="144" t="s">
        <v>340</v>
      </c>
      <c r="M12" s="143" t="s">
        <v>341</v>
      </c>
      <c r="N12" s="143" t="s">
        <v>342</v>
      </c>
      <c r="O12" s="143" t="s">
        <v>343</v>
      </c>
      <c r="P12" s="143" t="s">
        <v>344</v>
      </c>
      <c r="Q12" s="145" t="s">
        <v>345</v>
      </c>
      <c r="R12" s="143" t="s">
        <v>346</v>
      </c>
      <c r="S12" s="143" t="s">
        <v>347</v>
      </c>
      <c r="T12" s="143" t="s">
        <v>348</v>
      </c>
    </row>
    <row r="13">
      <c r="A13" s="145" t="s">
        <v>349</v>
      </c>
      <c r="B13" s="145" t="s">
        <v>350</v>
      </c>
      <c r="C13" s="145" t="s">
        <v>351</v>
      </c>
      <c r="D13" s="145" t="s">
        <v>352</v>
      </c>
      <c r="E13" s="145" t="s">
        <v>353</v>
      </c>
      <c r="F13" s="145" t="s">
        <v>354</v>
      </c>
      <c r="G13" s="145" t="s">
        <v>355</v>
      </c>
      <c r="H13" s="145" t="s">
        <v>356</v>
      </c>
      <c r="I13" s="145" t="s">
        <v>357</v>
      </c>
      <c r="J13" s="145" t="s">
        <v>358</v>
      </c>
      <c r="K13" s="146" t="s">
        <v>359</v>
      </c>
      <c r="L13" s="146" t="s">
        <v>360</v>
      </c>
      <c r="M13" s="145" t="s">
        <v>361</v>
      </c>
      <c r="N13" s="145" t="s">
        <v>362</v>
      </c>
      <c r="O13" s="145" t="s">
        <v>363</v>
      </c>
      <c r="P13" s="145" t="s">
        <v>364</v>
      </c>
      <c r="Q13" s="143" t="s">
        <v>365</v>
      </c>
      <c r="R13" s="145" t="s">
        <v>366</v>
      </c>
      <c r="S13" s="145" t="s">
        <v>367</v>
      </c>
      <c r="T13" s="145" t="s">
        <v>368</v>
      </c>
    </row>
    <row r="14">
      <c r="A14" s="143" t="s">
        <v>372</v>
      </c>
      <c r="B14" s="143" t="s">
        <v>373</v>
      </c>
      <c r="C14" s="143" t="s">
        <v>374</v>
      </c>
      <c r="D14" s="143" t="s">
        <v>375</v>
      </c>
      <c r="E14" s="143" t="s">
        <v>376</v>
      </c>
      <c r="F14" s="143" t="s">
        <v>378</v>
      </c>
      <c r="G14" s="143" t="s">
        <v>379</v>
      </c>
      <c r="H14" s="143" t="s">
        <v>380</v>
      </c>
      <c r="I14" s="143" t="s">
        <v>381</v>
      </c>
      <c r="J14" s="143" t="s">
        <v>382</v>
      </c>
      <c r="K14" s="144" t="s">
        <v>383</v>
      </c>
      <c r="L14" s="144" t="s">
        <v>384</v>
      </c>
      <c r="M14" s="143" t="s">
        <v>385</v>
      </c>
      <c r="N14" s="143" t="s">
        <v>387</v>
      </c>
      <c r="O14" s="143" t="s">
        <v>388</v>
      </c>
      <c r="P14" s="143" t="s">
        <v>389</v>
      </c>
      <c r="Q14" s="145" t="s">
        <v>390</v>
      </c>
      <c r="R14" s="143" t="s">
        <v>391</v>
      </c>
      <c r="S14" s="143" t="s">
        <v>392</v>
      </c>
      <c r="T14" s="143" t="s">
        <v>393</v>
      </c>
    </row>
    <row r="15">
      <c r="A15" s="145" t="s">
        <v>394</v>
      </c>
      <c r="B15" s="145" t="s">
        <v>395</v>
      </c>
      <c r="C15" s="145" t="s">
        <v>396</v>
      </c>
      <c r="D15" s="145" t="s">
        <v>398</v>
      </c>
      <c r="E15" s="145" t="s">
        <v>399</v>
      </c>
      <c r="F15" s="145" t="s">
        <v>400</v>
      </c>
      <c r="G15" s="145" t="s">
        <v>402</v>
      </c>
      <c r="H15" s="145" t="s">
        <v>403</v>
      </c>
      <c r="I15" s="145" t="s">
        <v>405</v>
      </c>
      <c r="J15" s="145" t="s">
        <v>407</v>
      </c>
      <c r="K15" s="146" t="s">
        <v>408</v>
      </c>
      <c r="L15" s="146" t="s">
        <v>409</v>
      </c>
      <c r="M15" s="145" t="s">
        <v>412</v>
      </c>
      <c r="N15" s="145" t="s">
        <v>413</v>
      </c>
      <c r="O15" s="145" t="s">
        <v>414</v>
      </c>
      <c r="P15" s="145" t="s">
        <v>417</v>
      </c>
      <c r="Q15" s="143" t="s">
        <v>418</v>
      </c>
      <c r="R15" s="145" t="s">
        <v>419</v>
      </c>
      <c r="S15" s="145" t="s">
        <v>420</v>
      </c>
      <c r="T15" s="145" t="s">
        <v>422</v>
      </c>
    </row>
    <row r="16">
      <c r="A16" s="143" t="s">
        <v>404</v>
      </c>
      <c r="B16" s="143" t="s">
        <v>424</v>
      </c>
      <c r="C16" s="143" t="s">
        <v>425</v>
      </c>
      <c r="D16" s="143" t="s">
        <v>427</v>
      </c>
      <c r="E16" s="143" t="s">
        <v>428</v>
      </c>
      <c r="F16" s="143" t="s">
        <v>429</v>
      </c>
      <c r="G16" s="143" t="s">
        <v>431</v>
      </c>
      <c r="H16" s="143" t="s">
        <v>432</v>
      </c>
      <c r="I16" s="143" t="s">
        <v>433</v>
      </c>
      <c r="J16" s="143" t="s">
        <v>434</v>
      </c>
      <c r="K16" s="144" t="s">
        <v>436</v>
      </c>
      <c r="L16" s="144" t="s">
        <v>438</v>
      </c>
      <c r="M16" s="143" t="s">
        <v>440</v>
      </c>
      <c r="N16" s="143" t="s">
        <v>441</v>
      </c>
      <c r="O16" s="143" t="s">
        <v>442</v>
      </c>
      <c r="P16" s="143" t="s">
        <v>444</v>
      </c>
      <c r="Q16" s="145" t="s">
        <v>445</v>
      </c>
      <c r="R16" s="143" t="s">
        <v>446</v>
      </c>
      <c r="S16" s="143" t="s">
        <v>448</v>
      </c>
      <c r="T16" s="143" t="s">
        <v>450</v>
      </c>
    </row>
    <row r="17">
      <c r="A17" s="145" t="s">
        <v>410</v>
      </c>
      <c r="B17" s="145" t="s">
        <v>452</v>
      </c>
      <c r="C17" s="145" t="s">
        <v>453</v>
      </c>
      <c r="D17" s="145" t="s">
        <v>454</v>
      </c>
      <c r="E17" s="145" t="s">
        <v>456</v>
      </c>
      <c r="F17" s="145" t="s">
        <v>457</v>
      </c>
      <c r="G17" s="145" t="s">
        <v>458</v>
      </c>
      <c r="H17" s="145" t="s">
        <v>460</v>
      </c>
      <c r="I17" s="145" t="s">
        <v>462</v>
      </c>
      <c r="J17" s="145" t="s">
        <v>463</v>
      </c>
      <c r="K17" s="146" t="s">
        <v>465</v>
      </c>
      <c r="L17" s="146" t="s">
        <v>466</v>
      </c>
      <c r="M17" s="145" t="s">
        <v>467</v>
      </c>
      <c r="N17" s="145" t="s">
        <v>469</v>
      </c>
      <c r="O17" s="145" t="s">
        <v>470</v>
      </c>
      <c r="P17" s="145" t="s">
        <v>471</v>
      </c>
      <c r="Q17" s="143" t="s">
        <v>473</v>
      </c>
      <c r="R17" s="145" t="s">
        <v>475</v>
      </c>
      <c r="S17" s="145" t="s">
        <v>476</v>
      </c>
      <c r="T17" s="145" t="s">
        <v>478</v>
      </c>
    </row>
    <row r="18">
      <c r="A18" s="143" t="s">
        <v>415</v>
      </c>
      <c r="B18" s="143" t="s">
        <v>480</v>
      </c>
      <c r="C18" s="144" t="s">
        <v>482</v>
      </c>
      <c r="D18" s="143" t="s">
        <v>484</v>
      </c>
      <c r="E18" s="143" t="s">
        <v>485</v>
      </c>
      <c r="F18" s="143" t="s">
        <v>487</v>
      </c>
      <c r="G18" s="143" t="s">
        <v>489</v>
      </c>
      <c r="H18" s="143" t="s">
        <v>490</v>
      </c>
      <c r="I18" s="143" t="s">
        <v>491</v>
      </c>
      <c r="J18" s="143" t="s">
        <v>493</v>
      </c>
      <c r="K18" s="144" t="s">
        <v>494</v>
      </c>
      <c r="L18" s="144" t="s">
        <v>495</v>
      </c>
      <c r="M18" s="143" t="s">
        <v>497</v>
      </c>
      <c r="N18" s="143" t="s">
        <v>498</v>
      </c>
      <c r="O18" s="143" t="s">
        <v>500</v>
      </c>
      <c r="P18" s="143" t="s">
        <v>501</v>
      </c>
      <c r="Q18" s="145" t="s">
        <v>502</v>
      </c>
      <c r="R18" s="143" t="s">
        <v>504</v>
      </c>
      <c r="S18" s="143" t="s">
        <v>505</v>
      </c>
      <c r="T18" s="143" t="s">
        <v>506</v>
      </c>
    </row>
    <row r="19">
      <c r="A19" s="145" t="s">
        <v>421</v>
      </c>
      <c r="B19" s="145" t="s">
        <v>507</v>
      </c>
      <c r="C19" s="145" t="s">
        <v>508</v>
      </c>
      <c r="D19" s="145" t="s">
        <v>509</v>
      </c>
      <c r="E19" s="145" t="s">
        <v>510</v>
      </c>
      <c r="F19" s="145" t="s">
        <v>512</v>
      </c>
      <c r="G19" s="145" t="s">
        <v>513</v>
      </c>
      <c r="H19" s="145" t="s">
        <v>514</v>
      </c>
      <c r="I19" s="145" t="s">
        <v>515</v>
      </c>
      <c r="J19" s="145" t="s">
        <v>517</v>
      </c>
      <c r="K19" s="146" t="s">
        <v>518</v>
      </c>
      <c r="L19" s="146" t="s">
        <v>519</v>
      </c>
      <c r="M19" s="145" t="s">
        <v>520</v>
      </c>
      <c r="N19" s="145" t="s">
        <v>521</v>
      </c>
      <c r="O19" s="145" t="s">
        <v>522</v>
      </c>
      <c r="P19" s="145" t="s">
        <v>523</v>
      </c>
      <c r="Q19" s="143" t="s">
        <v>524</v>
      </c>
      <c r="R19" s="145" t="s">
        <v>525</v>
      </c>
      <c r="S19" s="145" t="s">
        <v>526</v>
      </c>
      <c r="T19" s="145" t="s">
        <v>527</v>
      </c>
    </row>
    <row r="20">
      <c r="A20" s="143" t="s">
        <v>426</v>
      </c>
      <c r="B20" s="143" t="s">
        <v>528</v>
      </c>
      <c r="C20" s="143" t="s">
        <v>529</v>
      </c>
      <c r="D20" s="143" t="s">
        <v>530</v>
      </c>
      <c r="E20" s="143" t="s">
        <v>531</v>
      </c>
      <c r="F20" s="143" t="s">
        <v>532</v>
      </c>
      <c r="G20" s="143" t="s">
        <v>533</v>
      </c>
      <c r="H20" s="143" t="s">
        <v>534</v>
      </c>
      <c r="I20" s="143" t="s">
        <v>535</v>
      </c>
      <c r="J20" s="143" t="s">
        <v>536</v>
      </c>
      <c r="K20" s="144" t="s">
        <v>537</v>
      </c>
      <c r="L20" s="144" t="s">
        <v>538</v>
      </c>
      <c r="M20" s="143" t="s">
        <v>539</v>
      </c>
      <c r="N20" s="143" t="s">
        <v>540</v>
      </c>
      <c r="O20" s="143" t="s">
        <v>541</v>
      </c>
      <c r="P20" s="143" t="s">
        <v>542</v>
      </c>
      <c r="Q20" s="145" t="s">
        <v>543</v>
      </c>
      <c r="R20" s="143" t="s">
        <v>544</v>
      </c>
      <c r="S20" s="143" t="s">
        <v>545</v>
      </c>
      <c r="T20" s="143" t="s">
        <v>546</v>
      </c>
    </row>
    <row r="21">
      <c r="A21" s="145" t="s">
        <v>430</v>
      </c>
      <c r="B21" s="145" t="s">
        <v>547</v>
      </c>
      <c r="C21" s="145" t="s">
        <v>548</v>
      </c>
      <c r="D21" s="145" t="s">
        <v>549</v>
      </c>
      <c r="E21" s="145" t="s">
        <v>550</v>
      </c>
      <c r="F21" s="145" t="s">
        <v>551</v>
      </c>
      <c r="G21" s="145" t="s">
        <v>552</v>
      </c>
      <c r="H21" s="145" t="s">
        <v>553</v>
      </c>
      <c r="I21" s="145" t="s">
        <v>554</v>
      </c>
      <c r="J21" s="163" t="s">
        <v>555</v>
      </c>
      <c r="K21" s="146" t="s">
        <v>557</v>
      </c>
      <c r="L21" s="146" t="s">
        <v>558</v>
      </c>
      <c r="M21" s="145" t="s">
        <v>559</v>
      </c>
      <c r="N21" s="145" t="s">
        <v>560</v>
      </c>
      <c r="O21" s="145" t="s">
        <v>561</v>
      </c>
      <c r="P21" s="145" t="s">
        <v>562</v>
      </c>
      <c r="Q21" s="143" t="s">
        <v>564</v>
      </c>
      <c r="R21" s="145" t="s">
        <v>565</v>
      </c>
      <c r="S21" s="145" t="s">
        <v>566</v>
      </c>
      <c r="T21" s="145" t="s">
        <v>568</v>
      </c>
    </row>
    <row r="22">
      <c r="A22" s="143" t="s">
        <v>435</v>
      </c>
      <c r="B22" s="143" t="s">
        <v>570</v>
      </c>
      <c r="C22" s="143" t="s">
        <v>571</v>
      </c>
      <c r="D22" s="143" t="s">
        <v>572</v>
      </c>
      <c r="E22" s="143" t="s">
        <v>574</v>
      </c>
      <c r="F22" s="143" t="s">
        <v>575</v>
      </c>
      <c r="G22" s="143" t="s">
        <v>576</v>
      </c>
      <c r="H22" s="143" t="s">
        <v>577</v>
      </c>
      <c r="I22" s="143" t="s">
        <v>578</v>
      </c>
      <c r="J22" s="143" t="s">
        <v>579</v>
      </c>
      <c r="K22" s="144" t="s">
        <v>580</v>
      </c>
      <c r="L22" s="144" t="s">
        <v>582</v>
      </c>
      <c r="M22" s="146" t="s">
        <v>583</v>
      </c>
      <c r="N22" s="146" t="s">
        <v>583</v>
      </c>
      <c r="O22" s="146" t="s">
        <v>583</v>
      </c>
      <c r="P22" s="143" t="s">
        <v>585</v>
      </c>
      <c r="Q22" s="145" t="s">
        <v>586</v>
      </c>
      <c r="R22" s="143" t="s">
        <v>588</v>
      </c>
      <c r="S22" s="143" t="s">
        <v>589</v>
      </c>
      <c r="T22" s="143" t="s">
        <v>590</v>
      </c>
    </row>
    <row r="23">
      <c r="A23" s="145" t="s">
        <v>439</v>
      </c>
      <c r="B23" s="145" t="s">
        <v>592</v>
      </c>
      <c r="C23" s="145" t="s">
        <v>594</v>
      </c>
      <c r="D23" s="145" t="s">
        <v>595</v>
      </c>
      <c r="E23" s="145" t="s">
        <v>596</v>
      </c>
      <c r="F23" s="145" t="s">
        <v>598</v>
      </c>
      <c r="G23" s="145" t="s">
        <v>599</v>
      </c>
      <c r="H23" s="146" t="s">
        <v>601</v>
      </c>
      <c r="I23" s="145" t="s">
        <v>602</v>
      </c>
      <c r="J23" s="145" t="s">
        <v>603</v>
      </c>
      <c r="K23" s="146" t="s">
        <v>604</v>
      </c>
      <c r="L23" s="146" t="s">
        <v>606</v>
      </c>
      <c r="M23" s="144" t="s">
        <v>607</v>
      </c>
      <c r="N23" s="144" t="s">
        <v>607</v>
      </c>
      <c r="O23" s="144" t="s">
        <v>607</v>
      </c>
      <c r="P23" s="145" t="s">
        <v>608</v>
      </c>
      <c r="Q23" s="143" t="s">
        <v>609</v>
      </c>
      <c r="R23" s="145" t="s">
        <v>610</v>
      </c>
      <c r="S23" s="145" t="s">
        <v>611</v>
      </c>
      <c r="T23" s="145" t="s">
        <v>612</v>
      </c>
    </row>
    <row r="24">
      <c r="A24" s="143" t="s">
        <v>443</v>
      </c>
      <c r="B24" s="143" t="s">
        <v>613</v>
      </c>
      <c r="C24" s="143" t="s">
        <v>615</v>
      </c>
      <c r="D24" s="143" t="s">
        <v>616</v>
      </c>
      <c r="E24" s="143" t="s">
        <v>617</v>
      </c>
      <c r="F24" s="143" t="s">
        <v>619</v>
      </c>
      <c r="G24" s="143" t="s">
        <v>620</v>
      </c>
      <c r="H24" s="143" t="s">
        <v>621</v>
      </c>
      <c r="I24" s="143" t="s">
        <v>623</v>
      </c>
      <c r="J24" s="143" t="s">
        <v>624</v>
      </c>
      <c r="K24" s="144" t="s">
        <v>625</v>
      </c>
      <c r="L24" s="144" t="s">
        <v>626</v>
      </c>
      <c r="M24" s="146" t="s">
        <v>627</v>
      </c>
      <c r="N24" s="146" t="s">
        <v>627</v>
      </c>
      <c r="O24" s="146" t="s">
        <v>627</v>
      </c>
      <c r="P24" s="143" t="s">
        <v>629</v>
      </c>
      <c r="Q24" s="145" t="s">
        <v>631</v>
      </c>
      <c r="R24" s="143" t="s">
        <v>633</v>
      </c>
      <c r="S24" s="143" t="s">
        <v>634</v>
      </c>
      <c r="T24" s="143" t="s">
        <v>636</v>
      </c>
    </row>
    <row r="25">
      <c r="A25" s="145" t="s">
        <v>447</v>
      </c>
      <c r="B25" s="145" t="s">
        <v>628</v>
      </c>
      <c r="C25" s="145" t="s">
        <v>640</v>
      </c>
      <c r="D25" s="145" t="s">
        <v>641</v>
      </c>
      <c r="E25" s="145" t="s">
        <v>643</v>
      </c>
      <c r="F25" s="145" t="s">
        <v>644</v>
      </c>
      <c r="G25" s="145" t="s">
        <v>645</v>
      </c>
      <c r="H25" s="145" t="s">
        <v>647</v>
      </c>
      <c r="I25" s="145" t="s">
        <v>648</v>
      </c>
      <c r="J25" s="145" t="s">
        <v>649</v>
      </c>
      <c r="K25" s="146" t="s">
        <v>651</v>
      </c>
      <c r="L25" s="146" t="s">
        <v>652</v>
      </c>
      <c r="M25" s="144" t="s">
        <v>653</v>
      </c>
      <c r="N25" s="144" t="s">
        <v>653</v>
      </c>
      <c r="O25" s="144" t="s">
        <v>653</v>
      </c>
      <c r="P25" s="145" t="s">
        <v>654</v>
      </c>
      <c r="Q25" s="143" t="s">
        <v>655</v>
      </c>
      <c r="R25" s="145" t="s">
        <v>656</v>
      </c>
      <c r="S25" s="145" t="s">
        <v>657</v>
      </c>
      <c r="T25" s="145" t="s">
        <v>658</v>
      </c>
    </row>
    <row r="26">
      <c r="A26" s="143" t="s">
        <v>451</v>
      </c>
      <c r="B26" s="143" t="s">
        <v>630</v>
      </c>
      <c r="C26" s="143" t="s">
        <v>659</v>
      </c>
      <c r="D26" s="143" t="s">
        <v>660</v>
      </c>
      <c r="E26" s="143" t="s">
        <v>661</v>
      </c>
      <c r="F26" s="143" t="s">
        <v>662</v>
      </c>
      <c r="G26" s="143" t="s">
        <v>663</v>
      </c>
      <c r="H26" s="143" t="s">
        <v>664</v>
      </c>
      <c r="I26" s="143" t="s">
        <v>665</v>
      </c>
      <c r="J26" s="143" t="s">
        <v>666</v>
      </c>
      <c r="K26" s="144" t="s">
        <v>667</v>
      </c>
      <c r="L26" s="144" t="s">
        <v>668</v>
      </c>
      <c r="M26" s="146" t="s">
        <v>503</v>
      </c>
      <c r="N26" s="146" t="s">
        <v>503</v>
      </c>
      <c r="O26" s="146" t="s">
        <v>503</v>
      </c>
      <c r="P26" s="143" t="s">
        <v>669</v>
      </c>
      <c r="Q26" s="145" t="s">
        <v>670</v>
      </c>
      <c r="R26" s="143" t="s">
        <v>671</v>
      </c>
      <c r="S26" s="143" t="s">
        <v>672</v>
      </c>
      <c r="T26" s="143" t="s">
        <v>673</v>
      </c>
    </row>
    <row r="27">
      <c r="A27" s="145" t="s">
        <v>455</v>
      </c>
      <c r="B27" s="145" t="s">
        <v>635</v>
      </c>
      <c r="C27" s="145" t="s">
        <v>674</v>
      </c>
      <c r="D27" s="145" t="s">
        <v>675</v>
      </c>
      <c r="E27" s="145" t="s">
        <v>676</v>
      </c>
      <c r="F27" s="145" t="s">
        <v>677</v>
      </c>
      <c r="G27" s="145" t="s">
        <v>678</v>
      </c>
      <c r="H27" s="145" t="s">
        <v>679</v>
      </c>
      <c r="I27" s="146" t="s">
        <v>503</v>
      </c>
      <c r="J27" s="145" t="s">
        <v>680</v>
      </c>
      <c r="K27" s="146" t="s">
        <v>681</v>
      </c>
      <c r="L27" s="146" t="s">
        <v>682</v>
      </c>
      <c r="M27" s="144" t="s">
        <v>511</v>
      </c>
      <c r="N27" s="144" t="s">
        <v>511</v>
      </c>
      <c r="O27" s="144" t="s">
        <v>511</v>
      </c>
      <c r="P27" s="145" t="s">
        <v>683</v>
      </c>
      <c r="Q27" s="143" t="s">
        <v>684</v>
      </c>
      <c r="R27" s="145" t="s">
        <v>685</v>
      </c>
      <c r="S27" s="145" t="s">
        <v>686</v>
      </c>
      <c r="T27" s="145" t="s">
        <v>687</v>
      </c>
    </row>
    <row r="28">
      <c r="A28" s="143" t="s">
        <v>459</v>
      </c>
      <c r="B28" s="143" t="s">
        <v>638</v>
      </c>
      <c r="C28" s="143" t="s">
        <v>688</v>
      </c>
      <c r="D28" s="143" t="s">
        <v>689</v>
      </c>
      <c r="E28" s="143" t="s">
        <v>690</v>
      </c>
      <c r="F28" s="143" t="s">
        <v>691</v>
      </c>
      <c r="G28" s="143" t="s">
        <v>692</v>
      </c>
      <c r="H28" s="143" t="s">
        <v>693</v>
      </c>
      <c r="I28" s="144" t="s">
        <v>511</v>
      </c>
      <c r="J28" s="143" t="s">
        <v>694</v>
      </c>
      <c r="K28" s="144" t="s">
        <v>695</v>
      </c>
      <c r="L28" s="144" t="s">
        <v>696</v>
      </c>
      <c r="M28" s="146" t="s">
        <v>516</v>
      </c>
      <c r="N28" s="146" t="s">
        <v>516</v>
      </c>
      <c r="O28" s="146" t="s">
        <v>516</v>
      </c>
      <c r="P28" s="143" t="s">
        <v>698</v>
      </c>
      <c r="Q28" s="164" t="s">
        <v>699</v>
      </c>
      <c r="R28" s="143" t="s">
        <v>701</v>
      </c>
      <c r="S28" s="143" t="s">
        <v>702</v>
      </c>
      <c r="T28" s="143" t="s">
        <v>703</v>
      </c>
    </row>
    <row r="29">
      <c r="A29" s="145" t="s">
        <v>464</v>
      </c>
      <c r="B29" s="145" t="s">
        <v>642</v>
      </c>
      <c r="C29" s="145" t="s">
        <v>705</v>
      </c>
      <c r="D29" s="145" t="s">
        <v>707</v>
      </c>
      <c r="E29" s="145" t="s">
        <v>708</v>
      </c>
      <c r="F29" s="145" t="s">
        <v>709</v>
      </c>
      <c r="G29" s="145" t="s">
        <v>711</v>
      </c>
      <c r="H29" s="145" t="s">
        <v>712</v>
      </c>
      <c r="I29" s="146" t="s">
        <v>516</v>
      </c>
      <c r="J29" s="146" t="s">
        <v>503</v>
      </c>
      <c r="K29" s="146" t="s">
        <v>714</v>
      </c>
      <c r="L29" s="146" t="s">
        <v>715</v>
      </c>
      <c r="M29" s="145"/>
      <c r="N29" s="145"/>
      <c r="O29" s="145"/>
      <c r="P29" s="145" t="s">
        <v>717</v>
      </c>
      <c r="Q29" s="165" t="s">
        <v>719</v>
      </c>
      <c r="R29" s="145" t="s">
        <v>720</v>
      </c>
      <c r="S29" s="145" t="s">
        <v>721</v>
      </c>
      <c r="T29" s="145" t="s">
        <v>722</v>
      </c>
    </row>
    <row r="30">
      <c r="A30" s="143" t="s">
        <v>468</v>
      </c>
      <c r="B30" s="143" t="s">
        <v>646</v>
      </c>
      <c r="C30" s="143" t="s">
        <v>724</v>
      </c>
      <c r="D30" s="143" t="s">
        <v>725</v>
      </c>
      <c r="E30" s="143" t="s">
        <v>727</v>
      </c>
      <c r="F30" s="143" t="s">
        <v>728</v>
      </c>
      <c r="G30" s="143" t="s">
        <v>729</v>
      </c>
      <c r="H30" s="143" t="s">
        <v>731</v>
      </c>
      <c r="I30" s="143"/>
      <c r="J30" s="144" t="s">
        <v>511</v>
      </c>
      <c r="K30" s="144" t="s">
        <v>732</v>
      </c>
      <c r="L30" s="144" t="s">
        <v>734</v>
      </c>
      <c r="M30" s="143"/>
      <c r="N30" s="143"/>
      <c r="O30" s="143"/>
      <c r="P30" s="143" t="s">
        <v>735</v>
      </c>
      <c r="Q30" s="164" t="s">
        <v>737</v>
      </c>
      <c r="R30" s="143" t="s">
        <v>738</v>
      </c>
      <c r="S30" s="143" t="s">
        <v>739</v>
      </c>
      <c r="T30" s="143" t="s">
        <v>741</v>
      </c>
    </row>
    <row r="31">
      <c r="A31" s="145" t="s">
        <v>472</v>
      </c>
      <c r="B31" s="145" t="s">
        <v>650</v>
      </c>
      <c r="C31" s="145" t="s">
        <v>742</v>
      </c>
      <c r="D31" s="145" t="s">
        <v>743</v>
      </c>
      <c r="E31" s="145" t="s">
        <v>744</v>
      </c>
      <c r="F31" s="145" t="s">
        <v>746</v>
      </c>
      <c r="G31" s="145" t="s">
        <v>747</v>
      </c>
      <c r="H31" s="145" t="s">
        <v>748</v>
      </c>
      <c r="I31" s="145"/>
      <c r="J31" s="146" t="s">
        <v>516</v>
      </c>
      <c r="K31" s="146" t="s">
        <v>750</v>
      </c>
      <c r="L31" s="146" t="s">
        <v>751</v>
      </c>
      <c r="M31" s="145"/>
      <c r="N31" s="145"/>
      <c r="O31" s="145"/>
      <c r="P31" s="145" t="s">
        <v>753</v>
      </c>
      <c r="Q31" s="165" t="s">
        <v>754</v>
      </c>
      <c r="R31" s="145" t="s">
        <v>755</v>
      </c>
      <c r="S31" s="145" t="s">
        <v>757</v>
      </c>
      <c r="T31" s="145" t="s">
        <v>758</v>
      </c>
    </row>
    <row r="32">
      <c r="A32" s="143" t="s">
        <v>477</v>
      </c>
      <c r="B32" s="146" t="s">
        <v>503</v>
      </c>
      <c r="C32" s="146" t="s">
        <v>503</v>
      </c>
      <c r="D32" s="143" t="s">
        <v>760</v>
      </c>
      <c r="E32" s="143" t="s">
        <v>761</v>
      </c>
      <c r="F32" s="146" t="s">
        <v>503</v>
      </c>
      <c r="G32" s="146" t="s">
        <v>503</v>
      </c>
      <c r="H32" s="146" t="s">
        <v>503</v>
      </c>
      <c r="I32" s="143"/>
      <c r="J32" s="143"/>
      <c r="K32" s="144" t="s">
        <v>763</v>
      </c>
      <c r="L32" s="144" t="s">
        <v>764</v>
      </c>
      <c r="M32" s="143"/>
      <c r="N32" s="143"/>
      <c r="O32" s="143"/>
      <c r="P32" s="144" t="s">
        <v>765</v>
      </c>
      <c r="Q32" s="164" t="s">
        <v>766</v>
      </c>
      <c r="R32" s="143" t="s">
        <v>768</v>
      </c>
      <c r="S32" s="143" t="s">
        <v>769</v>
      </c>
      <c r="T32" s="143" t="s">
        <v>771</v>
      </c>
    </row>
    <row r="33">
      <c r="A33" s="145" t="s">
        <v>481</v>
      </c>
      <c r="B33" s="144" t="s">
        <v>511</v>
      </c>
      <c r="C33" s="144" t="s">
        <v>511</v>
      </c>
      <c r="D33" s="145" t="s">
        <v>773</v>
      </c>
      <c r="E33" s="146" t="s">
        <v>503</v>
      </c>
      <c r="F33" s="144" t="s">
        <v>511</v>
      </c>
      <c r="G33" s="144" t="s">
        <v>511</v>
      </c>
      <c r="H33" s="144" t="s">
        <v>511</v>
      </c>
      <c r="I33" s="145"/>
      <c r="J33" s="145"/>
      <c r="K33" s="146" t="s">
        <v>503</v>
      </c>
      <c r="L33" s="146" t="s">
        <v>503</v>
      </c>
      <c r="M33" s="145"/>
      <c r="N33" s="145"/>
      <c r="O33" s="145"/>
      <c r="P33" s="146" t="s">
        <v>774</v>
      </c>
      <c r="Q33" s="165" t="s">
        <v>775</v>
      </c>
      <c r="R33" s="145" t="s">
        <v>776</v>
      </c>
      <c r="S33" s="145" t="s">
        <v>777</v>
      </c>
      <c r="T33" s="145" t="s">
        <v>778</v>
      </c>
    </row>
    <row r="34">
      <c r="A34" s="143" t="s">
        <v>486</v>
      </c>
      <c r="B34" s="146" t="s">
        <v>516</v>
      </c>
      <c r="C34" s="146" t="s">
        <v>516</v>
      </c>
      <c r="D34" s="144" t="s">
        <v>779</v>
      </c>
      <c r="E34" s="144" t="s">
        <v>511</v>
      </c>
      <c r="F34" s="146" t="s">
        <v>516</v>
      </c>
      <c r="G34" s="146" t="s">
        <v>516</v>
      </c>
      <c r="H34" s="146" t="s">
        <v>516</v>
      </c>
      <c r="I34" s="143"/>
      <c r="J34" s="143"/>
      <c r="K34" s="144" t="s">
        <v>511</v>
      </c>
      <c r="L34" s="144" t="s">
        <v>511</v>
      </c>
      <c r="M34" s="143"/>
      <c r="N34" s="143"/>
      <c r="O34" s="143"/>
      <c r="P34" s="144" t="s">
        <v>780</v>
      </c>
      <c r="Q34" s="164" t="s">
        <v>781</v>
      </c>
      <c r="R34" s="143" t="s">
        <v>782</v>
      </c>
      <c r="S34" s="143" t="s">
        <v>783</v>
      </c>
      <c r="T34" s="143" t="s">
        <v>784</v>
      </c>
    </row>
    <row r="35">
      <c r="A35" s="145" t="s">
        <v>492</v>
      </c>
      <c r="B35" s="145"/>
      <c r="C35" s="145"/>
      <c r="D35" s="146" t="s">
        <v>503</v>
      </c>
      <c r="E35" s="146" t="s">
        <v>516</v>
      </c>
      <c r="F35" s="145"/>
      <c r="G35" s="145"/>
      <c r="H35" s="145"/>
      <c r="I35" s="145"/>
      <c r="J35" s="145"/>
      <c r="K35" s="146" t="s">
        <v>516</v>
      </c>
      <c r="L35" s="146" t="s">
        <v>516</v>
      </c>
      <c r="M35" s="145"/>
      <c r="N35" s="145"/>
      <c r="O35" s="145"/>
      <c r="P35" s="146" t="s">
        <v>785</v>
      </c>
      <c r="Q35" s="165" t="s">
        <v>786</v>
      </c>
      <c r="R35" s="146" t="s">
        <v>787</v>
      </c>
      <c r="S35" s="146" t="s">
        <v>788</v>
      </c>
      <c r="T35" s="146" t="s">
        <v>789</v>
      </c>
    </row>
    <row r="36">
      <c r="A36" s="143" t="s">
        <v>496</v>
      </c>
      <c r="B36" s="143"/>
      <c r="C36" s="143"/>
      <c r="D36" s="144" t="s">
        <v>511</v>
      </c>
      <c r="E36" s="143"/>
      <c r="F36" s="143"/>
      <c r="G36" s="143"/>
      <c r="H36" s="143"/>
      <c r="I36" s="143"/>
      <c r="J36" s="143"/>
      <c r="K36" s="143"/>
      <c r="L36" s="143"/>
      <c r="M36" s="143"/>
      <c r="N36" s="143"/>
      <c r="O36" s="143"/>
      <c r="P36" s="144" t="s">
        <v>790</v>
      </c>
      <c r="Q36" s="166" t="s">
        <v>791</v>
      </c>
      <c r="R36" s="144" t="s">
        <v>792</v>
      </c>
      <c r="S36" s="144" t="s">
        <v>793</v>
      </c>
      <c r="T36" s="144" t="s">
        <v>794</v>
      </c>
    </row>
    <row r="37">
      <c r="A37" s="145" t="s">
        <v>499</v>
      </c>
      <c r="B37" s="145"/>
      <c r="C37" s="145"/>
      <c r="D37" s="146" t="s">
        <v>516</v>
      </c>
      <c r="E37" s="145"/>
      <c r="F37" s="145"/>
      <c r="G37" s="145"/>
      <c r="H37" s="145"/>
      <c r="I37" s="145"/>
      <c r="J37" s="145"/>
      <c r="K37" s="145"/>
      <c r="L37" s="145"/>
      <c r="M37" s="145"/>
      <c r="N37" s="145"/>
      <c r="O37" s="145"/>
      <c r="P37" s="146" t="s">
        <v>503</v>
      </c>
      <c r="Q37" s="167" t="s">
        <v>797</v>
      </c>
      <c r="R37" s="145"/>
      <c r="S37" s="145"/>
      <c r="T37" s="145"/>
    </row>
    <row r="38">
      <c r="A38" s="146" t="s">
        <v>503</v>
      </c>
      <c r="B38" s="143"/>
      <c r="C38" s="143"/>
      <c r="D38" s="143"/>
      <c r="E38" s="143"/>
      <c r="F38" s="143"/>
      <c r="G38" s="143"/>
      <c r="H38" s="143"/>
      <c r="I38" s="143"/>
      <c r="J38" s="143"/>
      <c r="K38" s="143"/>
      <c r="L38" s="143"/>
      <c r="M38" s="143"/>
      <c r="N38" s="143"/>
      <c r="O38" s="143"/>
      <c r="P38" s="144" t="s">
        <v>511</v>
      </c>
      <c r="Q38" s="165"/>
      <c r="R38" s="143"/>
      <c r="S38" s="143"/>
      <c r="T38" s="143"/>
    </row>
    <row r="39">
      <c r="A39" s="144" t="s">
        <v>511</v>
      </c>
      <c r="B39" s="145"/>
      <c r="C39" s="145"/>
      <c r="D39" s="145"/>
      <c r="E39" s="145"/>
      <c r="F39" s="145"/>
      <c r="G39" s="145"/>
      <c r="H39" s="145"/>
      <c r="I39" s="145"/>
      <c r="J39" s="145"/>
      <c r="K39" s="145"/>
      <c r="L39" s="145"/>
      <c r="M39" s="145"/>
      <c r="N39" s="145"/>
      <c r="O39" s="145"/>
      <c r="P39" s="146" t="s">
        <v>516</v>
      </c>
      <c r="Q39" s="164"/>
      <c r="R39" s="145"/>
      <c r="S39" s="145"/>
      <c r="T39" s="145"/>
    </row>
    <row r="40">
      <c r="A40" s="146" t="s">
        <v>516</v>
      </c>
      <c r="B40" s="143"/>
      <c r="C40" s="143"/>
      <c r="D40" s="143"/>
      <c r="E40" s="143"/>
      <c r="F40" s="143"/>
      <c r="G40" s="143"/>
      <c r="H40" s="143"/>
      <c r="I40" s="143"/>
      <c r="J40" s="143"/>
      <c r="K40" s="143"/>
      <c r="L40" s="143"/>
      <c r="M40" s="143"/>
      <c r="N40" s="143"/>
      <c r="O40" s="143"/>
      <c r="P40" s="143"/>
      <c r="Q40" s="165"/>
      <c r="R40" s="143"/>
      <c r="S40" s="143"/>
      <c r="T40" s="143"/>
    </row>
    <row r="41">
      <c r="A41" s="145"/>
      <c r="B41" s="145"/>
      <c r="C41" s="145"/>
      <c r="D41" s="145"/>
      <c r="E41" s="145"/>
      <c r="F41" s="145"/>
      <c r="G41" s="145"/>
      <c r="H41" s="145"/>
      <c r="I41" s="145"/>
      <c r="J41" s="145"/>
      <c r="K41" s="145"/>
      <c r="L41" s="145"/>
      <c r="M41" s="145"/>
      <c r="N41" s="145"/>
      <c r="O41" s="145"/>
      <c r="P41" s="145"/>
      <c r="Q41" s="145"/>
      <c r="R41" s="145"/>
      <c r="S41" s="145"/>
      <c r="T41" s="145"/>
    </row>
    <row r="42">
      <c r="A42" s="143"/>
      <c r="B42" s="143"/>
      <c r="C42" s="143"/>
      <c r="D42" s="143"/>
      <c r="E42" s="143"/>
      <c r="F42" s="143"/>
      <c r="G42" s="143"/>
      <c r="H42" s="143"/>
      <c r="I42" s="143"/>
      <c r="J42" s="143"/>
      <c r="K42" s="143"/>
      <c r="L42" s="143"/>
      <c r="M42" s="143"/>
      <c r="N42" s="143"/>
      <c r="O42" s="143"/>
      <c r="P42" s="143"/>
      <c r="Q42" s="143"/>
      <c r="R42" s="143"/>
      <c r="S42" s="143"/>
      <c r="T42" s="143"/>
    </row>
    <row r="43">
      <c r="A43" s="145"/>
      <c r="B43" s="145"/>
      <c r="C43" s="145"/>
      <c r="D43" s="145"/>
      <c r="E43" s="145"/>
      <c r="F43" s="145"/>
      <c r="G43" s="145"/>
      <c r="H43" s="145"/>
      <c r="I43" s="145"/>
      <c r="J43" s="145"/>
      <c r="K43" s="145"/>
      <c r="L43" s="145"/>
      <c r="M43" s="145"/>
      <c r="N43" s="145"/>
      <c r="O43" s="145"/>
      <c r="P43" s="145"/>
      <c r="Q43" s="145"/>
      <c r="R43" s="145"/>
      <c r="S43" s="145"/>
      <c r="T43" s="145"/>
    </row>
    <row r="44">
      <c r="A44" s="143"/>
      <c r="B44" s="143"/>
      <c r="C44" s="143"/>
      <c r="D44" s="143"/>
      <c r="E44" s="143"/>
      <c r="F44" s="143"/>
      <c r="G44" s="143"/>
      <c r="H44" s="143"/>
      <c r="I44" s="143"/>
      <c r="J44" s="143"/>
      <c r="K44" s="143"/>
      <c r="L44" s="143"/>
      <c r="M44" s="143"/>
      <c r="N44" s="143"/>
      <c r="O44" s="143"/>
      <c r="P44" s="144"/>
      <c r="Q44" s="143"/>
      <c r="R44" s="143"/>
      <c r="S44" s="143"/>
      <c r="T44" s="143"/>
    </row>
    <row r="45">
      <c r="A45" s="145"/>
      <c r="B45" s="145"/>
      <c r="C45" s="145"/>
      <c r="D45" s="145"/>
      <c r="E45" s="145"/>
      <c r="F45" s="145"/>
      <c r="G45" s="145"/>
      <c r="H45" s="145"/>
      <c r="I45" s="145"/>
      <c r="J45" s="145"/>
      <c r="K45" s="145"/>
      <c r="L45" s="145"/>
      <c r="M45" s="146"/>
      <c r="N45" s="146"/>
      <c r="O45" s="146"/>
      <c r="P45" s="146"/>
      <c r="Q45" s="145"/>
      <c r="R45" s="145"/>
      <c r="S45" s="145"/>
      <c r="T45" s="145"/>
    </row>
    <row r="46">
      <c r="A46" s="143"/>
      <c r="B46" s="143"/>
      <c r="C46" s="143"/>
      <c r="D46" s="143"/>
      <c r="E46" s="143"/>
      <c r="F46" s="143"/>
      <c r="G46" s="143"/>
      <c r="H46" s="143"/>
      <c r="I46" s="143"/>
      <c r="J46" s="143"/>
      <c r="K46" s="143"/>
      <c r="L46" s="143"/>
      <c r="M46" s="144"/>
      <c r="N46" s="144"/>
      <c r="O46" s="144"/>
      <c r="P46" s="144"/>
      <c r="Q46" s="143"/>
      <c r="R46" s="143"/>
      <c r="S46" s="143"/>
      <c r="T46" s="143"/>
    </row>
    <row r="47">
      <c r="A47" s="145"/>
      <c r="B47" s="145"/>
      <c r="C47" s="145"/>
      <c r="D47" s="145"/>
      <c r="E47" s="145"/>
      <c r="F47" s="145"/>
      <c r="G47" s="145"/>
      <c r="H47" s="145"/>
      <c r="I47" s="145"/>
      <c r="J47" s="145"/>
      <c r="K47" s="145"/>
      <c r="L47" s="145"/>
      <c r="M47" s="146"/>
      <c r="N47" s="146"/>
      <c r="O47" s="146"/>
      <c r="P47" s="146"/>
      <c r="Q47" s="145"/>
      <c r="R47" s="145"/>
      <c r="S47" s="145"/>
      <c r="T47" s="145"/>
    </row>
    <row r="48">
      <c r="A48" s="143"/>
      <c r="B48" s="143"/>
      <c r="C48" s="143"/>
      <c r="D48" s="143"/>
      <c r="E48" s="143"/>
      <c r="F48" s="143"/>
      <c r="G48" s="143"/>
      <c r="H48" s="143"/>
      <c r="I48" s="143"/>
      <c r="J48" s="143"/>
      <c r="K48" s="143"/>
      <c r="L48" s="143"/>
      <c r="M48" s="144"/>
      <c r="N48" s="144"/>
      <c r="O48" s="144"/>
      <c r="P48" s="144"/>
      <c r="Q48" s="143"/>
      <c r="R48" s="143"/>
      <c r="S48" s="143"/>
      <c r="T48" s="143"/>
    </row>
    <row r="49">
      <c r="A49" s="146"/>
      <c r="B49" s="146"/>
      <c r="C49" s="146"/>
      <c r="D49" s="146"/>
      <c r="E49" s="146"/>
      <c r="F49" s="146"/>
      <c r="G49" s="146"/>
      <c r="H49" s="146"/>
      <c r="I49" s="146"/>
      <c r="J49" s="146"/>
      <c r="K49" s="146"/>
      <c r="L49" s="146"/>
      <c r="M49" s="146"/>
      <c r="N49" s="146"/>
      <c r="O49" s="146"/>
      <c r="P49" s="146"/>
      <c r="Q49" s="146"/>
      <c r="R49" s="146"/>
      <c r="S49" s="146"/>
      <c r="T49" s="146"/>
    </row>
    <row r="50">
      <c r="A50" s="144"/>
      <c r="B50" s="144"/>
      <c r="C50" s="144"/>
      <c r="D50" s="144"/>
      <c r="E50" s="144"/>
      <c r="F50" s="144"/>
      <c r="G50" s="144"/>
      <c r="H50" s="144"/>
      <c r="I50" s="144"/>
      <c r="J50" s="144"/>
      <c r="K50" s="144"/>
      <c r="L50" s="144"/>
      <c r="M50" s="144"/>
      <c r="N50" s="144"/>
      <c r="O50" s="144"/>
      <c r="P50" s="144"/>
      <c r="Q50" s="144"/>
      <c r="R50" s="144"/>
      <c r="S50" s="144"/>
      <c r="T50" s="144"/>
    </row>
    <row r="51">
      <c r="A51" s="169"/>
      <c r="B51" s="169"/>
      <c r="C51" s="169"/>
      <c r="D51" s="169"/>
      <c r="E51" s="169"/>
      <c r="F51" s="169"/>
      <c r="G51" s="169"/>
      <c r="H51" s="169"/>
      <c r="I51" s="169"/>
      <c r="J51" s="169"/>
      <c r="K51" s="169"/>
      <c r="L51" s="169"/>
      <c r="M51" s="169"/>
      <c r="N51" s="169"/>
      <c r="O51" s="169"/>
      <c r="P51" s="169"/>
      <c r="Q51" s="169"/>
      <c r="R51" s="169"/>
      <c r="S51" s="169"/>
      <c r="T51" s="169"/>
    </row>
    <row r="52">
      <c r="A52" s="170"/>
      <c r="B52" s="170"/>
      <c r="C52" s="170"/>
      <c r="D52" s="170"/>
      <c r="E52" s="170"/>
      <c r="F52" s="170"/>
      <c r="G52" s="170"/>
      <c r="H52" s="170"/>
      <c r="I52" s="170"/>
      <c r="J52" s="170"/>
      <c r="K52" s="170"/>
      <c r="L52" s="170"/>
      <c r="M52" s="170"/>
      <c r="N52" s="170"/>
      <c r="O52" s="170"/>
      <c r="P52" s="170"/>
      <c r="Q52" s="171" t="str">
        <f t="shared" ref="Q52:Q102" si="1">P2</f>
        <v>Magboots</v>
      </c>
      <c r="R52" s="171" t="str">
        <f t="shared" ref="R52:R102" si="2">P2</f>
        <v>Magboots</v>
      </c>
      <c r="S52" s="171" t="str">
        <f t="shared" ref="S52:S102" si="3">P2</f>
        <v>Magboots</v>
      </c>
      <c r="T52" s="171" t="str">
        <f t="shared" ref="T52:T102" si="4">P2</f>
        <v>Magboots</v>
      </c>
    </row>
    <row r="53">
      <c r="A53" s="170"/>
      <c r="B53" s="170"/>
      <c r="C53" s="170"/>
      <c r="D53" s="170"/>
      <c r="E53" s="170"/>
      <c r="F53" s="170"/>
      <c r="G53" s="170"/>
      <c r="H53" s="170"/>
      <c r="I53" s="170"/>
      <c r="J53" s="170"/>
      <c r="K53" s="170"/>
      <c r="L53" s="170"/>
      <c r="M53" s="170"/>
      <c r="N53" s="170"/>
      <c r="O53" s="170"/>
      <c r="P53" s="170"/>
      <c r="Q53" s="145" t="str">
        <f t="shared" si="1"/>
        <v>Ammo Processor</v>
      </c>
      <c r="R53" s="145" t="str">
        <f t="shared" si="2"/>
        <v>Ammo Processor</v>
      </c>
      <c r="S53" s="145" t="str">
        <f t="shared" si="3"/>
        <v>Ammo Processor</v>
      </c>
      <c r="T53" s="145" t="str">
        <f t="shared" si="4"/>
        <v>Ammo Processor</v>
      </c>
    </row>
    <row r="54">
      <c r="A54" s="170"/>
      <c r="B54" s="170"/>
      <c r="C54" s="170"/>
      <c r="D54" s="170"/>
      <c r="E54" s="170"/>
      <c r="F54" s="170"/>
      <c r="G54" s="170"/>
      <c r="H54" s="170"/>
      <c r="I54" s="170"/>
      <c r="J54" s="170"/>
      <c r="K54" s="170"/>
      <c r="L54" s="170"/>
      <c r="M54" s="170"/>
      <c r="N54" s="170"/>
      <c r="O54" s="170"/>
      <c r="P54" s="170"/>
      <c r="Q54" s="143" t="str">
        <f t="shared" si="1"/>
        <v>Blink</v>
      </c>
      <c r="R54" s="143" t="str">
        <f t="shared" si="2"/>
        <v>Blink</v>
      </c>
      <c r="S54" s="143" t="str">
        <f t="shared" si="3"/>
        <v>Blink</v>
      </c>
      <c r="T54" s="143" t="str">
        <f t="shared" si="4"/>
        <v>Blink</v>
      </c>
    </row>
    <row r="55">
      <c r="A55" s="170"/>
      <c r="B55" s="170"/>
      <c r="C55" s="170"/>
      <c r="D55" s="170"/>
      <c r="E55" s="170"/>
      <c r="F55" s="170"/>
      <c r="G55" s="170"/>
      <c r="H55" s="170"/>
      <c r="I55" s="170"/>
      <c r="J55" s="170"/>
      <c r="K55" s="170"/>
      <c r="L55" s="170"/>
      <c r="M55" s="170"/>
      <c r="N55" s="170"/>
      <c r="O55" s="170"/>
      <c r="P55" s="170"/>
      <c r="Q55" s="145" t="str">
        <f t="shared" si="1"/>
        <v>Core Repurposing</v>
      </c>
      <c r="R55" s="145" t="str">
        <f t="shared" si="2"/>
        <v>Core Repurposing</v>
      </c>
      <c r="S55" s="145" t="str">
        <f t="shared" si="3"/>
        <v>Core Repurposing</v>
      </c>
      <c r="T55" s="145" t="str">
        <f t="shared" si="4"/>
        <v>Core Repurposing</v>
      </c>
    </row>
    <row r="56">
      <c r="A56" s="170"/>
      <c r="B56" s="170"/>
      <c r="C56" s="170"/>
      <c r="D56" s="170"/>
      <c r="E56" s="170"/>
      <c r="F56" s="170"/>
      <c r="G56" s="170"/>
      <c r="H56" s="170"/>
      <c r="I56" s="170"/>
      <c r="J56" s="170"/>
      <c r="K56" s="170"/>
      <c r="L56" s="170"/>
      <c r="M56" s="170"/>
      <c r="N56" s="170"/>
      <c r="O56" s="170"/>
      <c r="P56" s="170"/>
      <c r="Q56" s="143" t="str">
        <f t="shared" si="1"/>
        <v>Elemental Cocktail</v>
      </c>
      <c r="R56" s="143" t="str">
        <f t="shared" si="2"/>
        <v>Elemental Cocktail</v>
      </c>
      <c r="S56" s="143" t="str">
        <f t="shared" si="3"/>
        <v>Elemental Cocktail</v>
      </c>
      <c r="T56" s="143" t="str">
        <f t="shared" si="4"/>
        <v>Elemental Cocktail</v>
      </c>
    </row>
    <row r="57">
      <c r="A57" s="170"/>
      <c r="B57" s="170"/>
      <c r="C57" s="170"/>
      <c r="D57" s="170"/>
      <c r="E57" s="170"/>
      <c r="F57" s="170"/>
      <c r="G57" s="170"/>
      <c r="H57" s="170"/>
      <c r="I57" s="170"/>
      <c r="J57" s="170"/>
      <c r="K57" s="170"/>
      <c r="L57" s="170"/>
      <c r="M57" s="170"/>
      <c r="N57" s="170"/>
      <c r="O57" s="170"/>
      <c r="P57" s="170"/>
      <c r="Q57" s="145" t="str">
        <f t="shared" si="1"/>
        <v>Elemental Regeneration</v>
      </c>
      <c r="R57" s="145" t="str">
        <f t="shared" si="2"/>
        <v>Elemental Regeneration</v>
      </c>
      <c r="S57" s="145" t="str">
        <f t="shared" si="3"/>
        <v>Elemental Regeneration</v>
      </c>
      <c r="T57" s="145" t="str">
        <f t="shared" si="4"/>
        <v>Elemental Regeneration</v>
      </c>
    </row>
    <row r="58">
      <c r="A58" s="170"/>
      <c r="B58" s="170"/>
      <c r="C58" s="170"/>
      <c r="D58" s="170"/>
      <c r="E58" s="170"/>
      <c r="F58" s="170"/>
      <c r="G58" s="170"/>
      <c r="H58" s="170"/>
      <c r="I58" s="170"/>
      <c r="J58" s="170"/>
      <c r="K58" s="170"/>
      <c r="L58" s="170"/>
      <c r="M58" s="170"/>
      <c r="N58" s="170"/>
      <c r="O58" s="170"/>
      <c r="P58" s="170"/>
      <c r="Q58" s="143" t="str">
        <f t="shared" si="1"/>
        <v>Focus Prism</v>
      </c>
      <c r="R58" s="143" t="str">
        <f t="shared" si="2"/>
        <v>Focus Prism</v>
      </c>
      <c r="S58" s="143" t="str">
        <f t="shared" si="3"/>
        <v>Focus Prism</v>
      </c>
      <c r="T58" s="143" t="str">
        <f t="shared" si="4"/>
        <v>Focus Prism</v>
      </c>
    </row>
    <row r="59">
      <c r="A59" s="170"/>
      <c r="B59" s="170"/>
      <c r="C59" s="170"/>
      <c r="D59" s="170"/>
      <c r="E59" s="170"/>
      <c r="F59" s="170"/>
      <c r="G59" s="170"/>
      <c r="H59" s="170"/>
      <c r="I59" s="170"/>
      <c r="J59" s="170"/>
      <c r="K59" s="170"/>
      <c r="L59" s="170"/>
      <c r="M59" s="170"/>
      <c r="N59" s="170"/>
      <c r="O59" s="170"/>
      <c r="P59" s="170"/>
      <c r="Q59" s="145" t="str">
        <f t="shared" si="1"/>
        <v>Frantic Greed</v>
      </c>
      <c r="R59" s="145" t="str">
        <f t="shared" si="2"/>
        <v>Frantic Greed</v>
      </c>
      <c r="S59" s="145" t="str">
        <f t="shared" si="3"/>
        <v>Frantic Greed</v>
      </c>
      <c r="T59" s="145" t="str">
        <f t="shared" si="4"/>
        <v>Frantic Greed</v>
      </c>
    </row>
    <row r="60">
      <c r="A60" s="170"/>
      <c r="B60" s="170"/>
      <c r="C60" s="170"/>
      <c r="D60" s="170"/>
      <c r="E60" s="170"/>
      <c r="F60" s="170"/>
      <c r="G60" s="170"/>
      <c r="H60" s="170"/>
      <c r="I60" s="170"/>
      <c r="J60" s="170"/>
      <c r="K60" s="170"/>
      <c r="L60" s="170"/>
      <c r="M60" s="170"/>
      <c r="N60" s="170"/>
      <c r="O60" s="170"/>
      <c r="P60" s="170"/>
      <c r="Q60" s="143" t="str">
        <f t="shared" si="1"/>
        <v>Grenade Recycling</v>
      </c>
      <c r="R60" s="143" t="str">
        <f t="shared" si="2"/>
        <v>Grenade Recycling</v>
      </c>
      <c r="S60" s="143" t="str">
        <f t="shared" si="3"/>
        <v>Grenade Recycling</v>
      </c>
      <c r="T60" s="143" t="str">
        <f t="shared" si="4"/>
        <v>Grenade Recycling</v>
      </c>
    </row>
    <row r="61">
      <c r="A61" s="170"/>
      <c r="B61" s="170"/>
      <c r="C61" s="170"/>
      <c r="D61" s="170"/>
      <c r="E61" s="170"/>
      <c r="F61" s="170"/>
      <c r="G61" s="170"/>
      <c r="H61" s="170"/>
      <c r="I61" s="170"/>
      <c r="J61" s="170"/>
      <c r="K61" s="170"/>
      <c r="L61" s="170"/>
      <c r="M61" s="170"/>
      <c r="N61" s="170"/>
      <c r="O61" s="170"/>
      <c r="P61" s="170"/>
      <c r="Q61" s="145" t="str">
        <f t="shared" si="1"/>
        <v>Inertial Conductors</v>
      </c>
      <c r="R61" s="145" t="str">
        <f t="shared" si="2"/>
        <v>Inertial Conductors</v>
      </c>
      <c r="S61" s="145" t="str">
        <f t="shared" si="3"/>
        <v>Inertial Conductors</v>
      </c>
      <c r="T61" s="145" t="str">
        <f t="shared" si="4"/>
        <v>Inertial Conductors</v>
      </c>
    </row>
    <row r="62">
      <c r="A62" s="170"/>
      <c r="B62" s="170"/>
      <c r="C62" s="170"/>
      <c r="D62" s="170"/>
      <c r="E62" s="170"/>
      <c r="F62" s="170"/>
      <c r="G62" s="170"/>
      <c r="H62" s="170"/>
      <c r="I62" s="170"/>
      <c r="J62" s="170"/>
      <c r="K62" s="170"/>
      <c r="L62" s="170"/>
      <c r="M62" s="170"/>
      <c r="N62" s="170"/>
      <c r="O62" s="170"/>
      <c r="P62" s="170"/>
      <c r="Q62" s="143" t="str">
        <f t="shared" si="1"/>
        <v>Kinetic Effect</v>
      </c>
      <c r="R62" s="143" t="str">
        <f t="shared" si="2"/>
        <v>Kinetic Effect</v>
      </c>
      <c r="S62" s="143" t="str">
        <f t="shared" si="3"/>
        <v>Kinetic Effect</v>
      </c>
      <c r="T62" s="143" t="str">
        <f t="shared" si="4"/>
        <v>Kinetic Effect</v>
      </c>
    </row>
    <row r="63">
      <c r="A63" s="170"/>
      <c r="B63" s="170"/>
      <c r="C63" s="170"/>
      <c r="D63" s="170"/>
      <c r="E63" s="170"/>
      <c r="F63" s="170"/>
      <c r="G63" s="170"/>
      <c r="H63" s="170"/>
      <c r="I63" s="170"/>
      <c r="J63" s="170"/>
      <c r="K63" s="170"/>
      <c r="L63" s="170"/>
      <c r="M63" s="170"/>
      <c r="N63" s="170"/>
      <c r="O63" s="170"/>
      <c r="P63" s="170"/>
      <c r="Q63" s="145" t="str">
        <f t="shared" si="1"/>
        <v>Scrap Repurposing</v>
      </c>
      <c r="R63" s="145" t="str">
        <f t="shared" si="2"/>
        <v>Scrap Repurposing</v>
      </c>
      <c r="S63" s="145" t="str">
        <f t="shared" si="3"/>
        <v>Scrap Repurposing</v>
      </c>
      <c r="T63" s="145" t="str">
        <f t="shared" si="4"/>
        <v>Scrap Repurposing</v>
      </c>
    </row>
    <row r="64">
      <c r="A64" s="170"/>
      <c r="B64" s="170"/>
      <c r="C64" s="170"/>
      <c r="D64" s="170"/>
      <c r="E64" s="170"/>
      <c r="F64" s="170"/>
      <c r="G64" s="170"/>
      <c r="H64" s="170"/>
      <c r="I64" s="170"/>
      <c r="J64" s="170"/>
      <c r="K64" s="170"/>
      <c r="L64" s="170"/>
      <c r="M64" s="170"/>
      <c r="N64" s="170"/>
      <c r="O64" s="170"/>
      <c r="P64" s="170"/>
      <c r="Q64" s="143" t="str">
        <f t="shared" si="1"/>
        <v>Slide Deflector</v>
      </c>
      <c r="R64" s="143" t="str">
        <f t="shared" si="2"/>
        <v>Slide Deflector</v>
      </c>
      <c r="S64" s="143" t="str">
        <f t="shared" si="3"/>
        <v>Slide Deflector</v>
      </c>
      <c r="T64" s="143" t="str">
        <f t="shared" si="4"/>
        <v>Slide Deflector</v>
      </c>
    </row>
    <row r="65">
      <c r="A65" s="170"/>
      <c r="B65" s="170"/>
      <c r="C65" s="170"/>
      <c r="D65" s="170"/>
      <c r="E65" s="170"/>
      <c r="F65" s="170"/>
      <c r="G65" s="170"/>
      <c r="H65" s="170"/>
      <c r="I65" s="170"/>
      <c r="J65" s="170"/>
      <c r="K65" s="170"/>
      <c r="L65" s="170"/>
      <c r="M65" s="170"/>
      <c r="N65" s="170"/>
      <c r="O65" s="170"/>
      <c r="P65" s="170"/>
      <c r="Q65" s="145" t="str">
        <f t="shared" si="1"/>
        <v>Software Assisted Slide</v>
      </c>
      <c r="R65" s="145" t="str">
        <f t="shared" si="2"/>
        <v>Software Assisted Slide</v>
      </c>
      <c r="S65" s="145" t="str">
        <f t="shared" si="3"/>
        <v>Software Assisted Slide</v>
      </c>
      <c r="T65" s="145" t="str">
        <f t="shared" si="4"/>
        <v>Software Assisted Slide</v>
      </c>
    </row>
    <row r="66">
      <c r="A66" s="170"/>
      <c r="B66" s="170"/>
      <c r="C66" s="170"/>
      <c r="D66" s="170"/>
      <c r="E66" s="170"/>
      <c r="F66" s="170"/>
      <c r="G66" s="170"/>
      <c r="H66" s="170"/>
      <c r="I66" s="170"/>
      <c r="J66" s="170"/>
      <c r="K66" s="170"/>
      <c r="L66" s="170"/>
      <c r="M66" s="170"/>
      <c r="N66" s="170"/>
      <c r="O66" s="170"/>
      <c r="P66" s="170"/>
      <c r="Q66" s="143" t="str">
        <f t="shared" si="1"/>
        <v>Third Arm</v>
      </c>
      <c r="R66" s="143" t="str">
        <f t="shared" si="2"/>
        <v>Third Arm</v>
      </c>
      <c r="S66" s="143" t="str">
        <f t="shared" si="3"/>
        <v>Third Arm</v>
      </c>
      <c r="T66" s="143" t="str">
        <f t="shared" si="4"/>
        <v>Third Arm</v>
      </c>
    </row>
    <row r="67">
      <c r="A67" s="170"/>
      <c r="B67" s="170"/>
      <c r="C67" s="170"/>
      <c r="D67" s="170"/>
      <c r="E67" s="170"/>
      <c r="F67" s="170"/>
      <c r="G67" s="170"/>
      <c r="H67" s="170"/>
      <c r="I67" s="170"/>
      <c r="J67" s="170"/>
      <c r="K67" s="170"/>
      <c r="L67" s="170"/>
      <c r="M67" s="170"/>
      <c r="N67" s="170"/>
      <c r="O67" s="170"/>
      <c r="P67" s="170"/>
      <c r="Q67" s="145" t="str">
        <f t="shared" si="1"/>
        <v>Acid Affinity</v>
      </c>
      <c r="R67" s="145" t="str">
        <f t="shared" si="2"/>
        <v>Acid Affinity</v>
      </c>
      <c r="S67" s="145" t="str">
        <f t="shared" si="3"/>
        <v>Acid Affinity</v>
      </c>
      <c r="T67" s="145" t="str">
        <f t="shared" si="4"/>
        <v>Acid Affinity</v>
      </c>
    </row>
    <row r="68">
      <c r="A68" s="170"/>
      <c r="B68" s="170"/>
      <c r="C68" s="170"/>
      <c r="D68" s="170"/>
      <c r="E68" s="170"/>
      <c r="F68" s="170"/>
      <c r="G68" s="170"/>
      <c r="H68" s="170"/>
      <c r="I68" s="170"/>
      <c r="J68" s="170"/>
      <c r="K68" s="170"/>
      <c r="L68" s="170"/>
      <c r="M68" s="170"/>
      <c r="N68" s="170"/>
      <c r="O68" s="170"/>
      <c r="P68" s="170"/>
      <c r="Q68" s="143" t="str">
        <f t="shared" si="1"/>
        <v>Boost Buffer</v>
      </c>
      <c r="R68" s="143" t="str">
        <f t="shared" si="2"/>
        <v>Boost Buffer</v>
      </c>
      <c r="S68" s="143" t="str">
        <f t="shared" si="3"/>
        <v>Boost Buffer</v>
      </c>
      <c r="T68" s="143" t="str">
        <f t="shared" si="4"/>
        <v>Boost Buffer</v>
      </c>
    </row>
    <row r="69">
      <c r="A69" s="170"/>
      <c r="B69" s="170"/>
      <c r="C69" s="170"/>
      <c r="D69" s="170"/>
      <c r="E69" s="170"/>
      <c r="F69" s="170"/>
      <c r="G69" s="170"/>
      <c r="H69" s="170"/>
      <c r="I69" s="170"/>
      <c r="J69" s="170"/>
      <c r="K69" s="170"/>
      <c r="L69" s="170"/>
      <c r="M69" s="170"/>
      <c r="N69" s="170"/>
      <c r="O69" s="170"/>
      <c r="P69" s="170"/>
      <c r="Q69" s="145" t="str">
        <f t="shared" si="1"/>
        <v>Brittle Battery</v>
      </c>
      <c r="R69" s="145" t="str">
        <f t="shared" si="2"/>
        <v>Brittle Battery</v>
      </c>
      <c r="S69" s="145" t="str">
        <f t="shared" si="3"/>
        <v>Brittle Battery</v>
      </c>
      <c r="T69" s="145" t="str">
        <f t="shared" si="4"/>
        <v>Brittle Battery</v>
      </c>
    </row>
    <row r="70">
      <c r="A70" s="170"/>
      <c r="B70" s="170"/>
      <c r="C70" s="170"/>
      <c r="D70" s="170"/>
      <c r="E70" s="170"/>
      <c r="F70" s="170"/>
      <c r="G70" s="170"/>
      <c r="H70" s="170"/>
      <c r="I70" s="170"/>
      <c r="J70" s="170"/>
      <c r="K70" s="170"/>
      <c r="L70" s="170"/>
      <c r="M70" s="170"/>
      <c r="N70" s="170"/>
      <c r="O70" s="170"/>
      <c r="P70" s="170"/>
      <c r="Q70" s="143" t="str">
        <f t="shared" si="1"/>
        <v>Elemental Health</v>
      </c>
      <c r="R70" s="143" t="str">
        <f t="shared" si="2"/>
        <v>Elemental Health</v>
      </c>
      <c r="S70" s="143" t="str">
        <f t="shared" si="3"/>
        <v>Elemental Health</v>
      </c>
      <c r="T70" s="143" t="str">
        <f t="shared" si="4"/>
        <v>Elemental Health</v>
      </c>
    </row>
    <row r="71">
      <c r="A71" s="170"/>
      <c r="B71" s="170"/>
      <c r="C71" s="170"/>
      <c r="D71" s="170"/>
      <c r="E71" s="170"/>
      <c r="F71" s="170"/>
      <c r="G71" s="170"/>
      <c r="H71" s="170"/>
      <c r="I71" s="170"/>
      <c r="J71" s="170"/>
      <c r="K71" s="170"/>
      <c r="L71" s="170"/>
      <c r="M71" s="170"/>
      <c r="N71" s="170"/>
      <c r="O71" s="170"/>
      <c r="P71" s="170"/>
      <c r="Q71" s="145" t="str">
        <f t="shared" si="1"/>
        <v>Fire Affinity</v>
      </c>
      <c r="R71" s="145" t="str">
        <f t="shared" si="2"/>
        <v>Fire Affinity</v>
      </c>
      <c r="S71" s="145" t="str">
        <f t="shared" si="3"/>
        <v>Fire Affinity</v>
      </c>
      <c r="T71" s="145" t="str">
        <f t="shared" si="4"/>
        <v>Fire Affinity</v>
      </c>
    </row>
    <row r="72">
      <c r="A72" s="170"/>
      <c r="B72" s="170"/>
      <c r="C72" s="170"/>
      <c r="D72" s="170"/>
      <c r="E72" s="170"/>
      <c r="F72" s="170"/>
      <c r="G72" s="170"/>
      <c r="H72" s="170"/>
      <c r="I72" s="170"/>
      <c r="J72" s="170"/>
      <c r="K72" s="170"/>
      <c r="L72" s="170"/>
      <c r="M72" s="170"/>
      <c r="N72" s="170"/>
      <c r="O72" s="170"/>
      <c r="P72" s="170"/>
      <c r="Q72" s="143" t="str">
        <f t="shared" si="1"/>
        <v>Polished Chassis</v>
      </c>
      <c r="R72" s="143" t="str">
        <f t="shared" si="2"/>
        <v>Polished Chassis</v>
      </c>
      <c r="S72" s="143" t="str">
        <f t="shared" si="3"/>
        <v>Polished Chassis</v>
      </c>
      <c r="T72" s="143" t="str">
        <f t="shared" si="4"/>
        <v>Polished Chassis</v>
      </c>
    </row>
    <row r="73">
      <c r="A73" s="170"/>
      <c r="B73" s="170"/>
      <c r="C73" s="170"/>
      <c r="D73" s="170"/>
      <c r="E73" s="170"/>
      <c r="F73" s="170"/>
      <c r="G73" s="170"/>
      <c r="H73" s="170"/>
      <c r="I73" s="170"/>
      <c r="J73" s="170"/>
      <c r="K73" s="170"/>
      <c r="L73" s="170"/>
      <c r="M73" s="170"/>
      <c r="N73" s="170"/>
      <c r="O73" s="170"/>
      <c r="P73" s="170"/>
      <c r="Q73" s="145" t="str">
        <f t="shared" si="1"/>
        <v>Punch Punch</v>
      </c>
      <c r="R73" s="145" t="str">
        <f t="shared" si="2"/>
        <v>Punch Punch</v>
      </c>
      <c r="S73" s="145" t="str">
        <f t="shared" si="3"/>
        <v>Punch Punch</v>
      </c>
      <c r="T73" s="145" t="str">
        <f t="shared" si="4"/>
        <v>Punch Punch</v>
      </c>
    </row>
    <row r="74">
      <c r="A74" s="170"/>
      <c r="B74" s="170"/>
      <c r="C74" s="170"/>
      <c r="D74" s="170"/>
      <c r="E74" s="170"/>
      <c r="F74" s="170"/>
      <c r="G74" s="170"/>
      <c r="H74" s="170"/>
      <c r="I74" s="170"/>
      <c r="J74" s="170"/>
      <c r="K74" s="170"/>
      <c r="L74" s="170"/>
      <c r="M74" s="170"/>
      <c r="N74" s="170"/>
      <c r="O74" s="170"/>
      <c r="P74" s="170"/>
      <c r="Q74" s="143" t="str">
        <f t="shared" si="1"/>
        <v>Reinforced Plating</v>
      </c>
      <c r="R74" s="143" t="str">
        <f t="shared" si="2"/>
        <v>Reinforced Plating</v>
      </c>
      <c r="S74" s="143" t="str">
        <f t="shared" si="3"/>
        <v>Reinforced Plating</v>
      </c>
      <c r="T74" s="143" t="str">
        <f t="shared" si="4"/>
        <v>Reinforced Plating</v>
      </c>
    </row>
    <row r="75">
      <c r="A75" s="170"/>
      <c r="B75" s="170"/>
      <c r="C75" s="170"/>
      <c r="D75" s="170"/>
      <c r="E75" s="170"/>
      <c r="F75" s="170"/>
      <c r="G75" s="170"/>
      <c r="H75" s="170"/>
      <c r="I75" s="170"/>
      <c r="J75" s="170"/>
      <c r="K75" s="170"/>
      <c r="L75" s="170"/>
      <c r="M75" s="170"/>
      <c r="N75" s="170"/>
      <c r="O75" s="170"/>
      <c r="P75" s="170"/>
      <c r="Q75" s="145" t="str">
        <f t="shared" si="1"/>
        <v>Repair Siphon</v>
      </c>
      <c r="R75" s="145" t="str">
        <f t="shared" si="2"/>
        <v>Repair Siphon</v>
      </c>
      <c r="S75" s="145" t="str">
        <f t="shared" si="3"/>
        <v>Repair Siphon</v>
      </c>
      <c r="T75" s="145" t="str">
        <f t="shared" si="4"/>
        <v>Repair Siphon</v>
      </c>
    </row>
    <row r="76">
      <c r="A76" s="170"/>
      <c r="B76" s="170"/>
      <c r="C76" s="170"/>
      <c r="D76" s="170"/>
      <c r="E76" s="170"/>
      <c r="F76" s="170"/>
      <c r="G76" s="170"/>
      <c r="H76" s="170"/>
      <c r="I76" s="170"/>
      <c r="J76" s="170"/>
      <c r="K76" s="170"/>
      <c r="L76" s="170"/>
      <c r="M76" s="170"/>
      <c r="N76" s="170"/>
      <c r="O76" s="170"/>
      <c r="P76" s="170"/>
      <c r="Q76" s="143" t="str">
        <f t="shared" si="1"/>
        <v>Shock Affinity</v>
      </c>
      <c r="R76" s="143" t="str">
        <f t="shared" si="2"/>
        <v>Shock Affinity</v>
      </c>
      <c r="S76" s="143" t="str">
        <f t="shared" si="3"/>
        <v>Shock Affinity</v>
      </c>
      <c r="T76" s="143" t="str">
        <f t="shared" si="4"/>
        <v>Shock Affinity</v>
      </c>
    </row>
    <row r="77">
      <c r="A77" s="170"/>
      <c r="B77" s="170"/>
      <c r="C77" s="170"/>
      <c r="D77" s="170"/>
      <c r="E77" s="170"/>
      <c r="F77" s="170"/>
      <c r="G77" s="170"/>
      <c r="H77" s="170"/>
      <c r="I77" s="170"/>
      <c r="J77" s="170"/>
      <c r="K77" s="170"/>
      <c r="L77" s="170"/>
      <c r="M77" s="170"/>
      <c r="N77" s="170"/>
      <c r="O77" s="170"/>
      <c r="P77" s="170"/>
      <c r="Q77" s="145" t="str">
        <f t="shared" si="1"/>
        <v>Slide Buffer</v>
      </c>
      <c r="R77" s="145" t="str">
        <f t="shared" si="2"/>
        <v>Slide Buffer</v>
      </c>
      <c r="S77" s="145" t="str">
        <f t="shared" si="3"/>
        <v>Slide Buffer</v>
      </c>
      <c r="T77" s="145" t="str">
        <f t="shared" si="4"/>
        <v>Slide Buffer</v>
      </c>
    </row>
    <row r="78">
      <c r="A78" s="170"/>
      <c r="B78" s="170"/>
      <c r="C78" s="170"/>
      <c r="D78" s="170"/>
      <c r="E78" s="170"/>
      <c r="F78" s="170"/>
      <c r="G78" s="170"/>
      <c r="H78" s="170"/>
      <c r="I78" s="170"/>
      <c r="J78" s="170"/>
      <c r="K78" s="170"/>
      <c r="L78" s="170"/>
      <c r="M78" s="170"/>
      <c r="N78" s="170"/>
      <c r="O78" s="170"/>
      <c r="P78" s="170"/>
      <c r="Q78" s="143" t="str">
        <f t="shared" si="1"/>
        <v>Surge Protector</v>
      </c>
      <c r="R78" s="143" t="str">
        <f t="shared" si="2"/>
        <v>Surge Protector</v>
      </c>
      <c r="S78" s="143" t="str">
        <f t="shared" si="3"/>
        <v>Surge Protector</v>
      </c>
      <c r="T78" s="143" t="str">
        <f t="shared" si="4"/>
        <v>Surge Protector</v>
      </c>
    </row>
    <row r="79">
      <c r="A79" s="170"/>
      <c r="B79" s="170"/>
      <c r="C79" s="170"/>
      <c r="D79" s="170"/>
      <c r="E79" s="170"/>
      <c r="F79" s="170"/>
      <c r="G79" s="170"/>
      <c r="H79" s="170"/>
      <c r="I79" s="170"/>
      <c r="J79" s="170"/>
      <c r="K79" s="170"/>
      <c r="L79" s="170"/>
      <c r="M79" s="170"/>
      <c r="N79" s="170"/>
      <c r="O79" s="170"/>
      <c r="P79" s="170"/>
      <c r="Q79" s="145" t="str">
        <f t="shared" si="1"/>
        <v>Acid Resistance</v>
      </c>
      <c r="R79" s="145" t="str">
        <f t="shared" si="2"/>
        <v>Acid Resistance</v>
      </c>
      <c r="S79" s="145" t="str">
        <f t="shared" si="3"/>
        <v>Acid Resistance</v>
      </c>
      <c r="T79" s="145" t="str">
        <f t="shared" si="4"/>
        <v>Acid Resistance</v>
      </c>
    </row>
    <row r="80">
      <c r="A80" s="170"/>
      <c r="B80" s="170"/>
      <c r="C80" s="170"/>
      <c r="D80" s="170"/>
      <c r="E80" s="170"/>
      <c r="F80" s="170"/>
      <c r="G80" s="170"/>
      <c r="H80" s="170"/>
      <c r="I80" s="170"/>
      <c r="J80" s="170"/>
      <c r="K80" s="170"/>
      <c r="L80" s="170"/>
      <c r="M80" s="170"/>
      <c r="N80" s="170"/>
      <c r="O80" s="170"/>
      <c r="P80" s="170"/>
      <c r="Q80" s="143" t="str">
        <f t="shared" si="1"/>
        <v>Fire Resistance</v>
      </c>
      <c r="R80" s="143" t="str">
        <f t="shared" si="2"/>
        <v>Fire Resistance</v>
      </c>
      <c r="S80" s="143" t="str">
        <f t="shared" si="3"/>
        <v>Fire Resistance</v>
      </c>
      <c r="T80" s="143" t="str">
        <f t="shared" si="4"/>
        <v>Fire Resistance</v>
      </c>
    </row>
    <row r="81">
      <c r="A81" s="170"/>
      <c r="B81" s="170"/>
      <c r="C81" s="170"/>
      <c r="D81" s="170"/>
      <c r="E81" s="170"/>
      <c r="F81" s="170"/>
      <c r="G81" s="170"/>
      <c r="H81" s="170"/>
      <c r="I81" s="170"/>
      <c r="J81" s="170"/>
      <c r="K81" s="170"/>
      <c r="L81" s="170"/>
      <c r="M81" s="170"/>
      <c r="N81" s="170"/>
      <c r="O81" s="170"/>
      <c r="P81" s="170"/>
      <c r="Q81" s="145" t="str">
        <f t="shared" si="1"/>
        <v>Shock Resistance</v>
      </c>
      <c r="R81" s="145" t="str">
        <f t="shared" si="2"/>
        <v>Shock Resistance</v>
      </c>
      <c r="S81" s="145" t="str">
        <f t="shared" si="3"/>
        <v>Shock Resistance</v>
      </c>
      <c r="T81" s="145" t="str">
        <f t="shared" si="4"/>
        <v>Shock Resistance</v>
      </c>
    </row>
    <row r="82">
      <c r="A82" s="170"/>
      <c r="B82" s="170"/>
      <c r="C82" s="170"/>
      <c r="D82" s="170"/>
      <c r="E82" s="170"/>
      <c r="F82" s="170"/>
      <c r="G82" s="170"/>
      <c r="H82" s="170"/>
      <c r="I82" s="170"/>
      <c r="J82" s="170"/>
      <c r="K82" s="170"/>
      <c r="L82" s="170"/>
      <c r="M82" s="170"/>
      <c r="N82" s="170"/>
      <c r="O82" s="170"/>
      <c r="P82" s="170"/>
      <c r="Q82" s="143" t="str">
        <f t="shared" si="1"/>
        <v>Structural Survey</v>
      </c>
      <c r="R82" s="143" t="str">
        <f t="shared" si="2"/>
        <v>Structural Survey</v>
      </c>
      <c r="S82" s="143" t="str">
        <f t="shared" si="3"/>
        <v>Structural Survey</v>
      </c>
      <c r="T82" s="143" t="str">
        <f t="shared" si="4"/>
        <v>Structural Survey</v>
      </c>
    </row>
    <row r="83">
      <c r="A83" s="170"/>
      <c r="B83" s="170"/>
      <c r="C83" s="170"/>
      <c r="D83" s="170"/>
      <c r="E83" s="170"/>
      <c r="F83" s="170"/>
      <c r="G83" s="170"/>
      <c r="H83" s="170"/>
      <c r="I83" s="170"/>
      <c r="J83" s="170"/>
      <c r="K83" s="170"/>
      <c r="L83" s="170"/>
      <c r="M83" s="170"/>
      <c r="N83" s="170"/>
      <c r="O83" s="170"/>
      <c r="P83" s="170"/>
      <c r="Q83" s="145" t="str">
        <f t="shared" si="1"/>
        <v>Cosmic Microwave</v>
      </c>
      <c r="R83" s="145" t="str">
        <f t="shared" si="2"/>
        <v>Cosmic Microwave</v>
      </c>
      <c r="S83" s="145" t="str">
        <f t="shared" si="3"/>
        <v>Cosmic Microwave</v>
      </c>
      <c r="T83" s="145" t="str">
        <f t="shared" si="4"/>
        <v>Cosmic Microwave</v>
      </c>
    </row>
    <row r="84">
      <c r="A84" s="170"/>
      <c r="B84" s="170"/>
      <c r="C84" s="170"/>
      <c r="D84" s="170"/>
      <c r="E84" s="170"/>
      <c r="F84" s="170"/>
      <c r="G84" s="170"/>
      <c r="H84" s="170"/>
      <c r="I84" s="170"/>
      <c r="J84" s="170"/>
      <c r="K84" s="170"/>
      <c r="L84" s="170"/>
      <c r="M84" s="170"/>
      <c r="N84" s="170"/>
      <c r="O84" s="170"/>
      <c r="P84" s="170"/>
      <c r="Q84" s="143" t="str">
        <f t="shared" si="1"/>
        <v>Fake ID (Biologicals Only)</v>
      </c>
      <c r="R84" s="143" t="str">
        <f t="shared" si="2"/>
        <v>Fake ID (Biologicals Only)</v>
      </c>
      <c r="S84" s="143" t="str">
        <f t="shared" si="3"/>
        <v>Fake ID (Biologicals Only)</v>
      </c>
      <c r="T84" s="143" t="str">
        <f t="shared" si="4"/>
        <v>Fake ID (Biologicals Only)</v>
      </c>
    </row>
    <row r="85">
      <c r="A85" s="170"/>
      <c r="B85" s="170"/>
      <c r="C85" s="170"/>
      <c r="D85" s="170"/>
      <c r="E85" s="170"/>
      <c r="F85" s="170"/>
      <c r="G85" s="170"/>
      <c r="H85" s="170"/>
      <c r="I85" s="170"/>
      <c r="J85" s="170"/>
      <c r="K85" s="170"/>
      <c r="L85" s="170"/>
      <c r="M85" s="170"/>
      <c r="N85" s="170"/>
      <c r="O85" s="170"/>
      <c r="P85" s="170"/>
      <c r="Q85" s="145" t="str">
        <f t="shared" si="1"/>
        <v>Handheld Pocket Universe</v>
      </c>
      <c r="R85" s="145" t="str">
        <f t="shared" si="2"/>
        <v>Handheld Pocket Universe</v>
      </c>
      <c r="S85" s="145" t="str">
        <f t="shared" si="3"/>
        <v>Handheld Pocket Universe</v>
      </c>
      <c r="T85" s="145" t="str">
        <f t="shared" si="4"/>
        <v>Handheld Pocket Universe</v>
      </c>
    </row>
    <row r="86">
      <c r="A86" s="170"/>
      <c r="B86" s="170"/>
      <c r="C86" s="170"/>
      <c r="D86" s="170"/>
      <c r="E86" s="170"/>
      <c r="F86" s="170"/>
      <c r="G86" s="170"/>
      <c r="H86" s="170"/>
      <c r="I86" s="170"/>
      <c r="J86" s="170"/>
      <c r="K86" s="170"/>
      <c r="L86" s="170"/>
      <c r="M86" s="170"/>
      <c r="N86" s="170"/>
      <c r="O86" s="170"/>
      <c r="P86" s="170"/>
      <c r="Q86" s="143" t="str">
        <f t="shared" si="1"/>
        <v>Interim Manager</v>
      </c>
      <c r="R86" s="143" t="str">
        <f t="shared" si="2"/>
        <v>Interim Manager</v>
      </c>
      <c r="S86" s="143" t="str">
        <f t="shared" si="3"/>
        <v>Interim Manager</v>
      </c>
      <c r="T86" s="143" t="str">
        <f t="shared" si="4"/>
        <v>Interim Manager</v>
      </c>
    </row>
    <row r="87">
      <c r="A87" s="170"/>
      <c r="B87" s="170"/>
      <c r="C87" s="170"/>
      <c r="D87" s="170"/>
      <c r="E87" s="170"/>
      <c r="F87" s="170"/>
      <c r="G87" s="170"/>
      <c r="H87" s="170"/>
      <c r="I87" s="170"/>
      <c r="J87" s="170"/>
      <c r="K87" s="170"/>
      <c r="L87" s="170"/>
      <c r="M87" s="170"/>
      <c r="N87" s="170"/>
      <c r="O87" s="170"/>
      <c r="P87" s="170"/>
      <c r="Q87" s="145" t="str">
        <f t="shared" si="1"/>
        <v>Edge Fault</v>
      </c>
      <c r="R87" s="145" t="str">
        <f t="shared" si="2"/>
        <v>Edge Fault</v>
      </c>
      <c r="S87" s="145" t="str">
        <f t="shared" si="3"/>
        <v>Edge Fault</v>
      </c>
      <c r="T87" s="145" t="str">
        <f t="shared" si="4"/>
        <v>Edge Fault</v>
      </c>
    </row>
    <row r="88">
      <c r="A88" s="170"/>
      <c r="B88" s="170"/>
      <c r="C88" s="170"/>
      <c r="D88" s="170"/>
      <c r="E88" s="170"/>
      <c r="F88" s="170"/>
      <c r="G88" s="170"/>
      <c r="H88" s="170"/>
      <c r="I88" s="170"/>
      <c r="J88" s="170"/>
      <c r="K88" s="170"/>
      <c r="L88" s="170"/>
      <c r="M88" s="170"/>
      <c r="N88" s="170"/>
      <c r="O88" s="170"/>
      <c r="P88" s="170"/>
      <c r="Q88" s="143" t="str">
        <f t="shared" si="1"/>
        <v>Multiversal Thievery</v>
      </c>
      <c r="R88" s="143" t="str">
        <f t="shared" si="2"/>
        <v>Multiversal Thievery</v>
      </c>
      <c r="S88" s="143" t="str">
        <f t="shared" si="3"/>
        <v>Multiversal Thievery</v>
      </c>
      <c r="T88" s="143" t="str">
        <f t="shared" si="4"/>
        <v>Multiversal Thievery</v>
      </c>
    </row>
    <row r="89">
      <c r="A89" s="170"/>
      <c r="B89" s="170"/>
      <c r="C89" s="170"/>
      <c r="D89" s="170"/>
      <c r="E89" s="170"/>
      <c r="F89" s="170"/>
      <c r="G89" s="170"/>
      <c r="H89" s="170"/>
      <c r="I89" s="170"/>
      <c r="J89" s="170"/>
      <c r="K89" s="170"/>
      <c r="L89" s="170"/>
      <c r="M89" s="170"/>
      <c r="N89" s="170"/>
      <c r="O89" s="170"/>
      <c r="P89" s="170"/>
      <c r="Q89" s="145" t="str">
        <f t="shared" si="1"/>
        <v>Boundary Incursion</v>
      </c>
      <c r="R89" s="145" t="str">
        <f t="shared" si="2"/>
        <v>Boundary Incursion</v>
      </c>
      <c r="S89" s="145" t="str">
        <f t="shared" si="3"/>
        <v>Boundary Incursion</v>
      </c>
      <c r="T89" s="145" t="str">
        <f t="shared" si="4"/>
        <v>Boundary Incursion</v>
      </c>
    </row>
    <row r="90">
      <c r="A90" s="170"/>
      <c r="B90" s="170"/>
      <c r="C90" s="170"/>
      <c r="D90" s="170"/>
      <c r="E90" s="170"/>
      <c r="F90" s="170"/>
      <c r="G90" s="170"/>
      <c r="H90" s="170"/>
      <c r="I90" s="170"/>
      <c r="J90" s="170"/>
      <c r="K90" s="170"/>
      <c r="L90" s="170"/>
      <c r="M90" s="170"/>
      <c r="N90" s="170"/>
      <c r="O90" s="170"/>
      <c r="P90" s="170"/>
      <c r="Q90" s="143" t="str">
        <f t="shared" si="1"/>
        <v/>
      </c>
      <c r="R90" s="143" t="str">
        <f t="shared" si="2"/>
        <v/>
      </c>
      <c r="S90" s="143" t="str">
        <f t="shared" si="3"/>
        <v/>
      </c>
      <c r="T90" s="143" t="str">
        <f t="shared" si="4"/>
        <v/>
      </c>
    </row>
    <row r="91">
      <c r="A91" s="170"/>
      <c r="B91" s="170"/>
      <c r="C91" s="170"/>
      <c r="D91" s="170"/>
      <c r="E91" s="170"/>
      <c r="F91" s="170"/>
      <c r="G91" s="170"/>
      <c r="H91" s="170"/>
      <c r="I91" s="170"/>
      <c r="J91" s="170"/>
      <c r="K91" s="170"/>
      <c r="L91" s="170"/>
      <c r="M91" s="170"/>
      <c r="N91" s="170"/>
      <c r="O91" s="170"/>
      <c r="P91" s="170"/>
      <c r="Q91" s="145" t="str">
        <f t="shared" si="1"/>
        <v/>
      </c>
      <c r="R91" s="145" t="str">
        <f t="shared" si="2"/>
        <v/>
      </c>
      <c r="S91" s="145" t="str">
        <f t="shared" si="3"/>
        <v/>
      </c>
      <c r="T91" s="145" t="str">
        <f t="shared" si="4"/>
        <v/>
      </c>
    </row>
    <row r="92">
      <c r="A92" s="170"/>
      <c r="B92" s="170"/>
      <c r="C92" s="170"/>
      <c r="D92" s="170"/>
      <c r="E92" s="170"/>
      <c r="F92" s="170"/>
      <c r="G92" s="170"/>
      <c r="H92" s="170"/>
      <c r="I92" s="170"/>
      <c r="J92" s="170"/>
      <c r="K92" s="170"/>
      <c r="L92" s="170"/>
      <c r="M92" s="170"/>
      <c r="N92" s="170"/>
      <c r="O92" s="170"/>
      <c r="P92" s="170"/>
      <c r="Q92" s="143" t="str">
        <f t="shared" si="1"/>
        <v/>
      </c>
      <c r="R92" s="143" t="str">
        <f t="shared" si="2"/>
        <v/>
      </c>
      <c r="S92" s="143" t="str">
        <f t="shared" si="3"/>
        <v/>
      </c>
      <c r="T92" s="143" t="str">
        <f t="shared" si="4"/>
        <v/>
      </c>
    </row>
    <row r="93">
      <c r="A93" s="170"/>
      <c r="B93" s="170"/>
      <c r="C93" s="170"/>
      <c r="D93" s="170"/>
      <c r="E93" s="170"/>
      <c r="F93" s="170"/>
      <c r="G93" s="170"/>
      <c r="H93" s="170"/>
      <c r="I93" s="170"/>
      <c r="J93" s="170"/>
      <c r="K93" s="170"/>
      <c r="L93" s="170"/>
      <c r="M93" s="170"/>
      <c r="N93" s="170"/>
      <c r="O93" s="170"/>
      <c r="P93" s="170"/>
      <c r="Q93" s="145" t="str">
        <f t="shared" si="1"/>
        <v/>
      </c>
      <c r="R93" s="145" t="str">
        <f t="shared" si="2"/>
        <v/>
      </c>
      <c r="S93" s="145" t="str">
        <f t="shared" si="3"/>
        <v/>
      </c>
      <c r="T93" s="145" t="str">
        <f t="shared" si="4"/>
        <v/>
      </c>
    </row>
    <row r="94">
      <c r="A94" s="170"/>
      <c r="B94" s="170"/>
      <c r="C94" s="170"/>
      <c r="D94" s="170"/>
      <c r="E94" s="170"/>
      <c r="F94" s="170"/>
      <c r="G94" s="170"/>
      <c r="H94" s="170"/>
      <c r="I94" s="170"/>
      <c r="J94" s="170"/>
      <c r="K94" s="170"/>
      <c r="L94" s="170"/>
      <c r="M94" s="170"/>
      <c r="N94" s="170"/>
      <c r="O94" s="170"/>
      <c r="P94" s="170"/>
      <c r="Q94" s="143" t="str">
        <f t="shared" si="1"/>
        <v/>
      </c>
      <c r="R94" s="143" t="str">
        <f t="shared" si="2"/>
        <v/>
      </c>
      <c r="S94" s="143" t="str">
        <f t="shared" si="3"/>
        <v/>
      </c>
      <c r="T94" s="143" t="str">
        <f t="shared" si="4"/>
        <v/>
      </c>
    </row>
    <row r="95">
      <c r="A95" s="170"/>
      <c r="B95" s="170"/>
      <c r="C95" s="170"/>
      <c r="D95" s="170"/>
      <c r="E95" s="170"/>
      <c r="F95" s="170"/>
      <c r="G95" s="170"/>
      <c r="H95" s="170"/>
      <c r="I95" s="170"/>
      <c r="J95" s="170"/>
      <c r="K95" s="170"/>
      <c r="L95" s="170"/>
      <c r="M95" s="170"/>
      <c r="N95" s="170"/>
      <c r="O95" s="170"/>
      <c r="P95" s="170"/>
      <c r="Q95" s="145" t="str">
        <f t="shared" si="1"/>
        <v/>
      </c>
      <c r="R95" s="145" t="str">
        <f t="shared" si="2"/>
        <v/>
      </c>
      <c r="S95" s="145" t="str">
        <f t="shared" si="3"/>
        <v/>
      </c>
      <c r="T95" s="145" t="str">
        <f t="shared" si="4"/>
        <v/>
      </c>
    </row>
    <row r="96">
      <c r="A96" s="170"/>
      <c r="B96" s="170"/>
      <c r="C96" s="170"/>
      <c r="D96" s="170"/>
      <c r="E96" s="170"/>
      <c r="F96" s="170"/>
      <c r="G96" s="170"/>
      <c r="H96" s="170"/>
      <c r="I96" s="170"/>
      <c r="J96" s="170"/>
      <c r="K96" s="170"/>
      <c r="L96" s="170"/>
      <c r="M96" s="170"/>
      <c r="N96" s="170"/>
      <c r="O96" s="170"/>
      <c r="P96" s="170"/>
      <c r="Q96" s="143" t="str">
        <f t="shared" si="1"/>
        <v/>
      </c>
      <c r="R96" s="143" t="str">
        <f t="shared" si="2"/>
        <v/>
      </c>
      <c r="S96" s="143" t="str">
        <f t="shared" si="3"/>
        <v/>
      </c>
      <c r="T96" s="143" t="str">
        <f t="shared" si="4"/>
        <v/>
      </c>
    </row>
    <row r="97">
      <c r="A97" s="170"/>
      <c r="B97" s="170"/>
      <c r="C97" s="170"/>
      <c r="D97" s="170"/>
      <c r="E97" s="170"/>
      <c r="F97" s="170"/>
      <c r="G97" s="170"/>
      <c r="H97" s="170"/>
      <c r="I97" s="170"/>
      <c r="J97" s="170"/>
      <c r="K97" s="170"/>
      <c r="L97" s="170"/>
      <c r="M97" s="170"/>
      <c r="N97" s="170"/>
      <c r="O97" s="170"/>
      <c r="P97" s="170"/>
      <c r="Q97" s="145" t="str">
        <f t="shared" si="1"/>
        <v/>
      </c>
      <c r="R97" s="145" t="str">
        <f t="shared" si="2"/>
        <v/>
      </c>
      <c r="S97" s="145" t="str">
        <f t="shared" si="3"/>
        <v/>
      </c>
      <c r="T97" s="145" t="str">
        <f t="shared" si="4"/>
        <v/>
      </c>
    </row>
    <row r="98">
      <c r="A98" s="170"/>
      <c r="B98" s="170"/>
      <c r="C98" s="170"/>
      <c r="D98" s="170"/>
      <c r="E98" s="170"/>
      <c r="F98" s="170"/>
      <c r="G98" s="170"/>
      <c r="H98" s="170"/>
      <c r="I98" s="170"/>
      <c r="J98" s="170"/>
      <c r="K98" s="170"/>
      <c r="L98" s="170"/>
      <c r="M98" s="170"/>
      <c r="N98" s="170"/>
      <c r="O98" s="170"/>
      <c r="P98" s="170"/>
      <c r="Q98" s="143" t="str">
        <f t="shared" si="1"/>
        <v/>
      </c>
      <c r="R98" s="143" t="str">
        <f t="shared" si="2"/>
        <v/>
      </c>
      <c r="S98" s="143" t="str">
        <f t="shared" si="3"/>
        <v/>
      </c>
      <c r="T98" s="143" t="str">
        <f t="shared" si="4"/>
        <v/>
      </c>
    </row>
    <row r="99">
      <c r="A99" s="170"/>
      <c r="B99" s="170"/>
      <c r="C99" s="170"/>
      <c r="D99" s="170"/>
      <c r="E99" s="170"/>
      <c r="F99" s="170"/>
      <c r="G99" s="170"/>
      <c r="H99" s="170"/>
      <c r="I99" s="170"/>
      <c r="J99" s="170"/>
      <c r="K99" s="170"/>
      <c r="L99" s="170"/>
      <c r="M99" s="170"/>
      <c r="N99" s="170"/>
      <c r="O99" s="170"/>
      <c r="P99" s="170"/>
      <c r="Q99" s="145" t="str">
        <f t="shared" si="1"/>
        <v/>
      </c>
      <c r="R99" s="145" t="str">
        <f t="shared" si="2"/>
        <v/>
      </c>
      <c r="S99" s="145" t="str">
        <f t="shared" si="3"/>
        <v/>
      </c>
      <c r="T99" s="145" t="str">
        <f t="shared" si="4"/>
        <v/>
      </c>
    </row>
    <row r="100">
      <c r="A100" s="170"/>
      <c r="B100" s="170"/>
      <c r="C100" s="170"/>
      <c r="D100" s="170"/>
      <c r="E100" s="170"/>
      <c r="F100" s="170"/>
      <c r="G100" s="170"/>
      <c r="H100" s="170"/>
      <c r="I100" s="170"/>
      <c r="J100" s="170"/>
      <c r="K100" s="170"/>
      <c r="L100" s="170"/>
      <c r="M100" s="170"/>
      <c r="N100" s="170"/>
      <c r="O100" s="170"/>
      <c r="P100" s="170"/>
      <c r="Q100" s="143" t="str">
        <f t="shared" si="1"/>
        <v/>
      </c>
      <c r="R100" s="143" t="str">
        <f t="shared" si="2"/>
        <v/>
      </c>
      <c r="S100" s="143" t="str">
        <f t="shared" si="3"/>
        <v/>
      </c>
      <c r="T100" s="143" t="str">
        <f t="shared" si="4"/>
        <v/>
      </c>
    </row>
    <row r="101">
      <c r="A101" s="170"/>
      <c r="B101" s="170"/>
      <c r="C101" s="170"/>
      <c r="D101" s="170"/>
      <c r="E101" s="170"/>
      <c r="F101" s="170"/>
      <c r="G101" s="170"/>
      <c r="H101" s="170"/>
      <c r="I101" s="170"/>
      <c r="J101" s="170"/>
      <c r="K101" s="170"/>
      <c r="L101" s="170"/>
      <c r="M101" s="170"/>
      <c r="N101" s="170"/>
      <c r="O101" s="170"/>
      <c r="P101" s="170"/>
      <c r="Q101" s="145" t="str">
        <f t="shared" si="1"/>
        <v/>
      </c>
      <c r="R101" s="145" t="str">
        <f t="shared" si="2"/>
        <v/>
      </c>
      <c r="S101" s="145" t="str">
        <f t="shared" si="3"/>
        <v/>
      </c>
      <c r="T101" s="145" t="str">
        <f t="shared" si="4"/>
        <v/>
      </c>
    </row>
    <row r="102">
      <c r="A102" s="170"/>
      <c r="B102" s="170"/>
      <c r="C102" s="170"/>
      <c r="D102" s="170"/>
      <c r="E102" s="170"/>
      <c r="F102" s="170"/>
      <c r="G102" s="170"/>
      <c r="H102" s="170"/>
      <c r="I102" s="170"/>
      <c r="J102" s="170"/>
      <c r="K102" s="170"/>
      <c r="L102" s="170"/>
      <c r="M102" s="170"/>
      <c r="N102" s="170"/>
      <c r="O102" s="170"/>
      <c r="P102" s="170"/>
      <c r="Q102" s="176" t="str">
        <f t="shared" si="1"/>
        <v/>
      </c>
      <c r="R102" s="176" t="str">
        <f t="shared" si="2"/>
        <v/>
      </c>
      <c r="S102" s="176" t="str">
        <f t="shared" si="3"/>
        <v/>
      </c>
      <c r="T102" s="176" t="str">
        <f t="shared" si="4"/>
        <v/>
      </c>
    </row>
  </sheetData>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13"/>
  </cols>
  <sheetData>
    <row r="1">
      <c r="A1" s="150" t="str">
        <f t="array" ref="A1:A50">'Up Names'!A2:A51</f>
        <v>Corrode Siphon</v>
      </c>
      <c r="B1" s="151" t="s">
        <v>130</v>
      </c>
      <c r="C1" s="151">
        <v>31021.0</v>
      </c>
      <c r="D1" s="152"/>
    </row>
    <row r="2">
      <c r="A2" s="153" t="s">
        <v>150</v>
      </c>
      <c r="B2" s="154" t="s">
        <v>150</v>
      </c>
      <c r="C2" s="154">
        <v>31032.0</v>
      </c>
      <c r="D2" s="152"/>
    </row>
    <row r="3">
      <c r="A3" s="155" t="s">
        <v>170</v>
      </c>
      <c r="B3" s="151" t="s">
        <v>170</v>
      </c>
      <c r="C3" s="151">
        <v>31044.0</v>
      </c>
      <c r="D3" s="152"/>
    </row>
    <row r="4">
      <c r="A4" s="153" t="s">
        <v>190</v>
      </c>
      <c r="B4" s="154" t="s">
        <v>369</v>
      </c>
      <c r="C4" s="154">
        <v>31038.0</v>
      </c>
      <c r="D4" s="152"/>
    </row>
    <row r="5">
      <c r="A5" s="155" t="s">
        <v>210</v>
      </c>
      <c r="B5" s="156" t="s">
        <v>210</v>
      </c>
      <c r="C5" s="151">
        <v>31051.0</v>
      </c>
      <c r="D5" s="152"/>
    </row>
    <row r="6">
      <c r="A6" s="153" t="s">
        <v>229</v>
      </c>
      <c r="B6" s="154" t="s">
        <v>370</v>
      </c>
      <c r="C6" s="154">
        <v>31019.0</v>
      </c>
      <c r="D6" s="152"/>
    </row>
    <row r="7">
      <c r="A7" s="155" t="s">
        <v>249</v>
      </c>
      <c r="B7" s="151" t="s">
        <v>371</v>
      </c>
      <c r="C7" s="151">
        <v>31048.0</v>
      </c>
      <c r="D7" s="157">
        <v>1.0</v>
      </c>
    </row>
    <row r="8">
      <c r="A8" s="153" t="s">
        <v>269</v>
      </c>
      <c r="B8" s="154" t="s">
        <v>377</v>
      </c>
      <c r="C8" s="154">
        <v>31040.0</v>
      </c>
      <c r="D8" s="158">
        <v>2.0</v>
      </c>
    </row>
    <row r="9">
      <c r="A9" s="155" t="s">
        <v>289</v>
      </c>
      <c r="B9" s="151" t="s">
        <v>289</v>
      </c>
      <c r="C9" s="151">
        <v>31030.0</v>
      </c>
      <c r="D9" s="152"/>
    </row>
    <row r="10">
      <c r="A10" s="153" t="s">
        <v>309</v>
      </c>
      <c r="B10" s="154" t="s">
        <v>386</v>
      </c>
      <c r="C10" s="154">
        <v>31035.0</v>
      </c>
      <c r="D10" s="158">
        <v>2.0</v>
      </c>
    </row>
    <row r="11">
      <c r="A11" s="155" t="s">
        <v>329</v>
      </c>
      <c r="B11" s="151" t="s">
        <v>329</v>
      </c>
      <c r="C11" s="151">
        <v>31033.0</v>
      </c>
      <c r="D11" s="158">
        <v>2.0</v>
      </c>
    </row>
    <row r="12">
      <c r="A12" s="153" t="s">
        <v>349</v>
      </c>
      <c r="B12" s="154" t="s">
        <v>349</v>
      </c>
      <c r="C12" s="154">
        <v>31034.0</v>
      </c>
      <c r="D12" s="159">
        <v>0.0</v>
      </c>
    </row>
    <row r="13">
      <c r="A13" s="155" t="s">
        <v>372</v>
      </c>
      <c r="B13" s="151" t="s">
        <v>397</v>
      </c>
      <c r="C13" s="151">
        <v>31029.0</v>
      </c>
      <c r="D13" s="159">
        <v>0.0</v>
      </c>
    </row>
    <row r="14">
      <c r="A14" s="153" t="s">
        <v>394</v>
      </c>
      <c r="B14" s="154" t="s">
        <v>401</v>
      </c>
      <c r="C14" s="154">
        <v>31050.0</v>
      </c>
      <c r="D14" s="157">
        <v>1.0</v>
      </c>
    </row>
    <row r="15">
      <c r="A15" s="155" t="s">
        <v>404</v>
      </c>
      <c r="B15" s="151" t="s">
        <v>406</v>
      </c>
      <c r="C15" s="151">
        <v>31045.0</v>
      </c>
      <c r="D15" s="157">
        <v>1.0</v>
      </c>
    </row>
    <row r="16">
      <c r="A16" s="153" t="s">
        <v>410</v>
      </c>
      <c r="B16" s="154" t="s">
        <v>411</v>
      </c>
      <c r="C16" s="154">
        <v>31027.0</v>
      </c>
      <c r="D16" s="159">
        <v>0.0</v>
      </c>
    </row>
    <row r="17">
      <c r="A17" s="155" t="s">
        <v>415</v>
      </c>
      <c r="B17" s="151" t="s">
        <v>416</v>
      </c>
      <c r="C17" s="151">
        <v>31039.0</v>
      </c>
      <c r="D17" s="157">
        <v>1.0</v>
      </c>
    </row>
    <row r="18">
      <c r="A18" s="153" t="s">
        <v>421</v>
      </c>
      <c r="B18" s="154" t="s">
        <v>423</v>
      </c>
      <c r="C18" s="154">
        <v>31022.0</v>
      </c>
      <c r="D18" s="159">
        <v>0.0</v>
      </c>
    </row>
    <row r="19">
      <c r="A19" s="155" t="s">
        <v>426</v>
      </c>
      <c r="B19" s="151" t="s">
        <v>426</v>
      </c>
      <c r="C19" s="151">
        <v>31023.0</v>
      </c>
      <c r="D19" s="159">
        <v>0.0</v>
      </c>
    </row>
    <row r="20">
      <c r="A20" s="153" t="s">
        <v>430</v>
      </c>
      <c r="B20" s="154" t="s">
        <v>430</v>
      </c>
      <c r="C20" s="154">
        <v>31025.0</v>
      </c>
      <c r="D20" s="157">
        <v>1.0</v>
      </c>
    </row>
    <row r="21">
      <c r="A21" s="155" t="s">
        <v>435</v>
      </c>
      <c r="B21" s="151" t="s">
        <v>437</v>
      </c>
      <c r="C21" s="151">
        <v>31024.0</v>
      </c>
      <c r="D21" s="152"/>
    </row>
    <row r="22">
      <c r="A22" s="153" t="s">
        <v>439</v>
      </c>
      <c r="B22" s="154" t="s">
        <v>439</v>
      </c>
      <c r="C22" s="154">
        <v>31028.0</v>
      </c>
      <c r="D22" s="152"/>
    </row>
    <row r="23">
      <c r="A23" s="155" t="s">
        <v>443</v>
      </c>
      <c r="B23" s="151" t="s">
        <v>443</v>
      </c>
      <c r="C23" s="151">
        <v>31031.0</v>
      </c>
      <c r="D23" s="159">
        <v>0.0</v>
      </c>
    </row>
    <row r="24">
      <c r="A24" s="153" t="s">
        <v>447</v>
      </c>
      <c r="B24" s="154" t="s">
        <v>449</v>
      </c>
      <c r="C24" s="154">
        <v>31037.0</v>
      </c>
      <c r="D24" s="159">
        <v>0.0</v>
      </c>
    </row>
    <row r="25">
      <c r="A25" s="155" t="s">
        <v>451</v>
      </c>
      <c r="B25" s="151" t="s">
        <v>451</v>
      </c>
      <c r="C25" s="151">
        <v>31036.0</v>
      </c>
      <c r="D25" s="157">
        <v>1.0</v>
      </c>
    </row>
    <row r="26">
      <c r="A26" s="153" t="s">
        <v>455</v>
      </c>
      <c r="B26" s="154" t="s">
        <v>455</v>
      </c>
      <c r="C26" s="154">
        <v>31043.0</v>
      </c>
      <c r="D26" s="159">
        <v>0.0</v>
      </c>
    </row>
    <row r="27">
      <c r="A27" s="155" t="s">
        <v>459</v>
      </c>
      <c r="B27" s="151" t="s">
        <v>461</v>
      </c>
      <c r="C27" s="151">
        <v>31046.0</v>
      </c>
      <c r="D27" s="152"/>
    </row>
    <row r="28">
      <c r="A28" s="153" t="s">
        <v>464</v>
      </c>
      <c r="B28" s="154" t="s">
        <v>464</v>
      </c>
      <c r="C28" s="154">
        <v>31016.0</v>
      </c>
      <c r="D28" s="158">
        <v>2.0</v>
      </c>
    </row>
    <row r="29">
      <c r="A29" s="155" t="s">
        <v>468</v>
      </c>
      <c r="B29" s="151" t="s">
        <v>468</v>
      </c>
      <c r="C29" s="151">
        <v>31020.0</v>
      </c>
      <c r="D29" s="158">
        <v>2.0</v>
      </c>
    </row>
    <row r="30">
      <c r="A30" s="153" t="s">
        <v>472</v>
      </c>
      <c r="B30" s="154" t="s">
        <v>474</v>
      </c>
      <c r="C30" s="154">
        <v>31026.0</v>
      </c>
      <c r="D30" s="159">
        <v>0.0</v>
      </c>
    </row>
    <row r="31">
      <c r="A31" s="155" t="s">
        <v>477</v>
      </c>
      <c r="B31" s="151" t="s">
        <v>479</v>
      </c>
      <c r="C31" s="151">
        <v>31017.0</v>
      </c>
      <c r="D31" s="157">
        <v>1.0</v>
      </c>
    </row>
    <row r="32">
      <c r="A32" s="153" t="s">
        <v>481</v>
      </c>
      <c r="B32" s="154" t="s">
        <v>483</v>
      </c>
      <c r="C32" s="154">
        <v>31047.0</v>
      </c>
      <c r="D32" s="157">
        <v>1.0</v>
      </c>
    </row>
    <row r="33">
      <c r="A33" s="155" t="s">
        <v>486</v>
      </c>
      <c r="B33" s="151" t="s">
        <v>488</v>
      </c>
      <c r="C33" s="151">
        <v>31018.0</v>
      </c>
      <c r="D33" s="159">
        <v>0.0</v>
      </c>
    </row>
    <row r="34">
      <c r="A34" s="153" t="s">
        <v>492</v>
      </c>
      <c r="B34" s="154" t="s">
        <v>492</v>
      </c>
      <c r="C34" s="154">
        <v>31041.0</v>
      </c>
      <c r="D34" s="158">
        <v>2.0</v>
      </c>
    </row>
    <row r="35">
      <c r="A35" s="155" t="s">
        <v>496</v>
      </c>
      <c r="B35" s="151" t="s">
        <v>496</v>
      </c>
      <c r="C35" s="151">
        <v>31042.0</v>
      </c>
      <c r="D35" s="159">
        <v>0.0</v>
      </c>
    </row>
    <row r="36">
      <c r="A36" s="153" t="s">
        <v>499</v>
      </c>
      <c r="B36" s="154" t="s">
        <v>499</v>
      </c>
      <c r="C36" s="154">
        <v>31049.0</v>
      </c>
      <c r="D36" s="158">
        <v>2.0</v>
      </c>
    </row>
    <row r="37">
      <c r="A37" s="155" t="s">
        <v>503</v>
      </c>
      <c r="B37" s="160"/>
      <c r="C37" s="160"/>
      <c r="D37" s="152"/>
    </row>
    <row r="38">
      <c r="A38" s="153" t="s">
        <v>511</v>
      </c>
      <c r="B38" s="161"/>
      <c r="C38" s="161"/>
      <c r="D38" s="152"/>
    </row>
    <row r="39">
      <c r="A39" s="155" t="s">
        <v>516</v>
      </c>
      <c r="B39" s="160"/>
      <c r="C39" s="160"/>
      <c r="D39" s="152"/>
    </row>
    <row r="40">
      <c r="A40" s="153"/>
      <c r="B40" s="161"/>
      <c r="C40" s="161"/>
      <c r="D40" s="152"/>
    </row>
    <row r="41">
      <c r="A41" s="155"/>
      <c r="B41" s="160"/>
      <c r="C41" s="160"/>
      <c r="D41" s="152"/>
    </row>
    <row r="42">
      <c r="A42" s="153"/>
      <c r="B42" s="161"/>
      <c r="C42" s="161"/>
      <c r="D42" s="152"/>
    </row>
    <row r="43">
      <c r="A43" s="155"/>
      <c r="B43" s="160"/>
      <c r="C43" s="160"/>
      <c r="D43" s="152"/>
    </row>
    <row r="44">
      <c r="A44" s="153"/>
      <c r="B44" s="161"/>
      <c r="C44" s="161"/>
      <c r="D44" s="152"/>
    </row>
    <row r="45">
      <c r="A45" s="155"/>
      <c r="B45" s="160"/>
      <c r="C45" s="160"/>
      <c r="D45" s="152"/>
    </row>
    <row r="46">
      <c r="A46" s="153"/>
      <c r="B46" s="161"/>
      <c r="C46" s="161"/>
      <c r="D46" s="152"/>
    </row>
    <row r="47">
      <c r="A47" s="155"/>
      <c r="B47" s="160"/>
      <c r="C47" s="160"/>
      <c r="D47" s="152"/>
    </row>
    <row r="48">
      <c r="A48" s="153"/>
      <c r="B48" s="161"/>
      <c r="C48" s="161"/>
      <c r="D48" s="152"/>
    </row>
    <row r="49">
      <c r="A49" s="155"/>
      <c r="B49" s="160"/>
      <c r="C49" s="160"/>
      <c r="D49" s="152"/>
    </row>
    <row r="50">
      <c r="A50" s="162"/>
      <c r="B50" s="161"/>
      <c r="C50" s="161"/>
      <c r="D50" s="152"/>
    </row>
    <row r="51">
      <c r="A51" s="150" t="str">
        <f t="array" ref="A51:A100">'Up Names'!B2:B51</f>
        <v>All Powdered Up</v>
      </c>
      <c r="B51" s="151" t="s">
        <v>556</v>
      </c>
      <c r="C51" s="151">
        <v>30718.0</v>
      </c>
      <c r="D51" s="159">
        <v>0.0</v>
      </c>
    </row>
    <row r="52">
      <c r="A52" s="153" t="s">
        <v>151</v>
      </c>
      <c r="B52" s="154" t="s">
        <v>151</v>
      </c>
      <c r="C52" s="154">
        <v>30726.0</v>
      </c>
      <c r="D52" s="152"/>
    </row>
    <row r="53">
      <c r="A53" s="155" t="s">
        <v>171</v>
      </c>
      <c r="B53" s="151" t="s">
        <v>563</v>
      </c>
      <c r="C53" s="151">
        <v>30720.0</v>
      </c>
      <c r="D53" s="159">
        <v>0.0</v>
      </c>
    </row>
    <row r="54">
      <c r="A54" s="153" t="s">
        <v>191</v>
      </c>
      <c r="B54" s="154" t="s">
        <v>567</v>
      </c>
      <c r="C54" s="154">
        <v>30713.0</v>
      </c>
      <c r="D54" s="157">
        <v>1.0</v>
      </c>
    </row>
    <row r="55">
      <c r="A55" s="155" t="s">
        <v>211</v>
      </c>
      <c r="B55" s="151" t="s">
        <v>569</v>
      </c>
      <c r="C55" s="151">
        <v>30716.0</v>
      </c>
      <c r="D55" s="152"/>
    </row>
    <row r="56">
      <c r="A56" s="153" t="s">
        <v>230</v>
      </c>
      <c r="B56" s="154" t="s">
        <v>573</v>
      </c>
      <c r="C56" s="154">
        <v>30725.0</v>
      </c>
      <c r="D56" s="159">
        <v>0.0</v>
      </c>
    </row>
    <row r="57">
      <c r="A57" s="155" t="s">
        <v>250</v>
      </c>
      <c r="B57" s="151" t="s">
        <v>250</v>
      </c>
      <c r="C57" s="151">
        <v>30721.0</v>
      </c>
      <c r="D57" s="152"/>
    </row>
    <row r="58">
      <c r="A58" s="153" t="s">
        <v>270</v>
      </c>
      <c r="B58" s="154" t="s">
        <v>581</v>
      </c>
      <c r="C58" s="154">
        <v>30714.0</v>
      </c>
      <c r="D58" s="152"/>
    </row>
    <row r="59">
      <c r="A59" s="155" t="s">
        <v>290</v>
      </c>
      <c r="B59" s="151" t="s">
        <v>584</v>
      </c>
      <c r="C59" s="151">
        <v>30734.0</v>
      </c>
      <c r="D59" s="159">
        <v>0.0</v>
      </c>
    </row>
    <row r="60">
      <c r="A60" s="153" t="s">
        <v>310</v>
      </c>
      <c r="B60" s="154" t="s">
        <v>587</v>
      </c>
      <c r="C60" s="154">
        <v>30730.0</v>
      </c>
      <c r="D60" s="159">
        <v>0.0</v>
      </c>
    </row>
    <row r="61">
      <c r="A61" s="155" t="s">
        <v>330</v>
      </c>
      <c r="B61" s="151" t="s">
        <v>591</v>
      </c>
      <c r="C61" s="151">
        <v>30715.0</v>
      </c>
      <c r="D61" s="152"/>
    </row>
    <row r="62">
      <c r="A62" s="153" t="s">
        <v>350</v>
      </c>
      <c r="B62" s="154" t="s">
        <v>593</v>
      </c>
      <c r="C62" s="154">
        <v>30737.0</v>
      </c>
      <c r="D62" s="157">
        <v>1.0</v>
      </c>
    </row>
    <row r="63">
      <c r="A63" s="155" t="s">
        <v>373</v>
      </c>
      <c r="B63" s="151" t="s">
        <v>597</v>
      </c>
      <c r="C63" s="151">
        <v>30727.0</v>
      </c>
      <c r="D63" s="152"/>
    </row>
    <row r="64">
      <c r="A64" s="153" t="s">
        <v>395</v>
      </c>
      <c r="B64" s="154" t="s">
        <v>600</v>
      </c>
      <c r="C64" s="154">
        <v>30741.0</v>
      </c>
      <c r="D64" s="157">
        <v>1.0</v>
      </c>
    </row>
    <row r="65">
      <c r="A65" s="155" t="s">
        <v>424</v>
      </c>
      <c r="B65" s="151" t="s">
        <v>424</v>
      </c>
      <c r="C65" s="151">
        <v>30717.0</v>
      </c>
      <c r="D65" s="157">
        <v>1.0</v>
      </c>
    </row>
    <row r="66">
      <c r="A66" s="153" t="s">
        <v>452</v>
      </c>
      <c r="B66" s="154" t="s">
        <v>605</v>
      </c>
      <c r="C66" s="154">
        <v>30740.0</v>
      </c>
      <c r="D66" s="158">
        <v>2.0</v>
      </c>
    </row>
    <row r="67">
      <c r="A67" s="155" t="s">
        <v>480</v>
      </c>
      <c r="B67" s="151" t="s">
        <v>480</v>
      </c>
      <c r="C67" s="151">
        <v>30722.0</v>
      </c>
      <c r="D67" s="152"/>
    </row>
    <row r="68">
      <c r="A68" s="153" t="s">
        <v>507</v>
      </c>
      <c r="B68" s="154" t="s">
        <v>507</v>
      </c>
      <c r="C68" s="154">
        <v>30723.0</v>
      </c>
      <c r="D68" s="158">
        <v>2.0</v>
      </c>
    </row>
    <row r="69">
      <c r="A69" s="155" t="s">
        <v>528</v>
      </c>
      <c r="B69" s="151" t="s">
        <v>528</v>
      </c>
      <c r="C69" s="151">
        <v>30724.0</v>
      </c>
      <c r="D69" s="158">
        <v>2.0</v>
      </c>
    </row>
    <row r="70">
      <c r="A70" s="153" t="s">
        <v>547</v>
      </c>
      <c r="B70" s="154" t="s">
        <v>614</v>
      </c>
      <c r="C70" s="154">
        <v>30719.0</v>
      </c>
      <c r="D70" s="158">
        <v>2.0</v>
      </c>
    </row>
    <row r="71">
      <c r="A71" s="155" t="s">
        <v>570</v>
      </c>
      <c r="B71" s="151" t="s">
        <v>618</v>
      </c>
      <c r="C71" s="151">
        <v>30733.0</v>
      </c>
      <c r="D71" s="158">
        <v>2.0</v>
      </c>
    </row>
    <row r="72">
      <c r="A72" s="153" t="s">
        <v>592</v>
      </c>
      <c r="B72" s="154" t="s">
        <v>622</v>
      </c>
      <c r="C72" s="154">
        <v>30731.0</v>
      </c>
      <c r="D72" s="157">
        <v>1.0</v>
      </c>
    </row>
    <row r="73">
      <c r="A73" s="155" t="s">
        <v>613</v>
      </c>
      <c r="B73" s="151" t="s">
        <v>613</v>
      </c>
      <c r="C73" s="151">
        <v>30735.0</v>
      </c>
      <c r="D73" s="158">
        <v>2.0</v>
      </c>
    </row>
    <row r="74">
      <c r="A74" s="153" t="s">
        <v>628</v>
      </c>
      <c r="B74" s="154" t="s">
        <v>628</v>
      </c>
      <c r="C74" s="154">
        <v>30742.0</v>
      </c>
      <c r="D74" s="159">
        <v>0.0</v>
      </c>
    </row>
    <row r="75">
      <c r="A75" s="155" t="s">
        <v>630</v>
      </c>
      <c r="B75" s="151" t="s">
        <v>632</v>
      </c>
      <c r="C75" s="151">
        <v>30729.0</v>
      </c>
      <c r="D75" s="159">
        <v>0.0</v>
      </c>
    </row>
    <row r="76">
      <c r="A76" s="153" t="s">
        <v>635</v>
      </c>
      <c r="B76" s="154" t="s">
        <v>637</v>
      </c>
      <c r="C76" s="154">
        <v>30728.0</v>
      </c>
      <c r="D76" s="159">
        <v>0.0</v>
      </c>
    </row>
    <row r="77">
      <c r="A77" s="155" t="s">
        <v>638</v>
      </c>
      <c r="B77" s="151" t="s">
        <v>639</v>
      </c>
      <c r="C77" s="151">
        <v>30732.0</v>
      </c>
      <c r="D77" s="159">
        <v>0.0</v>
      </c>
    </row>
    <row r="78">
      <c r="A78" s="153" t="s">
        <v>642</v>
      </c>
      <c r="B78" s="154" t="s">
        <v>642</v>
      </c>
      <c r="C78" s="154">
        <v>30736.0</v>
      </c>
      <c r="D78" s="158">
        <v>2.0</v>
      </c>
    </row>
    <row r="79">
      <c r="A79" s="155" t="s">
        <v>646</v>
      </c>
      <c r="B79" s="151" t="s">
        <v>646</v>
      </c>
      <c r="C79" s="151">
        <v>30738.0</v>
      </c>
      <c r="D79" s="158">
        <v>2.0</v>
      </c>
    </row>
    <row r="80">
      <c r="A80" s="153" t="s">
        <v>650</v>
      </c>
      <c r="B80" s="154" t="s">
        <v>650</v>
      </c>
      <c r="C80" s="154">
        <v>30739.0</v>
      </c>
      <c r="D80" s="159">
        <v>0.0</v>
      </c>
    </row>
    <row r="81">
      <c r="A81" s="155" t="s">
        <v>503</v>
      </c>
      <c r="B81" s="160"/>
      <c r="C81" s="160"/>
      <c r="D81" s="152"/>
    </row>
    <row r="82">
      <c r="A82" s="153" t="s">
        <v>511</v>
      </c>
      <c r="B82" s="161"/>
      <c r="C82" s="161"/>
      <c r="D82" s="152"/>
    </row>
    <row r="83">
      <c r="A83" s="155" t="s">
        <v>516</v>
      </c>
      <c r="B83" s="160"/>
      <c r="C83" s="160"/>
      <c r="D83" s="152"/>
    </row>
    <row r="84">
      <c r="A84" s="153"/>
      <c r="B84" s="161"/>
      <c r="C84" s="161"/>
      <c r="D84" s="152"/>
    </row>
    <row r="85">
      <c r="A85" s="155"/>
      <c r="B85" s="160"/>
      <c r="C85" s="160"/>
      <c r="D85" s="152"/>
    </row>
    <row r="86">
      <c r="A86" s="153"/>
      <c r="B86" s="161"/>
      <c r="C86" s="161"/>
      <c r="D86" s="152"/>
    </row>
    <row r="87">
      <c r="A87" s="155"/>
      <c r="B87" s="160"/>
      <c r="C87" s="160"/>
      <c r="D87" s="152"/>
    </row>
    <row r="88">
      <c r="A88" s="153"/>
      <c r="B88" s="161"/>
      <c r="C88" s="161"/>
      <c r="D88" s="152"/>
    </row>
    <row r="89">
      <c r="A89" s="155"/>
      <c r="B89" s="160"/>
      <c r="C89" s="160"/>
      <c r="D89" s="152"/>
    </row>
    <row r="90">
      <c r="A90" s="153"/>
      <c r="B90" s="161"/>
      <c r="C90" s="161"/>
      <c r="D90" s="152"/>
    </row>
    <row r="91">
      <c r="A91" s="155"/>
      <c r="B91" s="160"/>
      <c r="C91" s="160"/>
      <c r="D91" s="152"/>
    </row>
    <row r="92">
      <c r="A92" s="153"/>
      <c r="B92" s="161"/>
      <c r="C92" s="161"/>
      <c r="D92" s="152"/>
    </row>
    <row r="93">
      <c r="A93" s="155"/>
      <c r="B93" s="160"/>
      <c r="C93" s="160"/>
      <c r="D93" s="152"/>
    </row>
    <row r="94">
      <c r="A94" s="153"/>
      <c r="B94" s="161"/>
      <c r="C94" s="161"/>
      <c r="D94" s="152"/>
    </row>
    <row r="95">
      <c r="A95" s="155"/>
      <c r="B95" s="160"/>
      <c r="C95" s="160"/>
      <c r="D95" s="152"/>
    </row>
    <row r="96">
      <c r="A96" s="153"/>
      <c r="B96" s="161"/>
      <c r="C96" s="161"/>
      <c r="D96" s="152"/>
    </row>
    <row r="97">
      <c r="A97" s="155"/>
      <c r="B97" s="160"/>
      <c r="C97" s="160"/>
      <c r="D97" s="152"/>
    </row>
    <row r="98">
      <c r="A98" s="153"/>
      <c r="B98" s="161"/>
      <c r="C98" s="161"/>
      <c r="D98" s="152"/>
    </row>
    <row r="99">
      <c r="A99" s="155"/>
      <c r="B99" s="160"/>
      <c r="C99" s="160"/>
      <c r="D99" s="152"/>
    </row>
    <row r="100">
      <c r="A100" s="162"/>
      <c r="B100" s="161"/>
      <c r="C100" s="161"/>
      <c r="D100" s="152"/>
    </row>
    <row r="101">
      <c r="A101" s="150" t="str">
        <f t="array" ref="A101:A150">'Up Names'!C2:C51</f>
        <v>Breeding Season</v>
      </c>
      <c r="B101" s="151" t="s">
        <v>697</v>
      </c>
      <c r="C101" s="151">
        <v>31100.0</v>
      </c>
      <c r="D101" s="152"/>
    </row>
    <row r="102">
      <c r="A102" s="153" t="s">
        <v>152</v>
      </c>
      <c r="B102" s="154" t="s">
        <v>152</v>
      </c>
      <c r="C102" s="154">
        <v>31098.0</v>
      </c>
      <c r="D102" s="157">
        <v>1.0</v>
      </c>
    </row>
    <row r="103">
      <c r="A103" s="155" t="s">
        <v>172</v>
      </c>
      <c r="B103" s="151" t="s">
        <v>172</v>
      </c>
      <c r="C103" s="151">
        <v>31109.0</v>
      </c>
      <c r="D103" s="158">
        <v>2.0</v>
      </c>
    </row>
    <row r="104">
      <c r="A104" s="153" t="s">
        <v>192</v>
      </c>
      <c r="B104" s="154" t="s">
        <v>700</v>
      </c>
      <c r="C104" s="154">
        <v>31101.0</v>
      </c>
      <c r="D104" s="152"/>
    </row>
    <row r="105">
      <c r="A105" s="155" t="s">
        <v>212</v>
      </c>
      <c r="B105" s="151" t="s">
        <v>704</v>
      </c>
      <c r="C105" s="151">
        <v>31092.0</v>
      </c>
      <c r="D105" s="157">
        <v>1.0</v>
      </c>
    </row>
    <row r="106">
      <c r="A106" s="153" t="s">
        <v>231</v>
      </c>
      <c r="B106" s="154" t="s">
        <v>706</v>
      </c>
      <c r="C106" s="154">
        <v>31113.0</v>
      </c>
      <c r="D106" s="152"/>
    </row>
    <row r="107">
      <c r="A107" s="155" t="s">
        <v>251</v>
      </c>
      <c r="B107" s="151" t="s">
        <v>710</v>
      </c>
      <c r="C107" s="151">
        <v>31120.0</v>
      </c>
      <c r="D107" s="152"/>
    </row>
    <row r="108">
      <c r="A108" s="153" t="s">
        <v>271</v>
      </c>
      <c r="B108" s="154" t="s">
        <v>713</v>
      </c>
      <c r="C108" s="154">
        <v>31108.0</v>
      </c>
      <c r="D108" s="152"/>
    </row>
    <row r="109">
      <c r="A109" s="155" t="s">
        <v>291</v>
      </c>
      <c r="B109" s="151" t="s">
        <v>716</v>
      </c>
      <c r="C109" s="151">
        <v>31103.0</v>
      </c>
      <c r="D109" s="152"/>
    </row>
    <row r="110">
      <c r="A110" s="153" t="s">
        <v>311</v>
      </c>
      <c r="B110" s="154" t="s">
        <v>718</v>
      </c>
      <c r="C110" s="154">
        <v>31117.0</v>
      </c>
      <c r="D110" s="157">
        <v>1.0</v>
      </c>
    </row>
    <row r="111">
      <c r="A111" s="155" t="s">
        <v>331</v>
      </c>
      <c r="B111" s="151" t="s">
        <v>331</v>
      </c>
      <c r="C111" s="151">
        <v>31112.0</v>
      </c>
      <c r="D111" s="158">
        <v>2.0</v>
      </c>
    </row>
    <row r="112">
      <c r="A112" s="153" t="s">
        <v>351</v>
      </c>
      <c r="B112" s="154" t="s">
        <v>351</v>
      </c>
      <c r="C112" s="154">
        <v>31114.0</v>
      </c>
      <c r="D112" s="157">
        <v>1.0</v>
      </c>
    </row>
    <row r="113">
      <c r="A113" s="155" t="s">
        <v>374</v>
      </c>
      <c r="B113" s="151" t="s">
        <v>723</v>
      </c>
      <c r="C113" s="151">
        <v>31107.0</v>
      </c>
      <c r="D113" s="159">
        <v>0.0</v>
      </c>
    </row>
    <row r="114">
      <c r="A114" s="153" t="s">
        <v>396</v>
      </c>
      <c r="B114" s="154" t="s">
        <v>726</v>
      </c>
      <c r="C114" s="154">
        <v>31105.0</v>
      </c>
      <c r="D114" s="158">
        <v>2.0</v>
      </c>
    </row>
    <row r="115">
      <c r="A115" s="155" t="s">
        <v>425</v>
      </c>
      <c r="B115" s="151" t="s">
        <v>730</v>
      </c>
      <c r="C115" s="151">
        <v>31093.0</v>
      </c>
      <c r="D115" s="152"/>
    </row>
    <row r="116">
      <c r="A116" s="153" t="s">
        <v>453</v>
      </c>
      <c r="B116" s="154" t="s">
        <v>733</v>
      </c>
      <c r="C116" s="154">
        <v>31094.0</v>
      </c>
      <c r="D116" s="158">
        <v>2.0</v>
      </c>
    </row>
    <row r="117">
      <c r="A117" s="155" t="s">
        <v>482</v>
      </c>
      <c r="B117" s="151" t="s">
        <v>736</v>
      </c>
      <c r="C117" s="151">
        <v>31099.0</v>
      </c>
      <c r="D117" s="159">
        <v>0.0</v>
      </c>
    </row>
    <row r="118">
      <c r="A118" s="153" t="s">
        <v>508</v>
      </c>
      <c r="B118" s="154" t="s">
        <v>740</v>
      </c>
      <c r="C118" s="154">
        <v>31096.0</v>
      </c>
      <c r="D118" s="159">
        <v>0.0</v>
      </c>
    </row>
    <row r="119">
      <c r="A119" s="155" t="s">
        <v>529</v>
      </c>
      <c r="B119" s="151" t="s">
        <v>529</v>
      </c>
      <c r="C119" s="151">
        <v>31104.0</v>
      </c>
      <c r="D119" s="158">
        <v>2.0</v>
      </c>
    </row>
    <row r="120">
      <c r="A120" s="153" t="s">
        <v>548</v>
      </c>
      <c r="B120" s="154" t="s">
        <v>745</v>
      </c>
      <c r="C120" s="154">
        <v>31119.0</v>
      </c>
      <c r="D120" s="158">
        <v>2.0</v>
      </c>
    </row>
    <row r="121">
      <c r="A121" s="155" t="s">
        <v>571</v>
      </c>
      <c r="B121" s="151" t="s">
        <v>749</v>
      </c>
      <c r="C121" s="151">
        <v>31102.0</v>
      </c>
      <c r="D121" s="157">
        <v>1.0</v>
      </c>
    </row>
    <row r="122">
      <c r="A122" s="153" t="s">
        <v>594</v>
      </c>
      <c r="B122" s="154" t="s">
        <v>752</v>
      </c>
      <c r="C122" s="154">
        <v>31116.0</v>
      </c>
      <c r="D122" s="159">
        <v>0.0</v>
      </c>
    </row>
    <row r="123">
      <c r="A123" s="155" t="s">
        <v>615</v>
      </c>
      <c r="B123" s="151" t="s">
        <v>756</v>
      </c>
      <c r="C123" s="151">
        <v>31118.0</v>
      </c>
      <c r="D123" s="158">
        <v>2.0</v>
      </c>
    </row>
    <row r="124">
      <c r="A124" s="153" t="s">
        <v>640</v>
      </c>
      <c r="B124" s="154" t="s">
        <v>759</v>
      </c>
      <c r="C124" s="154">
        <v>31115.0</v>
      </c>
      <c r="D124" s="158">
        <v>2.0</v>
      </c>
    </row>
    <row r="125">
      <c r="A125" s="155" t="s">
        <v>659</v>
      </c>
      <c r="B125" s="151" t="s">
        <v>762</v>
      </c>
      <c r="C125" s="151">
        <v>31095.0</v>
      </c>
      <c r="D125" s="158">
        <v>2.0</v>
      </c>
    </row>
    <row r="126">
      <c r="A126" s="153" t="s">
        <v>674</v>
      </c>
      <c r="B126" s="154" t="s">
        <v>674</v>
      </c>
      <c r="C126" s="154">
        <v>31106.0</v>
      </c>
      <c r="D126" s="159">
        <v>0.0</v>
      </c>
    </row>
    <row r="127">
      <c r="A127" s="155" t="s">
        <v>688</v>
      </c>
      <c r="B127" s="151" t="s">
        <v>688</v>
      </c>
      <c r="C127" s="151">
        <v>31110.0</v>
      </c>
      <c r="D127" s="159">
        <v>0.0</v>
      </c>
    </row>
    <row r="128">
      <c r="A128" s="153" t="s">
        <v>705</v>
      </c>
      <c r="B128" s="154" t="s">
        <v>767</v>
      </c>
      <c r="C128" s="154">
        <v>31111.0</v>
      </c>
      <c r="D128" s="158">
        <v>2.0</v>
      </c>
    </row>
    <row r="129">
      <c r="A129" s="155" t="s">
        <v>724</v>
      </c>
      <c r="B129" s="151" t="s">
        <v>770</v>
      </c>
      <c r="C129" s="151">
        <v>31097.0</v>
      </c>
      <c r="D129" s="159">
        <v>0.0</v>
      </c>
    </row>
    <row r="130">
      <c r="A130" s="153" t="s">
        <v>742</v>
      </c>
      <c r="B130" s="154" t="s">
        <v>772</v>
      </c>
      <c r="C130" s="154">
        <v>31121.0</v>
      </c>
      <c r="D130" s="158">
        <v>2.0</v>
      </c>
    </row>
    <row r="131">
      <c r="A131" s="155" t="s">
        <v>503</v>
      </c>
      <c r="B131" s="160"/>
      <c r="C131" s="160"/>
      <c r="D131" s="152"/>
    </row>
    <row r="132">
      <c r="A132" s="153" t="s">
        <v>511</v>
      </c>
      <c r="B132" s="161"/>
      <c r="C132" s="161"/>
      <c r="D132" s="152"/>
    </row>
    <row r="133">
      <c r="A133" s="155" t="s">
        <v>516</v>
      </c>
      <c r="B133" s="160"/>
      <c r="C133" s="160"/>
      <c r="D133" s="152"/>
    </row>
    <row r="134">
      <c r="A134" s="153"/>
      <c r="B134" s="161"/>
      <c r="C134" s="161"/>
      <c r="D134" s="152"/>
    </row>
    <row r="135">
      <c r="A135" s="155"/>
      <c r="B135" s="160"/>
      <c r="C135" s="160"/>
      <c r="D135" s="152"/>
    </row>
    <row r="136">
      <c r="A136" s="153"/>
      <c r="B136" s="161"/>
      <c r="C136" s="161"/>
      <c r="D136" s="152"/>
    </row>
    <row r="137">
      <c r="A137" s="155"/>
      <c r="B137" s="160"/>
      <c r="C137" s="160"/>
      <c r="D137" s="152"/>
    </row>
    <row r="138">
      <c r="A138" s="153"/>
      <c r="B138" s="161"/>
      <c r="C138" s="161"/>
      <c r="D138" s="152"/>
    </row>
    <row r="139">
      <c r="A139" s="155"/>
      <c r="B139" s="160"/>
      <c r="C139" s="160"/>
      <c r="D139" s="152"/>
    </row>
    <row r="140">
      <c r="A140" s="153"/>
      <c r="B140" s="161"/>
      <c r="C140" s="161"/>
      <c r="D140" s="152"/>
    </row>
    <row r="141">
      <c r="A141" s="155"/>
      <c r="B141" s="160"/>
      <c r="C141" s="160"/>
      <c r="D141" s="152"/>
    </row>
    <row r="142">
      <c r="A142" s="153"/>
      <c r="B142" s="161"/>
      <c r="C142" s="161"/>
      <c r="D142" s="152"/>
    </row>
    <row r="143">
      <c r="A143" s="155"/>
      <c r="B143" s="160"/>
      <c r="C143" s="160"/>
      <c r="D143" s="152"/>
    </row>
    <row r="144">
      <c r="A144" s="153"/>
      <c r="B144" s="161"/>
      <c r="C144" s="161"/>
      <c r="D144" s="152"/>
    </row>
    <row r="145">
      <c r="A145" s="155"/>
      <c r="B145" s="160"/>
      <c r="C145" s="160"/>
      <c r="D145" s="152"/>
    </row>
    <row r="146">
      <c r="A146" s="153"/>
      <c r="B146" s="161"/>
      <c r="C146" s="161"/>
      <c r="D146" s="152"/>
    </row>
    <row r="147">
      <c r="A147" s="155"/>
      <c r="B147" s="160"/>
      <c r="C147" s="160"/>
      <c r="D147" s="152"/>
    </row>
    <row r="148">
      <c r="A148" s="153"/>
      <c r="B148" s="161"/>
      <c r="C148" s="161"/>
      <c r="D148" s="152"/>
    </row>
    <row r="149">
      <c r="A149" s="155"/>
      <c r="B149" s="160"/>
      <c r="C149" s="160"/>
      <c r="D149" s="152"/>
    </row>
    <row r="150">
      <c r="A150" s="162"/>
      <c r="B150" s="161"/>
      <c r="C150" s="161"/>
      <c r="D150" s="152"/>
    </row>
    <row r="151">
      <c r="A151" s="150" t="str">
        <f t="array" ref="A151:A200">'Up Names'!D2:D51</f>
        <v>Arc Lightning</v>
      </c>
      <c r="B151" s="151" t="s">
        <v>795</v>
      </c>
      <c r="C151" s="151">
        <v>30762.0</v>
      </c>
      <c r="D151" s="152"/>
    </row>
    <row r="152">
      <c r="A152" s="153" t="s">
        <v>153</v>
      </c>
      <c r="B152" s="154" t="s">
        <v>153</v>
      </c>
      <c r="C152" s="154">
        <v>30763.0</v>
      </c>
      <c r="D152" s="158">
        <v>2.0</v>
      </c>
    </row>
    <row r="153">
      <c r="A153" s="155" t="s">
        <v>173</v>
      </c>
      <c r="B153" s="151" t="s">
        <v>173</v>
      </c>
      <c r="C153" s="151">
        <v>30773.0</v>
      </c>
      <c r="D153" s="158">
        <v>2.0</v>
      </c>
    </row>
    <row r="154">
      <c r="A154" s="153" t="s">
        <v>193</v>
      </c>
      <c r="B154" s="154" t="s">
        <v>796</v>
      </c>
      <c r="C154" s="154">
        <v>30792.0</v>
      </c>
      <c r="D154" s="157">
        <v>1.0</v>
      </c>
    </row>
    <row r="155">
      <c r="A155" s="155" t="s">
        <v>213</v>
      </c>
      <c r="B155" s="151" t="s">
        <v>798</v>
      </c>
      <c r="C155" s="151">
        <v>30793.0</v>
      </c>
      <c r="D155" s="152"/>
    </row>
    <row r="156">
      <c r="A156" s="153" t="s">
        <v>232</v>
      </c>
      <c r="B156" s="154" t="s">
        <v>799</v>
      </c>
      <c r="C156" s="154">
        <v>30776.0</v>
      </c>
      <c r="D156" s="152"/>
    </row>
    <row r="157">
      <c r="A157" s="155" t="s">
        <v>252</v>
      </c>
      <c r="B157" s="151" t="s">
        <v>800</v>
      </c>
      <c r="C157" s="151">
        <v>30769.0</v>
      </c>
      <c r="D157" s="152"/>
    </row>
    <row r="158">
      <c r="A158" s="153" t="s">
        <v>272</v>
      </c>
      <c r="B158" s="154" t="s">
        <v>272</v>
      </c>
      <c r="C158" s="154">
        <v>30781.0</v>
      </c>
      <c r="D158" s="152"/>
    </row>
    <row r="159">
      <c r="A159" s="155" t="s">
        <v>292</v>
      </c>
      <c r="B159" s="151" t="s">
        <v>801</v>
      </c>
      <c r="C159" s="151">
        <v>30778.0</v>
      </c>
      <c r="D159" s="159">
        <v>0.0</v>
      </c>
    </row>
    <row r="160">
      <c r="A160" s="153" t="s">
        <v>312</v>
      </c>
      <c r="B160" s="154" t="s">
        <v>802</v>
      </c>
      <c r="C160" s="154">
        <v>30770.0</v>
      </c>
      <c r="D160" s="152"/>
    </row>
    <row r="161">
      <c r="A161" s="155" t="s">
        <v>332</v>
      </c>
      <c r="B161" s="151" t="s">
        <v>803</v>
      </c>
      <c r="C161" s="151">
        <v>30787.0</v>
      </c>
      <c r="D161" s="152"/>
    </row>
    <row r="162">
      <c r="A162" s="153" t="s">
        <v>352</v>
      </c>
      <c r="B162" s="154" t="s">
        <v>804</v>
      </c>
      <c r="C162" s="154">
        <v>30771.0</v>
      </c>
      <c r="D162" s="158">
        <v>2.0</v>
      </c>
    </row>
    <row r="163">
      <c r="A163" s="155" t="s">
        <v>375</v>
      </c>
      <c r="B163" s="151" t="s">
        <v>375</v>
      </c>
      <c r="C163" s="151">
        <v>30766.0</v>
      </c>
      <c r="D163" s="159">
        <v>0.0</v>
      </c>
    </row>
    <row r="164">
      <c r="A164" s="153" t="s">
        <v>398</v>
      </c>
      <c r="B164" s="154" t="s">
        <v>805</v>
      </c>
      <c r="C164" s="154">
        <v>30788.0</v>
      </c>
      <c r="D164" s="152"/>
    </row>
    <row r="165">
      <c r="A165" s="155" t="s">
        <v>427</v>
      </c>
      <c r="B165" s="151" t="s">
        <v>806</v>
      </c>
      <c r="C165" s="151">
        <v>30783.0</v>
      </c>
      <c r="D165" s="158">
        <v>2.0</v>
      </c>
    </row>
    <row r="166">
      <c r="A166" s="153" t="s">
        <v>454</v>
      </c>
      <c r="B166" s="154" t="s">
        <v>454</v>
      </c>
      <c r="C166" s="154">
        <v>30774.0</v>
      </c>
      <c r="D166" s="159">
        <v>0.0</v>
      </c>
    </row>
    <row r="167">
      <c r="A167" s="155" t="s">
        <v>484</v>
      </c>
      <c r="B167" s="151" t="s">
        <v>807</v>
      </c>
      <c r="C167" s="151">
        <v>30777.0</v>
      </c>
      <c r="D167" s="152"/>
    </row>
    <row r="168">
      <c r="A168" s="153" t="s">
        <v>509</v>
      </c>
      <c r="B168" s="154" t="s">
        <v>509</v>
      </c>
      <c r="C168" s="154">
        <v>30782.0</v>
      </c>
      <c r="D168" s="152"/>
    </row>
    <row r="169">
      <c r="A169" s="155" t="s">
        <v>530</v>
      </c>
      <c r="B169" s="151" t="s">
        <v>530</v>
      </c>
      <c r="C169" s="151">
        <v>30785.0</v>
      </c>
      <c r="D169" s="158">
        <v>2.0</v>
      </c>
    </row>
    <row r="170">
      <c r="A170" s="153" t="s">
        <v>549</v>
      </c>
      <c r="B170" s="154" t="s">
        <v>549</v>
      </c>
      <c r="C170" s="154">
        <v>30789.0</v>
      </c>
      <c r="D170" s="159">
        <v>0.0</v>
      </c>
    </row>
    <row r="171">
      <c r="A171" s="155" t="s">
        <v>572</v>
      </c>
      <c r="B171" s="151" t="s">
        <v>572</v>
      </c>
      <c r="C171" s="151">
        <v>30790.0</v>
      </c>
      <c r="D171" s="158">
        <v>2.0</v>
      </c>
    </row>
    <row r="172">
      <c r="A172" s="153" t="s">
        <v>595</v>
      </c>
      <c r="B172" s="154" t="s">
        <v>595</v>
      </c>
      <c r="C172" s="154">
        <v>30791.0</v>
      </c>
      <c r="D172" s="158">
        <v>2.0</v>
      </c>
    </row>
    <row r="173">
      <c r="A173" s="155" t="s">
        <v>616</v>
      </c>
      <c r="B173" s="151" t="s">
        <v>808</v>
      </c>
      <c r="C173" s="151">
        <v>30772.0</v>
      </c>
      <c r="D173" s="152"/>
    </row>
    <row r="174">
      <c r="A174" s="153" t="s">
        <v>641</v>
      </c>
      <c r="B174" s="154" t="s">
        <v>809</v>
      </c>
      <c r="C174" s="154">
        <v>30765.0</v>
      </c>
      <c r="D174" s="157">
        <v>1.0</v>
      </c>
    </row>
    <row r="175">
      <c r="A175" s="155" t="s">
        <v>660</v>
      </c>
      <c r="B175" s="151" t="s">
        <v>660</v>
      </c>
      <c r="C175" s="151">
        <v>30794.0</v>
      </c>
      <c r="D175" s="159">
        <v>0.0</v>
      </c>
    </row>
    <row r="176">
      <c r="A176" s="153" t="s">
        <v>675</v>
      </c>
      <c r="B176" s="154" t="s">
        <v>810</v>
      </c>
      <c r="C176" s="154">
        <v>30764.0</v>
      </c>
      <c r="D176" s="158">
        <v>2.0</v>
      </c>
    </row>
    <row r="177">
      <c r="A177" s="155" t="s">
        <v>689</v>
      </c>
      <c r="B177" s="151" t="s">
        <v>811</v>
      </c>
      <c r="C177" s="151">
        <v>30780.0</v>
      </c>
      <c r="D177" s="158">
        <v>2.0</v>
      </c>
    </row>
    <row r="178">
      <c r="A178" s="153" t="s">
        <v>707</v>
      </c>
      <c r="B178" s="154" t="s">
        <v>707</v>
      </c>
      <c r="C178" s="154">
        <v>30779.0</v>
      </c>
      <c r="D178" s="157">
        <v>1.0</v>
      </c>
    </row>
    <row r="179">
      <c r="A179" s="155" t="s">
        <v>725</v>
      </c>
      <c r="B179" s="151" t="s">
        <v>812</v>
      </c>
      <c r="C179" s="151">
        <v>30767.0</v>
      </c>
      <c r="D179" s="158">
        <v>2.0</v>
      </c>
    </row>
    <row r="180">
      <c r="A180" s="153" t="s">
        <v>743</v>
      </c>
      <c r="B180" s="154" t="s">
        <v>743</v>
      </c>
      <c r="C180" s="154">
        <v>30786.0</v>
      </c>
      <c r="D180" s="158">
        <v>2.0</v>
      </c>
    </row>
    <row r="181">
      <c r="A181" s="155" t="s">
        <v>760</v>
      </c>
      <c r="B181" s="156" t="s">
        <v>813</v>
      </c>
      <c r="C181" s="156">
        <v>30768.0</v>
      </c>
      <c r="D181" s="158">
        <v>2.0</v>
      </c>
    </row>
    <row r="182">
      <c r="A182" s="153" t="s">
        <v>773</v>
      </c>
      <c r="B182" s="168" t="s">
        <v>814</v>
      </c>
      <c r="C182" s="168">
        <v>30775.0</v>
      </c>
      <c r="D182" s="158">
        <v>2.0</v>
      </c>
    </row>
    <row r="183">
      <c r="A183" s="155" t="s">
        <v>779</v>
      </c>
      <c r="B183" s="156" t="s">
        <v>779</v>
      </c>
      <c r="C183" s="156">
        <v>30784.0</v>
      </c>
      <c r="D183" s="158">
        <v>2.0</v>
      </c>
    </row>
    <row r="184">
      <c r="A184" s="153" t="s">
        <v>503</v>
      </c>
      <c r="B184" s="161"/>
      <c r="C184" s="161"/>
      <c r="D184" s="152"/>
    </row>
    <row r="185">
      <c r="A185" s="155" t="s">
        <v>511</v>
      </c>
      <c r="B185" s="160"/>
      <c r="C185" s="160"/>
      <c r="D185" s="152"/>
    </row>
    <row r="186">
      <c r="A186" s="153" t="s">
        <v>516</v>
      </c>
      <c r="B186" s="161"/>
      <c r="C186" s="161"/>
      <c r="D186" s="152"/>
    </row>
    <row r="187">
      <c r="A187" s="155"/>
      <c r="B187" s="160"/>
      <c r="C187" s="160"/>
      <c r="D187" s="152"/>
    </row>
    <row r="188">
      <c r="A188" s="153"/>
      <c r="B188" s="161"/>
      <c r="C188" s="161"/>
      <c r="D188" s="152"/>
    </row>
    <row r="189">
      <c r="A189" s="155"/>
      <c r="B189" s="160"/>
      <c r="C189" s="160"/>
      <c r="D189" s="152"/>
    </row>
    <row r="190">
      <c r="A190" s="153"/>
      <c r="B190" s="161"/>
      <c r="C190" s="161"/>
      <c r="D190" s="152"/>
    </row>
    <row r="191">
      <c r="A191" s="155"/>
      <c r="B191" s="160"/>
      <c r="C191" s="160"/>
      <c r="D191" s="152"/>
    </row>
    <row r="192">
      <c r="A192" s="153"/>
      <c r="B192" s="161"/>
      <c r="C192" s="161"/>
      <c r="D192" s="152"/>
    </row>
    <row r="193">
      <c r="A193" s="155"/>
      <c r="B193" s="160"/>
      <c r="C193" s="160"/>
      <c r="D193" s="152"/>
    </row>
    <row r="194">
      <c r="A194" s="153"/>
      <c r="B194" s="161"/>
      <c r="C194" s="161"/>
      <c r="D194" s="152"/>
    </row>
    <row r="195">
      <c r="A195" s="155"/>
      <c r="B195" s="160"/>
      <c r="C195" s="160"/>
      <c r="D195" s="152"/>
    </row>
    <row r="196">
      <c r="A196" s="153"/>
      <c r="B196" s="161"/>
      <c r="C196" s="161"/>
      <c r="D196" s="152"/>
    </row>
    <row r="197">
      <c r="A197" s="155"/>
      <c r="B197" s="160"/>
      <c r="C197" s="160"/>
      <c r="D197" s="152"/>
    </row>
    <row r="198">
      <c r="A198" s="153"/>
      <c r="B198" s="161"/>
      <c r="C198" s="161"/>
      <c r="D198" s="152"/>
    </row>
    <row r="199">
      <c r="A199" s="155"/>
      <c r="B199" s="160"/>
      <c r="C199" s="160"/>
      <c r="D199" s="152"/>
    </row>
    <row r="200">
      <c r="A200" s="162"/>
      <c r="B200" s="161"/>
      <c r="C200" s="161"/>
      <c r="D200" s="152"/>
    </row>
    <row r="201">
      <c r="A201" s="150" t="str">
        <f t="array" ref="A201:A250">'Up Names'!E2:E51</f>
        <v>Big Fat Doobie</v>
      </c>
      <c r="B201" s="151" t="s">
        <v>815</v>
      </c>
      <c r="C201" s="151">
        <v>30963.0</v>
      </c>
      <c r="D201" s="152"/>
    </row>
    <row r="202">
      <c r="A202" s="153" t="s">
        <v>154</v>
      </c>
      <c r="B202" s="154" t="s">
        <v>816</v>
      </c>
      <c r="C202" s="154">
        <v>30965.0</v>
      </c>
      <c r="D202" s="152"/>
    </row>
    <row r="203">
      <c r="A203" s="155" t="s">
        <v>174</v>
      </c>
      <c r="B203" s="151" t="s">
        <v>817</v>
      </c>
      <c r="C203" s="151">
        <v>30980.0</v>
      </c>
      <c r="D203" s="159">
        <v>0.0</v>
      </c>
    </row>
    <row r="204">
      <c r="A204" s="153" t="s">
        <v>194</v>
      </c>
      <c r="B204" s="154" t="s">
        <v>195</v>
      </c>
      <c r="C204" s="154">
        <v>30970.0</v>
      </c>
      <c r="D204" s="152"/>
    </row>
    <row r="205">
      <c r="A205" s="155" t="s">
        <v>214</v>
      </c>
      <c r="B205" s="151" t="s">
        <v>818</v>
      </c>
      <c r="C205" s="151">
        <v>30983.0</v>
      </c>
      <c r="D205" s="159">
        <v>0.0</v>
      </c>
    </row>
    <row r="206">
      <c r="A206" s="153" t="s">
        <v>233</v>
      </c>
      <c r="B206" s="154" t="s">
        <v>819</v>
      </c>
      <c r="C206" s="154">
        <v>30964.0</v>
      </c>
      <c r="D206" s="152"/>
    </row>
    <row r="207">
      <c r="A207" s="155" t="s">
        <v>253</v>
      </c>
      <c r="B207" s="151" t="s">
        <v>820</v>
      </c>
      <c r="C207" s="151">
        <v>30968.0</v>
      </c>
      <c r="D207" s="152"/>
    </row>
    <row r="208">
      <c r="A208" s="153" t="s">
        <v>273</v>
      </c>
      <c r="B208" s="154" t="s">
        <v>821</v>
      </c>
      <c r="C208" s="154">
        <v>30986.0</v>
      </c>
      <c r="D208" s="158">
        <v>2.0</v>
      </c>
    </row>
    <row r="209">
      <c r="A209" s="155" t="s">
        <v>293</v>
      </c>
      <c r="B209" s="151" t="s">
        <v>294</v>
      </c>
      <c r="C209" s="151">
        <v>30975.0</v>
      </c>
      <c r="D209" s="152"/>
    </row>
    <row r="210">
      <c r="A210" s="153" t="s">
        <v>313</v>
      </c>
      <c r="B210" s="154" t="s">
        <v>314</v>
      </c>
      <c r="C210" s="154">
        <v>30976.0</v>
      </c>
      <c r="D210" s="152"/>
    </row>
    <row r="211">
      <c r="A211" s="155" t="s">
        <v>333</v>
      </c>
      <c r="B211" s="151" t="s">
        <v>822</v>
      </c>
      <c r="C211" s="151">
        <v>30969.0</v>
      </c>
      <c r="D211" s="152"/>
    </row>
    <row r="212">
      <c r="A212" s="153" t="s">
        <v>353</v>
      </c>
      <c r="B212" s="154" t="s">
        <v>354</v>
      </c>
      <c r="C212" s="154">
        <v>30989.0</v>
      </c>
      <c r="D212" s="157">
        <v>1.0</v>
      </c>
    </row>
    <row r="213">
      <c r="A213" s="155" t="s">
        <v>376</v>
      </c>
      <c r="B213" s="151" t="s">
        <v>378</v>
      </c>
      <c r="C213" s="151">
        <v>30990.0</v>
      </c>
      <c r="D213" s="152"/>
    </row>
    <row r="214">
      <c r="A214" s="153" t="s">
        <v>399</v>
      </c>
      <c r="B214" s="154" t="s">
        <v>400</v>
      </c>
      <c r="C214" s="154">
        <v>30991.0</v>
      </c>
      <c r="D214" s="159">
        <v>0.0</v>
      </c>
    </row>
    <row r="215">
      <c r="A215" s="155" t="s">
        <v>428</v>
      </c>
      <c r="B215" s="151" t="s">
        <v>823</v>
      </c>
      <c r="C215" s="151">
        <v>30962.0</v>
      </c>
      <c r="D215" s="158">
        <v>2.0</v>
      </c>
    </row>
    <row r="216">
      <c r="A216" s="153" t="s">
        <v>456</v>
      </c>
      <c r="B216" s="154" t="s">
        <v>824</v>
      </c>
      <c r="C216" s="154">
        <v>30984.0</v>
      </c>
      <c r="D216" s="152"/>
    </row>
    <row r="217">
      <c r="A217" s="155" t="s">
        <v>485</v>
      </c>
      <c r="B217" s="151" t="s">
        <v>487</v>
      </c>
      <c r="C217" s="151">
        <v>30966.0</v>
      </c>
      <c r="D217" s="159">
        <v>0.0</v>
      </c>
    </row>
    <row r="218">
      <c r="A218" s="153" t="s">
        <v>510</v>
      </c>
      <c r="B218" s="154" t="s">
        <v>512</v>
      </c>
      <c r="C218" s="154">
        <v>30971.0</v>
      </c>
      <c r="D218" s="159">
        <v>0.0</v>
      </c>
    </row>
    <row r="219">
      <c r="A219" s="155" t="s">
        <v>531</v>
      </c>
      <c r="B219" s="151" t="s">
        <v>532</v>
      </c>
      <c r="C219" s="151">
        <v>30972.0</v>
      </c>
      <c r="D219" s="159">
        <v>0.0</v>
      </c>
    </row>
    <row r="220">
      <c r="A220" s="153" t="s">
        <v>550</v>
      </c>
      <c r="B220" s="154" t="s">
        <v>825</v>
      </c>
      <c r="C220" s="154">
        <v>30967.0</v>
      </c>
      <c r="D220" s="157">
        <v>1.0</v>
      </c>
    </row>
    <row r="221">
      <c r="A221" s="155" t="s">
        <v>574</v>
      </c>
      <c r="B221" s="151" t="s">
        <v>826</v>
      </c>
      <c r="C221" s="151">
        <v>30988.0</v>
      </c>
      <c r="D221" s="158">
        <v>2.0</v>
      </c>
    </row>
    <row r="222">
      <c r="A222" s="153" t="s">
        <v>596</v>
      </c>
      <c r="B222" s="154" t="s">
        <v>598</v>
      </c>
      <c r="C222" s="154">
        <v>30987.0</v>
      </c>
      <c r="D222" s="158">
        <v>2.0</v>
      </c>
    </row>
    <row r="223">
      <c r="A223" s="155" t="s">
        <v>617</v>
      </c>
      <c r="B223" s="151" t="s">
        <v>827</v>
      </c>
      <c r="C223" s="151">
        <v>30974.0</v>
      </c>
      <c r="D223" s="158">
        <v>2.0</v>
      </c>
    </row>
    <row r="224">
      <c r="A224" s="153" t="s">
        <v>643</v>
      </c>
      <c r="B224" s="154" t="s">
        <v>828</v>
      </c>
      <c r="C224" s="154">
        <v>30978.0</v>
      </c>
      <c r="D224" s="157">
        <v>1.0</v>
      </c>
    </row>
    <row r="225">
      <c r="A225" s="155" t="s">
        <v>661</v>
      </c>
      <c r="B225" s="151" t="s">
        <v>829</v>
      </c>
      <c r="C225" s="151">
        <v>30977.0</v>
      </c>
      <c r="D225" s="159">
        <v>0.0</v>
      </c>
    </row>
    <row r="226">
      <c r="A226" s="153" t="s">
        <v>676</v>
      </c>
      <c r="B226" s="154" t="s">
        <v>830</v>
      </c>
      <c r="C226" s="154">
        <v>30985.0</v>
      </c>
      <c r="D226" s="157">
        <v>1.0</v>
      </c>
    </row>
    <row r="227">
      <c r="A227" s="155" t="s">
        <v>690</v>
      </c>
      <c r="B227" s="151" t="s">
        <v>831</v>
      </c>
      <c r="C227" s="151">
        <v>30973.0</v>
      </c>
      <c r="D227" s="157">
        <v>1.0</v>
      </c>
    </row>
    <row r="228">
      <c r="A228" s="153" t="s">
        <v>708</v>
      </c>
      <c r="B228" s="154" t="s">
        <v>832</v>
      </c>
      <c r="C228" s="154">
        <v>30979.0</v>
      </c>
      <c r="D228" s="158">
        <v>2.0</v>
      </c>
    </row>
    <row r="229">
      <c r="A229" s="155" t="s">
        <v>727</v>
      </c>
      <c r="B229" s="151" t="s">
        <v>833</v>
      </c>
      <c r="C229" s="151">
        <v>30981.0</v>
      </c>
      <c r="D229" s="159">
        <v>0.0</v>
      </c>
    </row>
    <row r="230">
      <c r="A230" s="153" t="s">
        <v>744</v>
      </c>
      <c r="B230" s="154" t="s">
        <v>834</v>
      </c>
      <c r="C230" s="154">
        <v>30982.0</v>
      </c>
      <c r="D230" s="158">
        <v>2.0</v>
      </c>
    </row>
    <row r="231">
      <c r="A231" s="155" t="s">
        <v>761</v>
      </c>
      <c r="B231" s="160"/>
      <c r="C231" s="160"/>
      <c r="D231" s="152"/>
    </row>
    <row r="232">
      <c r="A232" s="153" t="s">
        <v>503</v>
      </c>
      <c r="B232" s="161"/>
      <c r="C232" s="161"/>
      <c r="D232" s="152"/>
    </row>
    <row r="233">
      <c r="A233" s="155" t="s">
        <v>511</v>
      </c>
      <c r="B233" s="160"/>
      <c r="C233" s="160"/>
      <c r="D233" s="152"/>
    </row>
    <row r="234">
      <c r="A234" s="153" t="s">
        <v>516</v>
      </c>
      <c r="B234" s="161"/>
      <c r="C234" s="161"/>
      <c r="D234" s="152"/>
    </row>
    <row r="235">
      <c r="A235" s="155"/>
      <c r="B235" s="160"/>
      <c r="C235" s="160"/>
      <c r="D235" s="152"/>
    </row>
    <row r="236">
      <c r="A236" s="153"/>
      <c r="B236" s="161"/>
      <c r="C236" s="161"/>
      <c r="D236" s="152"/>
    </row>
    <row r="237">
      <c r="A237" s="155"/>
      <c r="B237" s="160"/>
      <c r="C237" s="160"/>
      <c r="D237" s="152"/>
    </row>
    <row r="238">
      <c r="A238" s="153"/>
      <c r="B238" s="161"/>
      <c r="C238" s="161"/>
      <c r="D238" s="152"/>
    </row>
    <row r="239">
      <c r="A239" s="155"/>
      <c r="B239" s="160"/>
      <c r="C239" s="160"/>
      <c r="D239" s="152"/>
    </row>
    <row r="240">
      <c r="A240" s="153"/>
      <c r="B240" s="161"/>
      <c r="C240" s="161"/>
      <c r="D240" s="152"/>
    </row>
    <row r="241">
      <c r="A241" s="155"/>
      <c r="B241" s="160"/>
      <c r="C241" s="160"/>
      <c r="D241" s="152"/>
    </row>
    <row r="242">
      <c r="A242" s="153"/>
      <c r="B242" s="161"/>
      <c r="C242" s="161"/>
      <c r="D242" s="152"/>
    </row>
    <row r="243">
      <c r="A243" s="155"/>
      <c r="B243" s="160"/>
      <c r="C243" s="160"/>
      <c r="D243" s="152"/>
    </row>
    <row r="244">
      <c r="A244" s="153"/>
      <c r="B244" s="161"/>
      <c r="C244" s="161"/>
      <c r="D244" s="152"/>
    </row>
    <row r="245">
      <c r="A245" s="155"/>
      <c r="B245" s="160"/>
      <c r="C245" s="160"/>
      <c r="D245" s="152"/>
    </row>
    <row r="246">
      <c r="A246" s="153"/>
      <c r="B246" s="161"/>
      <c r="C246" s="161"/>
      <c r="D246" s="152"/>
    </row>
    <row r="247">
      <c r="A247" s="155"/>
      <c r="B247" s="160"/>
      <c r="C247" s="160"/>
      <c r="D247" s="152"/>
    </row>
    <row r="248">
      <c r="A248" s="153"/>
      <c r="B248" s="161"/>
      <c r="C248" s="161"/>
      <c r="D248" s="152"/>
    </row>
    <row r="249">
      <c r="A249" s="155"/>
      <c r="B249" s="160"/>
      <c r="C249" s="160"/>
      <c r="D249" s="152"/>
    </row>
    <row r="250">
      <c r="A250" s="162"/>
      <c r="B250" s="161"/>
      <c r="C250" s="161"/>
      <c r="D250" s="152"/>
    </row>
    <row r="251">
      <c r="A251" s="172" t="str">
        <f t="array" ref="A251:A300">'Up Names'!F2:F51</f>
        <v>Return to Receiver</v>
      </c>
      <c r="B251" s="173" t="s">
        <v>835</v>
      </c>
      <c r="C251" s="151">
        <v>30809.0</v>
      </c>
      <c r="D251" s="157">
        <v>1.0</v>
      </c>
    </row>
    <row r="252">
      <c r="A252" s="153" t="s">
        <v>155</v>
      </c>
      <c r="B252" s="154" t="s">
        <v>836</v>
      </c>
      <c r="C252" s="154">
        <v>30826.0</v>
      </c>
      <c r="D252" s="152"/>
    </row>
    <row r="253">
      <c r="A253" s="155" t="s">
        <v>175</v>
      </c>
      <c r="B253" s="151" t="s">
        <v>174</v>
      </c>
      <c r="C253" s="151">
        <v>30832.0</v>
      </c>
      <c r="D253" s="152"/>
    </row>
    <row r="254">
      <c r="A254" s="153" t="s">
        <v>195</v>
      </c>
      <c r="B254" s="154" t="s">
        <v>837</v>
      </c>
      <c r="C254" s="154">
        <v>30812.0</v>
      </c>
      <c r="D254" s="152"/>
    </row>
    <row r="255">
      <c r="A255" s="174" t="s">
        <v>215</v>
      </c>
      <c r="B255" s="173" t="s">
        <v>838</v>
      </c>
      <c r="C255" s="151">
        <v>30829.0</v>
      </c>
      <c r="D255" s="157">
        <v>1.0</v>
      </c>
    </row>
    <row r="256">
      <c r="A256" s="174" t="s">
        <v>234</v>
      </c>
      <c r="B256" s="175" t="s">
        <v>233</v>
      </c>
      <c r="C256" s="154">
        <v>30818.0</v>
      </c>
      <c r="D256" s="157">
        <v>1.0</v>
      </c>
    </row>
    <row r="257">
      <c r="A257" s="174" t="s">
        <v>254</v>
      </c>
      <c r="B257" s="173" t="s">
        <v>839</v>
      </c>
      <c r="C257" s="151">
        <v>30823.0</v>
      </c>
      <c r="D257" s="159">
        <v>0.0</v>
      </c>
    </row>
    <row r="258">
      <c r="A258" s="153" t="s">
        <v>274</v>
      </c>
      <c r="B258" s="154" t="s">
        <v>840</v>
      </c>
      <c r="C258" s="154">
        <v>30824.0</v>
      </c>
      <c r="D258" s="158">
        <v>2.0</v>
      </c>
    </row>
    <row r="259">
      <c r="A259" s="155" t="s">
        <v>294</v>
      </c>
      <c r="B259" s="151" t="s">
        <v>293</v>
      </c>
      <c r="C259" s="151">
        <v>30836.0</v>
      </c>
      <c r="D259" s="152"/>
    </row>
    <row r="260">
      <c r="A260" s="153" t="s">
        <v>314</v>
      </c>
      <c r="B260" s="154" t="s">
        <v>841</v>
      </c>
      <c r="C260" s="154">
        <v>30814.0</v>
      </c>
      <c r="D260" s="159">
        <v>0.0</v>
      </c>
    </row>
    <row r="261">
      <c r="A261" s="155" t="s">
        <v>334</v>
      </c>
      <c r="B261" s="151" t="s">
        <v>842</v>
      </c>
      <c r="C261" s="151">
        <v>30825.0</v>
      </c>
      <c r="D261" s="152"/>
    </row>
    <row r="262">
      <c r="A262" s="153" t="s">
        <v>354</v>
      </c>
      <c r="B262" s="154" t="s">
        <v>843</v>
      </c>
      <c r="C262" s="154">
        <v>30828.0</v>
      </c>
      <c r="D262" s="152"/>
    </row>
    <row r="263">
      <c r="A263" s="155" t="s">
        <v>378</v>
      </c>
      <c r="B263" s="151" t="s">
        <v>844</v>
      </c>
      <c r="C263" s="151">
        <v>30839.0</v>
      </c>
      <c r="D263" s="159">
        <v>0.0</v>
      </c>
    </row>
    <row r="264">
      <c r="A264" s="153" t="s">
        <v>400</v>
      </c>
      <c r="B264" s="154" t="s">
        <v>845</v>
      </c>
      <c r="C264" s="154">
        <v>30820.0</v>
      </c>
      <c r="D264" s="159">
        <v>0.0</v>
      </c>
    </row>
    <row r="265">
      <c r="A265" s="155" t="s">
        <v>429</v>
      </c>
      <c r="B265" s="151" t="s">
        <v>846</v>
      </c>
      <c r="C265" s="151">
        <v>30819.0</v>
      </c>
      <c r="D265" s="159">
        <v>0.0</v>
      </c>
    </row>
    <row r="266">
      <c r="A266" s="153" t="s">
        <v>457</v>
      </c>
      <c r="B266" s="154" t="s">
        <v>847</v>
      </c>
      <c r="C266" s="154">
        <v>30815.0</v>
      </c>
      <c r="D266" s="159">
        <v>0.0</v>
      </c>
    </row>
    <row r="267">
      <c r="A267" s="174" t="s">
        <v>487</v>
      </c>
      <c r="B267" s="175" t="s">
        <v>848</v>
      </c>
      <c r="C267" s="151">
        <v>30831.0</v>
      </c>
      <c r="D267" s="158">
        <v>2.0</v>
      </c>
    </row>
    <row r="268">
      <c r="A268" s="174" t="s">
        <v>512</v>
      </c>
      <c r="B268" s="173" t="s">
        <v>849</v>
      </c>
      <c r="C268" s="154">
        <v>30827.0</v>
      </c>
      <c r="D268" s="159">
        <v>0.0</v>
      </c>
    </row>
    <row r="269">
      <c r="A269" s="174" t="s">
        <v>532</v>
      </c>
      <c r="B269" s="173" t="s">
        <v>850</v>
      </c>
      <c r="C269" s="151">
        <v>30817.0</v>
      </c>
      <c r="D269" s="159">
        <v>0.0</v>
      </c>
    </row>
    <row r="270">
      <c r="A270" s="174" t="s">
        <v>551</v>
      </c>
      <c r="B270" s="173" t="s">
        <v>851</v>
      </c>
      <c r="C270" s="154">
        <v>30837.0</v>
      </c>
      <c r="D270" s="159">
        <v>0.0</v>
      </c>
    </row>
    <row r="271">
      <c r="A271" s="174" t="s">
        <v>575</v>
      </c>
      <c r="B271" s="175" t="s">
        <v>852</v>
      </c>
      <c r="C271" s="151">
        <v>30811.0</v>
      </c>
      <c r="D271" s="158">
        <v>2.0</v>
      </c>
    </row>
    <row r="272">
      <c r="A272" s="174" t="s">
        <v>598</v>
      </c>
      <c r="B272" s="175" t="s">
        <v>853</v>
      </c>
      <c r="C272" s="154">
        <v>30813.0</v>
      </c>
      <c r="D272" s="158">
        <v>2.0</v>
      </c>
    </row>
    <row r="273">
      <c r="A273" s="174" t="s">
        <v>619</v>
      </c>
      <c r="B273" s="175" t="s">
        <v>854</v>
      </c>
      <c r="C273" s="151">
        <v>30821.0</v>
      </c>
      <c r="D273" s="158">
        <v>2.0</v>
      </c>
    </row>
    <row r="274">
      <c r="A274" s="174" t="s">
        <v>644</v>
      </c>
      <c r="B274" s="173" t="s">
        <v>855</v>
      </c>
      <c r="C274" s="154">
        <v>30838.0</v>
      </c>
      <c r="D274" s="159">
        <v>0.0</v>
      </c>
    </row>
    <row r="275">
      <c r="A275" s="155" t="s">
        <v>662</v>
      </c>
      <c r="B275" s="151" t="s">
        <v>856</v>
      </c>
      <c r="C275" s="151">
        <v>30822.0</v>
      </c>
      <c r="D275" s="158">
        <v>2.0</v>
      </c>
    </row>
    <row r="276">
      <c r="A276" s="174" t="s">
        <v>677</v>
      </c>
      <c r="B276" s="175" t="s">
        <v>857</v>
      </c>
      <c r="C276" s="154">
        <v>30834.0</v>
      </c>
      <c r="D276" s="157">
        <v>1.0</v>
      </c>
    </row>
    <row r="277">
      <c r="A277" s="155" t="s">
        <v>691</v>
      </c>
      <c r="B277" s="151" t="s">
        <v>858</v>
      </c>
      <c r="C277" s="151">
        <v>30835.0</v>
      </c>
      <c r="D277" s="159">
        <v>0.0</v>
      </c>
    </row>
    <row r="278">
      <c r="A278" s="153" t="s">
        <v>709</v>
      </c>
      <c r="B278" s="154" t="s">
        <v>859</v>
      </c>
      <c r="C278" s="154">
        <v>30833.0</v>
      </c>
      <c r="D278" s="159">
        <v>0.0</v>
      </c>
    </row>
    <row r="279">
      <c r="A279" s="155" t="s">
        <v>728</v>
      </c>
      <c r="B279" s="151" t="s">
        <v>860</v>
      </c>
      <c r="C279" s="151">
        <v>30810.0</v>
      </c>
      <c r="D279" s="159">
        <v>0.0</v>
      </c>
    </row>
    <row r="280">
      <c r="A280" s="153" t="s">
        <v>746</v>
      </c>
      <c r="B280" s="154" t="s">
        <v>861</v>
      </c>
      <c r="C280" s="154">
        <v>30816.0</v>
      </c>
      <c r="D280" s="159">
        <v>0.0</v>
      </c>
    </row>
    <row r="281">
      <c r="A281" s="174" t="s">
        <v>503</v>
      </c>
      <c r="B281" s="175" t="s">
        <v>862</v>
      </c>
      <c r="C281" s="151">
        <v>30830.0</v>
      </c>
      <c r="D281" s="158">
        <v>2.0</v>
      </c>
    </row>
    <row r="282">
      <c r="A282" s="153" t="s">
        <v>511</v>
      </c>
      <c r="B282" s="161"/>
      <c r="C282" s="161"/>
      <c r="D282" s="152"/>
    </row>
    <row r="283">
      <c r="A283" s="155" t="s">
        <v>516</v>
      </c>
      <c r="B283" s="160"/>
      <c r="C283" s="160"/>
      <c r="D283" s="152"/>
    </row>
    <row r="284">
      <c r="A284" s="153"/>
      <c r="B284" s="161"/>
      <c r="C284" s="161"/>
      <c r="D284" s="152"/>
    </row>
    <row r="285">
      <c r="A285" s="155"/>
      <c r="B285" s="160"/>
      <c r="C285" s="160"/>
      <c r="D285" s="152"/>
    </row>
    <row r="286">
      <c r="A286" s="153"/>
      <c r="B286" s="161"/>
      <c r="C286" s="161"/>
      <c r="D286" s="152"/>
    </row>
    <row r="287">
      <c r="A287" s="155"/>
      <c r="B287" s="160"/>
      <c r="C287" s="160"/>
      <c r="D287" s="152"/>
    </row>
    <row r="288">
      <c r="A288" s="153"/>
      <c r="B288" s="161"/>
      <c r="C288" s="161"/>
      <c r="D288" s="152"/>
    </row>
    <row r="289">
      <c r="A289" s="155"/>
      <c r="B289" s="160"/>
      <c r="C289" s="160"/>
      <c r="D289" s="152"/>
    </row>
    <row r="290">
      <c r="A290" s="153"/>
      <c r="B290" s="161"/>
      <c r="C290" s="161"/>
      <c r="D290" s="152"/>
    </row>
    <row r="291">
      <c r="A291" s="155"/>
      <c r="B291" s="160"/>
      <c r="C291" s="160"/>
      <c r="D291" s="152"/>
    </row>
    <row r="292">
      <c r="A292" s="153"/>
      <c r="B292" s="161"/>
      <c r="C292" s="161"/>
      <c r="D292" s="152"/>
    </row>
    <row r="293">
      <c r="A293" s="155"/>
      <c r="B293" s="160"/>
      <c r="C293" s="160"/>
      <c r="D293" s="152"/>
    </row>
    <row r="294">
      <c r="A294" s="153"/>
      <c r="B294" s="161"/>
      <c r="C294" s="161"/>
      <c r="D294" s="152"/>
    </row>
    <row r="295">
      <c r="A295" s="155"/>
      <c r="B295" s="160"/>
      <c r="C295" s="160"/>
      <c r="D295" s="152"/>
    </row>
    <row r="296">
      <c r="A296" s="153"/>
      <c r="B296" s="161"/>
      <c r="C296" s="161"/>
      <c r="D296" s="152"/>
    </row>
    <row r="297">
      <c r="A297" s="155"/>
      <c r="B297" s="160"/>
      <c r="C297" s="160"/>
      <c r="D297" s="152"/>
    </row>
    <row r="298">
      <c r="A298" s="153"/>
      <c r="B298" s="161"/>
      <c r="C298" s="161"/>
      <c r="D298" s="152"/>
    </row>
    <row r="299">
      <c r="A299" s="155"/>
      <c r="B299" s="160"/>
      <c r="C299" s="160"/>
      <c r="D299" s="152"/>
    </row>
    <row r="300">
      <c r="A300" s="162"/>
      <c r="B300" s="161"/>
      <c r="C300" s="161"/>
      <c r="D300" s="152"/>
    </row>
    <row r="301">
      <c r="A301" s="150" t="str">
        <f t="array" ref="A301:A350">'Up Names'!G2:G51</f>
        <v>Yellow Prism</v>
      </c>
      <c r="B301" s="151" t="s">
        <v>863</v>
      </c>
      <c r="C301" s="151">
        <v>30936.0</v>
      </c>
      <c r="D301" s="158">
        <v>2.0</v>
      </c>
    </row>
    <row r="302">
      <c r="A302" s="153" t="s">
        <v>156</v>
      </c>
      <c r="B302" s="154" t="s">
        <v>156</v>
      </c>
      <c r="C302" s="154">
        <v>30928.0</v>
      </c>
      <c r="D302" s="157">
        <v>1.0</v>
      </c>
    </row>
    <row r="303">
      <c r="A303" s="155" t="s">
        <v>176</v>
      </c>
      <c r="B303" s="151" t="s">
        <v>864</v>
      </c>
      <c r="C303" s="151">
        <v>30931.0</v>
      </c>
      <c r="D303" s="158">
        <v>2.0</v>
      </c>
    </row>
    <row r="304">
      <c r="A304" s="153" t="s">
        <v>196</v>
      </c>
      <c r="B304" s="154" t="s">
        <v>865</v>
      </c>
      <c r="C304" s="154">
        <v>30929.0</v>
      </c>
      <c r="D304" s="152"/>
    </row>
    <row r="305">
      <c r="A305" s="155" t="s">
        <v>216</v>
      </c>
      <c r="B305" s="151" t="s">
        <v>216</v>
      </c>
      <c r="C305" s="151">
        <v>30946.0</v>
      </c>
      <c r="D305" s="157">
        <v>1.0</v>
      </c>
    </row>
    <row r="306">
      <c r="A306" s="153" t="s">
        <v>235</v>
      </c>
      <c r="B306" s="154" t="s">
        <v>866</v>
      </c>
      <c r="C306" s="154">
        <v>30935.0</v>
      </c>
      <c r="D306" s="158">
        <v>2.0</v>
      </c>
    </row>
    <row r="307">
      <c r="A307" s="155" t="s">
        <v>255</v>
      </c>
      <c r="B307" s="151" t="s">
        <v>867</v>
      </c>
      <c r="C307" s="151">
        <v>30942.0</v>
      </c>
      <c r="D307" s="152"/>
    </row>
    <row r="308">
      <c r="A308" s="153" t="s">
        <v>275</v>
      </c>
      <c r="B308" s="154" t="s">
        <v>275</v>
      </c>
      <c r="C308" s="154">
        <v>30920.0</v>
      </c>
      <c r="D308" s="159">
        <v>0.0</v>
      </c>
    </row>
    <row r="309">
      <c r="A309" s="155" t="s">
        <v>295</v>
      </c>
      <c r="B309" s="151" t="s">
        <v>295</v>
      </c>
      <c r="C309" s="151">
        <v>30922.0</v>
      </c>
      <c r="D309" s="157">
        <v>1.0</v>
      </c>
    </row>
    <row r="310">
      <c r="A310" s="153" t="s">
        <v>315</v>
      </c>
      <c r="B310" s="154" t="s">
        <v>868</v>
      </c>
      <c r="C310" s="154">
        <v>30917.0</v>
      </c>
      <c r="D310" s="152"/>
    </row>
    <row r="311">
      <c r="A311" s="155" t="s">
        <v>335</v>
      </c>
      <c r="B311" s="151" t="s">
        <v>335</v>
      </c>
      <c r="C311" s="151">
        <v>30927.0</v>
      </c>
      <c r="D311" s="158">
        <v>2.0</v>
      </c>
    </row>
    <row r="312">
      <c r="A312" s="153" t="s">
        <v>355</v>
      </c>
      <c r="B312" s="154" t="s">
        <v>869</v>
      </c>
      <c r="C312" s="154">
        <v>30930.0</v>
      </c>
      <c r="D312" s="157">
        <v>1.0</v>
      </c>
    </row>
    <row r="313">
      <c r="A313" s="155" t="s">
        <v>379</v>
      </c>
      <c r="B313" s="151" t="s">
        <v>379</v>
      </c>
      <c r="C313" s="151">
        <v>30933.0</v>
      </c>
      <c r="D313" s="159">
        <v>0.0</v>
      </c>
    </row>
    <row r="314">
      <c r="A314" s="153" t="s">
        <v>402</v>
      </c>
      <c r="B314" s="154" t="s">
        <v>870</v>
      </c>
      <c r="C314" s="154">
        <v>30940.0</v>
      </c>
      <c r="D314" s="158">
        <v>2.0</v>
      </c>
    </row>
    <row r="315">
      <c r="A315" s="155" t="s">
        <v>431</v>
      </c>
      <c r="B315" s="151" t="s">
        <v>871</v>
      </c>
      <c r="C315" s="151">
        <v>30923.0</v>
      </c>
      <c r="D315" s="157">
        <v>1.0</v>
      </c>
    </row>
    <row r="316">
      <c r="A316" s="153" t="s">
        <v>458</v>
      </c>
      <c r="B316" s="154" t="s">
        <v>872</v>
      </c>
      <c r="C316" s="154">
        <v>30937.0</v>
      </c>
      <c r="D316" s="158">
        <v>2.0</v>
      </c>
    </row>
    <row r="317">
      <c r="A317" s="155" t="s">
        <v>489</v>
      </c>
      <c r="B317" s="151" t="s">
        <v>873</v>
      </c>
      <c r="C317" s="151">
        <v>30945.0</v>
      </c>
      <c r="D317" s="158">
        <v>2.0</v>
      </c>
    </row>
    <row r="318">
      <c r="A318" s="153" t="s">
        <v>513</v>
      </c>
      <c r="B318" s="154" t="s">
        <v>874</v>
      </c>
      <c r="C318" s="154">
        <v>30918.0</v>
      </c>
      <c r="D318" s="159">
        <v>0.0</v>
      </c>
    </row>
    <row r="319">
      <c r="A319" s="155" t="s">
        <v>533</v>
      </c>
      <c r="B319" s="151" t="s">
        <v>875</v>
      </c>
      <c r="C319" s="151">
        <v>30943.0</v>
      </c>
      <c r="D319" s="157">
        <v>1.0</v>
      </c>
    </row>
    <row r="320">
      <c r="A320" s="153" t="s">
        <v>552</v>
      </c>
      <c r="B320" s="154" t="s">
        <v>876</v>
      </c>
      <c r="C320" s="154">
        <v>30921.0</v>
      </c>
      <c r="D320" s="158">
        <v>2.0</v>
      </c>
    </row>
    <row r="321">
      <c r="A321" s="155" t="s">
        <v>576</v>
      </c>
      <c r="B321" s="151" t="s">
        <v>877</v>
      </c>
      <c r="C321" s="151">
        <v>30934.0</v>
      </c>
      <c r="D321" s="158">
        <v>2.0</v>
      </c>
    </row>
    <row r="322">
      <c r="A322" s="153" t="s">
        <v>599</v>
      </c>
      <c r="B322" s="154" t="s">
        <v>599</v>
      </c>
      <c r="C322" s="154">
        <v>30932.0</v>
      </c>
      <c r="D322" s="158">
        <v>2.0</v>
      </c>
    </row>
    <row r="323">
      <c r="A323" s="155" t="s">
        <v>620</v>
      </c>
      <c r="B323" s="151" t="s">
        <v>620</v>
      </c>
      <c r="C323" s="151">
        <v>30941.0</v>
      </c>
      <c r="D323" s="158">
        <v>2.0</v>
      </c>
    </row>
    <row r="324">
      <c r="A324" s="153" t="s">
        <v>645</v>
      </c>
      <c r="B324" s="154" t="s">
        <v>878</v>
      </c>
      <c r="C324" s="154">
        <v>30925.0</v>
      </c>
      <c r="D324" s="158">
        <v>2.0</v>
      </c>
    </row>
    <row r="325">
      <c r="A325" s="155" t="s">
        <v>663</v>
      </c>
      <c r="B325" s="151" t="s">
        <v>879</v>
      </c>
      <c r="C325" s="151">
        <v>30938.0</v>
      </c>
      <c r="D325" s="158">
        <v>2.0</v>
      </c>
    </row>
    <row r="326">
      <c r="A326" s="153" t="s">
        <v>678</v>
      </c>
      <c r="B326" s="154" t="s">
        <v>880</v>
      </c>
      <c r="C326" s="154">
        <v>30926.0</v>
      </c>
      <c r="D326" s="158">
        <v>2.0</v>
      </c>
    </row>
    <row r="327">
      <c r="A327" s="155" t="s">
        <v>692</v>
      </c>
      <c r="B327" s="151" t="s">
        <v>881</v>
      </c>
      <c r="C327" s="151">
        <v>30924.0</v>
      </c>
      <c r="D327" s="158">
        <v>2.0</v>
      </c>
    </row>
    <row r="328">
      <c r="A328" s="153" t="s">
        <v>711</v>
      </c>
      <c r="B328" s="154" t="s">
        <v>882</v>
      </c>
      <c r="C328" s="154">
        <v>30919.0</v>
      </c>
      <c r="D328" s="158">
        <v>2.0</v>
      </c>
    </row>
    <row r="329">
      <c r="A329" s="155" t="s">
        <v>729</v>
      </c>
      <c r="B329" s="151" t="s">
        <v>883</v>
      </c>
      <c r="C329" s="151">
        <v>30939.0</v>
      </c>
      <c r="D329" s="158">
        <v>2.0</v>
      </c>
    </row>
    <row r="330">
      <c r="A330" s="153" t="s">
        <v>747</v>
      </c>
      <c r="B330" s="154" t="s">
        <v>747</v>
      </c>
      <c r="C330" s="154">
        <v>30944.0</v>
      </c>
      <c r="D330" s="158">
        <v>2.0</v>
      </c>
    </row>
    <row r="331">
      <c r="A331" s="155" t="s">
        <v>503</v>
      </c>
      <c r="B331" s="160"/>
      <c r="C331" s="160"/>
      <c r="D331" s="152"/>
    </row>
    <row r="332">
      <c r="A332" s="153" t="s">
        <v>511</v>
      </c>
      <c r="B332" s="161"/>
      <c r="C332" s="161"/>
      <c r="D332" s="152"/>
    </row>
    <row r="333">
      <c r="A333" s="155" t="s">
        <v>516</v>
      </c>
      <c r="B333" s="160"/>
      <c r="C333" s="160"/>
      <c r="D333" s="152"/>
    </row>
    <row r="334">
      <c r="A334" s="153"/>
      <c r="B334" s="161"/>
      <c r="C334" s="161"/>
      <c r="D334" s="152"/>
    </row>
    <row r="335">
      <c r="A335" s="155"/>
      <c r="B335" s="160"/>
      <c r="C335" s="160"/>
      <c r="D335" s="152"/>
    </row>
    <row r="336">
      <c r="A336" s="153"/>
      <c r="B336" s="161"/>
      <c r="C336" s="161"/>
      <c r="D336" s="152"/>
    </row>
    <row r="337">
      <c r="A337" s="155"/>
      <c r="B337" s="160"/>
      <c r="C337" s="160"/>
      <c r="D337" s="152"/>
    </row>
    <row r="338">
      <c r="A338" s="153"/>
      <c r="B338" s="161"/>
      <c r="C338" s="161"/>
      <c r="D338" s="152"/>
    </row>
    <row r="339">
      <c r="A339" s="155"/>
      <c r="B339" s="160"/>
      <c r="C339" s="160"/>
      <c r="D339" s="152"/>
    </row>
    <row r="340">
      <c r="A340" s="153"/>
      <c r="B340" s="161"/>
      <c r="C340" s="161"/>
      <c r="D340" s="152"/>
    </row>
    <row r="341">
      <c r="A341" s="155"/>
      <c r="B341" s="160"/>
      <c r="C341" s="160"/>
      <c r="D341" s="152"/>
    </row>
    <row r="342">
      <c r="A342" s="153"/>
      <c r="B342" s="161"/>
      <c r="C342" s="161"/>
      <c r="D342" s="152"/>
    </row>
    <row r="343">
      <c r="A343" s="155"/>
      <c r="B343" s="160"/>
      <c r="C343" s="160"/>
      <c r="D343" s="152"/>
    </row>
    <row r="344">
      <c r="A344" s="153"/>
      <c r="B344" s="161"/>
      <c r="C344" s="161"/>
      <c r="D344" s="152"/>
    </row>
    <row r="345">
      <c r="A345" s="155"/>
      <c r="B345" s="160"/>
      <c r="C345" s="160"/>
      <c r="D345" s="152"/>
    </row>
    <row r="346">
      <c r="A346" s="153"/>
      <c r="B346" s="161"/>
      <c r="C346" s="161"/>
      <c r="D346" s="152"/>
    </row>
    <row r="347">
      <c r="A347" s="155"/>
      <c r="B347" s="160"/>
      <c r="C347" s="160"/>
      <c r="D347" s="152"/>
    </row>
    <row r="348">
      <c r="A348" s="153"/>
      <c r="B348" s="161"/>
      <c r="C348" s="161"/>
      <c r="D348" s="152"/>
    </row>
    <row r="349">
      <c r="A349" s="155"/>
      <c r="B349" s="160"/>
      <c r="C349" s="160"/>
      <c r="D349" s="152"/>
    </row>
    <row r="350">
      <c r="A350" s="162"/>
      <c r="B350" s="161"/>
      <c r="C350" s="161"/>
      <c r="D350" s="152"/>
    </row>
    <row r="351">
      <c r="A351" s="150" t="str">
        <f t="array" ref="A351:A400">'Up Names'!H2:H51</f>
        <v>Bailing Water</v>
      </c>
      <c r="B351" s="151" t="s">
        <v>884</v>
      </c>
      <c r="C351" s="151">
        <v>31352.0</v>
      </c>
      <c r="D351" s="158">
        <v>2.0</v>
      </c>
    </row>
    <row r="352">
      <c r="A352" s="153" t="s">
        <v>157</v>
      </c>
      <c r="B352" s="154" t="s">
        <v>885</v>
      </c>
      <c r="C352" s="154">
        <v>31348.0</v>
      </c>
      <c r="D352" s="152"/>
    </row>
    <row r="353">
      <c r="A353" s="155" t="s">
        <v>177</v>
      </c>
      <c r="B353" s="151" t="s">
        <v>886</v>
      </c>
      <c r="C353" s="151">
        <v>31349.0</v>
      </c>
      <c r="D353" s="157">
        <v>1.0</v>
      </c>
    </row>
    <row r="354">
      <c r="A354" s="153" t="s">
        <v>197</v>
      </c>
      <c r="B354" s="154" t="s">
        <v>887</v>
      </c>
      <c r="C354" s="154">
        <v>31345.0</v>
      </c>
      <c r="D354" s="152"/>
    </row>
    <row r="355">
      <c r="A355" s="155" t="s">
        <v>217</v>
      </c>
      <c r="B355" s="151" t="s">
        <v>888</v>
      </c>
      <c r="C355" s="151">
        <v>31333.0</v>
      </c>
      <c r="D355" s="159">
        <v>0.0</v>
      </c>
    </row>
    <row r="356">
      <c r="A356" s="153" t="s">
        <v>236</v>
      </c>
      <c r="B356" s="154" t="s">
        <v>889</v>
      </c>
      <c r="C356" s="154">
        <v>31323.0</v>
      </c>
      <c r="D356" s="158">
        <v>2.0</v>
      </c>
    </row>
    <row r="357">
      <c r="A357" s="155" t="s">
        <v>256</v>
      </c>
      <c r="B357" s="151" t="s">
        <v>890</v>
      </c>
      <c r="C357" s="151">
        <v>31342.0</v>
      </c>
      <c r="D357" s="159">
        <v>0.0</v>
      </c>
    </row>
    <row r="358">
      <c r="A358" s="153" t="s">
        <v>276</v>
      </c>
      <c r="B358" s="154" t="s">
        <v>891</v>
      </c>
      <c r="C358" s="154">
        <v>31338.0</v>
      </c>
      <c r="D358" s="158">
        <v>2.0</v>
      </c>
    </row>
    <row r="359">
      <c r="A359" s="155" t="s">
        <v>296</v>
      </c>
      <c r="B359" s="151" t="s">
        <v>892</v>
      </c>
      <c r="C359" s="151">
        <v>31340.0</v>
      </c>
      <c r="D359" s="159">
        <v>0.0</v>
      </c>
    </row>
    <row r="360">
      <c r="A360" s="153" t="s">
        <v>316</v>
      </c>
      <c r="B360" s="154" t="s">
        <v>893</v>
      </c>
      <c r="C360" s="154">
        <v>31339.0</v>
      </c>
      <c r="D360" s="159">
        <v>0.0</v>
      </c>
    </row>
    <row r="361">
      <c r="A361" s="155" t="s">
        <v>336</v>
      </c>
      <c r="B361" s="151" t="s">
        <v>894</v>
      </c>
      <c r="C361" s="151">
        <v>31331.0</v>
      </c>
      <c r="D361" s="152"/>
    </row>
    <row r="362">
      <c r="A362" s="153" t="s">
        <v>356</v>
      </c>
      <c r="B362" s="154" t="s">
        <v>895</v>
      </c>
      <c r="C362" s="154">
        <v>31332.0</v>
      </c>
      <c r="D362" s="158">
        <v>2.0</v>
      </c>
    </row>
    <row r="363">
      <c r="A363" s="155" t="s">
        <v>380</v>
      </c>
      <c r="B363" s="151" t="s">
        <v>896</v>
      </c>
      <c r="C363" s="151">
        <v>31344.0</v>
      </c>
      <c r="D363" s="159">
        <v>0.0</v>
      </c>
    </row>
    <row r="364">
      <c r="A364" s="153" t="s">
        <v>403</v>
      </c>
      <c r="B364" s="154" t="s">
        <v>897</v>
      </c>
      <c r="C364" s="154">
        <v>31335.0</v>
      </c>
      <c r="D364" s="158">
        <v>2.0</v>
      </c>
    </row>
    <row r="365">
      <c r="A365" s="155" t="s">
        <v>432</v>
      </c>
      <c r="B365" s="151" t="s">
        <v>898</v>
      </c>
      <c r="C365" s="151">
        <v>31327.0</v>
      </c>
      <c r="D365" s="157">
        <v>1.0</v>
      </c>
    </row>
    <row r="366">
      <c r="A366" s="153" t="s">
        <v>460</v>
      </c>
      <c r="B366" s="154" t="s">
        <v>899</v>
      </c>
      <c r="C366" s="154">
        <v>31350.0</v>
      </c>
      <c r="D366" s="158">
        <v>2.0</v>
      </c>
    </row>
    <row r="367">
      <c r="A367" s="155" t="s">
        <v>490</v>
      </c>
      <c r="B367" s="151" t="s">
        <v>900</v>
      </c>
      <c r="C367" s="151">
        <v>31341.0</v>
      </c>
      <c r="D367" s="152"/>
    </row>
    <row r="368">
      <c r="A368" s="153" t="s">
        <v>514</v>
      </c>
      <c r="B368" s="154" t="s">
        <v>901</v>
      </c>
      <c r="C368" s="154">
        <v>31336.0</v>
      </c>
      <c r="D368" s="157">
        <v>1.0</v>
      </c>
    </row>
    <row r="369">
      <c r="A369" s="155" t="s">
        <v>534</v>
      </c>
      <c r="B369" s="151" t="s">
        <v>902</v>
      </c>
      <c r="C369" s="151">
        <v>31346.0</v>
      </c>
      <c r="D369" s="158">
        <v>2.0</v>
      </c>
    </row>
    <row r="370">
      <c r="A370" s="153" t="s">
        <v>553</v>
      </c>
      <c r="B370" s="154" t="s">
        <v>903</v>
      </c>
      <c r="C370" s="154">
        <v>31343.0</v>
      </c>
      <c r="D370" s="158">
        <v>2.0</v>
      </c>
    </row>
    <row r="371">
      <c r="A371" s="155" t="s">
        <v>577</v>
      </c>
      <c r="B371" s="151" t="s">
        <v>904</v>
      </c>
      <c r="C371" s="151">
        <v>31330.0</v>
      </c>
      <c r="D371" s="159">
        <v>0.0</v>
      </c>
    </row>
    <row r="372">
      <c r="A372" s="153" t="s">
        <v>601</v>
      </c>
      <c r="B372" s="154" t="s">
        <v>905</v>
      </c>
      <c r="C372" s="154">
        <v>31329.0</v>
      </c>
      <c r="D372" s="158">
        <v>2.0</v>
      </c>
    </row>
    <row r="373">
      <c r="A373" s="155" t="s">
        <v>621</v>
      </c>
      <c r="B373" s="151" t="s">
        <v>906</v>
      </c>
      <c r="C373" s="151">
        <v>31325.0</v>
      </c>
      <c r="D373" s="157">
        <v>1.0</v>
      </c>
    </row>
    <row r="374">
      <c r="A374" s="153" t="s">
        <v>647</v>
      </c>
      <c r="B374" s="154" t="s">
        <v>907</v>
      </c>
      <c r="C374" s="154">
        <v>31347.0</v>
      </c>
      <c r="D374" s="157">
        <v>1.0</v>
      </c>
    </row>
    <row r="375">
      <c r="A375" s="155" t="s">
        <v>664</v>
      </c>
      <c r="B375" s="151" t="s">
        <v>908</v>
      </c>
      <c r="C375" s="151">
        <v>31326.0</v>
      </c>
      <c r="D375" s="159">
        <v>0.0</v>
      </c>
    </row>
    <row r="376">
      <c r="A376" s="153" t="s">
        <v>679</v>
      </c>
      <c r="B376" s="154" t="s">
        <v>909</v>
      </c>
      <c r="C376" s="154">
        <v>31351.0</v>
      </c>
      <c r="D376" s="158">
        <v>2.0</v>
      </c>
    </row>
    <row r="377">
      <c r="A377" s="155" t="s">
        <v>693</v>
      </c>
      <c r="B377" s="151" t="s">
        <v>910</v>
      </c>
      <c r="C377" s="151">
        <v>31337.0</v>
      </c>
      <c r="D377" s="159">
        <v>0.0</v>
      </c>
    </row>
    <row r="378">
      <c r="A378" s="153" t="s">
        <v>712</v>
      </c>
      <c r="B378" s="154" t="s">
        <v>911</v>
      </c>
      <c r="C378" s="154">
        <v>31328.0</v>
      </c>
      <c r="D378" s="159">
        <v>0.0</v>
      </c>
    </row>
    <row r="379">
      <c r="A379" s="155" t="s">
        <v>731</v>
      </c>
      <c r="B379" s="151" t="s">
        <v>912</v>
      </c>
      <c r="C379" s="151">
        <v>31334.0</v>
      </c>
      <c r="D379" s="152"/>
    </row>
    <row r="380">
      <c r="A380" s="153" t="s">
        <v>748</v>
      </c>
      <c r="B380" s="154" t="s">
        <v>913</v>
      </c>
      <c r="C380" s="154">
        <v>31324.0</v>
      </c>
      <c r="D380" s="158">
        <v>2.0</v>
      </c>
    </row>
    <row r="381">
      <c r="A381" s="155" t="s">
        <v>503</v>
      </c>
      <c r="B381" s="160"/>
      <c r="C381" s="160"/>
      <c r="D381" s="152"/>
    </row>
    <row r="382">
      <c r="A382" s="153" t="s">
        <v>511</v>
      </c>
      <c r="B382" s="161"/>
      <c r="C382" s="161"/>
      <c r="D382" s="152"/>
    </row>
    <row r="383">
      <c r="A383" s="155" t="s">
        <v>516</v>
      </c>
      <c r="B383" s="160"/>
      <c r="C383" s="160"/>
      <c r="D383" s="152"/>
    </row>
    <row r="384">
      <c r="A384" s="153"/>
      <c r="B384" s="161"/>
      <c r="C384" s="161"/>
      <c r="D384" s="152"/>
    </row>
    <row r="385">
      <c r="A385" s="155"/>
      <c r="B385" s="160"/>
      <c r="C385" s="160"/>
      <c r="D385" s="152"/>
    </row>
    <row r="386">
      <c r="A386" s="153"/>
      <c r="B386" s="161"/>
      <c r="C386" s="161"/>
      <c r="D386" s="152"/>
    </row>
    <row r="387">
      <c r="A387" s="155"/>
      <c r="B387" s="160"/>
      <c r="C387" s="160"/>
      <c r="D387" s="152"/>
    </row>
    <row r="388">
      <c r="A388" s="153"/>
      <c r="B388" s="161"/>
      <c r="C388" s="161"/>
      <c r="D388" s="152"/>
    </row>
    <row r="389">
      <c r="A389" s="155"/>
      <c r="B389" s="160"/>
      <c r="C389" s="160"/>
      <c r="D389" s="152"/>
    </row>
    <row r="390">
      <c r="A390" s="153"/>
      <c r="B390" s="161"/>
      <c r="C390" s="161"/>
      <c r="D390" s="152"/>
    </row>
    <row r="391">
      <c r="A391" s="155"/>
      <c r="B391" s="160"/>
      <c r="C391" s="160"/>
      <c r="D391" s="152"/>
    </row>
    <row r="392">
      <c r="A392" s="153"/>
      <c r="B392" s="161"/>
      <c r="C392" s="161"/>
      <c r="D392" s="152"/>
    </row>
    <row r="393">
      <c r="A393" s="155"/>
      <c r="B393" s="160"/>
      <c r="C393" s="160"/>
      <c r="D393" s="152"/>
    </row>
    <row r="394">
      <c r="A394" s="153"/>
      <c r="B394" s="161"/>
      <c r="C394" s="161"/>
      <c r="D394" s="152"/>
    </row>
    <row r="395">
      <c r="A395" s="155"/>
      <c r="B395" s="160"/>
      <c r="C395" s="160"/>
      <c r="D395" s="152"/>
    </row>
    <row r="396">
      <c r="A396" s="153"/>
      <c r="B396" s="161"/>
      <c r="C396" s="161"/>
      <c r="D396" s="152"/>
    </row>
    <row r="397">
      <c r="A397" s="155"/>
      <c r="B397" s="160"/>
      <c r="C397" s="160"/>
      <c r="D397" s="152"/>
    </row>
    <row r="398">
      <c r="A398" s="153"/>
      <c r="B398" s="161"/>
      <c r="C398" s="161"/>
      <c r="D398" s="152"/>
    </row>
    <row r="399">
      <c r="A399" s="155"/>
      <c r="B399" s="160"/>
      <c r="C399" s="160"/>
      <c r="D399" s="152"/>
    </row>
    <row r="400">
      <c r="A400" s="162"/>
      <c r="B400" s="161"/>
      <c r="C400" s="161"/>
      <c r="D400" s="152"/>
    </row>
    <row r="401">
      <c r="A401" s="150" t="str">
        <f t="array" ref="A401:A450">'Up Names'!I2:I51</f>
        <v>Flood</v>
      </c>
      <c r="B401" s="151" t="s">
        <v>914</v>
      </c>
      <c r="C401" s="151">
        <v>30875.0</v>
      </c>
      <c r="D401" s="157">
        <v>1.0</v>
      </c>
    </row>
    <row r="402">
      <c r="A402" s="153" t="s">
        <v>158</v>
      </c>
      <c r="B402" s="154" t="s">
        <v>915</v>
      </c>
      <c r="C402" s="154">
        <v>30861.0</v>
      </c>
      <c r="D402" s="159">
        <v>0.0</v>
      </c>
    </row>
    <row r="403">
      <c r="A403" s="155" t="s">
        <v>178</v>
      </c>
      <c r="B403" s="151" t="s">
        <v>916</v>
      </c>
      <c r="C403" s="151">
        <v>30852.0</v>
      </c>
      <c r="D403" s="158">
        <v>2.0</v>
      </c>
    </row>
    <row r="404">
      <c r="A404" s="153" t="s">
        <v>198</v>
      </c>
      <c r="B404" s="154" t="s">
        <v>917</v>
      </c>
      <c r="C404" s="154">
        <v>30867.0</v>
      </c>
      <c r="D404" s="157">
        <v>1.0</v>
      </c>
    </row>
    <row r="405">
      <c r="A405" s="155" t="s">
        <v>218</v>
      </c>
      <c r="B405" s="151" t="s">
        <v>918</v>
      </c>
      <c r="C405" s="151">
        <v>30854.0</v>
      </c>
      <c r="D405" s="158">
        <v>2.0</v>
      </c>
    </row>
    <row r="406">
      <c r="A406" s="153" t="s">
        <v>237</v>
      </c>
      <c r="B406" s="154" t="s">
        <v>919</v>
      </c>
      <c r="C406" s="154">
        <v>30859.0</v>
      </c>
      <c r="D406" s="158">
        <v>2.0</v>
      </c>
    </row>
    <row r="407">
      <c r="A407" s="155" t="s">
        <v>257</v>
      </c>
      <c r="B407" s="151" t="s">
        <v>920</v>
      </c>
      <c r="C407" s="151">
        <v>30858.0</v>
      </c>
      <c r="D407" s="152"/>
    </row>
    <row r="408">
      <c r="A408" s="153" t="s">
        <v>277</v>
      </c>
      <c r="B408" s="154" t="s">
        <v>921</v>
      </c>
      <c r="C408" s="154">
        <v>30863.0</v>
      </c>
      <c r="D408" s="159">
        <v>0.0</v>
      </c>
    </row>
    <row r="409">
      <c r="A409" s="155" t="s">
        <v>297</v>
      </c>
      <c r="B409" s="151" t="s">
        <v>297</v>
      </c>
      <c r="C409" s="151">
        <v>30872.0</v>
      </c>
      <c r="D409" s="157">
        <v>1.0</v>
      </c>
    </row>
    <row r="410">
      <c r="A410" s="153" t="s">
        <v>317</v>
      </c>
      <c r="B410" s="154" t="s">
        <v>922</v>
      </c>
      <c r="C410" s="154">
        <v>30856.0</v>
      </c>
      <c r="D410" s="152"/>
    </row>
    <row r="411">
      <c r="A411" s="155" t="s">
        <v>337</v>
      </c>
      <c r="B411" s="151" t="s">
        <v>923</v>
      </c>
      <c r="C411" s="151">
        <v>30860.0</v>
      </c>
      <c r="D411" s="158">
        <v>2.0</v>
      </c>
    </row>
    <row r="412">
      <c r="A412" s="153" t="s">
        <v>357</v>
      </c>
      <c r="B412" s="154" t="s">
        <v>924</v>
      </c>
      <c r="C412" s="154">
        <v>30874.0</v>
      </c>
      <c r="D412" s="158">
        <v>2.0</v>
      </c>
    </row>
    <row r="413">
      <c r="A413" s="155" t="s">
        <v>381</v>
      </c>
      <c r="B413" s="151" t="s">
        <v>925</v>
      </c>
      <c r="C413" s="151">
        <v>30853.0</v>
      </c>
      <c r="D413" s="158">
        <v>2.0</v>
      </c>
    </row>
    <row r="414">
      <c r="A414" s="153" t="s">
        <v>405</v>
      </c>
      <c r="B414" s="154" t="s">
        <v>926</v>
      </c>
      <c r="C414" s="154">
        <v>30871.0</v>
      </c>
      <c r="D414" s="158">
        <v>2.0</v>
      </c>
    </row>
    <row r="415">
      <c r="A415" s="155" t="s">
        <v>433</v>
      </c>
      <c r="B415" s="151" t="s">
        <v>433</v>
      </c>
      <c r="C415" s="151">
        <v>30864.0</v>
      </c>
      <c r="D415" s="158">
        <v>2.0</v>
      </c>
    </row>
    <row r="416">
      <c r="A416" s="153" t="s">
        <v>462</v>
      </c>
      <c r="B416" s="154" t="s">
        <v>927</v>
      </c>
      <c r="C416" s="154">
        <v>30857.0</v>
      </c>
      <c r="D416" s="158">
        <v>2.0</v>
      </c>
    </row>
    <row r="417">
      <c r="A417" s="155" t="s">
        <v>491</v>
      </c>
      <c r="B417" s="151" t="s">
        <v>928</v>
      </c>
      <c r="C417" s="151">
        <v>30865.0</v>
      </c>
      <c r="D417" s="158">
        <v>2.0</v>
      </c>
    </row>
    <row r="418">
      <c r="A418" s="153" t="s">
        <v>515</v>
      </c>
      <c r="B418" s="154" t="s">
        <v>929</v>
      </c>
      <c r="C418" s="154">
        <v>30855.0</v>
      </c>
      <c r="D418" s="159">
        <v>0.0</v>
      </c>
    </row>
    <row r="419">
      <c r="A419" s="155" t="s">
        <v>535</v>
      </c>
      <c r="B419" s="151" t="s">
        <v>930</v>
      </c>
      <c r="C419" s="151">
        <v>30870.0</v>
      </c>
      <c r="D419" s="159">
        <v>0.0</v>
      </c>
    </row>
    <row r="420">
      <c r="A420" s="153" t="s">
        <v>554</v>
      </c>
      <c r="B420" s="154" t="s">
        <v>931</v>
      </c>
      <c r="C420" s="154">
        <v>30868.0</v>
      </c>
      <c r="D420" s="158">
        <v>2.0</v>
      </c>
    </row>
    <row r="421">
      <c r="A421" s="155" t="s">
        <v>578</v>
      </c>
      <c r="B421" s="151" t="s">
        <v>932</v>
      </c>
      <c r="C421" s="151">
        <v>30873.0</v>
      </c>
      <c r="D421" s="157">
        <v>1.0</v>
      </c>
    </row>
    <row r="422">
      <c r="A422" s="153" t="s">
        <v>602</v>
      </c>
      <c r="B422" s="154" t="s">
        <v>933</v>
      </c>
      <c r="C422" s="154">
        <v>30869.0</v>
      </c>
      <c r="D422" s="159">
        <v>0.0</v>
      </c>
    </row>
    <row r="423">
      <c r="A423" s="155" t="s">
        <v>623</v>
      </c>
      <c r="B423" s="151" t="s">
        <v>623</v>
      </c>
      <c r="C423" s="151">
        <v>30862.0</v>
      </c>
      <c r="D423" s="159">
        <v>0.0</v>
      </c>
    </row>
    <row r="424">
      <c r="A424" s="153" t="s">
        <v>648</v>
      </c>
      <c r="B424" s="154" t="s">
        <v>648</v>
      </c>
      <c r="C424" s="154">
        <v>30866.0</v>
      </c>
      <c r="D424" s="158">
        <v>2.0</v>
      </c>
    </row>
    <row r="425">
      <c r="A425" s="155" t="s">
        <v>665</v>
      </c>
      <c r="B425" s="151" t="s">
        <v>934</v>
      </c>
      <c r="C425" s="151">
        <v>30851.0</v>
      </c>
      <c r="D425" s="158">
        <v>2.0</v>
      </c>
    </row>
    <row r="426">
      <c r="A426" s="153" t="s">
        <v>503</v>
      </c>
      <c r="B426" s="161"/>
      <c r="C426" s="161"/>
      <c r="D426" s="152"/>
    </row>
    <row r="427">
      <c r="A427" s="155" t="s">
        <v>511</v>
      </c>
      <c r="B427" s="160"/>
      <c r="C427" s="160"/>
      <c r="D427" s="152"/>
    </row>
    <row r="428">
      <c r="A428" s="153" t="s">
        <v>516</v>
      </c>
      <c r="B428" s="161"/>
      <c r="C428" s="161"/>
      <c r="D428" s="152"/>
    </row>
    <row r="429">
      <c r="A429" s="155"/>
      <c r="B429" s="160"/>
      <c r="C429" s="160"/>
      <c r="D429" s="152"/>
    </row>
    <row r="430">
      <c r="A430" s="153"/>
      <c r="B430" s="161"/>
      <c r="C430" s="161"/>
      <c r="D430" s="152"/>
    </row>
    <row r="431">
      <c r="A431" s="155"/>
      <c r="B431" s="160"/>
      <c r="C431" s="160"/>
      <c r="D431" s="152"/>
    </row>
    <row r="432">
      <c r="A432" s="153"/>
      <c r="B432" s="161"/>
      <c r="C432" s="161"/>
      <c r="D432" s="152"/>
    </row>
    <row r="433">
      <c r="A433" s="155"/>
      <c r="B433" s="160"/>
      <c r="C433" s="160"/>
      <c r="D433" s="152"/>
    </row>
    <row r="434">
      <c r="A434" s="153"/>
      <c r="B434" s="161"/>
      <c r="C434" s="161"/>
      <c r="D434" s="152"/>
    </row>
    <row r="435">
      <c r="A435" s="155"/>
      <c r="B435" s="160"/>
      <c r="C435" s="160"/>
      <c r="D435" s="152"/>
    </row>
    <row r="436">
      <c r="A436" s="153"/>
      <c r="B436" s="161"/>
      <c r="C436" s="161"/>
      <c r="D436" s="152"/>
    </row>
    <row r="437">
      <c r="A437" s="155"/>
      <c r="B437" s="160"/>
      <c r="C437" s="160"/>
      <c r="D437" s="152"/>
    </row>
    <row r="438">
      <c r="A438" s="153"/>
      <c r="B438" s="161"/>
      <c r="C438" s="161"/>
      <c r="D438" s="152"/>
    </row>
    <row r="439">
      <c r="A439" s="155"/>
      <c r="B439" s="160"/>
      <c r="C439" s="160"/>
      <c r="D439" s="152"/>
    </row>
    <row r="440">
      <c r="A440" s="153"/>
      <c r="B440" s="161"/>
      <c r="C440" s="161"/>
      <c r="D440" s="152"/>
    </row>
    <row r="441">
      <c r="A441" s="155"/>
      <c r="B441" s="160"/>
      <c r="C441" s="160"/>
      <c r="D441" s="152"/>
    </row>
    <row r="442">
      <c r="A442" s="153"/>
      <c r="B442" s="161"/>
      <c r="C442" s="161"/>
      <c r="D442" s="152"/>
    </row>
    <row r="443">
      <c r="A443" s="155"/>
      <c r="B443" s="160"/>
      <c r="C443" s="160"/>
      <c r="D443" s="152"/>
    </row>
    <row r="444">
      <c r="A444" s="153"/>
      <c r="B444" s="161"/>
      <c r="C444" s="161"/>
      <c r="D444" s="152"/>
    </row>
    <row r="445">
      <c r="A445" s="155"/>
      <c r="B445" s="160"/>
      <c r="C445" s="160"/>
      <c r="D445" s="152"/>
    </row>
    <row r="446">
      <c r="A446" s="153"/>
      <c r="B446" s="161"/>
      <c r="C446" s="161"/>
      <c r="D446" s="152"/>
    </row>
    <row r="447">
      <c r="A447" s="155"/>
      <c r="B447" s="160"/>
      <c r="C447" s="160"/>
      <c r="D447" s="152"/>
    </row>
    <row r="448">
      <c r="A448" s="153"/>
      <c r="B448" s="161"/>
      <c r="C448" s="161"/>
      <c r="D448" s="152"/>
    </row>
    <row r="449">
      <c r="A449" s="155"/>
      <c r="B449" s="160"/>
      <c r="C449" s="160"/>
      <c r="D449" s="152"/>
    </row>
    <row r="450">
      <c r="A450" s="162"/>
      <c r="B450" s="161"/>
      <c r="C450" s="161"/>
      <c r="D450" s="152"/>
    </row>
    <row r="451">
      <c r="A451" s="150" t="str">
        <f t="array" ref="A451:A500">'Up Names'!J2:J51</f>
        <v>Deflector</v>
      </c>
      <c r="B451" s="151" t="s">
        <v>935</v>
      </c>
      <c r="C451" s="151">
        <v>31156.0</v>
      </c>
      <c r="D451" s="158">
        <v>2.0</v>
      </c>
    </row>
    <row r="452">
      <c r="A452" s="153" t="s">
        <v>159</v>
      </c>
      <c r="B452" s="154" t="s">
        <v>936</v>
      </c>
      <c r="C452" s="154">
        <v>31152.0</v>
      </c>
      <c r="D452" s="152"/>
    </row>
    <row r="453">
      <c r="A453" s="155" t="s">
        <v>179</v>
      </c>
      <c r="B453" s="151" t="s">
        <v>179</v>
      </c>
      <c r="C453" s="151">
        <v>31155.0</v>
      </c>
      <c r="D453" s="159">
        <v>0.0</v>
      </c>
    </row>
    <row r="454">
      <c r="A454" s="153" t="s">
        <v>199</v>
      </c>
      <c r="B454" s="154" t="s">
        <v>937</v>
      </c>
      <c r="C454" s="154">
        <v>31154.0</v>
      </c>
      <c r="D454" s="152"/>
    </row>
    <row r="455">
      <c r="A455" s="155" t="s">
        <v>219</v>
      </c>
      <c r="B455" s="151" t="s">
        <v>938</v>
      </c>
      <c r="C455" s="151">
        <v>31157.0</v>
      </c>
      <c r="D455" s="158">
        <v>2.0</v>
      </c>
    </row>
    <row r="456">
      <c r="A456" s="153" t="s">
        <v>238</v>
      </c>
      <c r="B456" s="154" t="s">
        <v>939</v>
      </c>
      <c r="C456" s="154">
        <v>31140.0</v>
      </c>
      <c r="D456" s="152"/>
    </row>
    <row r="457">
      <c r="A457" s="155" t="s">
        <v>258</v>
      </c>
      <c r="B457" s="151" t="s">
        <v>940</v>
      </c>
      <c r="C457" s="151">
        <v>31137.0</v>
      </c>
      <c r="D457" s="152"/>
    </row>
    <row r="458">
      <c r="A458" s="153" t="s">
        <v>278</v>
      </c>
      <c r="B458" s="154" t="s">
        <v>941</v>
      </c>
      <c r="C458" s="154">
        <v>31150.0</v>
      </c>
      <c r="D458" s="152"/>
    </row>
    <row r="459">
      <c r="A459" s="155" t="s">
        <v>298</v>
      </c>
      <c r="B459" s="151" t="s">
        <v>298</v>
      </c>
      <c r="C459" s="151">
        <v>31153.0</v>
      </c>
      <c r="D459" s="159">
        <v>0.0</v>
      </c>
    </row>
    <row r="460">
      <c r="A460" s="153" t="s">
        <v>318</v>
      </c>
      <c r="B460" s="154" t="s">
        <v>942</v>
      </c>
      <c r="C460" s="154">
        <v>31149.0</v>
      </c>
      <c r="D460" s="152"/>
    </row>
    <row r="461">
      <c r="A461" s="155" t="s">
        <v>338</v>
      </c>
      <c r="B461" s="151" t="s">
        <v>943</v>
      </c>
      <c r="C461" s="151">
        <v>31158.0</v>
      </c>
      <c r="D461" s="152"/>
    </row>
    <row r="462">
      <c r="A462" s="153" t="s">
        <v>358</v>
      </c>
      <c r="B462" s="154" t="s">
        <v>944</v>
      </c>
      <c r="C462" s="154">
        <v>31147.0</v>
      </c>
      <c r="D462" s="158">
        <v>2.0</v>
      </c>
    </row>
    <row r="463">
      <c r="A463" s="155" t="s">
        <v>382</v>
      </c>
      <c r="B463" s="151" t="s">
        <v>945</v>
      </c>
      <c r="C463" s="151">
        <v>31135.0</v>
      </c>
      <c r="D463" s="152"/>
    </row>
    <row r="464">
      <c r="A464" s="153" t="s">
        <v>407</v>
      </c>
      <c r="B464" s="154" t="s">
        <v>946</v>
      </c>
      <c r="C464" s="154">
        <v>31139.0</v>
      </c>
      <c r="D464" s="158">
        <v>2.0</v>
      </c>
    </row>
    <row r="465">
      <c r="A465" s="155" t="s">
        <v>434</v>
      </c>
      <c r="B465" s="151" t="s">
        <v>947</v>
      </c>
      <c r="C465" s="151">
        <v>31136.0</v>
      </c>
      <c r="D465" s="159">
        <v>0.0</v>
      </c>
    </row>
    <row r="466">
      <c r="A466" s="153" t="s">
        <v>463</v>
      </c>
      <c r="B466" s="154" t="s">
        <v>948</v>
      </c>
      <c r="C466" s="154">
        <v>31145.0</v>
      </c>
      <c r="D466" s="159">
        <v>0.0</v>
      </c>
    </row>
    <row r="467">
      <c r="A467" s="155" t="s">
        <v>493</v>
      </c>
      <c r="B467" s="151" t="s">
        <v>949</v>
      </c>
      <c r="C467" s="151">
        <v>31133.0</v>
      </c>
      <c r="D467" s="158">
        <v>2.0</v>
      </c>
    </row>
    <row r="468">
      <c r="A468" s="153" t="s">
        <v>517</v>
      </c>
      <c r="B468" s="154" t="s">
        <v>950</v>
      </c>
      <c r="C468" s="154">
        <v>31146.0</v>
      </c>
      <c r="D468" s="152"/>
    </row>
    <row r="469">
      <c r="A469" s="155" t="s">
        <v>536</v>
      </c>
      <c r="B469" s="151" t="s">
        <v>951</v>
      </c>
      <c r="C469" s="151">
        <v>31141.0</v>
      </c>
      <c r="D469" s="158">
        <v>2.0</v>
      </c>
    </row>
    <row r="470">
      <c r="A470" s="153" t="s">
        <v>555</v>
      </c>
      <c r="B470" s="154" t="s">
        <v>952</v>
      </c>
      <c r="C470" s="154">
        <v>31151.0</v>
      </c>
      <c r="D470" s="158">
        <v>2.0</v>
      </c>
    </row>
    <row r="471">
      <c r="A471" s="155" t="s">
        <v>579</v>
      </c>
      <c r="B471" s="151" t="s">
        <v>953</v>
      </c>
      <c r="C471" s="151">
        <v>31142.0</v>
      </c>
      <c r="D471" s="158">
        <v>2.0</v>
      </c>
    </row>
    <row r="472">
      <c r="A472" s="153" t="s">
        <v>603</v>
      </c>
      <c r="B472" s="154" t="s">
        <v>954</v>
      </c>
      <c r="C472" s="154">
        <v>31143.0</v>
      </c>
      <c r="D472" s="159">
        <v>0.0</v>
      </c>
    </row>
    <row r="473">
      <c r="A473" s="155" t="s">
        <v>624</v>
      </c>
      <c r="B473" s="151" t="s">
        <v>955</v>
      </c>
      <c r="C473" s="151">
        <v>31138.0</v>
      </c>
      <c r="D473" s="158">
        <v>2.0</v>
      </c>
    </row>
    <row r="474">
      <c r="A474" s="153" t="s">
        <v>649</v>
      </c>
      <c r="B474" s="154" t="s">
        <v>956</v>
      </c>
      <c r="C474" s="154">
        <v>31134.0</v>
      </c>
      <c r="D474" s="158">
        <v>2.0</v>
      </c>
    </row>
    <row r="475">
      <c r="A475" s="155" t="s">
        <v>666</v>
      </c>
      <c r="B475" s="151" t="s">
        <v>957</v>
      </c>
      <c r="C475" s="151">
        <v>31144.0</v>
      </c>
      <c r="D475" s="158">
        <v>2.0</v>
      </c>
    </row>
    <row r="476">
      <c r="A476" s="153" t="s">
        <v>680</v>
      </c>
      <c r="B476" s="168" t="s">
        <v>958</v>
      </c>
      <c r="C476" s="168">
        <v>31148.0</v>
      </c>
      <c r="D476" s="157">
        <v>1.0</v>
      </c>
    </row>
    <row r="477">
      <c r="A477" s="155" t="s">
        <v>694</v>
      </c>
      <c r="B477" s="156" t="s">
        <v>959</v>
      </c>
      <c r="C477" s="156">
        <v>31159.0</v>
      </c>
      <c r="D477" s="157">
        <v>1.0</v>
      </c>
    </row>
    <row r="478">
      <c r="A478" s="153" t="s">
        <v>503</v>
      </c>
      <c r="B478" s="161"/>
      <c r="C478" s="161"/>
      <c r="D478" s="152"/>
    </row>
    <row r="479">
      <c r="A479" s="155" t="s">
        <v>511</v>
      </c>
      <c r="B479" s="160"/>
      <c r="C479" s="160"/>
      <c r="D479" s="152"/>
    </row>
    <row r="480">
      <c r="A480" s="153" t="s">
        <v>516</v>
      </c>
      <c r="B480" s="161"/>
      <c r="C480" s="161"/>
      <c r="D480" s="152"/>
    </row>
    <row r="481">
      <c r="A481" s="155"/>
      <c r="B481" s="160"/>
      <c r="C481" s="160"/>
      <c r="D481" s="152"/>
    </row>
    <row r="482">
      <c r="A482" s="153"/>
      <c r="B482" s="161"/>
      <c r="C482" s="161"/>
      <c r="D482" s="152"/>
    </row>
    <row r="483">
      <c r="A483" s="155"/>
      <c r="B483" s="160"/>
      <c r="C483" s="160"/>
      <c r="D483" s="152"/>
    </row>
    <row r="484">
      <c r="A484" s="153"/>
      <c r="B484" s="161"/>
      <c r="C484" s="161"/>
      <c r="D484" s="152"/>
    </row>
    <row r="485">
      <c r="A485" s="155"/>
      <c r="B485" s="160"/>
      <c r="C485" s="160"/>
      <c r="D485" s="152"/>
    </row>
    <row r="486">
      <c r="A486" s="153"/>
      <c r="B486" s="161"/>
      <c r="C486" s="161"/>
      <c r="D486" s="152"/>
    </row>
    <row r="487">
      <c r="A487" s="155"/>
      <c r="B487" s="160"/>
      <c r="C487" s="160"/>
      <c r="D487" s="152"/>
    </row>
    <row r="488">
      <c r="A488" s="153"/>
      <c r="B488" s="161"/>
      <c r="C488" s="161"/>
      <c r="D488" s="152"/>
    </row>
    <row r="489">
      <c r="A489" s="155"/>
      <c r="B489" s="160"/>
      <c r="C489" s="160"/>
      <c r="D489" s="152"/>
    </row>
    <row r="490">
      <c r="A490" s="153"/>
      <c r="B490" s="161"/>
      <c r="C490" s="161"/>
      <c r="D490" s="152"/>
    </row>
    <row r="491">
      <c r="A491" s="155"/>
      <c r="B491" s="160"/>
      <c r="C491" s="160"/>
      <c r="D491" s="152"/>
    </row>
    <row r="492">
      <c r="A492" s="153"/>
      <c r="B492" s="161"/>
      <c r="C492" s="161"/>
      <c r="D492" s="152"/>
    </row>
    <row r="493">
      <c r="A493" s="155"/>
      <c r="B493" s="160"/>
      <c r="C493" s="160"/>
      <c r="D493" s="152"/>
    </row>
    <row r="494">
      <c r="A494" s="153"/>
      <c r="B494" s="161"/>
      <c r="C494" s="161"/>
      <c r="D494" s="152"/>
    </row>
    <row r="495">
      <c r="A495" s="155"/>
      <c r="B495" s="160"/>
      <c r="C495" s="160"/>
      <c r="D495" s="152"/>
    </row>
    <row r="496">
      <c r="A496" s="153"/>
      <c r="B496" s="161"/>
      <c r="C496" s="161"/>
      <c r="D496" s="152"/>
    </row>
    <row r="497">
      <c r="A497" s="155"/>
      <c r="B497" s="160"/>
      <c r="C497" s="160"/>
      <c r="D497" s="152"/>
    </row>
    <row r="498">
      <c r="A498" s="153"/>
      <c r="B498" s="161"/>
      <c r="C498" s="161"/>
      <c r="D498" s="152"/>
    </row>
    <row r="499">
      <c r="A499" s="155"/>
      <c r="B499" s="160"/>
      <c r="C499" s="160"/>
      <c r="D499" s="152"/>
    </row>
    <row r="500">
      <c r="A500" s="162"/>
      <c r="B500" s="161"/>
      <c r="C500" s="161"/>
      <c r="D500" s="152"/>
    </row>
    <row r="501">
      <c r="A501" s="155" t="str">
        <f t="array" ref="A501:A550">'Up Names'!K2:K51</f>
        <v>Auger Subroutine</v>
      </c>
      <c r="B501" s="156" t="s">
        <v>960</v>
      </c>
      <c r="C501" s="156">
        <v>31336.0</v>
      </c>
      <c r="D501" s="156">
        <v>-1.0</v>
      </c>
    </row>
    <row r="502">
      <c r="A502" s="153" t="s">
        <v>160</v>
      </c>
      <c r="B502" s="168" t="s">
        <v>160</v>
      </c>
      <c r="C502" s="168">
        <v>31328.0</v>
      </c>
      <c r="D502" s="159">
        <v>0.0</v>
      </c>
    </row>
    <row r="503">
      <c r="A503" s="155" t="s">
        <v>180</v>
      </c>
      <c r="B503" s="156" t="s">
        <v>961</v>
      </c>
      <c r="C503" s="156">
        <v>31346.0</v>
      </c>
      <c r="D503" s="158">
        <v>2.0</v>
      </c>
    </row>
    <row r="504">
      <c r="A504" s="153" t="s">
        <v>200</v>
      </c>
      <c r="B504" s="168" t="s">
        <v>200</v>
      </c>
      <c r="C504" s="168">
        <v>31351.0</v>
      </c>
      <c r="D504" s="159">
        <v>0.0</v>
      </c>
    </row>
    <row r="505">
      <c r="A505" s="155" t="s">
        <v>220</v>
      </c>
      <c r="B505" s="156" t="s">
        <v>962</v>
      </c>
      <c r="C505" s="156">
        <v>31329.0</v>
      </c>
      <c r="D505" s="158">
        <v>2.0</v>
      </c>
    </row>
    <row r="506">
      <c r="A506" s="153" t="s">
        <v>239</v>
      </c>
      <c r="B506" s="168" t="s">
        <v>963</v>
      </c>
      <c r="C506" s="168">
        <v>31349.0</v>
      </c>
      <c r="D506" s="157">
        <v>1.0</v>
      </c>
    </row>
    <row r="507">
      <c r="A507" s="155" t="s">
        <v>259</v>
      </c>
      <c r="B507" s="156" t="s">
        <v>964</v>
      </c>
      <c r="C507" s="156">
        <v>31354.0</v>
      </c>
      <c r="D507" s="157">
        <v>1.0</v>
      </c>
    </row>
    <row r="508">
      <c r="A508" s="153" t="s">
        <v>279</v>
      </c>
      <c r="B508" s="168" t="s">
        <v>965</v>
      </c>
      <c r="C508" s="168">
        <v>31334.0</v>
      </c>
      <c r="D508" s="159">
        <v>0.0</v>
      </c>
    </row>
    <row r="509">
      <c r="A509" s="155" t="s">
        <v>299</v>
      </c>
      <c r="B509" s="156" t="s">
        <v>966</v>
      </c>
      <c r="C509" s="156">
        <v>31337.0</v>
      </c>
      <c r="D509" s="158">
        <v>2.0</v>
      </c>
    </row>
    <row r="510">
      <c r="A510" s="153" t="s">
        <v>319</v>
      </c>
      <c r="B510" s="168" t="s">
        <v>967</v>
      </c>
      <c r="C510" s="168">
        <v>31347.0</v>
      </c>
      <c r="D510" s="158">
        <v>2.0</v>
      </c>
    </row>
    <row r="511">
      <c r="A511" s="155" t="s">
        <v>339</v>
      </c>
      <c r="B511" s="156" t="s">
        <v>968</v>
      </c>
      <c r="C511" s="156">
        <v>31352.0</v>
      </c>
      <c r="D511" s="158">
        <v>2.0</v>
      </c>
    </row>
    <row r="512">
      <c r="A512" s="153" t="s">
        <v>359</v>
      </c>
      <c r="B512" s="168" t="s">
        <v>969</v>
      </c>
      <c r="C512" s="168">
        <v>31345.0</v>
      </c>
      <c r="D512" s="159">
        <v>0.0</v>
      </c>
    </row>
    <row r="513">
      <c r="A513" s="155" t="s">
        <v>383</v>
      </c>
      <c r="B513" s="156" t="s">
        <v>970</v>
      </c>
      <c r="C513" s="156">
        <v>31348.0</v>
      </c>
      <c r="D513" s="159">
        <v>0.0</v>
      </c>
    </row>
    <row r="514">
      <c r="A514" s="153" t="s">
        <v>408</v>
      </c>
      <c r="B514" s="168" t="s">
        <v>971</v>
      </c>
      <c r="C514" s="168">
        <v>31338.0</v>
      </c>
      <c r="D514" s="159">
        <v>0.0</v>
      </c>
    </row>
    <row r="515">
      <c r="A515" s="155" t="s">
        <v>436</v>
      </c>
      <c r="B515" s="156" t="s">
        <v>436</v>
      </c>
      <c r="C515" s="156">
        <v>31333.0</v>
      </c>
      <c r="D515" s="157">
        <v>1.0</v>
      </c>
    </row>
    <row r="516">
      <c r="A516" s="153" t="s">
        <v>465</v>
      </c>
      <c r="B516" s="168" t="s">
        <v>972</v>
      </c>
      <c r="C516" s="168">
        <v>31350.0</v>
      </c>
      <c r="D516" s="157">
        <v>1.0</v>
      </c>
    </row>
    <row r="517">
      <c r="A517" s="155" t="s">
        <v>494</v>
      </c>
      <c r="B517" s="156" t="s">
        <v>973</v>
      </c>
      <c r="C517" s="156">
        <v>31330.0</v>
      </c>
      <c r="D517" s="158">
        <v>2.0</v>
      </c>
    </row>
    <row r="518">
      <c r="A518" s="153" t="s">
        <v>518</v>
      </c>
      <c r="B518" s="168" t="s">
        <v>974</v>
      </c>
      <c r="C518" s="168">
        <v>31331.0</v>
      </c>
      <c r="D518" s="159">
        <v>0.0</v>
      </c>
    </row>
    <row r="519">
      <c r="A519" s="155" t="s">
        <v>537</v>
      </c>
      <c r="B519" s="156" t="s">
        <v>975</v>
      </c>
      <c r="C519" s="156">
        <v>31339.0</v>
      </c>
      <c r="D519" s="159">
        <v>0.0</v>
      </c>
    </row>
    <row r="520">
      <c r="A520" s="153" t="s">
        <v>557</v>
      </c>
      <c r="B520" s="168" t="s">
        <v>976</v>
      </c>
      <c r="C520" s="168">
        <v>31355.0</v>
      </c>
      <c r="D520" s="157">
        <v>1.0</v>
      </c>
    </row>
    <row r="521">
      <c r="A521" s="155" t="s">
        <v>580</v>
      </c>
      <c r="B521" s="156" t="s">
        <v>977</v>
      </c>
      <c r="C521" s="156">
        <v>31357.0</v>
      </c>
      <c r="D521" s="158">
        <v>2.0</v>
      </c>
    </row>
    <row r="522">
      <c r="A522" s="153" t="s">
        <v>604</v>
      </c>
      <c r="B522" s="168" t="s">
        <v>604</v>
      </c>
      <c r="C522" s="168">
        <v>31353.0</v>
      </c>
      <c r="D522" s="158">
        <v>2.0</v>
      </c>
    </row>
    <row r="523">
      <c r="A523" s="155" t="s">
        <v>625</v>
      </c>
      <c r="B523" s="156" t="s">
        <v>978</v>
      </c>
      <c r="C523" s="156">
        <v>31340.0</v>
      </c>
      <c r="D523" s="157">
        <v>1.0</v>
      </c>
    </row>
    <row r="524">
      <c r="A524" s="153" t="s">
        <v>651</v>
      </c>
      <c r="B524" s="168" t="s">
        <v>979</v>
      </c>
      <c r="C524" s="168">
        <v>31356.0</v>
      </c>
      <c r="D524" s="159">
        <v>0.0</v>
      </c>
    </row>
    <row r="525">
      <c r="A525" s="155" t="s">
        <v>667</v>
      </c>
      <c r="B525" s="156" t="s">
        <v>980</v>
      </c>
      <c r="C525" s="156">
        <v>31335.0</v>
      </c>
      <c r="D525" s="159">
        <v>0.0</v>
      </c>
    </row>
    <row r="526">
      <c r="A526" s="153" t="s">
        <v>681</v>
      </c>
      <c r="B526" s="168" t="s">
        <v>681</v>
      </c>
      <c r="C526" s="168">
        <v>31327.0</v>
      </c>
      <c r="D526" s="157">
        <v>1.0</v>
      </c>
    </row>
    <row r="527">
      <c r="A527" s="155" t="s">
        <v>695</v>
      </c>
      <c r="B527" s="156" t="s">
        <v>981</v>
      </c>
      <c r="C527" s="156">
        <v>31332.0</v>
      </c>
      <c r="D527" s="159">
        <v>0.0</v>
      </c>
    </row>
    <row r="528">
      <c r="A528" s="153" t="s">
        <v>714</v>
      </c>
      <c r="B528" s="168" t="s">
        <v>982</v>
      </c>
      <c r="C528" s="168">
        <v>31344.0</v>
      </c>
      <c r="D528" s="159">
        <v>0.0</v>
      </c>
    </row>
    <row r="529">
      <c r="A529" s="155" t="s">
        <v>732</v>
      </c>
      <c r="B529" s="156" t="s">
        <v>983</v>
      </c>
      <c r="C529" s="156">
        <v>31341.0</v>
      </c>
      <c r="D529" s="159">
        <v>0.0</v>
      </c>
    </row>
    <row r="530">
      <c r="A530" s="153" t="s">
        <v>750</v>
      </c>
      <c r="B530" s="168" t="s">
        <v>984</v>
      </c>
      <c r="C530" s="168">
        <v>31342.0</v>
      </c>
      <c r="D530" s="158">
        <v>2.0</v>
      </c>
    </row>
    <row r="531">
      <c r="A531" s="155" t="s">
        <v>763</v>
      </c>
      <c r="B531" s="156" t="s">
        <v>985</v>
      </c>
      <c r="C531" s="156">
        <v>31343.0</v>
      </c>
      <c r="D531" s="159">
        <v>0.0</v>
      </c>
    </row>
    <row r="532">
      <c r="A532" s="153" t="s">
        <v>503</v>
      </c>
      <c r="B532" s="161"/>
      <c r="C532" s="161"/>
      <c r="D532" s="152"/>
    </row>
    <row r="533">
      <c r="A533" s="155" t="s">
        <v>511</v>
      </c>
      <c r="B533" s="160"/>
      <c r="C533" s="160"/>
      <c r="D533" s="152"/>
    </row>
    <row r="534">
      <c r="A534" s="153" t="s">
        <v>516</v>
      </c>
      <c r="B534" s="161"/>
      <c r="C534" s="161"/>
      <c r="D534" s="152"/>
    </row>
    <row r="535">
      <c r="A535" s="155"/>
      <c r="B535" s="160"/>
      <c r="C535" s="160"/>
      <c r="D535" s="152"/>
    </row>
    <row r="536">
      <c r="A536" s="153"/>
      <c r="B536" s="161"/>
      <c r="C536" s="161"/>
      <c r="D536" s="152"/>
    </row>
    <row r="537">
      <c r="A537" s="155"/>
      <c r="B537" s="160"/>
      <c r="C537" s="160"/>
      <c r="D537" s="152"/>
    </row>
    <row r="538">
      <c r="A538" s="153"/>
      <c r="B538" s="161"/>
      <c r="C538" s="161"/>
      <c r="D538" s="152"/>
    </row>
    <row r="539">
      <c r="A539" s="155"/>
      <c r="B539" s="160"/>
      <c r="C539" s="160"/>
      <c r="D539" s="152"/>
    </row>
    <row r="540">
      <c r="A540" s="153"/>
      <c r="B540" s="161"/>
      <c r="C540" s="161"/>
      <c r="D540" s="152"/>
    </row>
    <row r="541">
      <c r="A541" s="155"/>
      <c r="B541" s="160"/>
      <c r="C541" s="160"/>
      <c r="D541" s="152"/>
    </row>
    <row r="542">
      <c r="A542" s="153"/>
      <c r="B542" s="161"/>
      <c r="C542" s="161"/>
      <c r="D542" s="152"/>
    </row>
    <row r="543">
      <c r="A543" s="155"/>
      <c r="B543" s="160"/>
      <c r="C543" s="160"/>
      <c r="D543" s="152"/>
    </row>
    <row r="544">
      <c r="A544" s="153"/>
      <c r="B544" s="161"/>
      <c r="C544" s="161"/>
      <c r="D544" s="152"/>
    </row>
    <row r="545">
      <c r="A545" s="155"/>
      <c r="B545" s="160"/>
      <c r="C545" s="160"/>
      <c r="D545" s="152"/>
    </row>
    <row r="546">
      <c r="A546" s="153"/>
      <c r="B546" s="161"/>
      <c r="C546" s="161"/>
      <c r="D546" s="152"/>
    </row>
    <row r="547">
      <c r="A547" s="155"/>
      <c r="B547" s="160"/>
      <c r="C547" s="160"/>
      <c r="D547" s="152"/>
    </row>
    <row r="548">
      <c r="A548" s="153"/>
      <c r="B548" s="161"/>
      <c r="C548" s="161"/>
      <c r="D548" s="152"/>
    </row>
    <row r="549">
      <c r="A549" s="155"/>
      <c r="B549" s="160"/>
      <c r="C549" s="160"/>
      <c r="D549" s="152"/>
    </row>
    <row r="550">
      <c r="A550" s="153"/>
      <c r="B550" s="161"/>
      <c r="C550" s="161"/>
      <c r="D550" s="152"/>
    </row>
    <row r="551">
      <c r="A551" s="150" t="str">
        <f t="array" ref="A551:A600">'Up Names'!M2:M51</f>
        <v>Cluster Bomb</v>
      </c>
      <c r="B551" s="151" t="s">
        <v>142</v>
      </c>
      <c r="C551" s="151">
        <v>31185.0</v>
      </c>
      <c r="D551" s="152"/>
    </row>
    <row r="552">
      <c r="A552" s="153" t="s">
        <v>162</v>
      </c>
      <c r="B552" s="154" t="s">
        <v>986</v>
      </c>
      <c r="C552" s="154">
        <v>31190.0</v>
      </c>
      <c r="D552" s="152"/>
    </row>
    <row r="553">
      <c r="A553" s="155" t="s">
        <v>182</v>
      </c>
      <c r="B553" s="151" t="s">
        <v>987</v>
      </c>
      <c r="C553" s="151">
        <v>31186.0</v>
      </c>
      <c r="D553" s="152"/>
    </row>
    <row r="554">
      <c r="A554" s="153" t="s">
        <v>202</v>
      </c>
      <c r="B554" s="154" t="s">
        <v>988</v>
      </c>
      <c r="C554" s="154">
        <v>31192.0</v>
      </c>
      <c r="D554" s="152"/>
    </row>
    <row r="555">
      <c r="A555" s="155" t="s">
        <v>222</v>
      </c>
      <c r="B555" s="151" t="s">
        <v>222</v>
      </c>
      <c r="C555" s="151">
        <v>31195.0</v>
      </c>
      <c r="D555" s="152"/>
    </row>
    <row r="556">
      <c r="A556" s="153" t="s">
        <v>241</v>
      </c>
      <c r="B556" s="154" t="s">
        <v>989</v>
      </c>
      <c r="C556" s="154">
        <v>31198.0</v>
      </c>
      <c r="D556" s="152"/>
    </row>
    <row r="557">
      <c r="A557" s="155" t="s">
        <v>261</v>
      </c>
      <c r="B557" s="151" t="s">
        <v>990</v>
      </c>
      <c r="C557" s="151">
        <v>31201.0</v>
      </c>
      <c r="D557" s="152"/>
    </row>
    <row r="558">
      <c r="A558" s="153" t="s">
        <v>281</v>
      </c>
      <c r="B558" s="154" t="s">
        <v>991</v>
      </c>
      <c r="C558" s="154">
        <v>31204.0</v>
      </c>
      <c r="D558" s="152"/>
    </row>
    <row r="559">
      <c r="A559" s="155" t="s">
        <v>301</v>
      </c>
      <c r="B559" s="151" t="s">
        <v>992</v>
      </c>
      <c r="C559" s="151">
        <v>31188.0</v>
      </c>
      <c r="D559" s="152"/>
    </row>
    <row r="560">
      <c r="A560" s="153" t="s">
        <v>321</v>
      </c>
      <c r="B560" s="154" t="s">
        <v>993</v>
      </c>
      <c r="C560" s="154">
        <v>31187.0</v>
      </c>
      <c r="D560" s="152"/>
    </row>
    <row r="561">
      <c r="A561" s="155" t="s">
        <v>341</v>
      </c>
      <c r="B561" s="151" t="s">
        <v>994</v>
      </c>
      <c r="C561" s="151">
        <v>31191.0</v>
      </c>
      <c r="D561" s="152"/>
    </row>
    <row r="562">
      <c r="A562" s="153" t="s">
        <v>361</v>
      </c>
      <c r="B562" s="154" t="s">
        <v>995</v>
      </c>
      <c r="C562" s="154">
        <v>31202.0</v>
      </c>
      <c r="D562" s="152"/>
    </row>
    <row r="563">
      <c r="A563" s="155" t="s">
        <v>385</v>
      </c>
      <c r="B563" s="151" t="s">
        <v>996</v>
      </c>
      <c r="C563" s="151">
        <v>31194.0</v>
      </c>
      <c r="D563" s="152"/>
    </row>
    <row r="564">
      <c r="A564" s="153" t="s">
        <v>412</v>
      </c>
      <c r="B564" s="154" t="s">
        <v>997</v>
      </c>
      <c r="C564" s="154">
        <v>31193.0</v>
      </c>
      <c r="D564" s="152"/>
    </row>
    <row r="565">
      <c r="A565" s="155" t="s">
        <v>440</v>
      </c>
      <c r="B565" s="151" t="s">
        <v>998</v>
      </c>
      <c r="C565" s="151">
        <v>31196.0</v>
      </c>
      <c r="D565" s="152"/>
    </row>
    <row r="566">
      <c r="A566" s="153" t="s">
        <v>467</v>
      </c>
      <c r="B566" s="154" t="s">
        <v>467</v>
      </c>
      <c r="C566" s="154">
        <v>31203.0</v>
      </c>
      <c r="D566" s="152"/>
    </row>
    <row r="567">
      <c r="A567" s="155" t="s">
        <v>497</v>
      </c>
      <c r="B567" s="151" t="s">
        <v>999</v>
      </c>
      <c r="C567" s="151">
        <v>31197.0</v>
      </c>
      <c r="D567" s="152"/>
    </row>
    <row r="568">
      <c r="A568" s="153" t="s">
        <v>520</v>
      </c>
      <c r="B568" s="154" t="s">
        <v>1000</v>
      </c>
      <c r="C568" s="154">
        <v>31200.0</v>
      </c>
      <c r="D568" s="152"/>
    </row>
    <row r="569">
      <c r="A569" s="155" t="s">
        <v>539</v>
      </c>
      <c r="B569" s="151" t="s">
        <v>1001</v>
      </c>
      <c r="C569" s="151">
        <v>31189.0</v>
      </c>
      <c r="D569" s="152"/>
    </row>
    <row r="570">
      <c r="A570" s="153" t="s">
        <v>559</v>
      </c>
      <c r="B570" s="154" t="s">
        <v>559</v>
      </c>
      <c r="C570" s="154">
        <v>31199.0</v>
      </c>
      <c r="D570" s="152"/>
    </row>
    <row r="571">
      <c r="A571" s="155" t="s">
        <v>583</v>
      </c>
      <c r="B571" s="160"/>
      <c r="C571" s="160"/>
      <c r="D571" s="152"/>
    </row>
    <row r="572">
      <c r="A572" s="153" t="s">
        <v>607</v>
      </c>
      <c r="B572" s="161"/>
      <c r="C572" s="161"/>
      <c r="D572" s="152"/>
    </row>
    <row r="573">
      <c r="A573" s="155" t="s">
        <v>627</v>
      </c>
      <c r="B573" s="160"/>
      <c r="C573" s="160"/>
      <c r="D573" s="152"/>
    </row>
    <row r="574">
      <c r="A574" s="153" t="s">
        <v>653</v>
      </c>
      <c r="B574" s="161"/>
      <c r="C574" s="161"/>
      <c r="D574" s="152"/>
    </row>
    <row r="575">
      <c r="A575" s="155" t="s">
        <v>503</v>
      </c>
      <c r="B575" s="160"/>
      <c r="C575" s="160"/>
      <c r="D575" s="152"/>
    </row>
    <row r="576">
      <c r="A576" s="153" t="s">
        <v>511</v>
      </c>
      <c r="B576" s="161"/>
      <c r="C576" s="161"/>
      <c r="D576" s="152"/>
    </row>
    <row r="577">
      <c r="A577" s="155" t="s">
        <v>516</v>
      </c>
      <c r="B577" s="160"/>
      <c r="C577" s="160"/>
      <c r="D577" s="152"/>
    </row>
    <row r="578">
      <c r="A578" s="153"/>
      <c r="B578" s="161"/>
      <c r="C578" s="161"/>
      <c r="D578" s="152"/>
    </row>
    <row r="579">
      <c r="A579" s="155"/>
      <c r="B579" s="160"/>
      <c r="C579" s="160"/>
      <c r="D579" s="152"/>
    </row>
    <row r="580">
      <c r="A580" s="153"/>
      <c r="B580" s="161"/>
      <c r="C580" s="161"/>
      <c r="D580" s="152"/>
    </row>
    <row r="581">
      <c r="A581" s="155"/>
      <c r="B581" s="160"/>
      <c r="C581" s="160"/>
      <c r="D581" s="152"/>
    </row>
    <row r="582">
      <c r="A582" s="153"/>
      <c r="B582" s="161"/>
      <c r="C582" s="161"/>
      <c r="D582" s="152"/>
    </row>
    <row r="583">
      <c r="A583" s="155"/>
      <c r="B583" s="160"/>
      <c r="C583" s="160"/>
      <c r="D583" s="152"/>
    </row>
    <row r="584">
      <c r="A584" s="153"/>
      <c r="B584" s="161"/>
      <c r="C584" s="161"/>
      <c r="D584" s="152"/>
    </row>
    <row r="585">
      <c r="A585" s="155"/>
      <c r="B585" s="160"/>
      <c r="C585" s="160"/>
      <c r="D585" s="152"/>
    </row>
    <row r="586">
      <c r="A586" s="153"/>
      <c r="B586" s="161"/>
      <c r="C586" s="161"/>
      <c r="D586" s="152"/>
    </row>
    <row r="587">
      <c r="A587" s="155"/>
      <c r="B587" s="160"/>
      <c r="C587" s="160"/>
      <c r="D587" s="152"/>
    </row>
    <row r="588">
      <c r="A588" s="153"/>
      <c r="B588" s="161"/>
      <c r="C588" s="161"/>
      <c r="D588" s="152"/>
    </row>
    <row r="589">
      <c r="A589" s="155"/>
      <c r="B589" s="160"/>
      <c r="C589" s="160"/>
      <c r="D589" s="152"/>
    </row>
    <row r="590">
      <c r="A590" s="153"/>
      <c r="B590" s="161"/>
      <c r="C590" s="161"/>
      <c r="D590" s="152"/>
    </row>
    <row r="591">
      <c r="A591" s="155"/>
      <c r="B591" s="160"/>
      <c r="C591" s="160"/>
      <c r="D591" s="152"/>
    </row>
    <row r="592">
      <c r="A592" s="153"/>
      <c r="B592" s="161"/>
      <c r="C592" s="161"/>
      <c r="D592" s="152"/>
    </row>
    <row r="593">
      <c r="A593" s="155"/>
      <c r="B593" s="160"/>
      <c r="C593" s="160"/>
      <c r="D593" s="152"/>
    </row>
    <row r="594">
      <c r="A594" s="153"/>
      <c r="B594" s="161"/>
      <c r="C594" s="161"/>
      <c r="D594" s="152"/>
    </row>
    <row r="595">
      <c r="A595" s="155"/>
      <c r="B595" s="160"/>
      <c r="C595" s="160"/>
      <c r="D595" s="152"/>
    </row>
    <row r="596">
      <c r="A596" s="153"/>
      <c r="B596" s="161"/>
      <c r="C596" s="161"/>
      <c r="D596" s="152"/>
    </row>
    <row r="597">
      <c r="A597" s="155"/>
      <c r="B597" s="160"/>
      <c r="C597" s="160"/>
      <c r="D597" s="152"/>
    </row>
    <row r="598">
      <c r="A598" s="153"/>
      <c r="B598" s="161"/>
      <c r="C598" s="161"/>
      <c r="D598" s="152"/>
    </row>
    <row r="599">
      <c r="A599" s="155"/>
      <c r="B599" s="160"/>
      <c r="C599" s="160"/>
      <c r="D599" s="152"/>
    </row>
    <row r="600">
      <c r="A600" s="162"/>
      <c r="B600" s="161"/>
      <c r="C600" s="161"/>
      <c r="D600" s="152"/>
    </row>
    <row r="601">
      <c r="A601" s="150" t="str">
        <f t="array" ref="A601:A650">'Up Names'!N2:N51</f>
        <v>Flash Storm</v>
      </c>
      <c r="B601" s="151" t="s">
        <v>1002</v>
      </c>
      <c r="C601" s="151">
        <v>31208.0</v>
      </c>
      <c r="D601" s="152"/>
    </row>
    <row r="602">
      <c r="A602" s="153" t="s">
        <v>163</v>
      </c>
      <c r="B602" s="154" t="s">
        <v>1003</v>
      </c>
      <c r="C602" s="154">
        <v>31217.0</v>
      </c>
      <c r="D602" s="152"/>
    </row>
    <row r="603">
      <c r="A603" s="155" t="s">
        <v>183</v>
      </c>
      <c r="B603" s="151" t="s">
        <v>1004</v>
      </c>
      <c r="C603" s="151">
        <v>31214.0</v>
      </c>
      <c r="D603" s="152"/>
    </row>
    <row r="604">
      <c r="A604" s="153" t="s">
        <v>203</v>
      </c>
      <c r="B604" s="154" t="s">
        <v>1005</v>
      </c>
      <c r="C604" s="154">
        <v>31206.0</v>
      </c>
      <c r="D604" s="152"/>
    </row>
    <row r="605">
      <c r="A605" s="155" t="s">
        <v>223</v>
      </c>
      <c r="B605" s="151" t="s">
        <v>1006</v>
      </c>
      <c r="C605" s="151">
        <v>31216.0</v>
      </c>
      <c r="D605" s="152"/>
    </row>
    <row r="606">
      <c r="A606" s="153" t="s">
        <v>242</v>
      </c>
      <c r="B606" s="154" t="s">
        <v>1007</v>
      </c>
      <c r="C606" s="154">
        <v>31207.0</v>
      </c>
      <c r="D606" s="152"/>
    </row>
    <row r="607">
      <c r="A607" s="155" t="s">
        <v>262</v>
      </c>
      <c r="B607" s="151" t="s">
        <v>1008</v>
      </c>
      <c r="C607" s="151">
        <v>31212.0</v>
      </c>
      <c r="D607" s="152"/>
    </row>
    <row r="608">
      <c r="A608" s="153" t="s">
        <v>282</v>
      </c>
      <c r="B608" s="154" t="s">
        <v>1009</v>
      </c>
      <c r="C608" s="154">
        <v>31211.0</v>
      </c>
      <c r="D608" s="152"/>
    </row>
    <row r="609">
      <c r="A609" s="155" t="s">
        <v>302</v>
      </c>
      <c r="B609" s="151" t="s">
        <v>1010</v>
      </c>
      <c r="C609" s="151">
        <v>31215.0</v>
      </c>
      <c r="D609" s="152"/>
    </row>
    <row r="610">
      <c r="A610" s="153" t="s">
        <v>322</v>
      </c>
      <c r="B610" s="154" t="s">
        <v>322</v>
      </c>
      <c r="C610" s="154">
        <v>31219.0</v>
      </c>
      <c r="D610" s="152"/>
    </row>
    <row r="611">
      <c r="A611" s="155" t="s">
        <v>342</v>
      </c>
      <c r="B611" s="151" t="s">
        <v>1011</v>
      </c>
      <c r="C611" s="151">
        <v>31222.0</v>
      </c>
      <c r="D611" s="152"/>
    </row>
    <row r="612">
      <c r="A612" s="153" t="s">
        <v>362</v>
      </c>
      <c r="B612" s="154" t="s">
        <v>1012</v>
      </c>
      <c r="C612" s="154">
        <v>31220.0</v>
      </c>
      <c r="D612" s="152"/>
    </row>
    <row r="613">
      <c r="A613" s="155" t="s">
        <v>387</v>
      </c>
      <c r="B613" s="151" t="s">
        <v>1013</v>
      </c>
      <c r="C613" s="151">
        <v>31218.0</v>
      </c>
      <c r="D613" s="152"/>
    </row>
    <row r="614">
      <c r="A614" s="153" t="s">
        <v>413</v>
      </c>
      <c r="B614" s="154" t="s">
        <v>1014</v>
      </c>
      <c r="C614" s="154">
        <v>31221.0</v>
      </c>
      <c r="D614" s="152"/>
    </row>
    <row r="615">
      <c r="A615" s="155" t="s">
        <v>441</v>
      </c>
      <c r="B615" s="151" t="s">
        <v>1015</v>
      </c>
      <c r="C615" s="151">
        <v>31223.0</v>
      </c>
      <c r="D615" s="152"/>
    </row>
    <row r="616">
      <c r="A616" s="153" t="s">
        <v>469</v>
      </c>
      <c r="B616" s="154" t="s">
        <v>469</v>
      </c>
      <c r="C616" s="154">
        <v>31224.0</v>
      </c>
      <c r="D616" s="152"/>
    </row>
    <row r="617">
      <c r="A617" s="155" t="s">
        <v>498</v>
      </c>
      <c r="B617" s="151" t="s">
        <v>498</v>
      </c>
      <c r="C617" s="151">
        <v>31225.0</v>
      </c>
      <c r="D617" s="152"/>
    </row>
    <row r="618">
      <c r="A618" s="153" t="s">
        <v>521</v>
      </c>
      <c r="B618" s="154" t="s">
        <v>521</v>
      </c>
      <c r="C618" s="154">
        <v>31209.0</v>
      </c>
      <c r="D618" s="152"/>
    </row>
    <row r="619">
      <c r="A619" s="155" t="s">
        <v>540</v>
      </c>
      <c r="B619" s="151" t="s">
        <v>1016</v>
      </c>
      <c r="C619" s="151">
        <v>31210.0</v>
      </c>
      <c r="D619" s="152"/>
    </row>
    <row r="620">
      <c r="A620" s="153" t="s">
        <v>560</v>
      </c>
      <c r="B620" s="154" t="s">
        <v>1017</v>
      </c>
      <c r="C620" s="154">
        <v>31213.0</v>
      </c>
      <c r="D620" s="152"/>
    </row>
    <row r="621">
      <c r="A621" s="155" t="s">
        <v>583</v>
      </c>
      <c r="B621" s="160"/>
      <c r="C621" s="160"/>
      <c r="D621" s="152"/>
    </row>
    <row r="622">
      <c r="A622" s="153" t="s">
        <v>607</v>
      </c>
      <c r="B622" s="161"/>
      <c r="C622" s="161"/>
      <c r="D622" s="152"/>
    </row>
    <row r="623">
      <c r="A623" s="155" t="s">
        <v>627</v>
      </c>
      <c r="B623" s="160"/>
      <c r="C623" s="160"/>
      <c r="D623" s="152"/>
    </row>
    <row r="624">
      <c r="A624" s="153" t="s">
        <v>653</v>
      </c>
      <c r="B624" s="161"/>
      <c r="C624" s="161"/>
      <c r="D624" s="152"/>
    </row>
    <row r="625">
      <c r="A625" s="155" t="s">
        <v>503</v>
      </c>
      <c r="B625" s="160"/>
      <c r="C625" s="160"/>
      <c r="D625" s="152"/>
    </row>
    <row r="626">
      <c r="A626" s="153" t="s">
        <v>511</v>
      </c>
      <c r="B626" s="161"/>
      <c r="C626" s="161"/>
      <c r="D626" s="152"/>
    </row>
    <row r="627">
      <c r="A627" s="155" t="s">
        <v>516</v>
      </c>
      <c r="B627" s="160"/>
      <c r="C627" s="160"/>
      <c r="D627" s="152"/>
    </row>
    <row r="628">
      <c r="A628" s="153"/>
      <c r="B628" s="161"/>
      <c r="C628" s="161"/>
      <c r="D628" s="152"/>
    </row>
    <row r="629">
      <c r="A629" s="155"/>
      <c r="B629" s="160"/>
      <c r="C629" s="160"/>
      <c r="D629" s="152"/>
    </row>
    <row r="630">
      <c r="A630" s="153"/>
      <c r="B630" s="161"/>
      <c r="C630" s="161"/>
      <c r="D630" s="152"/>
    </row>
    <row r="631">
      <c r="A631" s="155"/>
      <c r="B631" s="160"/>
      <c r="C631" s="160"/>
      <c r="D631" s="152"/>
    </row>
    <row r="632">
      <c r="A632" s="153"/>
      <c r="B632" s="161"/>
      <c r="C632" s="161"/>
      <c r="D632" s="152"/>
    </row>
    <row r="633">
      <c r="A633" s="155"/>
      <c r="B633" s="160"/>
      <c r="C633" s="160"/>
      <c r="D633" s="152"/>
    </row>
    <row r="634">
      <c r="A634" s="153"/>
      <c r="B634" s="161"/>
      <c r="C634" s="161"/>
      <c r="D634" s="152"/>
    </row>
    <row r="635">
      <c r="A635" s="155"/>
      <c r="B635" s="160"/>
      <c r="C635" s="160"/>
      <c r="D635" s="152"/>
    </row>
    <row r="636">
      <c r="A636" s="153"/>
      <c r="B636" s="161"/>
      <c r="C636" s="161"/>
      <c r="D636" s="152"/>
    </row>
    <row r="637">
      <c r="A637" s="155"/>
      <c r="B637" s="160"/>
      <c r="C637" s="160"/>
      <c r="D637" s="152"/>
    </row>
    <row r="638">
      <c r="A638" s="153"/>
      <c r="B638" s="161"/>
      <c r="C638" s="161"/>
      <c r="D638" s="152"/>
    </row>
    <row r="639">
      <c r="A639" s="155"/>
      <c r="B639" s="160"/>
      <c r="C639" s="160"/>
      <c r="D639" s="152"/>
    </row>
    <row r="640">
      <c r="A640" s="153"/>
      <c r="B640" s="161"/>
      <c r="C640" s="161"/>
      <c r="D640" s="152"/>
    </row>
    <row r="641">
      <c r="A641" s="155"/>
      <c r="B641" s="160"/>
      <c r="C641" s="160"/>
      <c r="D641" s="152"/>
    </row>
    <row r="642">
      <c r="A642" s="153"/>
      <c r="B642" s="161"/>
      <c r="C642" s="161"/>
      <c r="D642" s="152"/>
    </row>
    <row r="643">
      <c r="A643" s="155"/>
      <c r="B643" s="160"/>
      <c r="C643" s="160"/>
      <c r="D643" s="152"/>
    </row>
    <row r="644">
      <c r="A644" s="153"/>
      <c r="B644" s="161"/>
      <c r="C644" s="161"/>
      <c r="D644" s="152"/>
    </row>
    <row r="645">
      <c r="A645" s="155"/>
      <c r="B645" s="160"/>
      <c r="C645" s="160"/>
      <c r="D645" s="152"/>
    </row>
    <row r="646">
      <c r="A646" s="153"/>
      <c r="B646" s="161"/>
      <c r="C646" s="161"/>
      <c r="D646" s="152"/>
    </row>
    <row r="647">
      <c r="A647" s="155"/>
      <c r="B647" s="160"/>
      <c r="C647" s="160"/>
      <c r="D647" s="152"/>
    </row>
    <row r="648">
      <c r="A648" s="153"/>
      <c r="B648" s="161"/>
      <c r="C648" s="161"/>
      <c r="D648" s="152"/>
    </row>
    <row r="649">
      <c r="A649" s="155"/>
      <c r="B649" s="160"/>
      <c r="C649" s="160"/>
      <c r="D649" s="152"/>
    </row>
    <row r="650">
      <c r="A650" s="162"/>
      <c r="B650" s="161"/>
      <c r="C650" s="161"/>
      <c r="D650" s="152"/>
    </row>
    <row r="651">
      <c r="A651" s="150" t="str">
        <f t="array" ref="A651:A700">'Up Names'!O2:O51</f>
        <v>Connected Systems</v>
      </c>
      <c r="B651" s="151" t="s">
        <v>1018</v>
      </c>
      <c r="C651" s="151">
        <v>31173.0</v>
      </c>
      <c r="D651" s="152"/>
    </row>
    <row r="652">
      <c r="A652" s="153" t="s">
        <v>164</v>
      </c>
      <c r="B652" s="154" t="s">
        <v>164</v>
      </c>
      <c r="C652" s="154">
        <v>31176.0</v>
      </c>
      <c r="D652" s="152"/>
    </row>
    <row r="653">
      <c r="A653" s="155" t="s">
        <v>184</v>
      </c>
      <c r="B653" s="151" t="s">
        <v>1019</v>
      </c>
      <c r="C653" s="151">
        <v>31180.0</v>
      </c>
      <c r="D653" s="152"/>
    </row>
    <row r="654">
      <c r="A654" s="153" t="s">
        <v>204</v>
      </c>
      <c r="B654" s="154" t="s">
        <v>1020</v>
      </c>
      <c r="C654" s="154">
        <v>31168.0</v>
      </c>
      <c r="D654" s="152"/>
    </row>
    <row r="655">
      <c r="A655" s="155" t="s">
        <v>224</v>
      </c>
      <c r="B655" s="151" t="s">
        <v>224</v>
      </c>
      <c r="C655" s="151">
        <v>31167.0</v>
      </c>
      <c r="D655" s="152"/>
    </row>
    <row r="656">
      <c r="A656" s="153" t="s">
        <v>243</v>
      </c>
      <c r="B656" s="154" t="s">
        <v>1021</v>
      </c>
      <c r="C656" s="154">
        <v>31170.0</v>
      </c>
      <c r="D656" s="152"/>
    </row>
    <row r="657">
      <c r="A657" s="155" t="s">
        <v>263</v>
      </c>
      <c r="B657" s="151" t="s">
        <v>263</v>
      </c>
      <c r="C657" s="151">
        <v>31174.0</v>
      </c>
      <c r="D657" s="152"/>
    </row>
    <row r="658">
      <c r="A658" s="153" t="s">
        <v>283</v>
      </c>
      <c r="B658" s="154" t="s">
        <v>1022</v>
      </c>
      <c r="C658" s="154">
        <v>31171.0</v>
      </c>
      <c r="D658" s="152"/>
    </row>
    <row r="659">
      <c r="A659" s="155" t="s">
        <v>303</v>
      </c>
      <c r="B659" s="151" t="s">
        <v>1023</v>
      </c>
      <c r="C659" s="151">
        <v>31183.0</v>
      </c>
      <c r="D659" s="152"/>
    </row>
    <row r="660">
      <c r="A660" s="153" t="s">
        <v>323</v>
      </c>
      <c r="B660" s="154" t="s">
        <v>1024</v>
      </c>
      <c r="C660" s="154">
        <v>31181.0</v>
      </c>
      <c r="D660" s="152"/>
    </row>
    <row r="661">
      <c r="A661" s="155" t="s">
        <v>343</v>
      </c>
      <c r="B661" s="151" t="s">
        <v>343</v>
      </c>
      <c r="C661" s="151">
        <v>31175.0</v>
      </c>
      <c r="D661" s="152"/>
    </row>
    <row r="662">
      <c r="A662" s="153" t="s">
        <v>363</v>
      </c>
      <c r="B662" s="154" t="s">
        <v>1025</v>
      </c>
      <c r="C662" s="154">
        <v>31169.0</v>
      </c>
      <c r="D662" s="152"/>
    </row>
    <row r="663">
      <c r="A663" s="155" t="s">
        <v>388</v>
      </c>
      <c r="B663" s="151" t="s">
        <v>1026</v>
      </c>
      <c r="C663" s="151">
        <v>31178.0</v>
      </c>
      <c r="D663" s="152"/>
    </row>
    <row r="664">
      <c r="A664" s="153" t="s">
        <v>414</v>
      </c>
      <c r="B664" s="154" t="s">
        <v>1027</v>
      </c>
      <c r="C664" s="154">
        <v>31172.0</v>
      </c>
      <c r="D664" s="152"/>
    </row>
    <row r="665">
      <c r="A665" s="155" t="s">
        <v>442</v>
      </c>
      <c r="B665" s="151" t="s">
        <v>1028</v>
      </c>
      <c r="C665" s="151">
        <v>31165.0</v>
      </c>
      <c r="D665" s="152"/>
    </row>
    <row r="666">
      <c r="A666" s="153" t="s">
        <v>470</v>
      </c>
      <c r="B666" s="154" t="s">
        <v>470</v>
      </c>
      <c r="C666" s="154">
        <v>31182.0</v>
      </c>
      <c r="D666" s="152"/>
    </row>
    <row r="667">
      <c r="A667" s="155" t="s">
        <v>500</v>
      </c>
      <c r="B667" s="151" t="s">
        <v>1029</v>
      </c>
      <c r="C667" s="151">
        <v>31164.0</v>
      </c>
      <c r="D667" s="152"/>
    </row>
    <row r="668">
      <c r="A668" s="153" t="s">
        <v>522</v>
      </c>
      <c r="B668" s="154" t="s">
        <v>1030</v>
      </c>
      <c r="C668" s="154">
        <v>31177.0</v>
      </c>
      <c r="D668" s="152"/>
    </row>
    <row r="669">
      <c r="A669" s="155" t="s">
        <v>541</v>
      </c>
      <c r="B669" s="151" t="s">
        <v>541</v>
      </c>
      <c r="C669" s="151">
        <v>31166.0</v>
      </c>
      <c r="D669" s="152"/>
    </row>
    <row r="670">
      <c r="A670" s="153" t="s">
        <v>561</v>
      </c>
      <c r="B670" s="154" t="s">
        <v>561</v>
      </c>
      <c r="C670" s="154">
        <v>31179.0</v>
      </c>
      <c r="D670" s="152"/>
    </row>
    <row r="671">
      <c r="A671" s="155" t="s">
        <v>583</v>
      </c>
      <c r="B671" s="160"/>
      <c r="C671" s="160"/>
      <c r="D671" s="152"/>
    </row>
    <row r="672">
      <c r="A672" s="153" t="s">
        <v>607</v>
      </c>
      <c r="B672" s="161"/>
      <c r="C672" s="161"/>
      <c r="D672" s="152"/>
    </row>
    <row r="673">
      <c r="A673" s="155" t="s">
        <v>627</v>
      </c>
      <c r="B673" s="160"/>
      <c r="C673" s="160"/>
      <c r="D673" s="152"/>
    </row>
    <row r="674">
      <c r="A674" s="153" t="s">
        <v>653</v>
      </c>
      <c r="B674" s="161"/>
      <c r="C674" s="161"/>
      <c r="D674" s="152"/>
    </row>
    <row r="675">
      <c r="A675" s="155" t="s">
        <v>503</v>
      </c>
      <c r="B675" s="160"/>
      <c r="C675" s="160"/>
      <c r="D675" s="152"/>
    </row>
    <row r="676">
      <c r="A676" s="153" t="s">
        <v>511</v>
      </c>
      <c r="B676" s="161"/>
      <c r="C676" s="161"/>
      <c r="D676" s="152"/>
    </row>
    <row r="677">
      <c r="A677" s="155" t="s">
        <v>516</v>
      </c>
      <c r="B677" s="160"/>
      <c r="C677" s="160"/>
      <c r="D677" s="152"/>
    </row>
    <row r="678">
      <c r="A678" s="153"/>
      <c r="B678" s="161"/>
      <c r="C678" s="161"/>
      <c r="D678" s="152"/>
    </row>
    <row r="679">
      <c r="A679" s="155"/>
      <c r="B679" s="160"/>
      <c r="C679" s="160"/>
      <c r="D679" s="152"/>
    </row>
    <row r="680">
      <c r="A680" s="153"/>
      <c r="B680" s="161"/>
      <c r="C680" s="161"/>
      <c r="D680" s="152"/>
    </row>
    <row r="681">
      <c r="A681" s="155"/>
      <c r="B681" s="160"/>
      <c r="C681" s="160"/>
      <c r="D681" s="152"/>
    </row>
    <row r="682">
      <c r="A682" s="153"/>
      <c r="B682" s="161"/>
      <c r="C682" s="161"/>
      <c r="D682" s="152"/>
    </row>
    <row r="683">
      <c r="A683" s="155"/>
      <c r="B683" s="160"/>
      <c r="C683" s="160"/>
      <c r="D683" s="152"/>
    </row>
    <row r="684">
      <c r="A684" s="153"/>
      <c r="B684" s="161"/>
      <c r="C684" s="161"/>
      <c r="D684" s="152"/>
    </row>
    <row r="685">
      <c r="A685" s="155"/>
      <c r="B685" s="160"/>
      <c r="C685" s="160"/>
      <c r="D685" s="152"/>
    </row>
    <row r="686">
      <c r="A686" s="153"/>
      <c r="B686" s="161"/>
      <c r="C686" s="161"/>
      <c r="D686" s="152"/>
    </row>
    <row r="687">
      <c r="A687" s="155"/>
      <c r="B687" s="160"/>
      <c r="C687" s="160"/>
      <c r="D687" s="152"/>
    </row>
    <row r="688">
      <c r="A688" s="153"/>
      <c r="B688" s="161"/>
      <c r="C688" s="161"/>
      <c r="D688" s="152"/>
    </row>
    <row r="689">
      <c r="A689" s="155"/>
      <c r="B689" s="160"/>
      <c r="C689" s="160"/>
      <c r="D689" s="152"/>
    </row>
    <row r="690">
      <c r="A690" s="153"/>
      <c r="B690" s="161"/>
      <c r="C690" s="161"/>
      <c r="D690" s="152"/>
    </row>
    <row r="691">
      <c r="A691" s="155"/>
      <c r="B691" s="160"/>
      <c r="C691" s="160"/>
      <c r="D691" s="152"/>
    </row>
    <row r="692">
      <c r="A692" s="153"/>
      <c r="B692" s="161"/>
      <c r="C692" s="161"/>
      <c r="D692" s="152"/>
    </row>
    <row r="693">
      <c r="A693" s="155"/>
      <c r="B693" s="160"/>
      <c r="C693" s="160"/>
      <c r="D693" s="152"/>
    </row>
    <row r="694">
      <c r="A694" s="153"/>
      <c r="B694" s="161"/>
      <c r="C694" s="161"/>
      <c r="D694" s="152"/>
    </row>
    <row r="695">
      <c r="A695" s="155"/>
      <c r="B695" s="160"/>
      <c r="C695" s="160"/>
      <c r="D695" s="152"/>
    </row>
    <row r="696">
      <c r="A696" s="153"/>
      <c r="B696" s="161"/>
      <c r="C696" s="161"/>
      <c r="D696" s="152"/>
    </row>
    <row r="697">
      <c r="A697" s="155"/>
      <c r="B697" s="160"/>
      <c r="C697" s="160"/>
      <c r="D697" s="152"/>
    </row>
    <row r="698">
      <c r="A698" s="153"/>
      <c r="B698" s="161"/>
      <c r="C698" s="161"/>
      <c r="D698" s="152"/>
    </row>
    <row r="699">
      <c r="A699" s="155"/>
      <c r="B699" s="160"/>
      <c r="C699" s="160"/>
      <c r="D699" s="152"/>
    </row>
    <row r="700">
      <c r="A700" s="162"/>
      <c r="B700" s="161"/>
      <c r="C700" s="161"/>
      <c r="D700" s="152"/>
    </row>
    <row r="701">
      <c r="A701" s="150" t="str">
        <f t="array" ref="A701:A750">'Up Names'!P2:P51</f>
        <v>Magboots</v>
      </c>
      <c r="B701" s="160"/>
      <c r="C701" s="160"/>
      <c r="D701" s="152"/>
    </row>
    <row r="702">
      <c r="A702" s="153" t="s">
        <v>165</v>
      </c>
      <c r="B702" s="161"/>
      <c r="C702" s="161"/>
      <c r="D702" s="152"/>
    </row>
    <row r="703">
      <c r="A703" s="155" t="s">
        <v>185</v>
      </c>
      <c r="B703" s="160"/>
      <c r="C703" s="160"/>
      <c r="D703" s="152"/>
    </row>
    <row r="704">
      <c r="A704" s="153" t="s">
        <v>205</v>
      </c>
      <c r="B704" s="161"/>
      <c r="C704" s="161"/>
      <c r="D704" s="152"/>
    </row>
    <row r="705">
      <c r="A705" s="155" t="s">
        <v>39</v>
      </c>
      <c r="B705" s="160"/>
      <c r="C705" s="160"/>
      <c r="D705" s="152"/>
    </row>
    <row r="706">
      <c r="A706" s="153" t="s">
        <v>244</v>
      </c>
      <c r="B706" s="161"/>
      <c r="C706" s="161"/>
      <c r="D706" s="152"/>
    </row>
    <row r="707">
      <c r="A707" s="155" t="s">
        <v>264</v>
      </c>
      <c r="B707" s="160"/>
      <c r="C707" s="160"/>
      <c r="D707" s="152"/>
    </row>
    <row r="708">
      <c r="A708" s="153" t="s">
        <v>284</v>
      </c>
      <c r="B708" s="161"/>
      <c r="C708" s="161"/>
      <c r="D708" s="152"/>
    </row>
    <row r="709">
      <c r="A709" s="155" t="s">
        <v>304</v>
      </c>
      <c r="B709" s="160"/>
      <c r="C709" s="160"/>
      <c r="D709" s="152"/>
    </row>
    <row r="710">
      <c r="A710" s="153" t="s">
        <v>324</v>
      </c>
      <c r="B710" s="161"/>
      <c r="C710" s="161"/>
      <c r="D710" s="152"/>
    </row>
    <row r="711">
      <c r="A711" s="155" t="s">
        <v>344</v>
      </c>
      <c r="B711" s="160"/>
      <c r="C711" s="160"/>
      <c r="D711" s="152"/>
    </row>
    <row r="712">
      <c r="A712" s="153" t="s">
        <v>364</v>
      </c>
      <c r="B712" s="161"/>
      <c r="C712" s="161"/>
      <c r="D712" s="152"/>
    </row>
    <row r="713">
      <c r="A713" s="155" t="s">
        <v>389</v>
      </c>
      <c r="B713" s="160"/>
      <c r="C713" s="160"/>
      <c r="D713" s="152"/>
    </row>
    <row r="714">
      <c r="A714" s="153" t="s">
        <v>417</v>
      </c>
      <c r="B714" s="161"/>
      <c r="C714" s="161"/>
      <c r="D714" s="152"/>
    </row>
    <row r="715">
      <c r="A715" s="155" t="s">
        <v>444</v>
      </c>
      <c r="B715" s="160"/>
      <c r="C715" s="160"/>
      <c r="D715" s="152"/>
    </row>
    <row r="716">
      <c r="A716" s="153" t="s">
        <v>471</v>
      </c>
      <c r="B716" s="161"/>
      <c r="C716" s="161"/>
      <c r="D716" s="152"/>
    </row>
    <row r="717">
      <c r="A717" s="155" t="s">
        <v>501</v>
      </c>
      <c r="B717" s="160"/>
      <c r="C717" s="160"/>
      <c r="D717" s="152"/>
    </row>
    <row r="718">
      <c r="A718" s="153" t="s">
        <v>523</v>
      </c>
      <c r="B718" s="161"/>
      <c r="C718" s="161"/>
      <c r="D718" s="152"/>
    </row>
    <row r="719">
      <c r="A719" s="155" t="s">
        <v>542</v>
      </c>
      <c r="B719" s="160"/>
      <c r="C719" s="160"/>
      <c r="D719" s="152"/>
    </row>
    <row r="720">
      <c r="A720" s="153" t="s">
        <v>562</v>
      </c>
      <c r="B720" s="161"/>
      <c r="C720" s="161"/>
      <c r="D720" s="152"/>
    </row>
    <row r="721">
      <c r="A721" s="155" t="s">
        <v>585</v>
      </c>
      <c r="B721" s="160"/>
      <c r="C721" s="160"/>
      <c r="D721" s="152"/>
    </row>
    <row r="722">
      <c r="A722" s="153" t="s">
        <v>608</v>
      </c>
      <c r="B722" s="161"/>
      <c r="C722" s="161"/>
      <c r="D722" s="152"/>
    </row>
    <row r="723">
      <c r="A723" s="155" t="s">
        <v>629</v>
      </c>
      <c r="B723" s="160"/>
      <c r="C723" s="160"/>
      <c r="D723" s="152"/>
    </row>
    <row r="724">
      <c r="A724" s="153" t="s">
        <v>654</v>
      </c>
      <c r="B724" s="161"/>
      <c r="C724" s="161"/>
      <c r="D724" s="152"/>
    </row>
    <row r="725">
      <c r="A725" s="155" t="s">
        <v>669</v>
      </c>
      <c r="B725" s="160"/>
      <c r="C725" s="160"/>
      <c r="D725" s="152"/>
    </row>
    <row r="726">
      <c r="A726" s="153" t="s">
        <v>683</v>
      </c>
      <c r="B726" s="161"/>
      <c r="C726" s="161"/>
      <c r="D726" s="152"/>
    </row>
    <row r="727">
      <c r="A727" s="155" t="s">
        <v>698</v>
      </c>
      <c r="B727" s="160"/>
      <c r="C727" s="160"/>
      <c r="D727" s="152"/>
    </row>
    <row r="728">
      <c r="A728" s="153" t="s">
        <v>717</v>
      </c>
      <c r="B728" s="161"/>
      <c r="C728" s="161"/>
      <c r="D728" s="152"/>
    </row>
    <row r="729">
      <c r="A729" s="155" t="s">
        <v>735</v>
      </c>
      <c r="B729" s="160"/>
      <c r="C729" s="160"/>
      <c r="D729" s="152"/>
    </row>
    <row r="730">
      <c r="A730" s="153" t="s">
        <v>753</v>
      </c>
      <c r="B730" s="161"/>
      <c r="C730" s="161"/>
      <c r="D730" s="152"/>
    </row>
    <row r="731">
      <c r="A731" s="155" t="s">
        <v>765</v>
      </c>
      <c r="B731" s="160"/>
      <c r="C731" s="160"/>
      <c r="D731" s="152"/>
    </row>
    <row r="732">
      <c r="A732" s="153" t="s">
        <v>774</v>
      </c>
      <c r="B732" s="161"/>
      <c r="C732" s="161"/>
      <c r="D732" s="152"/>
    </row>
    <row r="733">
      <c r="A733" s="155" t="s">
        <v>780</v>
      </c>
      <c r="B733" s="160"/>
      <c r="C733" s="160"/>
      <c r="D733" s="152"/>
    </row>
    <row r="734">
      <c r="A734" s="153" t="s">
        <v>785</v>
      </c>
      <c r="B734" s="161"/>
      <c r="C734" s="161"/>
      <c r="D734" s="152"/>
    </row>
    <row r="735">
      <c r="A735" s="155" t="s">
        <v>790</v>
      </c>
      <c r="B735" s="160"/>
      <c r="C735" s="160"/>
      <c r="D735" s="152"/>
    </row>
    <row r="736">
      <c r="A736" s="153" t="s">
        <v>503</v>
      </c>
      <c r="B736" s="161"/>
      <c r="C736" s="161"/>
      <c r="D736" s="152"/>
    </row>
    <row r="737">
      <c r="A737" s="155" t="s">
        <v>511</v>
      </c>
      <c r="B737" s="160"/>
      <c r="C737" s="160"/>
      <c r="D737" s="152"/>
    </row>
    <row r="738">
      <c r="A738" s="153" t="s">
        <v>516</v>
      </c>
      <c r="B738" s="161"/>
      <c r="C738" s="161"/>
      <c r="D738" s="152"/>
    </row>
    <row r="739">
      <c r="A739" s="155"/>
      <c r="B739" s="160"/>
      <c r="C739" s="160"/>
      <c r="D739" s="152"/>
    </row>
    <row r="740">
      <c r="A740" s="153"/>
      <c r="B740" s="161"/>
      <c r="C740" s="161"/>
      <c r="D740" s="152"/>
    </row>
    <row r="741">
      <c r="A741" s="155"/>
      <c r="B741" s="160"/>
      <c r="C741" s="160"/>
      <c r="D741" s="152"/>
    </row>
    <row r="742">
      <c r="A742" s="153"/>
      <c r="B742" s="161"/>
      <c r="C742" s="161"/>
      <c r="D742" s="152"/>
    </row>
    <row r="743">
      <c r="A743" s="155"/>
      <c r="B743" s="160"/>
      <c r="C743" s="160"/>
      <c r="D743" s="152"/>
    </row>
    <row r="744">
      <c r="A744" s="153"/>
      <c r="B744" s="161"/>
      <c r="C744" s="161"/>
      <c r="D744" s="152"/>
    </row>
    <row r="745">
      <c r="A745" s="155"/>
      <c r="B745" s="160"/>
      <c r="C745" s="160"/>
      <c r="D745" s="152"/>
    </row>
    <row r="746">
      <c r="A746" s="153"/>
      <c r="B746" s="161"/>
      <c r="C746" s="161"/>
      <c r="D746" s="152"/>
    </row>
    <row r="747">
      <c r="A747" s="155"/>
      <c r="B747" s="160"/>
      <c r="C747" s="160"/>
      <c r="D747" s="152"/>
    </row>
    <row r="748">
      <c r="A748" s="153"/>
      <c r="B748" s="161"/>
      <c r="C748" s="161"/>
      <c r="D748" s="152"/>
    </row>
    <row r="749">
      <c r="A749" s="155"/>
      <c r="B749" s="160"/>
      <c r="C749" s="160"/>
      <c r="D749" s="152"/>
    </row>
    <row r="750">
      <c r="A750" s="162"/>
      <c r="B750" s="161"/>
      <c r="C750" s="161"/>
      <c r="D750" s="152"/>
    </row>
    <row r="751">
      <c r="A751" s="150" t="str">
        <f t="array" ref="A751:A800">'Up Names'!Q2:Q51</f>
        <v>Switcheroo</v>
      </c>
      <c r="D751" s="152"/>
    </row>
    <row r="752">
      <c r="A752" s="153" t="s">
        <v>166</v>
      </c>
      <c r="B752" s="151" t="s">
        <v>1042</v>
      </c>
      <c r="C752" s="151">
        <v>31254.0</v>
      </c>
      <c r="D752" s="152"/>
    </row>
    <row r="753">
      <c r="A753" s="155" t="s">
        <v>186</v>
      </c>
      <c r="B753" s="154" t="s">
        <v>186</v>
      </c>
      <c r="C753" s="154">
        <v>30452.0</v>
      </c>
      <c r="D753" s="152"/>
    </row>
    <row r="754">
      <c r="A754" s="153" t="s">
        <v>206</v>
      </c>
      <c r="B754" s="151" t="s">
        <v>1043</v>
      </c>
      <c r="C754" s="151">
        <v>30453.0</v>
      </c>
      <c r="D754" s="152"/>
    </row>
    <row r="755">
      <c r="A755" s="155" t="s">
        <v>225</v>
      </c>
      <c r="B755" s="154" t="s">
        <v>1045</v>
      </c>
      <c r="C755" s="154">
        <v>30459.0</v>
      </c>
      <c r="D755" s="152"/>
    </row>
    <row r="756">
      <c r="A756" s="153" t="s">
        <v>245</v>
      </c>
      <c r="B756" s="151" t="s">
        <v>1046</v>
      </c>
      <c r="C756" s="151">
        <v>30454.0</v>
      </c>
      <c r="D756" s="152"/>
    </row>
    <row r="757">
      <c r="A757" s="155" t="s">
        <v>265</v>
      </c>
      <c r="B757" s="154" t="s">
        <v>1047</v>
      </c>
      <c r="C757" s="154">
        <v>30456.0</v>
      </c>
      <c r="D757" s="152"/>
    </row>
    <row r="758">
      <c r="A758" s="153" t="s">
        <v>285</v>
      </c>
      <c r="B758" s="151" t="s">
        <v>285</v>
      </c>
      <c r="C758" s="151">
        <v>31250.0</v>
      </c>
      <c r="D758" s="152"/>
    </row>
    <row r="759">
      <c r="A759" s="155" t="s">
        <v>305</v>
      </c>
      <c r="B759" s="154" t="s">
        <v>1048</v>
      </c>
      <c r="C759" s="154">
        <v>31252.0</v>
      </c>
      <c r="D759" s="152"/>
    </row>
    <row r="760">
      <c r="A760" s="153" t="s">
        <v>325</v>
      </c>
      <c r="B760" s="151" t="s">
        <v>325</v>
      </c>
      <c r="C760" s="151">
        <v>30455.0</v>
      </c>
      <c r="D760" s="152"/>
    </row>
    <row r="761">
      <c r="A761" s="155" t="s">
        <v>345</v>
      </c>
      <c r="B761" s="154" t="s">
        <v>1050</v>
      </c>
      <c r="C761" s="154">
        <v>30450.0</v>
      </c>
      <c r="D761" s="152"/>
    </row>
    <row r="762">
      <c r="A762" s="153" t="s">
        <v>365</v>
      </c>
      <c r="B762" s="151" t="s">
        <v>1051</v>
      </c>
      <c r="C762" s="151">
        <v>30460.0</v>
      </c>
      <c r="D762" s="152"/>
    </row>
    <row r="763">
      <c r="A763" s="155" t="s">
        <v>390</v>
      </c>
      <c r="B763" s="154" t="s">
        <v>1052</v>
      </c>
      <c r="C763" s="154">
        <v>30461.0</v>
      </c>
      <c r="D763" s="152"/>
    </row>
    <row r="764">
      <c r="A764" s="153" t="s">
        <v>418</v>
      </c>
      <c r="B764" s="151" t="s">
        <v>1053</v>
      </c>
      <c r="C764" s="151">
        <v>31251.0</v>
      </c>
      <c r="D764" s="152"/>
    </row>
    <row r="765">
      <c r="A765" s="155" t="s">
        <v>445</v>
      </c>
      <c r="B765" s="154" t="s">
        <v>1054</v>
      </c>
      <c r="C765" s="154">
        <v>31258.0</v>
      </c>
      <c r="D765" s="152"/>
    </row>
    <row r="766">
      <c r="A766" s="153" t="s">
        <v>473</v>
      </c>
      <c r="B766" s="151" t="s">
        <v>1056</v>
      </c>
      <c r="C766" s="151">
        <v>30462.0</v>
      </c>
      <c r="D766" s="152"/>
    </row>
    <row r="767">
      <c r="A767" s="155" t="s">
        <v>502</v>
      </c>
      <c r="B767" s="154" t="s">
        <v>1057</v>
      </c>
      <c r="C767" s="154">
        <v>31259.0</v>
      </c>
      <c r="D767" s="152"/>
    </row>
    <row r="768">
      <c r="A768" s="153" t="s">
        <v>524</v>
      </c>
      <c r="B768" s="151" t="s">
        <v>1058</v>
      </c>
      <c r="C768" s="151">
        <v>31249.0</v>
      </c>
      <c r="D768" s="152"/>
    </row>
    <row r="769">
      <c r="A769" s="155" t="s">
        <v>543</v>
      </c>
      <c r="B769" s="154" t="s">
        <v>1059</v>
      </c>
      <c r="C769" s="154">
        <v>30464.0</v>
      </c>
      <c r="D769" s="152"/>
    </row>
    <row r="770">
      <c r="A770" s="153" t="s">
        <v>564</v>
      </c>
      <c r="B770" s="151" t="s">
        <v>1060</v>
      </c>
      <c r="C770" s="151">
        <v>31263.0</v>
      </c>
      <c r="D770" s="152"/>
    </row>
    <row r="771">
      <c r="A771" s="155" t="s">
        <v>586</v>
      </c>
      <c r="B771" s="154" t="s">
        <v>1061</v>
      </c>
      <c r="C771" s="154">
        <v>31255.0</v>
      </c>
      <c r="D771" s="152"/>
    </row>
    <row r="772">
      <c r="A772" s="153" t="s">
        <v>609</v>
      </c>
      <c r="B772" s="151" t="s">
        <v>609</v>
      </c>
      <c r="C772" s="151">
        <v>31256.0</v>
      </c>
      <c r="D772" s="152"/>
    </row>
    <row r="773">
      <c r="A773" s="155" t="s">
        <v>631</v>
      </c>
      <c r="B773" s="154" t="s">
        <v>631</v>
      </c>
      <c r="C773" s="154">
        <v>31261.0</v>
      </c>
      <c r="D773" s="152"/>
    </row>
    <row r="774">
      <c r="A774" s="153" t="s">
        <v>655</v>
      </c>
      <c r="B774" s="151" t="s">
        <v>655</v>
      </c>
      <c r="C774" s="151">
        <v>31262.0</v>
      </c>
      <c r="D774" s="152"/>
    </row>
    <row r="775">
      <c r="A775" s="155" t="s">
        <v>670</v>
      </c>
      <c r="B775" s="154" t="s">
        <v>1063</v>
      </c>
      <c r="C775" s="154">
        <v>30458.0</v>
      </c>
      <c r="D775" s="152"/>
    </row>
    <row r="776">
      <c r="A776" s="153" t="s">
        <v>684</v>
      </c>
      <c r="B776" s="151" t="s">
        <v>1064</v>
      </c>
      <c r="C776" s="151">
        <v>31253.0</v>
      </c>
      <c r="D776" s="152"/>
    </row>
    <row r="777">
      <c r="A777" s="155" t="s">
        <v>699</v>
      </c>
      <c r="B777" s="154" t="s">
        <v>1065</v>
      </c>
      <c r="C777" s="154">
        <v>30463.0</v>
      </c>
      <c r="D777" s="152"/>
    </row>
    <row r="778">
      <c r="A778" s="153" t="s">
        <v>719</v>
      </c>
      <c r="B778" s="151" t="s">
        <v>1066</v>
      </c>
      <c r="C778" s="151">
        <v>30449.0</v>
      </c>
      <c r="D778" s="152"/>
    </row>
    <row r="779">
      <c r="A779" s="155" t="s">
        <v>737</v>
      </c>
      <c r="B779" s="154" t="s">
        <v>1067</v>
      </c>
      <c r="C779" s="154">
        <v>30447.0</v>
      </c>
      <c r="D779" s="152"/>
    </row>
    <row r="780">
      <c r="A780" s="153" t="s">
        <v>754</v>
      </c>
      <c r="B780" s="151" t="s">
        <v>1068</v>
      </c>
      <c r="C780" s="151">
        <v>30457.0</v>
      </c>
      <c r="D780" s="152"/>
    </row>
    <row r="781">
      <c r="A781" s="155" t="s">
        <v>766</v>
      </c>
      <c r="B781" s="154" t="s">
        <v>1070</v>
      </c>
      <c r="C781" s="154">
        <v>30451.0</v>
      </c>
      <c r="D781" s="152"/>
    </row>
    <row r="782">
      <c r="A782" s="153" t="s">
        <v>775</v>
      </c>
      <c r="B782" s="151" t="s">
        <v>775</v>
      </c>
      <c r="C782" s="151">
        <v>31260.0</v>
      </c>
      <c r="D782" s="152"/>
    </row>
    <row r="783">
      <c r="A783" s="155" t="s">
        <v>781</v>
      </c>
      <c r="B783" s="154" t="s">
        <v>1071</v>
      </c>
      <c r="C783" s="154">
        <v>30465.0</v>
      </c>
      <c r="D783" s="152"/>
    </row>
    <row r="784">
      <c r="A784" s="153" t="s">
        <v>786</v>
      </c>
      <c r="B784" s="151" t="s">
        <v>1072</v>
      </c>
      <c r="C784" s="151">
        <v>31257.0</v>
      </c>
      <c r="D784" s="152"/>
    </row>
    <row r="785">
      <c r="A785" s="155" t="s">
        <v>791</v>
      </c>
      <c r="B785" s="160"/>
      <c r="C785" s="160"/>
      <c r="D785" s="152"/>
    </row>
    <row r="786">
      <c r="A786" s="153" t="s">
        <v>797</v>
      </c>
      <c r="B786" s="161"/>
      <c r="C786" s="161"/>
      <c r="D786" s="152"/>
    </row>
    <row r="787">
      <c r="A787" s="155"/>
      <c r="B787" s="160"/>
      <c r="C787" s="160"/>
      <c r="D787" s="152"/>
    </row>
    <row r="788">
      <c r="A788" s="153"/>
      <c r="B788" s="161"/>
      <c r="C788" s="161"/>
      <c r="D788" s="152"/>
    </row>
    <row r="789">
      <c r="A789" s="155"/>
      <c r="B789" s="160"/>
      <c r="C789" s="160"/>
      <c r="D789" s="152"/>
    </row>
    <row r="790">
      <c r="A790" s="153"/>
      <c r="B790" s="161"/>
      <c r="C790" s="161"/>
      <c r="D790" s="152"/>
    </row>
    <row r="791">
      <c r="A791" s="155"/>
      <c r="B791" s="160"/>
      <c r="C791" s="160"/>
      <c r="D791" s="152"/>
    </row>
    <row r="792">
      <c r="A792" s="153"/>
      <c r="B792" s="161"/>
      <c r="C792" s="161"/>
      <c r="D792" s="152"/>
    </row>
    <row r="793">
      <c r="A793" s="155"/>
      <c r="B793" s="160"/>
      <c r="C793" s="160"/>
      <c r="D793" s="152"/>
    </row>
    <row r="794">
      <c r="A794" s="153"/>
      <c r="B794" s="161"/>
      <c r="C794" s="161"/>
      <c r="D794" s="152"/>
    </row>
    <row r="795">
      <c r="A795" s="155"/>
      <c r="B795" s="160"/>
      <c r="C795" s="160"/>
      <c r="D795" s="152"/>
    </row>
    <row r="796">
      <c r="A796" s="153"/>
      <c r="B796" s="161"/>
      <c r="C796" s="161"/>
      <c r="D796" s="152"/>
    </row>
    <row r="797">
      <c r="A797" s="155"/>
      <c r="B797" s="160"/>
      <c r="C797" s="160"/>
      <c r="D797" s="152"/>
    </row>
    <row r="798">
      <c r="A798" s="153"/>
      <c r="B798" s="161"/>
      <c r="C798" s="161"/>
      <c r="D798" s="152"/>
    </row>
    <row r="799">
      <c r="A799" s="155"/>
      <c r="B799" s="160"/>
      <c r="C799" s="160"/>
      <c r="D799" s="152"/>
    </row>
    <row r="800">
      <c r="A800" s="162"/>
      <c r="B800" s="161"/>
      <c r="C800" s="161"/>
      <c r="D800" s="152"/>
    </row>
    <row r="801">
      <c r="A801" s="150" t="str">
        <f t="array" ref="A801:A850">'Up Names'!R2:R51</f>
        <v>Modular Construction</v>
      </c>
      <c r="B801" s="151" t="s">
        <v>1075</v>
      </c>
      <c r="C801" s="151">
        <v>31271.0</v>
      </c>
      <c r="D801" s="152"/>
    </row>
    <row r="802">
      <c r="A802" s="153" t="s">
        <v>167</v>
      </c>
      <c r="B802" s="154" t="s">
        <v>1076</v>
      </c>
      <c r="C802" s="154">
        <v>30294.0</v>
      </c>
      <c r="D802" s="152"/>
    </row>
    <row r="803">
      <c r="A803" s="155" t="s">
        <v>187</v>
      </c>
      <c r="B803" s="151" t="s">
        <v>1077</v>
      </c>
      <c r="C803" s="151">
        <v>31274.0</v>
      </c>
      <c r="D803" s="152"/>
    </row>
    <row r="804">
      <c r="A804" s="153" t="s">
        <v>207</v>
      </c>
      <c r="B804" s="154" t="s">
        <v>207</v>
      </c>
      <c r="C804" s="154">
        <v>30297.0</v>
      </c>
      <c r="D804" s="152"/>
    </row>
    <row r="805">
      <c r="A805" s="155" t="s">
        <v>226</v>
      </c>
      <c r="B805" s="151" t="s">
        <v>1078</v>
      </c>
      <c r="C805" s="151">
        <v>30303.0</v>
      </c>
      <c r="D805" s="152"/>
    </row>
    <row r="806">
      <c r="A806" s="153" t="s">
        <v>246</v>
      </c>
      <c r="B806" s="154" t="s">
        <v>1079</v>
      </c>
      <c r="C806" s="154">
        <v>31266.0</v>
      </c>
      <c r="D806" s="152"/>
    </row>
    <row r="807">
      <c r="A807" s="155" t="s">
        <v>266</v>
      </c>
      <c r="B807" s="151" t="s">
        <v>266</v>
      </c>
      <c r="C807" s="151">
        <v>30291.0</v>
      </c>
      <c r="D807" s="152"/>
    </row>
    <row r="808">
      <c r="A808" s="153" t="s">
        <v>286</v>
      </c>
      <c r="B808" s="154" t="s">
        <v>1081</v>
      </c>
      <c r="C808" s="154">
        <v>31268.0</v>
      </c>
      <c r="D808" s="152"/>
    </row>
    <row r="809">
      <c r="A809" s="155" t="s">
        <v>306</v>
      </c>
      <c r="B809" s="151" t="s">
        <v>1082</v>
      </c>
      <c r="C809" s="151">
        <v>31272.0</v>
      </c>
      <c r="D809" s="152"/>
    </row>
    <row r="810">
      <c r="A810" s="153" t="s">
        <v>326</v>
      </c>
      <c r="B810" s="154" t="s">
        <v>1083</v>
      </c>
      <c r="C810" s="154">
        <v>30304.0</v>
      </c>
      <c r="D810" s="152"/>
    </row>
    <row r="811">
      <c r="A811" s="155" t="s">
        <v>346</v>
      </c>
      <c r="B811" s="151" t="s">
        <v>346</v>
      </c>
      <c r="C811" s="151">
        <v>30309.0</v>
      </c>
      <c r="D811" s="152"/>
    </row>
    <row r="812">
      <c r="A812" s="153" t="s">
        <v>366</v>
      </c>
      <c r="B812" s="154" t="s">
        <v>1084</v>
      </c>
      <c r="C812" s="154">
        <v>30306.0</v>
      </c>
      <c r="D812" s="152"/>
    </row>
    <row r="813">
      <c r="A813" s="155" t="s">
        <v>391</v>
      </c>
      <c r="B813" s="151" t="s">
        <v>1085</v>
      </c>
      <c r="C813" s="151">
        <v>31275.0</v>
      </c>
      <c r="D813" s="152"/>
    </row>
    <row r="814">
      <c r="A814" s="153" t="s">
        <v>419</v>
      </c>
      <c r="B814" s="154" t="s">
        <v>419</v>
      </c>
      <c r="C814" s="154">
        <v>31267.0</v>
      </c>
      <c r="D814" s="152"/>
    </row>
    <row r="815">
      <c r="A815" s="155" t="s">
        <v>446</v>
      </c>
      <c r="B815" s="151" t="s">
        <v>446</v>
      </c>
      <c r="C815" s="151">
        <v>30289.0</v>
      </c>
      <c r="D815" s="152"/>
    </row>
    <row r="816">
      <c r="A816" s="153" t="s">
        <v>475</v>
      </c>
      <c r="B816" s="154" t="s">
        <v>475</v>
      </c>
      <c r="C816" s="154">
        <v>30290.0</v>
      </c>
      <c r="D816" s="152"/>
    </row>
    <row r="817">
      <c r="A817" s="155" t="s">
        <v>504</v>
      </c>
      <c r="B817" s="151" t="s">
        <v>1087</v>
      </c>
      <c r="C817" s="151">
        <v>30298.0</v>
      </c>
      <c r="D817" s="152"/>
    </row>
    <row r="818">
      <c r="A818" s="153" t="s">
        <v>525</v>
      </c>
      <c r="B818" s="154" t="s">
        <v>525</v>
      </c>
      <c r="C818" s="154">
        <v>30299.0</v>
      </c>
      <c r="D818" s="152"/>
    </row>
    <row r="819">
      <c r="A819" s="155" t="s">
        <v>544</v>
      </c>
      <c r="B819" s="151" t="s">
        <v>1088</v>
      </c>
      <c r="C819" s="151">
        <v>30308.0</v>
      </c>
      <c r="D819" s="152"/>
    </row>
    <row r="820">
      <c r="A820" s="153" t="s">
        <v>565</v>
      </c>
      <c r="B820" s="154" t="s">
        <v>1089</v>
      </c>
      <c r="C820" s="154">
        <v>30302.0</v>
      </c>
      <c r="D820" s="152"/>
    </row>
    <row r="821">
      <c r="A821" s="155" t="s">
        <v>588</v>
      </c>
      <c r="B821" s="151" t="s">
        <v>1090</v>
      </c>
      <c r="C821" s="151">
        <v>31269.0</v>
      </c>
      <c r="D821" s="152"/>
    </row>
    <row r="822">
      <c r="A822" s="153" t="s">
        <v>610</v>
      </c>
      <c r="B822" s="154" t="s">
        <v>1091</v>
      </c>
      <c r="C822" s="154">
        <v>30292.0</v>
      </c>
      <c r="D822" s="152"/>
    </row>
    <row r="823">
      <c r="A823" s="155" t="s">
        <v>633</v>
      </c>
      <c r="B823" s="151" t="s">
        <v>1092</v>
      </c>
      <c r="C823" s="151">
        <v>30301.0</v>
      </c>
      <c r="D823" s="152"/>
    </row>
    <row r="824">
      <c r="A824" s="153" t="s">
        <v>656</v>
      </c>
      <c r="B824" s="154" t="s">
        <v>656</v>
      </c>
      <c r="C824" s="154">
        <v>30310.0</v>
      </c>
      <c r="D824" s="152"/>
    </row>
    <row r="825">
      <c r="A825" s="155" t="s">
        <v>671</v>
      </c>
      <c r="B825" s="151" t="s">
        <v>671</v>
      </c>
      <c r="C825" s="151">
        <v>30311.0</v>
      </c>
      <c r="D825" s="152"/>
    </row>
    <row r="826">
      <c r="A826" s="153" t="s">
        <v>685</v>
      </c>
      <c r="B826" s="154" t="s">
        <v>685</v>
      </c>
      <c r="C826" s="154">
        <v>30312.0</v>
      </c>
      <c r="D826" s="152"/>
    </row>
    <row r="827">
      <c r="A827" s="155" t="s">
        <v>701</v>
      </c>
      <c r="B827" s="151" t="s">
        <v>1094</v>
      </c>
      <c r="C827" s="151">
        <v>30293.0</v>
      </c>
      <c r="D827" s="152"/>
    </row>
    <row r="828">
      <c r="A828" s="153" t="s">
        <v>720</v>
      </c>
      <c r="B828" s="154" t="s">
        <v>1095</v>
      </c>
      <c r="C828" s="154">
        <v>31273.0</v>
      </c>
      <c r="D828" s="152"/>
    </row>
    <row r="829">
      <c r="A829" s="155" t="s">
        <v>738</v>
      </c>
      <c r="B829" s="151" t="s">
        <v>738</v>
      </c>
      <c r="C829" s="151">
        <v>30295.0</v>
      </c>
      <c r="D829" s="152"/>
    </row>
    <row r="830">
      <c r="A830" s="153" t="s">
        <v>755</v>
      </c>
      <c r="B830" s="154" t="s">
        <v>1096</v>
      </c>
      <c r="C830" s="154">
        <v>30300.0</v>
      </c>
      <c r="D830" s="152"/>
    </row>
    <row r="831">
      <c r="A831" s="155" t="s">
        <v>768</v>
      </c>
      <c r="B831" s="151" t="s">
        <v>768</v>
      </c>
      <c r="C831" s="151">
        <v>30296.0</v>
      </c>
      <c r="D831" s="152"/>
    </row>
    <row r="832">
      <c r="A832" s="153" t="s">
        <v>776</v>
      </c>
      <c r="B832" s="154" t="s">
        <v>1097</v>
      </c>
      <c r="C832" s="154">
        <v>30305.0</v>
      </c>
      <c r="D832" s="152"/>
    </row>
    <row r="833">
      <c r="A833" s="155" t="s">
        <v>782</v>
      </c>
      <c r="B833" s="151" t="s">
        <v>1099</v>
      </c>
      <c r="C833" s="151">
        <v>31270.0</v>
      </c>
      <c r="D833" s="152"/>
    </row>
    <row r="834">
      <c r="A834" s="153" t="s">
        <v>787</v>
      </c>
      <c r="B834" s="161"/>
      <c r="C834" s="161"/>
      <c r="D834" s="152"/>
    </row>
    <row r="835">
      <c r="A835" s="155" t="s">
        <v>792</v>
      </c>
      <c r="B835" s="160"/>
      <c r="C835" s="160"/>
      <c r="D835" s="152"/>
    </row>
    <row r="836">
      <c r="A836" s="153"/>
      <c r="B836" s="161"/>
      <c r="C836" s="161"/>
      <c r="D836" s="152"/>
    </row>
    <row r="837">
      <c r="A837" s="155"/>
      <c r="B837" s="160"/>
      <c r="C837" s="160"/>
      <c r="D837" s="152"/>
    </row>
    <row r="838">
      <c r="A838" s="153"/>
      <c r="B838" s="161"/>
      <c r="C838" s="161"/>
      <c r="D838" s="152"/>
    </row>
    <row r="839">
      <c r="A839" s="155"/>
      <c r="B839" s="160"/>
      <c r="C839" s="160"/>
      <c r="D839" s="152"/>
    </row>
    <row r="840">
      <c r="A840" s="153"/>
      <c r="B840" s="161"/>
      <c r="C840" s="161"/>
      <c r="D840" s="152"/>
    </row>
    <row r="841">
      <c r="A841" s="155"/>
      <c r="B841" s="160"/>
      <c r="C841" s="160"/>
      <c r="D841" s="152"/>
    </row>
    <row r="842">
      <c r="A842" s="153"/>
      <c r="B842" s="161"/>
      <c r="C842" s="161"/>
      <c r="D842" s="152"/>
    </row>
    <row r="843">
      <c r="A843" s="155"/>
      <c r="B843" s="160"/>
      <c r="C843" s="160"/>
      <c r="D843" s="152"/>
    </row>
    <row r="844">
      <c r="A844" s="153"/>
      <c r="B844" s="161"/>
      <c r="C844" s="161"/>
      <c r="D844" s="152"/>
    </row>
    <row r="845">
      <c r="A845" s="155"/>
      <c r="B845" s="160"/>
      <c r="C845" s="160"/>
      <c r="D845" s="152"/>
    </row>
    <row r="846">
      <c r="A846" s="153"/>
      <c r="B846" s="161"/>
      <c r="C846" s="161"/>
      <c r="D846" s="152"/>
    </row>
    <row r="847">
      <c r="A847" s="155"/>
      <c r="B847" s="160"/>
      <c r="C847" s="160"/>
      <c r="D847" s="152"/>
    </row>
    <row r="848">
      <c r="A848" s="153"/>
      <c r="B848" s="161"/>
      <c r="C848" s="161"/>
      <c r="D848" s="152"/>
    </row>
    <row r="849">
      <c r="A849" s="155"/>
      <c r="B849" s="160"/>
      <c r="C849" s="160"/>
      <c r="D849" s="152"/>
    </row>
    <row r="850">
      <c r="A850" s="162"/>
      <c r="B850" s="161"/>
      <c r="C850" s="161"/>
      <c r="D850" s="152"/>
    </row>
    <row r="851">
      <c r="A851" s="150" t="str">
        <f t="array" ref="A851:A900">'Up Names'!S2:S51</f>
        <v>Upside Down</v>
      </c>
      <c r="B851" s="151" t="s">
        <v>1102</v>
      </c>
      <c r="C851" s="151">
        <v>30422.0</v>
      </c>
      <c r="D851" s="152"/>
    </row>
    <row r="852">
      <c r="A852" s="153" t="s">
        <v>168</v>
      </c>
      <c r="B852" s="154" t="s">
        <v>1103</v>
      </c>
      <c r="C852" s="154">
        <v>31228.0</v>
      </c>
      <c r="D852" s="152"/>
    </row>
    <row r="853">
      <c r="A853" s="155" t="s">
        <v>188</v>
      </c>
      <c r="B853" s="151" t="s">
        <v>1104</v>
      </c>
      <c r="C853" s="151">
        <v>31232.0</v>
      </c>
      <c r="D853" s="152"/>
    </row>
    <row r="854">
      <c r="A854" s="153" t="s">
        <v>208</v>
      </c>
      <c r="B854" s="154" t="s">
        <v>1105</v>
      </c>
      <c r="C854" s="154">
        <v>31229.0</v>
      </c>
      <c r="D854" s="152"/>
    </row>
    <row r="855">
      <c r="A855" s="155" t="s">
        <v>227</v>
      </c>
      <c r="B855" s="151" t="s">
        <v>1106</v>
      </c>
      <c r="C855" s="151">
        <v>31240.0</v>
      </c>
      <c r="D855" s="152"/>
    </row>
    <row r="856">
      <c r="A856" s="153" t="s">
        <v>247</v>
      </c>
      <c r="B856" s="154" t="s">
        <v>1107</v>
      </c>
      <c r="C856" s="154">
        <v>30414.0</v>
      </c>
      <c r="D856" s="152"/>
    </row>
    <row r="857">
      <c r="A857" s="155" t="s">
        <v>267</v>
      </c>
      <c r="B857" s="151" t="s">
        <v>1109</v>
      </c>
      <c r="C857" s="151">
        <v>31241.0</v>
      </c>
      <c r="D857" s="152"/>
    </row>
    <row r="858">
      <c r="A858" s="153" t="s">
        <v>287</v>
      </c>
      <c r="B858" s="154" t="s">
        <v>287</v>
      </c>
      <c r="C858" s="154">
        <v>31231.0</v>
      </c>
      <c r="D858" s="152"/>
    </row>
    <row r="859">
      <c r="A859" s="155" t="s">
        <v>307</v>
      </c>
      <c r="B859" s="151" t="s">
        <v>1110</v>
      </c>
      <c r="C859" s="151">
        <v>30421.0</v>
      </c>
      <c r="D859" s="152"/>
    </row>
    <row r="860">
      <c r="A860" s="153" t="s">
        <v>327</v>
      </c>
      <c r="B860" s="154" t="s">
        <v>1111</v>
      </c>
      <c r="C860" s="154">
        <v>31238.0</v>
      </c>
      <c r="D860" s="152"/>
    </row>
    <row r="861">
      <c r="A861" s="155" t="s">
        <v>347</v>
      </c>
      <c r="B861" s="151" t="s">
        <v>1112</v>
      </c>
      <c r="C861" s="151">
        <v>31230.0</v>
      </c>
      <c r="D861" s="152"/>
    </row>
    <row r="862">
      <c r="A862" s="153" t="s">
        <v>367</v>
      </c>
      <c r="B862" s="154" t="s">
        <v>1113</v>
      </c>
      <c r="C862" s="154">
        <v>31236.0</v>
      </c>
      <c r="D862" s="152"/>
    </row>
    <row r="863">
      <c r="A863" s="155" t="s">
        <v>392</v>
      </c>
      <c r="B863" s="151" t="s">
        <v>1114</v>
      </c>
      <c r="C863" s="151">
        <v>31237.0</v>
      </c>
      <c r="D863" s="152"/>
    </row>
    <row r="864">
      <c r="A864" s="153" t="s">
        <v>420</v>
      </c>
      <c r="B864" s="154" t="s">
        <v>420</v>
      </c>
      <c r="C864" s="154">
        <v>30420.0</v>
      </c>
      <c r="D864" s="152"/>
    </row>
    <row r="865">
      <c r="A865" s="155" t="s">
        <v>448</v>
      </c>
      <c r="B865" s="151" t="s">
        <v>1115</v>
      </c>
      <c r="C865" s="151">
        <v>30410.0</v>
      </c>
      <c r="D865" s="152"/>
    </row>
    <row r="866">
      <c r="A866" s="153" t="s">
        <v>476</v>
      </c>
      <c r="B866" s="154" t="s">
        <v>1116</v>
      </c>
      <c r="C866" s="154">
        <v>31247.0</v>
      </c>
      <c r="D866" s="152"/>
    </row>
    <row r="867">
      <c r="A867" s="155" t="s">
        <v>505</v>
      </c>
      <c r="B867" s="151" t="s">
        <v>1117</v>
      </c>
      <c r="C867" s="151">
        <v>30418.0</v>
      </c>
      <c r="D867" s="152"/>
    </row>
    <row r="868">
      <c r="A868" s="153" t="s">
        <v>526</v>
      </c>
      <c r="B868" s="154" t="s">
        <v>526</v>
      </c>
      <c r="C868" s="154">
        <v>30411.0</v>
      </c>
      <c r="D868" s="152"/>
    </row>
    <row r="869">
      <c r="A869" s="155" t="s">
        <v>545</v>
      </c>
      <c r="B869" s="151" t="s">
        <v>1119</v>
      </c>
      <c r="C869" s="151">
        <v>30412.0</v>
      </c>
      <c r="D869" s="152"/>
    </row>
    <row r="870">
      <c r="A870" s="153" t="s">
        <v>566</v>
      </c>
      <c r="B870" s="154" t="s">
        <v>566</v>
      </c>
      <c r="C870" s="154">
        <v>30413.0</v>
      </c>
      <c r="D870" s="152"/>
    </row>
    <row r="871">
      <c r="A871" s="155" t="s">
        <v>589</v>
      </c>
      <c r="B871" s="151" t="s">
        <v>1120</v>
      </c>
      <c r="C871" s="151">
        <v>31244.0</v>
      </c>
      <c r="D871" s="152"/>
    </row>
    <row r="872">
      <c r="A872" s="153" t="s">
        <v>611</v>
      </c>
      <c r="B872" s="154" t="s">
        <v>1121</v>
      </c>
      <c r="C872" s="154">
        <v>31243.0</v>
      </c>
      <c r="D872" s="152"/>
    </row>
    <row r="873">
      <c r="A873" s="155" t="s">
        <v>634</v>
      </c>
      <c r="B873" s="151" t="s">
        <v>1122</v>
      </c>
      <c r="C873" s="151">
        <v>31242.0</v>
      </c>
      <c r="D873" s="152"/>
    </row>
    <row r="874">
      <c r="A874" s="153" t="s">
        <v>657</v>
      </c>
      <c r="B874" s="154" t="s">
        <v>657</v>
      </c>
      <c r="C874" s="154">
        <v>31239.0</v>
      </c>
      <c r="D874" s="152"/>
    </row>
    <row r="875">
      <c r="A875" s="155" t="s">
        <v>672</v>
      </c>
      <c r="B875" s="151" t="s">
        <v>1123</v>
      </c>
      <c r="C875" s="151">
        <v>30409.0</v>
      </c>
      <c r="D875" s="152"/>
    </row>
    <row r="876">
      <c r="A876" s="153" t="s">
        <v>686</v>
      </c>
      <c r="B876" s="154" t="s">
        <v>686</v>
      </c>
      <c r="C876" s="154">
        <v>31245.0</v>
      </c>
      <c r="D876" s="152"/>
    </row>
    <row r="877">
      <c r="A877" s="155" t="s">
        <v>702</v>
      </c>
      <c r="B877" s="151" t="s">
        <v>1125</v>
      </c>
      <c r="C877" s="151">
        <v>31234.0</v>
      </c>
      <c r="D877" s="152"/>
    </row>
    <row r="878">
      <c r="A878" s="153" t="s">
        <v>721</v>
      </c>
      <c r="B878" s="154" t="s">
        <v>1126</v>
      </c>
      <c r="C878" s="154">
        <v>31235.0</v>
      </c>
      <c r="D878" s="152"/>
    </row>
    <row r="879">
      <c r="A879" s="155" t="s">
        <v>739</v>
      </c>
      <c r="B879" s="151" t="s">
        <v>1127</v>
      </c>
      <c r="C879" s="151">
        <v>30416.0</v>
      </c>
      <c r="D879" s="152"/>
    </row>
    <row r="880">
      <c r="A880" s="153" t="s">
        <v>757</v>
      </c>
      <c r="B880" s="154" t="s">
        <v>757</v>
      </c>
      <c r="C880" s="154">
        <v>30415.0</v>
      </c>
      <c r="D880" s="152"/>
    </row>
    <row r="881">
      <c r="A881" s="155" t="s">
        <v>769</v>
      </c>
      <c r="B881" s="151" t="s">
        <v>1128</v>
      </c>
      <c r="C881" s="151">
        <v>30417.0</v>
      </c>
      <c r="D881" s="152"/>
    </row>
    <row r="882">
      <c r="A882" s="153" t="s">
        <v>777</v>
      </c>
      <c r="B882" s="154" t="s">
        <v>1129</v>
      </c>
      <c r="C882" s="154">
        <v>31233.0</v>
      </c>
      <c r="D882" s="152"/>
    </row>
    <row r="883">
      <c r="A883" s="155" t="s">
        <v>783</v>
      </c>
      <c r="B883" s="151" t="s">
        <v>1130</v>
      </c>
      <c r="C883" s="151">
        <v>31246.0</v>
      </c>
      <c r="D883" s="152"/>
    </row>
    <row r="884">
      <c r="A884" s="153" t="s">
        <v>788</v>
      </c>
      <c r="B884" s="161"/>
      <c r="C884" s="161"/>
      <c r="D884" s="152"/>
    </row>
    <row r="885">
      <c r="A885" s="155" t="s">
        <v>793</v>
      </c>
      <c r="B885" s="160"/>
      <c r="C885" s="160"/>
      <c r="D885" s="152"/>
    </row>
    <row r="886">
      <c r="A886" s="153"/>
      <c r="B886" s="161"/>
      <c r="C886" s="161"/>
      <c r="D886" s="152"/>
    </row>
    <row r="887">
      <c r="A887" s="155"/>
      <c r="B887" s="160"/>
      <c r="C887" s="160"/>
      <c r="D887" s="152"/>
    </row>
    <row r="888">
      <c r="A888" s="153"/>
      <c r="B888" s="161"/>
      <c r="C888" s="161"/>
      <c r="D888" s="152"/>
    </row>
    <row r="889">
      <c r="A889" s="155"/>
      <c r="B889" s="160"/>
      <c r="C889" s="160"/>
      <c r="D889" s="152"/>
    </row>
    <row r="890">
      <c r="A890" s="153"/>
      <c r="B890" s="161"/>
      <c r="C890" s="161"/>
      <c r="D890" s="152"/>
    </row>
    <row r="891">
      <c r="A891" s="155"/>
      <c r="B891" s="160"/>
      <c r="C891" s="160"/>
      <c r="D891" s="152"/>
    </row>
    <row r="892">
      <c r="A892" s="153"/>
      <c r="B892" s="161"/>
      <c r="C892" s="161"/>
      <c r="D892" s="152"/>
    </row>
    <row r="893">
      <c r="A893" s="155"/>
      <c r="B893" s="160"/>
      <c r="C893" s="160"/>
      <c r="D893" s="152"/>
    </row>
    <row r="894">
      <c r="A894" s="153"/>
      <c r="B894" s="161"/>
      <c r="C894" s="161"/>
      <c r="D894" s="152"/>
    </row>
    <row r="895">
      <c r="A895" s="155"/>
      <c r="B895" s="160"/>
      <c r="C895" s="160"/>
      <c r="D895" s="152"/>
    </row>
    <row r="896">
      <c r="A896" s="153"/>
      <c r="B896" s="161"/>
      <c r="C896" s="161"/>
      <c r="D896" s="152"/>
    </row>
    <row r="897">
      <c r="A897" s="155"/>
      <c r="B897" s="160"/>
      <c r="C897" s="160"/>
      <c r="D897" s="152"/>
    </row>
    <row r="898">
      <c r="A898" s="153"/>
      <c r="B898" s="161"/>
      <c r="C898" s="161"/>
      <c r="D898" s="152"/>
    </row>
    <row r="899">
      <c r="A899" s="155"/>
      <c r="B899" s="160"/>
      <c r="C899" s="160"/>
      <c r="D899" s="152"/>
    </row>
    <row r="900">
      <c r="A900" s="162"/>
      <c r="B900" s="161"/>
      <c r="C900" s="161"/>
      <c r="D900" s="152"/>
    </row>
    <row r="901">
      <c r="A901" s="150" t="str">
        <f t="array" ref="A901:A950">'Up Names'!T2:T51</f>
        <v>Attrition Supply</v>
      </c>
      <c r="B901" s="151" t="s">
        <v>1134</v>
      </c>
      <c r="C901" s="151">
        <v>31281.0</v>
      </c>
      <c r="D901" s="152"/>
    </row>
    <row r="902">
      <c r="A902" s="153" t="s">
        <v>169</v>
      </c>
      <c r="B902" s="154" t="s">
        <v>169</v>
      </c>
      <c r="C902" s="154">
        <v>31278.0</v>
      </c>
      <c r="D902" s="152"/>
    </row>
    <row r="903">
      <c r="A903" s="155" t="s">
        <v>189</v>
      </c>
      <c r="B903" s="151" t="s">
        <v>1136</v>
      </c>
      <c r="C903" s="151">
        <v>31280.0</v>
      </c>
      <c r="D903" s="152"/>
    </row>
    <row r="904">
      <c r="A904" s="153" t="s">
        <v>209</v>
      </c>
      <c r="B904" s="154" t="s">
        <v>1137</v>
      </c>
      <c r="C904" s="154">
        <v>31302.0</v>
      </c>
      <c r="D904" s="152"/>
    </row>
    <row r="905">
      <c r="A905" s="155" t="s">
        <v>228</v>
      </c>
      <c r="B905" s="151" t="s">
        <v>1138</v>
      </c>
      <c r="C905" s="151">
        <v>31298.0</v>
      </c>
      <c r="D905" s="152"/>
    </row>
    <row r="906">
      <c r="A906" s="153" t="s">
        <v>248</v>
      </c>
      <c r="B906" s="154" t="s">
        <v>1140</v>
      </c>
      <c r="C906" s="154">
        <v>31288.0</v>
      </c>
      <c r="D906" s="152"/>
    </row>
    <row r="907">
      <c r="A907" s="155" t="s">
        <v>268</v>
      </c>
      <c r="B907" s="151" t="s">
        <v>1141</v>
      </c>
      <c r="C907" s="151">
        <v>31289.0</v>
      </c>
      <c r="D907" s="152"/>
    </row>
    <row r="908">
      <c r="A908" s="153" t="s">
        <v>288</v>
      </c>
      <c r="B908" s="154" t="s">
        <v>1142</v>
      </c>
      <c r="C908" s="154">
        <v>30373.0</v>
      </c>
      <c r="D908" s="152"/>
    </row>
    <row r="909">
      <c r="A909" s="155" t="s">
        <v>308</v>
      </c>
      <c r="B909" s="151" t="s">
        <v>308</v>
      </c>
      <c r="C909" s="151">
        <v>31295.0</v>
      </c>
      <c r="D909" s="152"/>
    </row>
    <row r="910">
      <c r="A910" s="153" t="s">
        <v>328</v>
      </c>
      <c r="B910" s="154" t="s">
        <v>1144</v>
      </c>
      <c r="C910" s="154">
        <v>31294.0</v>
      </c>
      <c r="D910" s="152"/>
    </row>
    <row r="911">
      <c r="A911" s="155" t="s">
        <v>348</v>
      </c>
      <c r="B911" s="151" t="s">
        <v>1146</v>
      </c>
      <c r="C911" s="151">
        <v>31292.0</v>
      </c>
      <c r="D911" s="152"/>
    </row>
    <row r="912">
      <c r="A912" s="153" t="s">
        <v>368</v>
      </c>
      <c r="B912" s="154" t="s">
        <v>1147</v>
      </c>
      <c r="C912" s="154">
        <v>31293.0</v>
      </c>
      <c r="D912" s="152"/>
    </row>
    <row r="913">
      <c r="A913" s="155" t="s">
        <v>393</v>
      </c>
      <c r="B913" s="151" t="s">
        <v>393</v>
      </c>
      <c r="C913" s="151">
        <v>31301.0</v>
      </c>
      <c r="D913" s="152"/>
    </row>
    <row r="914">
      <c r="A914" s="153" t="s">
        <v>422</v>
      </c>
      <c r="B914" s="154" t="s">
        <v>1148</v>
      </c>
      <c r="C914" s="154">
        <v>31276.0</v>
      </c>
      <c r="D914" s="152"/>
    </row>
    <row r="915">
      <c r="A915" s="155" t="s">
        <v>450</v>
      </c>
      <c r="B915" s="151" t="s">
        <v>1150</v>
      </c>
      <c r="C915" s="151">
        <v>31277.0</v>
      </c>
      <c r="D915" s="152"/>
    </row>
    <row r="916">
      <c r="A916" s="153" t="s">
        <v>478</v>
      </c>
      <c r="B916" s="154" t="s">
        <v>1151</v>
      </c>
      <c r="C916" s="154">
        <v>31296.0</v>
      </c>
      <c r="D916" s="152"/>
    </row>
    <row r="917">
      <c r="A917" s="155" t="s">
        <v>506</v>
      </c>
      <c r="B917" s="151" t="s">
        <v>506</v>
      </c>
      <c r="C917" s="151">
        <v>30372.0</v>
      </c>
      <c r="D917" s="152"/>
    </row>
    <row r="918">
      <c r="A918" s="153" t="s">
        <v>527</v>
      </c>
      <c r="B918" s="154" t="s">
        <v>1153</v>
      </c>
      <c r="C918" s="154">
        <v>31279.0</v>
      </c>
      <c r="D918" s="152"/>
    </row>
    <row r="919">
      <c r="A919" s="155" t="s">
        <v>546</v>
      </c>
      <c r="B919" s="151" t="s">
        <v>1154</v>
      </c>
      <c r="C919" s="151">
        <v>31283.0</v>
      </c>
      <c r="D919" s="152"/>
    </row>
    <row r="920">
      <c r="A920" s="153" t="s">
        <v>568</v>
      </c>
      <c r="B920" s="154" t="s">
        <v>1155</v>
      </c>
      <c r="C920" s="154">
        <v>30374.0</v>
      </c>
      <c r="D920" s="152"/>
    </row>
    <row r="921">
      <c r="A921" s="155" t="s">
        <v>590</v>
      </c>
      <c r="B921" s="151" t="s">
        <v>1156</v>
      </c>
      <c r="C921" s="151">
        <v>30371.0</v>
      </c>
      <c r="D921" s="152"/>
    </row>
    <row r="922">
      <c r="A922" s="153" t="s">
        <v>612</v>
      </c>
      <c r="B922" s="154" t="s">
        <v>1157</v>
      </c>
      <c r="C922" s="154">
        <v>31303.0</v>
      </c>
      <c r="D922" s="152"/>
    </row>
    <row r="923">
      <c r="A923" s="155" t="s">
        <v>636</v>
      </c>
      <c r="B923" s="151" t="s">
        <v>636</v>
      </c>
      <c r="C923" s="151">
        <v>31297.0</v>
      </c>
      <c r="D923" s="152"/>
    </row>
    <row r="924">
      <c r="A924" s="153" t="s">
        <v>658</v>
      </c>
      <c r="B924" s="154" t="s">
        <v>1158</v>
      </c>
      <c r="C924" s="154">
        <v>31290.0</v>
      </c>
      <c r="D924" s="152"/>
    </row>
    <row r="925">
      <c r="A925" s="155" t="s">
        <v>673</v>
      </c>
      <c r="B925" s="151" t="s">
        <v>1159</v>
      </c>
      <c r="C925" s="151">
        <v>31284.0</v>
      </c>
      <c r="D925" s="152"/>
    </row>
    <row r="926">
      <c r="A926" s="153" t="s">
        <v>687</v>
      </c>
      <c r="B926" s="154" t="s">
        <v>687</v>
      </c>
      <c r="C926" s="154">
        <v>31299.0</v>
      </c>
      <c r="D926" s="152"/>
    </row>
    <row r="927">
      <c r="A927" s="155" t="s">
        <v>703</v>
      </c>
      <c r="B927" s="151" t="s">
        <v>1160</v>
      </c>
      <c r="C927" s="151">
        <v>31300.0</v>
      </c>
      <c r="D927" s="152"/>
    </row>
    <row r="928">
      <c r="A928" s="153" t="s">
        <v>722</v>
      </c>
      <c r="B928" s="154" t="s">
        <v>1161</v>
      </c>
      <c r="C928" s="154">
        <v>31287.0</v>
      </c>
      <c r="D928" s="152"/>
    </row>
    <row r="929">
      <c r="A929" s="155" t="s">
        <v>741</v>
      </c>
      <c r="B929" s="151" t="s">
        <v>741</v>
      </c>
      <c r="C929" s="151">
        <v>31282.0</v>
      </c>
      <c r="D929" s="152"/>
    </row>
    <row r="930">
      <c r="A930" s="153" t="s">
        <v>758</v>
      </c>
      <c r="B930" s="154" t="s">
        <v>758</v>
      </c>
      <c r="C930" s="154">
        <v>31291.0</v>
      </c>
      <c r="D930" s="152"/>
    </row>
    <row r="931">
      <c r="A931" s="155" t="s">
        <v>771</v>
      </c>
      <c r="B931" s="151" t="s">
        <v>1162</v>
      </c>
      <c r="C931" s="151">
        <v>31304.0</v>
      </c>
      <c r="D931" s="152"/>
    </row>
    <row r="932">
      <c r="A932" s="153" t="s">
        <v>778</v>
      </c>
      <c r="B932" s="154" t="s">
        <v>1164</v>
      </c>
      <c r="C932" s="154">
        <v>31286.0</v>
      </c>
      <c r="D932" s="152"/>
    </row>
    <row r="933">
      <c r="A933" s="155" t="s">
        <v>784</v>
      </c>
      <c r="B933" s="151" t="s">
        <v>1165</v>
      </c>
      <c r="C933" s="151">
        <v>31285.0</v>
      </c>
      <c r="D933" s="152"/>
    </row>
    <row r="934">
      <c r="A934" s="153" t="s">
        <v>789</v>
      </c>
      <c r="B934" s="161"/>
      <c r="C934" s="161"/>
      <c r="D934" s="152"/>
    </row>
    <row r="935">
      <c r="A935" s="155" t="s">
        <v>794</v>
      </c>
      <c r="B935" s="160"/>
      <c r="C935" s="160"/>
      <c r="D935" s="152"/>
    </row>
    <row r="936">
      <c r="A936" s="153"/>
      <c r="B936" s="161"/>
      <c r="C936" s="161"/>
      <c r="D936" s="152"/>
    </row>
    <row r="937">
      <c r="A937" s="155"/>
      <c r="B937" s="160"/>
      <c r="C937" s="160"/>
      <c r="D937" s="152"/>
    </row>
    <row r="938">
      <c r="A938" s="153"/>
      <c r="B938" s="161"/>
      <c r="C938" s="161"/>
      <c r="D938" s="152"/>
    </row>
    <row r="939">
      <c r="A939" s="155"/>
      <c r="B939" s="160"/>
      <c r="C939" s="160"/>
      <c r="D939" s="152"/>
    </row>
    <row r="940">
      <c r="A940" s="153"/>
      <c r="B940" s="161"/>
      <c r="C940" s="161"/>
      <c r="D940" s="152"/>
    </row>
    <row r="941">
      <c r="A941" s="155"/>
      <c r="B941" s="160"/>
      <c r="C941" s="160"/>
      <c r="D941" s="152"/>
    </row>
    <row r="942">
      <c r="A942" s="153"/>
      <c r="B942" s="161"/>
      <c r="C942" s="161"/>
      <c r="D942" s="152"/>
    </row>
    <row r="943">
      <c r="A943" s="155"/>
      <c r="B943" s="160"/>
      <c r="C943" s="160"/>
      <c r="D943" s="152"/>
    </row>
    <row r="944">
      <c r="A944" s="153"/>
      <c r="B944" s="161"/>
      <c r="C944" s="161"/>
      <c r="D944" s="152"/>
    </row>
    <row r="945">
      <c r="A945" s="155"/>
      <c r="B945" s="160"/>
      <c r="C945" s="160"/>
      <c r="D945" s="152"/>
    </row>
    <row r="946">
      <c r="A946" s="153"/>
      <c r="B946" s="161"/>
      <c r="C946" s="161"/>
      <c r="D946" s="152"/>
    </row>
    <row r="947">
      <c r="A947" s="155"/>
      <c r="B947" s="160"/>
      <c r="C947" s="160"/>
      <c r="D947" s="152"/>
    </row>
    <row r="948">
      <c r="A948" s="153"/>
      <c r="B948" s="161"/>
      <c r="C948" s="161"/>
      <c r="D948" s="152"/>
    </row>
    <row r="949">
      <c r="A949" s="155"/>
      <c r="B949" s="160"/>
      <c r="C949" s="160"/>
      <c r="D949" s="152"/>
    </row>
    <row r="950">
      <c r="A950" s="162"/>
      <c r="B950" s="161"/>
      <c r="C950" s="161"/>
      <c r="D950" s="152"/>
    </row>
    <row r="951">
      <c r="D951" s="189"/>
    </row>
    <row r="952">
      <c r="D952" s="189"/>
    </row>
    <row r="953">
      <c r="D953" s="189"/>
    </row>
    <row r="954">
      <c r="D954" s="189"/>
    </row>
    <row r="955">
      <c r="D955" s="189"/>
    </row>
    <row r="956">
      <c r="D956" s="189"/>
    </row>
    <row r="957">
      <c r="D957" s="189"/>
    </row>
    <row r="958">
      <c r="D958" s="189"/>
    </row>
    <row r="959">
      <c r="D959" s="189"/>
    </row>
    <row r="960">
      <c r="D960" s="189"/>
    </row>
    <row r="961">
      <c r="D961" s="189"/>
    </row>
    <row r="962">
      <c r="D962" s="189"/>
    </row>
    <row r="963">
      <c r="D963" s="189"/>
    </row>
    <row r="964">
      <c r="D964" s="189"/>
    </row>
    <row r="965">
      <c r="D965" s="189"/>
    </row>
    <row r="966">
      <c r="D966" s="189"/>
    </row>
    <row r="967">
      <c r="D967" s="189"/>
    </row>
    <row r="968">
      <c r="D968" s="189"/>
    </row>
    <row r="969">
      <c r="D969" s="189"/>
    </row>
    <row r="970">
      <c r="D970" s="189"/>
    </row>
    <row r="971">
      <c r="D971" s="189"/>
    </row>
    <row r="972">
      <c r="D972" s="189"/>
    </row>
    <row r="973">
      <c r="D973" s="189"/>
    </row>
    <row r="974">
      <c r="D974" s="189"/>
    </row>
    <row r="975">
      <c r="D975" s="189"/>
    </row>
    <row r="976">
      <c r="D976" s="189"/>
    </row>
    <row r="977">
      <c r="D977" s="189"/>
    </row>
    <row r="978">
      <c r="D978" s="189"/>
    </row>
    <row r="979">
      <c r="D979" s="189"/>
    </row>
    <row r="980">
      <c r="D980" s="189"/>
    </row>
    <row r="981">
      <c r="D981" s="189"/>
    </row>
    <row r="982">
      <c r="D982" s="189"/>
    </row>
    <row r="983">
      <c r="D983" s="189"/>
    </row>
    <row r="984">
      <c r="D984" s="189"/>
    </row>
    <row r="985">
      <c r="D985" s="189"/>
    </row>
    <row r="986">
      <c r="D986" s="189"/>
    </row>
    <row r="987">
      <c r="D987" s="189"/>
    </row>
    <row r="988">
      <c r="D988" s="189"/>
    </row>
    <row r="989">
      <c r="D989" s="189"/>
    </row>
    <row r="990">
      <c r="D990" s="189"/>
    </row>
    <row r="991">
      <c r="D991" s="189"/>
    </row>
    <row r="992">
      <c r="D992" s="189"/>
    </row>
    <row r="993">
      <c r="D993" s="189"/>
    </row>
    <row r="994">
      <c r="D994" s="189"/>
    </row>
    <row r="995">
      <c r="D995" s="189"/>
    </row>
    <row r="996">
      <c r="D996" s="189"/>
    </row>
    <row r="997">
      <c r="D997" s="189"/>
    </row>
    <row r="998">
      <c r="D998" s="189"/>
    </row>
    <row r="999">
      <c r="D999" s="189"/>
    </row>
    <row r="1000">
      <c r="D1000" s="189"/>
    </row>
  </sheetData>
  <conditionalFormatting sqref="D1:D1000">
    <cfRule type="containsBlanks" dxfId="17" priority="1">
      <formula>LEN(TRIM(D1))=0</formula>
    </cfRule>
  </conditionalFormatting>
  <conditionalFormatting sqref="D1:D1000">
    <cfRule type="cellIs" dxfId="18" priority="2" operator="equal">
      <formula>0</formula>
    </cfRule>
  </conditionalFormatting>
  <conditionalFormatting sqref="D1:D1000">
    <cfRule type="cellIs" dxfId="19" priority="3" operator="equal">
      <formula>1</formula>
    </cfRule>
  </conditionalFormatting>
  <conditionalFormatting sqref="D1:D1000">
    <cfRule type="cellIs" dxfId="20" priority="4" operator="equal">
      <formula>2</formula>
    </cfRule>
  </conditionalFormatting>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1.5" customHeight="1">
      <c r="A1" s="171" t="str">
        <f t="array" ref="A1:A50">'Up Names'!A2:A51</f>
        <v>Corrode Siphon</v>
      </c>
      <c r="B1" s="177"/>
    </row>
    <row r="2" ht="31.5" customHeight="1">
      <c r="A2" s="145" t="s">
        <v>150</v>
      </c>
      <c r="B2" s="177"/>
    </row>
    <row r="3" ht="31.5" customHeight="1">
      <c r="A3" s="143" t="s">
        <v>170</v>
      </c>
      <c r="B3" s="177"/>
    </row>
    <row r="4" ht="31.5" customHeight="1">
      <c r="A4" s="145" t="s">
        <v>190</v>
      </c>
      <c r="B4" s="177"/>
    </row>
    <row r="5" ht="31.5" customHeight="1">
      <c r="A5" s="143" t="s">
        <v>210</v>
      </c>
      <c r="B5" s="177"/>
    </row>
    <row r="6" ht="31.5" customHeight="1">
      <c r="A6" s="145" t="s">
        <v>229</v>
      </c>
      <c r="B6" s="178"/>
    </row>
    <row r="7" ht="31.5" customHeight="1">
      <c r="A7" s="143" t="s">
        <v>249</v>
      </c>
      <c r="B7" s="178"/>
    </row>
    <row r="8" ht="31.5" customHeight="1">
      <c r="A8" s="145" t="s">
        <v>269</v>
      </c>
      <c r="B8" s="178"/>
    </row>
    <row r="9" ht="31.5" customHeight="1">
      <c r="A9" s="143" t="s">
        <v>289</v>
      </c>
      <c r="B9" s="178"/>
    </row>
    <row r="10" ht="31.5" customHeight="1">
      <c r="A10" s="145" t="s">
        <v>309</v>
      </c>
      <c r="B10" s="178"/>
    </row>
    <row r="11" ht="31.5" customHeight="1">
      <c r="A11" s="143" t="s">
        <v>329</v>
      </c>
      <c r="B11" s="178"/>
    </row>
    <row r="12" ht="31.5" customHeight="1">
      <c r="A12" s="145" t="s">
        <v>349</v>
      </c>
      <c r="B12" s="178"/>
    </row>
    <row r="13" ht="31.5" customHeight="1">
      <c r="A13" s="143" t="s">
        <v>372</v>
      </c>
      <c r="B13" s="178"/>
    </row>
    <row r="14" ht="31.5" customHeight="1">
      <c r="A14" s="145" t="s">
        <v>394</v>
      </c>
      <c r="B14" s="178"/>
    </row>
    <row r="15" ht="31.5" customHeight="1">
      <c r="A15" s="143" t="s">
        <v>404</v>
      </c>
      <c r="B15" s="179"/>
    </row>
    <row r="16" ht="31.5" customHeight="1">
      <c r="A16" s="145" t="s">
        <v>410</v>
      </c>
      <c r="B16" s="179"/>
    </row>
    <row r="17" ht="31.5" customHeight="1">
      <c r="A17" s="143" t="s">
        <v>415</v>
      </c>
      <c r="B17" s="179"/>
    </row>
    <row r="18" ht="31.5" customHeight="1">
      <c r="A18" s="145" t="s">
        <v>421</v>
      </c>
      <c r="B18" s="179"/>
    </row>
    <row r="19" ht="31.5" customHeight="1">
      <c r="A19" s="143" t="s">
        <v>426</v>
      </c>
      <c r="B19" s="179"/>
    </row>
    <row r="20" ht="31.5" customHeight="1">
      <c r="A20" s="145" t="s">
        <v>430</v>
      </c>
      <c r="B20" s="179"/>
    </row>
    <row r="21" ht="31.5" customHeight="1">
      <c r="A21" s="143" t="s">
        <v>435</v>
      </c>
      <c r="B21" s="179"/>
    </row>
    <row r="22" ht="31.5" customHeight="1">
      <c r="A22" s="145" t="s">
        <v>439</v>
      </c>
      <c r="B22" s="179"/>
    </row>
    <row r="23" ht="31.5" customHeight="1">
      <c r="A23" s="143" t="s">
        <v>443</v>
      </c>
      <c r="B23" s="179"/>
    </row>
    <row r="24" ht="31.5" customHeight="1">
      <c r="A24" s="145" t="s">
        <v>447</v>
      </c>
      <c r="B24" s="179"/>
    </row>
    <row r="25" ht="31.5" customHeight="1">
      <c r="A25" s="143" t="s">
        <v>451</v>
      </c>
      <c r="B25" s="179"/>
    </row>
    <row r="26" ht="31.5" customHeight="1">
      <c r="A26" s="145" t="s">
        <v>455</v>
      </c>
      <c r="B26" s="179"/>
    </row>
    <row r="27" ht="31.5" customHeight="1">
      <c r="A27" s="143" t="s">
        <v>459</v>
      </c>
      <c r="B27" s="179"/>
    </row>
    <row r="28" ht="31.5" customHeight="1">
      <c r="A28" s="145" t="s">
        <v>464</v>
      </c>
      <c r="B28" s="180"/>
    </row>
    <row r="29" ht="31.5" customHeight="1">
      <c r="A29" s="143" t="s">
        <v>468</v>
      </c>
      <c r="B29" s="180"/>
    </row>
    <row r="30" ht="31.5" customHeight="1">
      <c r="A30" s="145" t="s">
        <v>472</v>
      </c>
      <c r="B30" s="180"/>
    </row>
    <row r="31" ht="31.5" customHeight="1">
      <c r="A31" s="143" t="s">
        <v>477</v>
      </c>
      <c r="B31" s="180"/>
    </row>
    <row r="32" ht="31.5" customHeight="1">
      <c r="A32" s="145" t="s">
        <v>481</v>
      </c>
      <c r="B32" s="180"/>
    </row>
    <row r="33" ht="31.5" customHeight="1">
      <c r="A33" s="143" t="s">
        <v>486</v>
      </c>
      <c r="B33" s="180"/>
    </row>
    <row r="34" ht="31.5" customHeight="1">
      <c r="A34" s="145" t="s">
        <v>492</v>
      </c>
      <c r="B34" s="180"/>
    </row>
    <row r="35" ht="31.5" customHeight="1">
      <c r="A35" s="143" t="s">
        <v>496</v>
      </c>
      <c r="B35" s="180"/>
    </row>
    <row r="36" ht="31.5" customHeight="1">
      <c r="A36" s="145" t="s">
        <v>499</v>
      </c>
      <c r="B36" s="180"/>
    </row>
    <row r="37" ht="31.5" customHeight="1">
      <c r="A37" s="143" t="s">
        <v>503</v>
      </c>
      <c r="B37" s="181"/>
    </row>
    <row r="38" ht="31.5" customHeight="1">
      <c r="A38" s="145" t="s">
        <v>511</v>
      </c>
      <c r="B38" s="181"/>
    </row>
    <row r="39" ht="31.5" customHeight="1">
      <c r="A39" s="143" t="s">
        <v>516</v>
      </c>
      <c r="B39" s="182"/>
    </row>
    <row r="40" ht="31.5" customHeight="1">
      <c r="A40" s="145"/>
      <c r="B40" s="183"/>
    </row>
    <row r="41" ht="31.5" customHeight="1">
      <c r="A41" s="143"/>
      <c r="B41" s="183"/>
    </row>
    <row r="42" ht="31.5" customHeight="1">
      <c r="A42" s="145"/>
      <c r="B42" s="183"/>
    </row>
    <row r="43" ht="31.5" customHeight="1">
      <c r="A43" s="143"/>
      <c r="B43" s="183"/>
    </row>
    <row r="44" ht="31.5" customHeight="1">
      <c r="A44" s="145"/>
      <c r="B44" s="183"/>
    </row>
    <row r="45" ht="31.5" customHeight="1">
      <c r="A45" s="143"/>
      <c r="B45" s="183"/>
    </row>
    <row r="46" ht="31.5" customHeight="1">
      <c r="A46" s="145"/>
      <c r="B46" s="183"/>
    </row>
    <row r="47" ht="31.5" customHeight="1">
      <c r="A47" s="143"/>
      <c r="B47" s="183"/>
    </row>
    <row r="48" ht="31.5" customHeight="1">
      <c r="A48" s="145"/>
      <c r="B48" s="183"/>
    </row>
    <row r="49" ht="31.5" customHeight="1">
      <c r="A49" s="143"/>
      <c r="B49" s="183"/>
    </row>
    <row r="50" ht="31.5" customHeight="1">
      <c r="A50" s="184"/>
      <c r="B50" s="183"/>
    </row>
    <row r="51" ht="31.5" customHeight="1">
      <c r="A51" s="171" t="str">
        <f t="array" ref="A51:A100">'Up Names'!B2:B51</f>
        <v>All Powdered Up</v>
      </c>
      <c r="B51" s="177"/>
    </row>
    <row r="52" ht="31.5" customHeight="1">
      <c r="A52" s="145" t="s">
        <v>151</v>
      </c>
      <c r="B52" s="177"/>
    </row>
    <row r="53" ht="31.5" customHeight="1">
      <c r="A53" s="143" t="s">
        <v>171</v>
      </c>
      <c r="B53" s="177"/>
    </row>
    <row r="54" ht="31.5" customHeight="1">
      <c r="A54" s="145" t="s">
        <v>191</v>
      </c>
      <c r="B54" s="177"/>
    </row>
    <row r="55" ht="31.5" customHeight="1">
      <c r="A55" s="143" t="s">
        <v>211</v>
      </c>
      <c r="B55" s="178"/>
    </row>
    <row r="56" ht="31.5" customHeight="1">
      <c r="A56" s="145" t="s">
        <v>230</v>
      </c>
      <c r="B56" s="178"/>
    </row>
    <row r="57" ht="31.5" customHeight="1">
      <c r="A57" s="143" t="s">
        <v>250</v>
      </c>
      <c r="B57" s="178"/>
    </row>
    <row r="58" ht="31.5" customHeight="1">
      <c r="A58" s="145" t="s">
        <v>270</v>
      </c>
      <c r="B58" s="178"/>
    </row>
    <row r="59" ht="31.5" customHeight="1">
      <c r="A59" s="143" t="s">
        <v>290</v>
      </c>
      <c r="B59" s="178"/>
    </row>
    <row r="60" ht="31.5" customHeight="1">
      <c r="A60" s="145" t="s">
        <v>310</v>
      </c>
      <c r="B60" s="178"/>
    </row>
    <row r="61" ht="31.5" customHeight="1">
      <c r="A61" s="143" t="s">
        <v>330</v>
      </c>
      <c r="B61" s="178"/>
    </row>
    <row r="62" ht="31.5" customHeight="1">
      <c r="A62" s="145" t="s">
        <v>350</v>
      </c>
      <c r="B62" s="178"/>
    </row>
    <row r="63" ht="31.5" customHeight="1">
      <c r="A63" s="143" t="s">
        <v>373</v>
      </c>
      <c r="B63" s="178"/>
    </row>
    <row r="64" ht="31.5" customHeight="1">
      <c r="A64" s="145" t="s">
        <v>395</v>
      </c>
      <c r="B64" s="179"/>
    </row>
    <row r="65" ht="31.5" customHeight="1">
      <c r="A65" s="143" t="s">
        <v>424</v>
      </c>
      <c r="B65" s="179"/>
    </row>
    <row r="66" ht="31.5" customHeight="1">
      <c r="A66" s="145" t="s">
        <v>452</v>
      </c>
      <c r="B66" s="179"/>
    </row>
    <row r="67" ht="31.5" customHeight="1">
      <c r="A67" s="143" t="s">
        <v>480</v>
      </c>
      <c r="B67" s="179"/>
    </row>
    <row r="68" ht="31.5" customHeight="1">
      <c r="A68" s="145" t="s">
        <v>507</v>
      </c>
      <c r="B68" s="179"/>
    </row>
    <row r="69" ht="31.5" customHeight="1">
      <c r="A69" s="143" t="s">
        <v>528</v>
      </c>
      <c r="B69" s="179"/>
    </row>
    <row r="70" ht="31.5" customHeight="1">
      <c r="A70" s="145" t="s">
        <v>547</v>
      </c>
      <c r="B70" s="179"/>
    </row>
    <row r="71" ht="31.5" customHeight="1">
      <c r="A71" s="143" t="s">
        <v>570</v>
      </c>
      <c r="B71" s="179"/>
    </row>
    <row r="72" ht="31.5" customHeight="1">
      <c r="A72" s="145" t="s">
        <v>592</v>
      </c>
      <c r="B72" s="179"/>
    </row>
    <row r="73" ht="31.5" customHeight="1">
      <c r="A73" s="143" t="s">
        <v>613</v>
      </c>
      <c r="B73" s="179"/>
    </row>
    <row r="74" ht="31.5" customHeight="1">
      <c r="A74" s="145" t="s">
        <v>628</v>
      </c>
      <c r="B74" s="179"/>
    </row>
    <row r="75" ht="31.5" customHeight="1">
      <c r="A75" s="143" t="s">
        <v>630</v>
      </c>
      <c r="B75" s="180"/>
    </row>
    <row r="76" ht="31.5" customHeight="1">
      <c r="A76" s="145" t="s">
        <v>635</v>
      </c>
      <c r="B76" s="180"/>
    </row>
    <row r="77" ht="31.5" customHeight="1">
      <c r="A77" s="143" t="s">
        <v>638</v>
      </c>
      <c r="B77" s="180"/>
    </row>
    <row r="78" ht="31.5" customHeight="1">
      <c r="A78" s="145" t="s">
        <v>642</v>
      </c>
      <c r="B78" s="180"/>
    </row>
    <row r="79" ht="31.5" customHeight="1">
      <c r="A79" s="143" t="s">
        <v>646</v>
      </c>
      <c r="B79" s="180"/>
    </row>
    <row r="80" ht="31.5" customHeight="1">
      <c r="A80" s="145" t="s">
        <v>650</v>
      </c>
      <c r="B80" s="180"/>
    </row>
    <row r="81" ht="31.5" customHeight="1">
      <c r="A81" s="143" t="s">
        <v>503</v>
      </c>
      <c r="B81" s="181"/>
    </row>
    <row r="82" ht="31.5" customHeight="1">
      <c r="A82" s="145" t="s">
        <v>511</v>
      </c>
      <c r="B82" s="181"/>
    </row>
    <row r="83" ht="31.5" customHeight="1">
      <c r="A83" s="143" t="s">
        <v>516</v>
      </c>
      <c r="B83" s="182"/>
    </row>
    <row r="84" ht="31.5" customHeight="1">
      <c r="A84" s="145"/>
      <c r="B84" s="183"/>
    </row>
    <row r="85" ht="31.5" customHeight="1">
      <c r="A85" s="143"/>
      <c r="B85" s="183"/>
    </row>
    <row r="86" ht="31.5" customHeight="1">
      <c r="A86" s="145"/>
      <c r="B86" s="183"/>
    </row>
    <row r="87" ht="31.5" customHeight="1">
      <c r="A87" s="143"/>
      <c r="B87" s="183"/>
    </row>
    <row r="88" ht="31.5" customHeight="1">
      <c r="A88" s="145"/>
      <c r="B88" s="183"/>
    </row>
    <row r="89" ht="31.5" customHeight="1">
      <c r="A89" s="143"/>
      <c r="B89" s="183"/>
    </row>
    <row r="90" ht="31.5" customHeight="1">
      <c r="A90" s="145"/>
      <c r="B90" s="183"/>
    </row>
    <row r="91" ht="31.5" customHeight="1">
      <c r="A91" s="143"/>
      <c r="B91" s="183"/>
    </row>
    <row r="92" ht="31.5" customHeight="1">
      <c r="A92" s="145"/>
      <c r="B92" s="183"/>
    </row>
    <row r="93" ht="31.5" customHeight="1">
      <c r="A93" s="143"/>
      <c r="B93" s="183"/>
    </row>
    <row r="94" ht="31.5" customHeight="1">
      <c r="A94" s="145"/>
      <c r="B94" s="183"/>
    </row>
    <row r="95" ht="31.5" customHeight="1">
      <c r="A95" s="143"/>
      <c r="B95" s="183"/>
    </row>
    <row r="96" ht="31.5" customHeight="1">
      <c r="A96" s="145"/>
      <c r="B96" s="183"/>
    </row>
    <row r="97" ht="31.5" customHeight="1">
      <c r="A97" s="143"/>
      <c r="B97" s="183"/>
    </row>
    <row r="98" ht="31.5" customHeight="1">
      <c r="A98" s="145"/>
      <c r="B98" s="183"/>
    </row>
    <row r="99" ht="31.5" customHeight="1">
      <c r="A99" s="143"/>
      <c r="B99" s="183"/>
    </row>
    <row r="100" ht="31.5" customHeight="1">
      <c r="A100" s="184"/>
      <c r="B100" s="183"/>
    </row>
    <row r="101" ht="31.5" customHeight="1">
      <c r="A101" s="171" t="str">
        <f t="array" ref="A101:A150">'Up Names'!C2:C51</f>
        <v>Breeding Season</v>
      </c>
      <c r="B101" s="177"/>
    </row>
    <row r="102" ht="31.5" customHeight="1">
      <c r="A102" s="145" t="s">
        <v>152</v>
      </c>
      <c r="B102" s="177"/>
    </row>
    <row r="103" ht="31.5" customHeight="1">
      <c r="A103" s="143" t="s">
        <v>172</v>
      </c>
      <c r="B103" s="177"/>
    </row>
    <row r="104" ht="31.5" customHeight="1">
      <c r="A104" s="145" t="s">
        <v>192</v>
      </c>
      <c r="B104" s="177"/>
    </row>
    <row r="105" ht="31.5" customHeight="1">
      <c r="A105" s="143" t="s">
        <v>212</v>
      </c>
      <c r="B105" s="178"/>
    </row>
    <row r="106" ht="31.5" customHeight="1">
      <c r="A106" s="145" t="s">
        <v>231</v>
      </c>
      <c r="B106" s="178"/>
    </row>
    <row r="107" ht="31.5" customHeight="1">
      <c r="A107" s="143" t="s">
        <v>251</v>
      </c>
      <c r="B107" s="178"/>
    </row>
    <row r="108" ht="31.5" customHeight="1">
      <c r="A108" s="145" t="s">
        <v>271</v>
      </c>
      <c r="B108" s="178"/>
    </row>
    <row r="109" ht="31.5" customHeight="1">
      <c r="A109" s="143" t="s">
        <v>291</v>
      </c>
      <c r="B109" s="178"/>
    </row>
    <row r="110" ht="31.5" customHeight="1">
      <c r="A110" s="145" t="s">
        <v>311</v>
      </c>
      <c r="B110" s="178"/>
    </row>
    <row r="111" ht="31.5" customHeight="1">
      <c r="A111" s="143" t="s">
        <v>331</v>
      </c>
      <c r="B111" s="178"/>
    </row>
    <row r="112" ht="31.5" customHeight="1">
      <c r="A112" s="145" t="s">
        <v>351</v>
      </c>
      <c r="B112" s="178"/>
    </row>
    <row r="113" ht="31.5" customHeight="1">
      <c r="A113" s="143" t="s">
        <v>374</v>
      </c>
      <c r="B113" s="178"/>
    </row>
    <row r="114" ht="31.5" customHeight="1">
      <c r="A114" s="145" t="s">
        <v>396</v>
      </c>
      <c r="B114" s="178"/>
    </row>
    <row r="115" ht="31.5" customHeight="1">
      <c r="A115" s="143" t="s">
        <v>425</v>
      </c>
      <c r="B115" s="179"/>
    </row>
    <row r="116" ht="31.5" customHeight="1">
      <c r="A116" s="145" t="s">
        <v>453</v>
      </c>
      <c r="B116" s="179"/>
    </row>
    <row r="117" ht="31.5" customHeight="1">
      <c r="A117" s="143" t="s">
        <v>482</v>
      </c>
      <c r="B117" s="179"/>
    </row>
    <row r="118" ht="31.5" customHeight="1">
      <c r="A118" s="145" t="s">
        <v>508</v>
      </c>
      <c r="B118" s="179"/>
    </row>
    <row r="119" ht="31.5" customHeight="1">
      <c r="A119" s="143" t="s">
        <v>529</v>
      </c>
      <c r="B119" s="179"/>
    </row>
    <row r="120" ht="31.5" customHeight="1">
      <c r="A120" s="145" t="s">
        <v>548</v>
      </c>
      <c r="B120" s="179"/>
    </row>
    <row r="121" ht="31.5" customHeight="1">
      <c r="A121" s="143" t="s">
        <v>571</v>
      </c>
      <c r="B121" s="179"/>
    </row>
    <row r="122" ht="31.5" customHeight="1">
      <c r="A122" s="145" t="s">
        <v>594</v>
      </c>
      <c r="B122" s="179"/>
    </row>
    <row r="123" ht="31.5" customHeight="1">
      <c r="A123" s="143" t="s">
        <v>615</v>
      </c>
      <c r="B123" s="179"/>
    </row>
    <row r="124" ht="31.5" customHeight="1">
      <c r="A124" s="145" t="s">
        <v>640</v>
      </c>
      <c r="B124" s="179"/>
    </row>
    <row r="125" ht="31.5" customHeight="1">
      <c r="A125" s="143" t="s">
        <v>659</v>
      </c>
      <c r="B125" s="179"/>
    </row>
    <row r="126" ht="31.5" customHeight="1">
      <c r="A126" s="145" t="s">
        <v>674</v>
      </c>
      <c r="B126" s="180"/>
    </row>
    <row r="127" ht="31.5" customHeight="1">
      <c r="A127" s="143" t="s">
        <v>688</v>
      </c>
      <c r="B127" s="180"/>
    </row>
    <row r="128" ht="31.5" customHeight="1">
      <c r="A128" s="145" t="s">
        <v>705</v>
      </c>
      <c r="B128" s="180"/>
    </row>
    <row r="129" ht="31.5" customHeight="1">
      <c r="A129" s="143" t="s">
        <v>724</v>
      </c>
      <c r="B129" s="180"/>
    </row>
    <row r="130" ht="31.5" customHeight="1">
      <c r="A130" s="145" t="s">
        <v>742</v>
      </c>
      <c r="B130" s="180"/>
    </row>
    <row r="131" ht="31.5" customHeight="1">
      <c r="A131" s="143" t="s">
        <v>503</v>
      </c>
      <c r="B131" s="181"/>
    </row>
    <row r="132" ht="31.5" customHeight="1">
      <c r="A132" s="145" t="s">
        <v>511</v>
      </c>
      <c r="B132" s="181"/>
    </row>
    <row r="133" ht="31.5" customHeight="1">
      <c r="A133" s="143" t="s">
        <v>516</v>
      </c>
      <c r="B133" s="182"/>
    </row>
    <row r="134" ht="31.5" customHeight="1">
      <c r="A134" s="145"/>
      <c r="B134" s="183"/>
    </row>
    <row r="135" ht="31.5" customHeight="1">
      <c r="A135" s="143"/>
      <c r="B135" s="183"/>
    </row>
    <row r="136" ht="31.5" customHeight="1">
      <c r="A136" s="145"/>
      <c r="B136" s="183"/>
    </row>
    <row r="137" ht="31.5" customHeight="1">
      <c r="A137" s="143"/>
      <c r="B137" s="183"/>
    </row>
    <row r="138" ht="31.5" customHeight="1">
      <c r="A138" s="145"/>
      <c r="B138" s="183"/>
    </row>
    <row r="139" ht="31.5" customHeight="1">
      <c r="A139" s="143"/>
      <c r="B139" s="183"/>
    </row>
    <row r="140" ht="31.5" customHeight="1">
      <c r="A140" s="145"/>
      <c r="B140" s="183"/>
    </row>
    <row r="141" ht="31.5" customHeight="1">
      <c r="A141" s="143"/>
      <c r="B141" s="183"/>
    </row>
    <row r="142" ht="31.5" customHeight="1">
      <c r="A142" s="145"/>
      <c r="B142" s="183"/>
    </row>
    <row r="143" ht="31.5" customHeight="1">
      <c r="A143" s="143"/>
      <c r="B143" s="183"/>
    </row>
    <row r="144" ht="31.5" customHeight="1">
      <c r="A144" s="145"/>
      <c r="B144" s="183"/>
    </row>
    <row r="145" ht="31.5" customHeight="1">
      <c r="A145" s="143"/>
      <c r="B145" s="183"/>
    </row>
    <row r="146" ht="31.5" customHeight="1">
      <c r="A146" s="145"/>
      <c r="B146" s="183"/>
    </row>
    <row r="147" ht="31.5" customHeight="1">
      <c r="A147" s="143"/>
      <c r="B147" s="183"/>
    </row>
    <row r="148" ht="31.5" customHeight="1">
      <c r="A148" s="145"/>
      <c r="B148" s="183"/>
    </row>
    <row r="149" ht="31.5" customHeight="1">
      <c r="A149" s="143"/>
      <c r="B149" s="183"/>
    </row>
    <row r="150" ht="31.5" customHeight="1">
      <c r="A150" s="184"/>
      <c r="B150" s="183"/>
    </row>
    <row r="151" ht="31.5" customHeight="1">
      <c r="A151" s="171" t="str">
        <f t="array" ref="A151:A200">'Up Names'!D2:D51</f>
        <v>Arc Lightning</v>
      </c>
      <c r="B151" s="177"/>
    </row>
    <row r="152" ht="31.5" customHeight="1">
      <c r="A152" s="145" t="s">
        <v>153</v>
      </c>
      <c r="B152" s="177"/>
    </row>
    <row r="153" ht="31.5" customHeight="1">
      <c r="A153" s="143" t="s">
        <v>173</v>
      </c>
      <c r="B153" s="177"/>
    </row>
    <row r="154" ht="31.5" customHeight="1">
      <c r="A154" s="145" t="s">
        <v>193</v>
      </c>
      <c r="B154" s="177"/>
    </row>
    <row r="155" ht="31.5" customHeight="1">
      <c r="A155" s="143" t="s">
        <v>213</v>
      </c>
      <c r="B155" s="178"/>
    </row>
    <row r="156" ht="31.5" customHeight="1">
      <c r="A156" s="145" t="s">
        <v>232</v>
      </c>
      <c r="B156" s="178"/>
    </row>
    <row r="157" ht="31.5" customHeight="1">
      <c r="A157" s="143" t="s">
        <v>252</v>
      </c>
      <c r="B157" s="178"/>
    </row>
    <row r="158" ht="31.5" customHeight="1">
      <c r="A158" s="145" t="s">
        <v>272</v>
      </c>
      <c r="B158" s="178"/>
    </row>
    <row r="159" ht="31.5" customHeight="1">
      <c r="A159" s="143" t="s">
        <v>292</v>
      </c>
      <c r="B159" s="178"/>
    </row>
    <row r="160" ht="31.5" customHeight="1">
      <c r="A160" s="145" t="s">
        <v>312</v>
      </c>
      <c r="B160" s="178"/>
    </row>
    <row r="161" ht="31.5" customHeight="1">
      <c r="A161" s="143" t="s">
        <v>332</v>
      </c>
      <c r="B161" s="179"/>
    </row>
    <row r="162" ht="31.5" customHeight="1">
      <c r="A162" s="145" t="s">
        <v>352</v>
      </c>
      <c r="B162" s="179"/>
    </row>
    <row r="163" ht="31.5" customHeight="1">
      <c r="A163" s="143" t="s">
        <v>375</v>
      </c>
      <c r="B163" s="179"/>
    </row>
    <row r="164" ht="31.5" customHeight="1">
      <c r="A164" s="145" t="s">
        <v>398</v>
      </c>
      <c r="B164" s="179"/>
    </row>
    <row r="165" ht="31.5" customHeight="1">
      <c r="A165" s="143" t="s">
        <v>427</v>
      </c>
      <c r="B165" s="179"/>
    </row>
    <row r="166" ht="31.5" customHeight="1">
      <c r="A166" s="145" t="s">
        <v>454</v>
      </c>
      <c r="B166" s="179"/>
    </row>
    <row r="167" ht="31.5" customHeight="1">
      <c r="A167" s="143" t="s">
        <v>484</v>
      </c>
      <c r="B167" s="179"/>
    </row>
    <row r="168" ht="31.5" customHeight="1">
      <c r="A168" s="145" t="s">
        <v>509</v>
      </c>
      <c r="B168" s="179"/>
    </row>
    <row r="169" ht="31.5" customHeight="1">
      <c r="A169" s="143" t="s">
        <v>530</v>
      </c>
      <c r="B169" s="179"/>
    </row>
    <row r="170" ht="31.5" customHeight="1">
      <c r="A170" s="145" t="s">
        <v>549</v>
      </c>
      <c r="B170" s="179"/>
    </row>
    <row r="171" ht="31.5" customHeight="1">
      <c r="A171" s="143" t="s">
        <v>572</v>
      </c>
      <c r="B171" s="179"/>
    </row>
    <row r="172" ht="31.5" customHeight="1">
      <c r="A172" s="145" t="s">
        <v>595</v>
      </c>
      <c r="B172" s="179"/>
    </row>
    <row r="173" ht="31.5" customHeight="1">
      <c r="A173" s="143" t="s">
        <v>616</v>
      </c>
      <c r="B173" s="179"/>
    </row>
    <row r="174" ht="31.5" customHeight="1">
      <c r="A174" s="145" t="s">
        <v>641</v>
      </c>
      <c r="B174" s="179"/>
    </row>
    <row r="175" ht="31.5" customHeight="1">
      <c r="A175" s="143" t="s">
        <v>660</v>
      </c>
      <c r="B175" s="179"/>
    </row>
    <row r="176" ht="31.5" customHeight="1">
      <c r="A176" s="145" t="s">
        <v>675</v>
      </c>
      <c r="B176" s="180"/>
    </row>
    <row r="177" ht="31.5" customHeight="1">
      <c r="A177" s="143" t="s">
        <v>689</v>
      </c>
      <c r="B177" s="180"/>
    </row>
    <row r="178" ht="31.5" customHeight="1">
      <c r="A178" s="145" t="s">
        <v>707</v>
      </c>
      <c r="B178" s="180"/>
    </row>
    <row r="179" ht="31.5" customHeight="1">
      <c r="A179" s="143" t="s">
        <v>725</v>
      </c>
      <c r="B179" s="180"/>
    </row>
    <row r="180" ht="31.5" customHeight="1">
      <c r="A180" s="145" t="s">
        <v>743</v>
      </c>
      <c r="B180" s="180"/>
    </row>
    <row r="181" ht="31.5" customHeight="1">
      <c r="A181" s="143" t="s">
        <v>760</v>
      </c>
      <c r="B181" s="179"/>
    </row>
    <row r="182" ht="31.5" customHeight="1">
      <c r="A182" s="145" t="s">
        <v>773</v>
      </c>
      <c r="B182" s="186"/>
    </row>
    <row r="183" ht="31.5" customHeight="1">
      <c r="A183" s="143" t="s">
        <v>779</v>
      </c>
      <c r="B183" s="179"/>
    </row>
    <row r="184" ht="31.5" customHeight="1">
      <c r="A184" s="145" t="s">
        <v>503</v>
      </c>
      <c r="B184" s="181"/>
    </row>
    <row r="185" ht="31.5" customHeight="1">
      <c r="A185" s="143" t="s">
        <v>511</v>
      </c>
      <c r="B185" s="181"/>
    </row>
    <row r="186" ht="31.5" customHeight="1">
      <c r="A186" s="145" t="s">
        <v>516</v>
      </c>
      <c r="B186" s="182"/>
    </row>
    <row r="187" ht="31.5" customHeight="1">
      <c r="A187" s="143"/>
      <c r="B187" s="183"/>
    </row>
    <row r="188" ht="31.5" customHeight="1">
      <c r="A188" s="145"/>
      <c r="B188" s="183"/>
    </row>
    <row r="189" ht="31.5" customHeight="1">
      <c r="A189" s="143"/>
      <c r="B189" s="183"/>
    </row>
    <row r="190" ht="31.5" customHeight="1">
      <c r="A190" s="145"/>
      <c r="B190" s="183"/>
    </row>
    <row r="191" ht="31.5" customHeight="1">
      <c r="A191" s="143"/>
      <c r="B191" s="183"/>
    </row>
    <row r="192" ht="31.5" customHeight="1">
      <c r="A192" s="145"/>
      <c r="B192" s="183"/>
    </row>
    <row r="193" ht="31.5" customHeight="1">
      <c r="A193" s="143"/>
      <c r="B193" s="183"/>
    </row>
    <row r="194" ht="31.5" customHeight="1">
      <c r="A194" s="145"/>
      <c r="B194" s="183"/>
    </row>
    <row r="195" ht="31.5" customHeight="1">
      <c r="A195" s="143"/>
      <c r="B195" s="183"/>
    </row>
    <row r="196" ht="31.5" customHeight="1">
      <c r="A196" s="145"/>
      <c r="B196" s="183"/>
    </row>
    <row r="197" ht="31.5" customHeight="1">
      <c r="A197" s="143"/>
      <c r="B197" s="183"/>
    </row>
    <row r="198" ht="31.5" customHeight="1">
      <c r="A198" s="145"/>
      <c r="B198" s="183"/>
    </row>
    <row r="199" ht="31.5" customHeight="1">
      <c r="A199" s="143"/>
      <c r="B199" s="183"/>
    </row>
    <row r="200" ht="31.5" customHeight="1">
      <c r="A200" s="184"/>
      <c r="B200" s="183"/>
    </row>
    <row r="201" ht="31.5" customHeight="1">
      <c r="A201" s="171" t="str">
        <f t="array" ref="A201:A250">'Up Names'!E2:E51</f>
        <v>Big Fat Doobie</v>
      </c>
      <c r="B201" s="177"/>
    </row>
    <row r="202" ht="31.5" customHeight="1">
      <c r="A202" s="145" t="s">
        <v>154</v>
      </c>
      <c r="B202" s="177"/>
    </row>
    <row r="203" ht="31.5" customHeight="1">
      <c r="A203" s="143" t="s">
        <v>174</v>
      </c>
      <c r="B203" s="177"/>
    </row>
    <row r="204" ht="31.5" customHeight="1">
      <c r="A204" s="145" t="s">
        <v>194</v>
      </c>
      <c r="B204" s="177"/>
    </row>
    <row r="205" ht="31.5" customHeight="1">
      <c r="A205" s="143" t="s">
        <v>214</v>
      </c>
      <c r="B205" s="178"/>
    </row>
    <row r="206" ht="31.5" customHeight="1">
      <c r="A206" s="145" t="s">
        <v>233</v>
      </c>
      <c r="B206" s="178"/>
    </row>
    <row r="207" ht="31.5" customHeight="1">
      <c r="A207" s="143" t="s">
        <v>253</v>
      </c>
      <c r="B207" s="178"/>
    </row>
    <row r="208" ht="31.5" customHeight="1">
      <c r="A208" s="145" t="s">
        <v>273</v>
      </c>
      <c r="B208" s="178"/>
    </row>
    <row r="209" ht="31.5" customHeight="1">
      <c r="A209" s="143" t="s">
        <v>293</v>
      </c>
      <c r="B209" s="178"/>
    </row>
    <row r="210" ht="31.5" customHeight="1">
      <c r="A210" s="145" t="s">
        <v>313</v>
      </c>
      <c r="B210" s="178"/>
    </row>
    <row r="211" ht="31.5" customHeight="1">
      <c r="A211" s="143" t="s">
        <v>333</v>
      </c>
      <c r="B211" s="178"/>
    </row>
    <row r="212" ht="31.5" customHeight="1">
      <c r="A212" s="145" t="s">
        <v>353</v>
      </c>
      <c r="B212" s="178"/>
    </row>
    <row r="213" ht="31.5" customHeight="1">
      <c r="A213" s="143" t="s">
        <v>376</v>
      </c>
      <c r="B213" s="178"/>
    </row>
    <row r="214" ht="31.5" customHeight="1">
      <c r="A214" s="145" t="s">
        <v>399</v>
      </c>
      <c r="B214" s="179"/>
    </row>
    <row r="215" ht="31.5" customHeight="1">
      <c r="A215" s="143" t="s">
        <v>428</v>
      </c>
      <c r="B215" s="179"/>
    </row>
    <row r="216" ht="31.5" customHeight="1">
      <c r="A216" s="145" t="s">
        <v>456</v>
      </c>
      <c r="B216" s="179"/>
    </row>
    <row r="217" ht="31.5" customHeight="1">
      <c r="A217" s="143" t="s">
        <v>485</v>
      </c>
      <c r="B217" s="179"/>
    </row>
    <row r="218" ht="31.5" customHeight="1">
      <c r="A218" s="145" t="s">
        <v>510</v>
      </c>
      <c r="B218" s="179"/>
    </row>
    <row r="219" ht="31.5" customHeight="1">
      <c r="A219" s="143" t="s">
        <v>531</v>
      </c>
      <c r="B219" s="179"/>
    </row>
    <row r="220" ht="31.5" customHeight="1">
      <c r="A220" s="145" t="s">
        <v>550</v>
      </c>
      <c r="B220" s="179"/>
    </row>
    <row r="221" ht="31.5" customHeight="1">
      <c r="A221" s="143" t="s">
        <v>574</v>
      </c>
      <c r="B221" s="179"/>
    </row>
    <row r="222" ht="31.5" customHeight="1">
      <c r="A222" s="145" t="s">
        <v>596</v>
      </c>
      <c r="B222" s="179"/>
    </row>
    <row r="223" ht="31.5" customHeight="1">
      <c r="A223" s="143" t="s">
        <v>617</v>
      </c>
      <c r="B223" s="179"/>
    </row>
    <row r="224" ht="31.5" customHeight="1">
      <c r="A224" s="145" t="s">
        <v>643</v>
      </c>
      <c r="B224" s="179"/>
    </row>
    <row r="225" ht="31.5" customHeight="1">
      <c r="A225" s="143" t="s">
        <v>661</v>
      </c>
      <c r="B225" s="179"/>
    </row>
    <row r="226" ht="31.5" customHeight="1">
      <c r="A226" s="145" t="s">
        <v>676</v>
      </c>
      <c r="B226" s="179"/>
    </row>
    <row r="227" ht="31.5" customHeight="1">
      <c r="A227" s="143" t="s">
        <v>690</v>
      </c>
      <c r="B227" s="179"/>
    </row>
    <row r="228" ht="31.5" customHeight="1">
      <c r="A228" s="145" t="s">
        <v>708</v>
      </c>
      <c r="B228" s="180"/>
    </row>
    <row r="229" ht="31.5" customHeight="1">
      <c r="A229" s="143" t="s">
        <v>727</v>
      </c>
      <c r="B229" s="180"/>
    </row>
    <row r="230" ht="31.5" customHeight="1">
      <c r="A230" s="145" t="s">
        <v>744</v>
      </c>
      <c r="B230" s="180"/>
    </row>
    <row r="231" ht="31.5" customHeight="1">
      <c r="A231" s="143" t="s">
        <v>761</v>
      </c>
      <c r="B231" s="180"/>
    </row>
    <row r="232" ht="31.5" customHeight="1">
      <c r="A232" s="145" t="s">
        <v>503</v>
      </c>
      <c r="B232" s="181"/>
    </row>
    <row r="233" ht="31.5" customHeight="1">
      <c r="A233" s="143" t="s">
        <v>511</v>
      </c>
      <c r="B233" s="181"/>
    </row>
    <row r="234" ht="31.5" customHeight="1">
      <c r="A234" s="145" t="s">
        <v>516</v>
      </c>
      <c r="B234" s="182"/>
    </row>
    <row r="235" ht="31.5" customHeight="1">
      <c r="A235" s="143"/>
      <c r="B235" s="183"/>
    </row>
    <row r="236" ht="31.5" customHeight="1">
      <c r="A236" s="145"/>
      <c r="B236" s="183"/>
    </row>
    <row r="237" ht="31.5" customHeight="1">
      <c r="A237" s="143"/>
      <c r="B237" s="183"/>
    </row>
    <row r="238" ht="31.5" customHeight="1">
      <c r="A238" s="145"/>
      <c r="B238" s="183"/>
    </row>
    <row r="239" ht="31.5" customHeight="1">
      <c r="A239" s="143"/>
      <c r="B239" s="183"/>
    </row>
    <row r="240" ht="31.5" customHeight="1">
      <c r="A240" s="145"/>
      <c r="B240" s="183"/>
    </row>
    <row r="241" ht="31.5" customHeight="1">
      <c r="A241" s="143"/>
      <c r="B241" s="183"/>
    </row>
    <row r="242" ht="31.5" customHeight="1">
      <c r="A242" s="163"/>
      <c r="B242" s="183"/>
    </row>
    <row r="243" ht="31.5" customHeight="1">
      <c r="A243" s="143"/>
      <c r="B243" s="183"/>
    </row>
    <row r="244" ht="31.5" customHeight="1">
      <c r="A244" s="145"/>
      <c r="B244" s="183"/>
    </row>
    <row r="245" ht="31.5" customHeight="1">
      <c r="A245" s="143"/>
      <c r="B245" s="183"/>
    </row>
    <row r="246" ht="31.5" customHeight="1">
      <c r="A246" s="145"/>
      <c r="B246" s="183"/>
    </row>
    <row r="247" ht="31.5" customHeight="1">
      <c r="A247" s="143"/>
      <c r="B247" s="183"/>
    </row>
    <row r="248" ht="31.5" customHeight="1">
      <c r="A248" s="145"/>
      <c r="B248" s="183"/>
    </row>
    <row r="249" ht="31.5" customHeight="1">
      <c r="A249" s="143"/>
      <c r="B249" s="183"/>
    </row>
    <row r="250" ht="31.5" customHeight="1">
      <c r="A250" s="184"/>
      <c r="B250" s="183"/>
    </row>
    <row r="251" ht="31.5" customHeight="1">
      <c r="A251" s="171" t="str">
        <f t="array" ref="A251:A300">'Up Names'!F2:F51</f>
        <v>Return to Receiver</v>
      </c>
      <c r="B251" s="188"/>
    </row>
    <row r="252" ht="31.5" customHeight="1">
      <c r="A252" s="145" t="s">
        <v>155</v>
      </c>
      <c r="B252" s="177"/>
    </row>
    <row r="253" ht="31.5" customHeight="1">
      <c r="A253" s="143" t="s">
        <v>175</v>
      </c>
      <c r="B253" s="177"/>
    </row>
    <row r="254" ht="31.5" customHeight="1">
      <c r="A254" s="145" t="s">
        <v>195</v>
      </c>
      <c r="B254" s="177"/>
    </row>
    <row r="255" ht="31.5" customHeight="1">
      <c r="A255" s="143" t="s">
        <v>215</v>
      </c>
      <c r="B255" s="177"/>
    </row>
    <row r="256" ht="31.5" customHeight="1">
      <c r="A256" s="145" t="s">
        <v>234</v>
      </c>
      <c r="B256" s="178"/>
    </row>
    <row r="257" ht="31.5" customHeight="1">
      <c r="A257" s="143" t="s">
        <v>254</v>
      </c>
      <c r="B257" s="178"/>
    </row>
    <row r="258" ht="31.5" customHeight="1">
      <c r="A258" s="145" t="s">
        <v>274</v>
      </c>
      <c r="B258" s="178"/>
    </row>
    <row r="259" ht="31.5" customHeight="1">
      <c r="A259" s="143" t="s">
        <v>294</v>
      </c>
      <c r="B259" s="178"/>
    </row>
    <row r="260" ht="31.5" customHeight="1">
      <c r="A260" s="145" t="s">
        <v>314</v>
      </c>
      <c r="B260" s="178"/>
    </row>
    <row r="261" ht="31.5" customHeight="1">
      <c r="A261" s="143" t="s">
        <v>334</v>
      </c>
      <c r="B261" s="178"/>
    </row>
    <row r="262" ht="31.5" customHeight="1">
      <c r="A262" s="145" t="s">
        <v>354</v>
      </c>
      <c r="B262" s="178"/>
    </row>
    <row r="263" ht="31.5" customHeight="1">
      <c r="A263" s="143" t="s">
        <v>378</v>
      </c>
      <c r="B263" s="178"/>
    </row>
    <row r="264" ht="31.5" customHeight="1">
      <c r="A264" s="145" t="s">
        <v>400</v>
      </c>
      <c r="B264" s="178"/>
    </row>
    <row r="265" ht="31.5" customHeight="1">
      <c r="A265" s="143" t="s">
        <v>429</v>
      </c>
      <c r="B265" s="179"/>
    </row>
    <row r="266" ht="31.5" customHeight="1">
      <c r="A266" s="145" t="s">
        <v>457</v>
      </c>
      <c r="B266" s="179"/>
    </row>
    <row r="267" ht="31.5" customHeight="1">
      <c r="A267" s="143" t="s">
        <v>487</v>
      </c>
      <c r="B267" s="179"/>
    </row>
    <row r="268" ht="31.5" customHeight="1">
      <c r="A268" s="145" t="s">
        <v>512</v>
      </c>
      <c r="B268" s="179"/>
    </row>
    <row r="269" ht="31.5" customHeight="1">
      <c r="A269" s="143" t="s">
        <v>532</v>
      </c>
      <c r="B269" s="179"/>
    </row>
    <row r="270" ht="31.5" customHeight="1">
      <c r="A270" s="145" t="s">
        <v>551</v>
      </c>
      <c r="B270" s="179"/>
    </row>
    <row r="271" ht="31.5" customHeight="1">
      <c r="A271" s="143" t="s">
        <v>575</v>
      </c>
      <c r="B271" s="179"/>
    </row>
    <row r="272" ht="31.5" customHeight="1">
      <c r="A272" s="145" t="s">
        <v>598</v>
      </c>
      <c r="B272" s="179"/>
    </row>
    <row r="273" ht="31.5" customHeight="1">
      <c r="A273" s="143" t="s">
        <v>619</v>
      </c>
      <c r="B273" s="179"/>
    </row>
    <row r="274" ht="31.5" customHeight="1">
      <c r="A274" s="145" t="s">
        <v>644</v>
      </c>
      <c r="B274" s="179"/>
    </row>
    <row r="275" ht="31.5" customHeight="1">
      <c r="A275" s="143" t="s">
        <v>662</v>
      </c>
      <c r="B275" s="179"/>
    </row>
    <row r="276" ht="31.5" customHeight="1">
      <c r="A276" s="145" t="s">
        <v>677</v>
      </c>
      <c r="B276" s="179"/>
    </row>
    <row r="277" ht="31.5" customHeight="1">
      <c r="A277" s="143" t="s">
        <v>691</v>
      </c>
      <c r="B277" s="179"/>
    </row>
    <row r="278" ht="31.5" customHeight="1">
      <c r="A278" s="145" t="s">
        <v>709</v>
      </c>
      <c r="B278" s="179"/>
    </row>
    <row r="279" ht="31.5" customHeight="1">
      <c r="A279" s="143" t="s">
        <v>728</v>
      </c>
      <c r="B279" s="180"/>
    </row>
    <row r="280" ht="31.5" customHeight="1">
      <c r="A280" s="145" t="s">
        <v>746</v>
      </c>
      <c r="B280" s="180"/>
    </row>
    <row r="281" ht="31.5" customHeight="1">
      <c r="A281" s="143" t="s">
        <v>503</v>
      </c>
      <c r="B281" s="181"/>
    </row>
    <row r="282" ht="31.5" customHeight="1">
      <c r="A282" s="145" t="s">
        <v>511</v>
      </c>
      <c r="B282" s="181"/>
    </row>
    <row r="283" ht="31.5" customHeight="1">
      <c r="A283" s="143" t="s">
        <v>516</v>
      </c>
      <c r="B283" s="182"/>
    </row>
    <row r="284" ht="31.5" customHeight="1">
      <c r="A284" s="145"/>
      <c r="B284" s="183"/>
    </row>
    <row r="285" ht="31.5" customHeight="1">
      <c r="A285" s="143"/>
      <c r="B285" s="183"/>
    </row>
    <row r="286" ht="31.5" customHeight="1">
      <c r="A286" s="145"/>
      <c r="B286" s="183"/>
    </row>
    <row r="287" ht="31.5" customHeight="1">
      <c r="A287" s="143"/>
      <c r="B287" s="183"/>
    </row>
    <row r="288" ht="31.5" customHeight="1">
      <c r="A288" s="145"/>
      <c r="B288" s="183"/>
    </row>
    <row r="289" ht="31.5" customHeight="1">
      <c r="A289" s="143"/>
      <c r="B289" s="183"/>
    </row>
    <row r="290" ht="31.5" customHeight="1">
      <c r="A290" s="145"/>
      <c r="B290" s="183"/>
    </row>
    <row r="291" ht="31.5" customHeight="1">
      <c r="A291" s="143"/>
      <c r="B291" s="183"/>
    </row>
    <row r="292" ht="31.5" customHeight="1">
      <c r="A292" s="145"/>
      <c r="B292" s="183"/>
    </row>
    <row r="293" ht="31.5" customHeight="1">
      <c r="A293" s="143"/>
      <c r="B293" s="183"/>
    </row>
    <row r="294" ht="31.5" customHeight="1">
      <c r="A294" s="145"/>
      <c r="B294" s="183"/>
    </row>
    <row r="295" ht="31.5" customHeight="1">
      <c r="A295" s="143"/>
      <c r="B295" s="183"/>
    </row>
    <row r="296" ht="31.5" customHeight="1">
      <c r="A296" s="145"/>
      <c r="B296" s="183"/>
    </row>
    <row r="297" ht="31.5" customHeight="1">
      <c r="A297" s="143"/>
      <c r="B297" s="183"/>
    </row>
    <row r="298" ht="31.5" customHeight="1">
      <c r="A298" s="145"/>
      <c r="B298" s="183"/>
    </row>
    <row r="299" ht="31.5" customHeight="1">
      <c r="A299" s="143"/>
      <c r="B299" s="183"/>
    </row>
    <row r="300" ht="31.5" customHeight="1">
      <c r="A300" s="184"/>
      <c r="B300" s="183"/>
    </row>
    <row r="301" ht="31.5" customHeight="1">
      <c r="A301" s="171" t="str">
        <f t="array" ref="A301:A350">'Up Names'!G2:G51</f>
        <v>Yellow Prism</v>
      </c>
      <c r="B301" s="177"/>
    </row>
    <row r="302" ht="31.5" customHeight="1">
      <c r="A302" s="145" t="s">
        <v>156</v>
      </c>
      <c r="B302" s="177"/>
    </row>
    <row r="303" ht="31.5" customHeight="1">
      <c r="A303" s="143" t="s">
        <v>176</v>
      </c>
      <c r="B303" s="177"/>
    </row>
    <row r="304" ht="31.5" customHeight="1">
      <c r="A304" s="145" t="s">
        <v>196</v>
      </c>
      <c r="B304" s="177"/>
    </row>
    <row r="305" ht="31.5" customHeight="1">
      <c r="A305" s="143" t="s">
        <v>216</v>
      </c>
      <c r="B305" s="177"/>
    </row>
    <row r="306" ht="31.5" customHeight="1">
      <c r="A306" s="145" t="s">
        <v>235</v>
      </c>
      <c r="B306" s="178"/>
    </row>
    <row r="307" ht="31.5" customHeight="1">
      <c r="A307" s="143" t="s">
        <v>255</v>
      </c>
      <c r="B307" s="178"/>
    </row>
    <row r="308" ht="31.5" customHeight="1">
      <c r="A308" s="145" t="s">
        <v>275</v>
      </c>
      <c r="B308" s="178"/>
    </row>
    <row r="309" ht="31.5" customHeight="1">
      <c r="A309" s="143" t="s">
        <v>295</v>
      </c>
      <c r="B309" s="178"/>
    </row>
    <row r="310" ht="31.5" customHeight="1">
      <c r="A310" s="145" t="s">
        <v>315</v>
      </c>
      <c r="B310" s="178"/>
    </row>
    <row r="311" ht="31.5" customHeight="1">
      <c r="A311" s="143" t="s">
        <v>335</v>
      </c>
      <c r="B311" s="178"/>
    </row>
    <row r="312" ht="31.5" customHeight="1">
      <c r="A312" s="145" t="s">
        <v>355</v>
      </c>
      <c r="B312" s="178"/>
    </row>
    <row r="313" ht="31.5" customHeight="1">
      <c r="A313" s="143" t="s">
        <v>379</v>
      </c>
      <c r="B313" s="178"/>
    </row>
    <row r="314" ht="31.5" customHeight="1">
      <c r="A314" s="145" t="s">
        <v>402</v>
      </c>
      <c r="B314" s="178"/>
    </row>
    <row r="315" ht="31.5" customHeight="1">
      <c r="A315" s="143" t="s">
        <v>431</v>
      </c>
      <c r="B315" s="178"/>
    </row>
    <row r="316" ht="31.5" customHeight="1">
      <c r="A316" s="145" t="s">
        <v>458</v>
      </c>
      <c r="B316" s="179"/>
    </row>
    <row r="317" ht="31.5" customHeight="1">
      <c r="A317" s="143" t="s">
        <v>489</v>
      </c>
      <c r="B317" s="179"/>
    </row>
    <row r="318" ht="31.5" customHeight="1">
      <c r="A318" s="145" t="s">
        <v>513</v>
      </c>
      <c r="B318" s="179"/>
    </row>
    <row r="319" ht="31.5" customHeight="1">
      <c r="A319" s="143" t="s">
        <v>533</v>
      </c>
      <c r="B319" s="179"/>
    </row>
    <row r="320" ht="31.5" customHeight="1">
      <c r="A320" s="145" t="s">
        <v>552</v>
      </c>
      <c r="B320" s="179"/>
    </row>
    <row r="321" ht="31.5" customHeight="1">
      <c r="A321" s="143" t="s">
        <v>576</v>
      </c>
      <c r="B321" s="179"/>
    </row>
    <row r="322" ht="31.5" customHeight="1">
      <c r="A322" s="145" t="s">
        <v>599</v>
      </c>
      <c r="B322" s="179"/>
    </row>
    <row r="323" ht="31.5" customHeight="1">
      <c r="A323" s="143" t="s">
        <v>620</v>
      </c>
      <c r="B323" s="179"/>
    </row>
    <row r="324" ht="31.5" customHeight="1">
      <c r="A324" s="145" t="s">
        <v>645</v>
      </c>
      <c r="B324" s="179"/>
    </row>
    <row r="325" ht="31.5" customHeight="1">
      <c r="A325" s="143" t="s">
        <v>663</v>
      </c>
      <c r="B325" s="180"/>
    </row>
    <row r="326" ht="31.5" customHeight="1">
      <c r="A326" s="145" t="s">
        <v>678</v>
      </c>
      <c r="B326" s="180"/>
    </row>
    <row r="327" ht="31.5" customHeight="1">
      <c r="A327" s="143" t="s">
        <v>692</v>
      </c>
      <c r="B327" s="180"/>
    </row>
    <row r="328" ht="31.5" customHeight="1">
      <c r="A328" s="145" t="s">
        <v>711</v>
      </c>
      <c r="B328" s="180"/>
    </row>
    <row r="329" ht="31.5" customHeight="1">
      <c r="A329" s="143" t="s">
        <v>729</v>
      </c>
      <c r="B329" s="180"/>
    </row>
    <row r="330" ht="31.5" customHeight="1">
      <c r="A330" s="145" t="s">
        <v>747</v>
      </c>
      <c r="B330" s="180"/>
    </row>
    <row r="331" ht="31.5" customHeight="1">
      <c r="A331" s="143" t="s">
        <v>503</v>
      </c>
      <c r="B331" s="181"/>
    </row>
    <row r="332" ht="31.5" customHeight="1">
      <c r="A332" s="145" t="s">
        <v>511</v>
      </c>
      <c r="B332" s="181"/>
    </row>
    <row r="333" ht="31.5" customHeight="1">
      <c r="A333" s="143" t="s">
        <v>516</v>
      </c>
      <c r="B333" s="182"/>
    </row>
    <row r="334" ht="31.5" customHeight="1">
      <c r="A334" s="145"/>
      <c r="B334" s="183"/>
    </row>
    <row r="335" ht="31.5" customHeight="1">
      <c r="A335" s="143"/>
      <c r="B335" s="183"/>
    </row>
    <row r="336" ht="31.5" customHeight="1">
      <c r="A336" s="145"/>
      <c r="B336" s="183"/>
    </row>
    <row r="337" ht="31.5" customHeight="1">
      <c r="A337" s="143"/>
      <c r="B337" s="183"/>
    </row>
    <row r="338" ht="31.5" customHeight="1">
      <c r="A338" s="145"/>
      <c r="B338" s="183"/>
    </row>
    <row r="339" ht="31.5" customHeight="1">
      <c r="A339" s="143"/>
      <c r="B339" s="183"/>
    </row>
    <row r="340" ht="31.5" customHeight="1">
      <c r="A340" s="145"/>
      <c r="B340" s="183"/>
    </row>
    <row r="341" ht="31.5" customHeight="1">
      <c r="A341" s="143"/>
      <c r="B341" s="183"/>
    </row>
    <row r="342" ht="31.5" customHeight="1">
      <c r="A342" s="145"/>
      <c r="B342" s="183"/>
    </row>
    <row r="343" ht="31.5" customHeight="1">
      <c r="A343" s="143"/>
      <c r="B343" s="183"/>
    </row>
    <row r="344" ht="31.5" customHeight="1">
      <c r="A344" s="145"/>
      <c r="B344" s="183"/>
    </row>
    <row r="345" ht="31.5" customHeight="1">
      <c r="A345" s="143"/>
      <c r="B345" s="183"/>
    </row>
    <row r="346" ht="31.5" customHeight="1">
      <c r="A346" s="145"/>
      <c r="B346" s="183"/>
    </row>
    <row r="347" ht="31.5" customHeight="1">
      <c r="A347" s="143"/>
      <c r="B347" s="183"/>
    </row>
    <row r="348" ht="31.5" customHeight="1">
      <c r="A348" s="145"/>
      <c r="B348" s="183"/>
    </row>
    <row r="349" ht="31.5" customHeight="1">
      <c r="A349" s="143"/>
      <c r="B349" s="183"/>
    </row>
    <row r="350" ht="31.5" customHeight="1">
      <c r="A350" s="184"/>
      <c r="B350" s="183"/>
    </row>
    <row r="351" ht="31.5" customHeight="1">
      <c r="A351" s="171" t="str">
        <f t="array" ref="A351:A400">'Up Names'!H2:H51</f>
        <v>Bailing Water</v>
      </c>
      <c r="B351" s="177"/>
    </row>
    <row r="352" ht="31.5" customHeight="1">
      <c r="A352" s="145" t="s">
        <v>157</v>
      </c>
      <c r="B352" s="177"/>
    </row>
    <row r="353" ht="31.5" customHeight="1">
      <c r="A353" s="143" t="s">
        <v>177</v>
      </c>
      <c r="B353" s="177"/>
    </row>
    <row r="354" ht="31.5" customHeight="1">
      <c r="A354" s="145" t="s">
        <v>197</v>
      </c>
      <c r="B354" s="177"/>
    </row>
    <row r="355" ht="31.5" customHeight="1">
      <c r="A355" s="143" t="s">
        <v>217</v>
      </c>
      <c r="B355" s="178"/>
    </row>
    <row r="356" ht="31.5" customHeight="1">
      <c r="A356" s="145" t="s">
        <v>236</v>
      </c>
      <c r="B356" s="178"/>
    </row>
    <row r="357" ht="31.5" customHeight="1">
      <c r="A357" s="143" t="s">
        <v>256</v>
      </c>
      <c r="B357" s="178"/>
    </row>
    <row r="358" ht="31.5" customHeight="1">
      <c r="A358" s="145" t="s">
        <v>276</v>
      </c>
      <c r="B358" s="178"/>
    </row>
    <row r="359" ht="31.5" customHeight="1">
      <c r="A359" s="143" t="s">
        <v>296</v>
      </c>
      <c r="B359" s="178"/>
    </row>
    <row r="360" ht="31.5" customHeight="1">
      <c r="A360" s="145" t="s">
        <v>316</v>
      </c>
      <c r="B360" s="178"/>
    </row>
    <row r="361" ht="31.5" customHeight="1">
      <c r="A361" s="143" t="s">
        <v>336</v>
      </c>
      <c r="B361" s="178"/>
    </row>
    <row r="362" ht="31.5" customHeight="1">
      <c r="A362" s="145" t="s">
        <v>356</v>
      </c>
      <c r="B362" s="178"/>
    </row>
    <row r="363" ht="31.5" customHeight="1">
      <c r="A363" s="143" t="s">
        <v>380</v>
      </c>
      <c r="B363" s="178"/>
    </row>
    <row r="364" ht="31.5" customHeight="1">
      <c r="A364" s="145" t="s">
        <v>403</v>
      </c>
      <c r="B364" s="178"/>
    </row>
    <row r="365" ht="31.5" customHeight="1">
      <c r="A365" s="143" t="s">
        <v>432</v>
      </c>
      <c r="B365" s="179"/>
    </row>
    <row r="366" ht="31.5" customHeight="1">
      <c r="A366" s="145" t="s">
        <v>460</v>
      </c>
      <c r="B366" s="179"/>
    </row>
    <row r="367" ht="31.5" customHeight="1">
      <c r="A367" s="143" t="s">
        <v>490</v>
      </c>
      <c r="B367" s="179"/>
    </row>
    <row r="368" ht="31.5" customHeight="1">
      <c r="A368" s="145" t="s">
        <v>514</v>
      </c>
      <c r="B368" s="179"/>
    </row>
    <row r="369" ht="31.5" customHeight="1">
      <c r="A369" s="143" t="s">
        <v>534</v>
      </c>
      <c r="B369" s="179"/>
    </row>
    <row r="370" ht="31.5" customHeight="1">
      <c r="A370" s="145" t="s">
        <v>553</v>
      </c>
      <c r="B370" s="179"/>
    </row>
    <row r="371" ht="31.5" customHeight="1">
      <c r="A371" s="143" t="s">
        <v>577</v>
      </c>
      <c r="B371" s="179"/>
    </row>
    <row r="372" ht="31.5" customHeight="1">
      <c r="A372" s="145" t="s">
        <v>601</v>
      </c>
      <c r="B372" s="179"/>
    </row>
    <row r="373" ht="31.5" customHeight="1">
      <c r="A373" s="143" t="s">
        <v>621</v>
      </c>
      <c r="B373" s="179"/>
    </row>
    <row r="374" ht="31.5" customHeight="1">
      <c r="A374" s="145" t="s">
        <v>647</v>
      </c>
      <c r="B374" s="179"/>
    </row>
    <row r="375" ht="31.5" customHeight="1">
      <c r="A375" s="143" t="s">
        <v>664</v>
      </c>
      <c r="B375" s="179"/>
    </row>
    <row r="376" ht="31.5" customHeight="1">
      <c r="A376" s="145" t="s">
        <v>679</v>
      </c>
      <c r="B376" s="179"/>
    </row>
    <row r="377" ht="31.5" customHeight="1">
      <c r="A377" s="143" t="s">
        <v>693</v>
      </c>
      <c r="B377" s="180"/>
    </row>
    <row r="378" ht="31.5" customHeight="1">
      <c r="A378" s="145" t="s">
        <v>712</v>
      </c>
      <c r="B378" s="180"/>
    </row>
    <row r="379" ht="31.5" customHeight="1">
      <c r="A379" s="143" t="s">
        <v>731</v>
      </c>
      <c r="B379" s="180"/>
    </row>
    <row r="380" ht="31.5" customHeight="1">
      <c r="A380" s="145" t="s">
        <v>748</v>
      </c>
      <c r="B380" s="180"/>
    </row>
    <row r="381" ht="31.5" customHeight="1">
      <c r="A381" s="143" t="s">
        <v>503</v>
      </c>
      <c r="B381" s="181"/>
    </row>
    <row r="382" ht="31.5" customHeight="1">
      <c r="A382" s="145" t="s">
        <v>511</v>
      </c>
      <c r="B382" s="181"/>
    </row>
    <row r="383" ht="31.5" customHeight="1">
      <c r="A383" s="143" t="s">
        <v>516</v>
      </c>
      <c r="B383" s="182"/>
    </row>
    <row r="384" ht="31.5" customHeight="1">
      <c r="A384" s="145"/>
      <c r="B384" s="183"/>
    </row>
    <row r="385" ht="31.5" customHeight="1">
      <c r="A385" s="143"/>
      <c r="B385" s="183"/>
    </row>
    <row r="386" ht="31.5" customHeight="1">
      <c r="A386" s="145"/>
      <c r="B386" s="183"/>
    </row>
    <row r="387" ht="31.5" customHeight="1">
      <c r="A387" s="143"/>
      <c r="B387" s="183"/>
    </row>
    <row r="388" ht="31.5" customHeight="1">
      <c r="A388" s="145"/>
      <c r="B388" s="183"/>
    </row>
    <row r="389" ht="31.5" customHeight="1">
      <c r="A389" s="143"/>
      <c r="B389" s="183"/>
    </row>
    <row r="390" ht="31.5" customHeight="1">
      <c r="A390" s="145"/>
      <c r="B390" s="183"/>
    </row>
    <row r="391" ht="31.5" customHeight="1">
      <c r="A391" s="143"/>
      <c r="B391" s="183"/>
    </row>
    <row r="392" ht="31.5" customHeight="1">
      <c r="A392" s="145"/>
      <c r="B392" s="183"/>
    </row>
    <row r="393" ht="31.5" customHeight="1">
      <c r="A393" s="143"/>
      <c r="B393" s="183"/>
    </row>
    <row r="394" ht="31.5" customHeight="1">
      <c r="A394" s="145"/>
      <c r="B394" s="183"/>
    </row>
    <row r="395" ht="31.5" customHeight="1">
      <c r="A395" s="143"/>
      <c r="B395" s="183"/>
    </row>
    <row r="396" ht="31.5" customHeight="1">
      <c r="A396" s="145"/>
      <c r="B396" s="183"/>
    </row>
    <row r="397" ht="31.5" customHeight="1">
      <c r="A397" s="143"/>
      <c r="B397" s="183"/>
    </row>
    <row r="398" ht="31.5" customHeight="1">
      <c r="A398" s="145"/>
      <c r="B398" s="183"/>
    </row>
    <row r="399" ht="31.5" customHeight="1">
      <c r="A399" s="143"/>
      <c r="B399" s="183"/>
    </row>
    <row r="400" ht="31.5" customHeight="1">
      <c r="A400" s="184"/>
      <c r="B400" s="183"/>
    </row>
    <row r="401" ht="31.5" customHeight="1">
      <c r="A401" s="171" t="str">
        <f t="array" ref="A401:A450">'Up Names'!I2:I51</f>
        <v>Flood</v>
      </c>
      <c r="B401" s="177"/>
    </row>
    <row r="402" ht="31.5" customHeight="1">
      <c r="A402" s="145" t="s">
        <v>158</v>
      </c>
      <c r="B402" s="177"/>
    </row>
    <row r="403" ht="31.5" customHeight="1">
      <c r="A403" s="143" t="s">
        <v>178</v>
      </c>
      <c r="B403" s="177"/>
    </row>
    <row r="404" ht="31.5" customHeight="1">
      <c r="A404" s="145" t="s">
        <v>198</v>
      </c>
      <c r="B404" s="177"/>
    </row>
    <row r="405" ht="31.5" customHeight="1">
      <c r="A405" s="143" t="s">
        <v>218</v>
      </c>
      <c r="B405" s="178"/>
    </row>
    <row r="406" ht="31.5" customHeight="1">
      <c r="A406" s="145" t="s">
        <v>237</v>
      </c>
      <c r="B406" s="178"/>
    </row>
    <row r="407" ht="31.5" customHeight="1">
      <c r="A407" s="143" t="s">
        <v>257</v>
      </c>
      <c r="B407" s="178"/>
    </row>
    <row r="408" ht="31.5" customHeight="1">
      <c r="A408" s="145" t="s">
        <v>277</v>
      </c>
      <c r="B408" s="178"/>
    </row>
    <row r="409" ht="31.5" customHeight="1">
      <c r="A409" s="143" t="s">
        <v>297</v>
      </c>
      <c r="B409" s="178"/>
    </row>
    <row r="410" ht="31.5" customHeight="1">
      <c r="A410" s="145" t="s">
        <v>317</v>
      </c>
      <c r="B410" s="178"/>
    </row>
    <row r="411" ht="31.5" customHeight="1">
      <c r="A411" s="143" t="s">
        <v>337</v>
      </c>
      <c r="B411" s="179"/>
    </row>
    <row r="412" ht="31.5" customHeight="1">
      <c r="A412" s="145" t="s">
        <v>357</v>
      </c>
      <c r="B412" s="179"/>
    </row>
    <row r="413" ht="31.5" customHeight="1">
      <c r="A413" s="143" t="s">
        <v>381</v>
      </c>
      <c r="B413" s="179"/>
    </row>
    <row r="414" ht="31.5" customHeight="1">
      <c r="A414" s="145" t="s">
        <v>405</v>
      </c>
      <c r="B414" s="179"/>
    </row>
    <row r="415" ht="31.5" customHeight="1">
      <c r="A415" s="143" t="s">
        <v>433</v>
      </c>
      <c r="B415" s="179"/>
    </row>
    <row r="416" ht="31.5" customHeight="1">
      <c r="A416" s="145" t="s">
        <v>462</v>
      </c>
      <c r="B416" s="179"/>
    </row>
    <row r="417" ht="31.5" customHeight="1">
      <c r="A417" s="143" t="s">
        <v>491</v>
      </c>
      <c r="B417" s="179"/>
    </row>
    <row r="418" ht="31.5" customHeight="1">
      <c r="A418" s="145" t="s">
        <v>515</v>
      </c>
      <c r="B418" s="179"/>
    </row>
    <row r="419" ht="31.5" customHeight="1">
      <c r="A419" s="143" t="s">
        <v>535</v>
      </c>
      <c r="B419" s="179"/>
    </row>
    <row r="420" ht="31.5" customHeight="1">
      <c r="A420" s="145" t="s">
        <v>554</v>
      </c>
      <c r="B420" s="179"/>
    </row>
    <row r="421" ht="31.5" customHeight="1">
      <c r="A421" s="143" t="s">
        <v>578</v>
      </c>
      <c r="B421" s="179"/>
    </row>
    <row r="422" ht="31.5" customHeight="1">
      <c r="A422" s="145" t="s">
        <v>602</v>
      </c>
      <c r="B422" s="179"/>
    </row>
    <row r="423" ht="31.5" customHeight="1">
      <c r="A423" s="143" t="s">
        <v>623</v>
      </c>
      <c r="B423" s="180"/>
    </row>
    <row r="424" ht="31.5" customHeight="1">
      <c r="A424" s="145" t="s">
        <v>648</v>
      </c>
      <c r="B424" s="180"/>
    </row>
    <row r="425" ht="31.5" customHeight="1">
      <c r="A425" s="143" t="s">
        <v>665</v>
      </c>
      <c r="B425" s="180"/>
    </row>
    <row r="426" ht="31.5" customHeight="1">
      <c r="A426" s="145" t="s">
        <v>503</v>
      </c>
      <c r="B426" s="181"/>
    </row>
    <row r="427" ht="31.5" customHeight="1">
      <c r="A427" s="143" t="s">
        <v>511</v>
      </c>
      <c r="B427" s="181"/>
    </row>
    <row r="428" ht="31.5" customHeight="1">
      <c r="A428" s="145" t="s">
        <v>516</v>
      </c>
      <c r="B428" s="182"/>
    </row>
    <row r="429" ht="31.5" customHeight="1">
      <c r="A429" s="143"/>
      <c r="B429" s="183"/>
    </row>
    <row r="430" ht="31.5" customHeight="1">
      <c r="A430" s="145"/>
      <c r="B430" s="183"/>
    </row>
    <row r="431" ht="31.5" customHeight="1">
      <c r="A431" s="143"/>
      <c r="B431" s="183"/>
    </row>
    <row r="432" ht="31.5" customHeight="1">
      <c r="A432" s="145"/>
      <c r="B432" s="183"/>
    </row>
    <row r="433" ht="31.5" customHeight="1">
      <c r="A433" s="143"/>
      <c r="B433" s="183"/>
    </row>
    <row r="434" ht="31.5" customHeight="1">
      <c r="A434" s="145"/>
      <c r="B434" s="183"/>
    </row>
    <row r="435" ht="31.5" customHeight="1">
      <c r="A435" s="143"/>
      <c r="B435" s="183"/>
    </row>
    <row r="436" ht="31.5" customHeight="1">
      <c r="A436" s="145"/>
      <c r="B436" s="183"/>
    </row>
    <row r="437" ht="31.5" customHeight="1">
      <c r="A437" s="143"/>
      <c r="B437" s="183"/>
    </row>
    <row r="438" ht="31.5" customHeight="1">
      <c r="A438" s="145"/>
      <c r="B438" s="183"/>
    </row>
    <row r="439" ht="31.5" customHeight="1">
      <c r="A439" s="143"/>
      <c r="B439" s="183"/>
    </row>
    <row r="440" ht="31.5" customHeight="1">
      <c r="A440" s="145"/>
      <c r="B440" s="183"/>
    </row>
    <row r="441" ht="31.5" customHeight="1">
      <c r="A441" s="143"/>
      <c r="B441" s="183"/>
    </row>
    <row r="442" ht="31.5" customHeight="1">
      <c r="A442" s="145"/>
      <c r="B442" s="183"/>
    </row>
    <row r="443" ht="31.5" customHeight="1">
      <c r="A443" s="143"/>
      <c r="B443" s="183"/>
    </row>
    <row r="444" ht="31.5" customHeight="1">
      <c r="A444" s="145"/>
      <c r="B444" s="183"/>
    </row>
    <row r="445" ht="31.5" customHeight="1">
      <c r="A445" s="143"/>
      <c r="B445" s="183"/>
    </row>
    <row r="446" ht="31.5" customHeight="1">
      <c r="A446" s="145"/>
      <c r="B446" s="183"/>
    </row>
    <row r="447" ht="31.5" customHeight="1">
      <c r="A447" s="143"/>
      <c r="B447" s="183"/>
    </row>
    <row r="448" ht="31.5" customHeight="1">
      <c r="A448" s="145"/>
      <c r="B448" s="183"/>
    </row>
    <row r="449" ht="31.5" customHeight="1">
      <c r="A449" s="143"/>
      <c r="B449" s="183"/>
    </row>
    <row r="450" ht="31.5" customHeight="1">
      <c r="A450" s="184"/>
      <c r="B450" s="183"/>
    </row>
    <row r="451" ht="31.5" customHeight="1">
      <c r="A451" s="171" t="str">
        <f t="array" ref="A451:A500">'Up Names'!J2:J51</f>
        <v>Deflector</v>
      </c>
      <c r="B451" s="177"/>
    </row>
    <row r="452" ht="31.5" customHeight="1">
      <c r="A452" s="145" t="s">
        <v>159</v>
      </c>
      <c r="B452" s="177"/>
    </row>
    <row r="453" ht="31.5" customHeight="1">
      <c r="A453" s="143" t="s">
        <v>179</v>
      </c>
      <c r="B453" s="177"/>
    </row>
    <row r="454" ht="31.5" customHeight="1">
      <c r="A454" s="145" t="s">
        <v>199</v>
      </c>
      <c r="B454" s="177"/>
    </row>
    <row r="455" ht="31.5" customHeight="1">
      <c r="A455" s="143" t="s">
        <v>219</v>
      </c>
      <c r="B455" s="178"/>
    </row>
    <row r="456" ht="31.5" customHeight="1">
      <c r="A456" s="145" t="s">
        <v>238</v>
      </c>
      <c r="B456" s="178"/>
    </row>
    <row r="457" ht="31.5" customHeight="1">
      <c r="A457" s="143" t="s">
        <v>258</v>
      </c>
      <c r="B457" s="178"/>
    </row>
    <row r="458" ht="31.5" customHeight="1">
      <c r="A458" s="145" t="s">
        <v>278</v>
      </c>
      <c r="B458" s="178"/>
    </row>
    <row r="459" ht="31.5" customHeight="1">
      <c r="A459" s="143" t="s">
        <v>298</v>
      </c>
      <c r="B459" s="178"/>
    </row>
    <row r="460" ht="31.5" customHeight="1">
      <c r="A460" s="145" t="s">
        <v>318</v>
      </c>
      <c r="B460" s="178"/>
    </row>
    <row r="461" ht="31.5" customHeight="1">
      <c r="A461" s="143" t="s">
        <v>338</v>
      </c>
      <c r="B461" s="178"/>
    </row>
    <row r="462" ht="31.5" customHeight="1">
      <c r="A462" s="145" t="s">
        <v>358</v>
      </c>
      <c r="B462" s="178"/>
    </row>
    <row r="463" ht="31.5" customHeight="1">
      <c r="A463" s="143" t="s">
        <v>382</v>
      </c>
      <c r="B463" s="178"/>
    </row>
    <row r="464" ht="31.5" customHeight="1">
      <c r="A464" s="145" t="s">
        <v>407</v>
      </c>
      <c r="B464" s="179"/>
    </row>
    <row r="465" ht="31.5" customHeight="1">
      <c r="A465" s="143" t="s">
        <v>434</v>
      </c>
      <c r="B465" s="179"/>
    </row>
    <row r="466" ht="31.5" customHeight="1">
      <c r="A466" s="145" t="s">
        <v>463</v>
      </c>
      <c r="B466" s="179"/>
    </row>
    <row r="467" ht="31.5" customHeight="1">
      <c r="A467" s="143" t="s">
        <v>493</v>
      </c>
      <c r="B467" s="179"/>
    </row>
    <row r="468" ht="31.5" customHeight="1">
      <c r="A468" s="145" t="s">
        <v>517</v>
      </c>
      <c r="B468" s="179"/>
    </row>
    <row r="469" ht="31.5" customHeight="1">
      <c r="A469" s="143" t="s">
        <v>536</v>
      </c>
      <c r="B469" s="179"/>
    </row>
    <row r="470" ht="31.5" customHeight="1">
      <c r="A470" s="145" t="s">
        <v>555</v>
      </c>
      <c r="B470" s="179"/>
    </row>
    <row r="471" ht="31.5" customHeight="1">
      <c r="A471" s="143" t="s">
        <v>579</v>
      </c>
      <c r="B471" s="180"/>
    </row>
    <row r="472" ht="31.5" customHeight="1">
      <c r="A472" s="145" t="s">
        <v>603</v>
      </c>
      <c r="B472" s="180"/>
    </row>
    <row r="473" ht="31.5" customHeight="1">
      <c r="A473" s="143" t="s">
        <v>624</v>
      </c>
      <c r="B473" s="180"/>
    </row>
    <row r="474" ht="31.5" customHeight="1">
      <c r="A474" s="145" t="s">
        <v>649</v>
      </c>
      <c r="B474" s="180"/>
    </row>
    <row r="475" ht="31.5" customHeight="1">
      <c r="A475" s="143" t="s">
        <v>666</v>
      </c>
      <c r="B475" s="180"/>
    </row>
    <row r="476" ht="31.5" customHeight="1">
      <c r="A476" s="145" t="s">
        <v>680</v>
      </c>
      <c r="B476" s="179"/>
    </row>
    <row r="477" ht="31.5" customHeight="1">
      <c r="A477" s="143" t="s">
        <v>694</v>
      </c>
      <c r="B477" s="179"/>
    </row>
    <row r="478" ht="31.5" customHeight="1">
      <c r="A478" s="145" t="s">
        <v>503</v>
      </c>
      <c r="B478" s="181"/>
    </row>
    <row r="479" ht="31.5" customHeight="1">
      <c r="A479" s="143" t="s">
        <v>511</v>
      </c>
      <c r="B479" s="181"/>
    </row>
    <row r="480" ht="31.5" customHeight="1">
      <c r="A480" s="145" t="s">
        <v>516</v>
      </c>
      <c r="B480" s="182"/>
    </row>
    <row r="481" ht="31.5" customHeight="1">
      <c r="A481" s="143"/>
      <c r="B481" s="183"/>
    </row>
    <row r="482" ht="31.5" customHeight="1">
      <c r="A482" s="145"/>
      <c r="B482" s="183"/>
    </row>
    <row r="483" ht="31.5" customHeight="1">
      <c r="A483" s="143"/>
      <c r="B483" s="183"/>
    </row>
    <row r="484" ht="31.5" customHeight="1">
      <c r="A484" s="145"/>
      <c r="B484" s="183"/>
    </row>
    <row r="485" ht="31.5" customHeight="1">
      <c r="A485" s="143"/>
      <c r="B485" s="183"/>
    </row>
    <row r="486" ht="31.5" customHeight="1">
      <c r="A486" s="145"/>
      <c r="B486" s="183"/>
    </row>
    <row r="487" ht="31.5" customHeight="1">
      <c r="A487" s="143"/>
      <c r="B487" s="183"/>
    </row>
    <row r="488" ht="31.5" customHeight="1">
      <c r="A488" s="145"/>
      <c r="B488" s="183"/>
    </row>
    <row r="489" ht="31.5" customHeight="1">
      <c r="A489" s="143"/>
      <c r="B489" s="183"/>
    </row>
    <row r="490" ht="31.5" customHeight="1">
      <c r="A490" s="145"/>
      <c r="B490" s="183"/>
    </row>
    <row r="491" ht="31.5" customHeight="1">
      <c r="A491" s="143"/>
      <c r="B491" s="183"/>
    </row>
    <row r="492" ht="31.5" customHeight="1">
      <c r="A492" s="145"/>
      <c r="B492" s="183"/>
    </row>
    <row r="493" ht="31.5" customHeight="1">
      <c r="A493" s="143"/>
      <c r="B493" s="183"/>
    </row>
    <row r="494" ht="31.5" customHeight="1">
      <c r="A494" s="145"/>
      <c r="B494" s="183"/>
    </row>
    <row r="495" ht="31.5" customHeight="1">
      <c r="A495" s="143"/>
      <c r="B495" s="183"/>
    </row>
    <row r="496" ht="31.5" customHeight="1">
      <c r="A496" s="145"/>
      <c r="B496" s="183"/>
    </row>
    <row r="497" ht="31.5" customHeight="1">
      <c r="A497" s="143"/>
      <c r="B497" s="183"/>
    </row>
    <row r="498" ht="31.5" customHeight="1">
      <c r="A498" s="145"/>
      <c r="B498" s="183"/>
    </row>
    <row r="499" ht="31.5" customHeight="1">
      <c r="A499" s="143"/>
      <c r="B499" s="183"/>
    </row>
    <row r="500" ht="31.5" customHeight="1">
      <c r="A500" s="184"/>
      <c r="B500" s="183"/>
    </row>
    <row r="501" ht="31.5" customHeight="1">
      <c r="A501" s="145" t="str">
        <f t="array" ref="A501:A550">'Up Names'!K2:K51</f>
        <v>Auger Subroutine</v>
      </c>
      <c r="B501" s="194"/>
    </row>
    <row r="502" ht="31.5" customHeight="1">
      <c r="A502" s="145" t="s">
        <v>160</v>
      </c>
      <c r="B502" s="194"/>
    </row>
    <row r="503" ht="31.5" customHeight="1">
      <c r="A503" s="145" t="s">
        <v>180</v>
      </c>
      <c r="B503" s="194"/>
    </row>
    <row r="504" ht="31.5" customHeight="1">
      <c r="A504" s="145" t="s">
        <v>200</v>
      </c>
      <c r="B504" s="194"/>
    </row>
    <row r="505" ht="31.5" customHeight="1">
      <c r="A505" s="145" t="s">
        <v>220</v>
      </c>
      <c r="B505" s="195"/>
    </row>
    <row r="506" ht="31.5" customHeight="1">
      <c r="A506" s="145" t="s">
        <v>239</v>
      </c>
      <c r="B506" s="195"/>
    </row>
    <row r="507" ht="31.5" customHeight="1">
      <c r="A507" s="145" t="s">
        <v>259</v>
      </c>
      <c r="B507" s="195"/>
    </row>
    <row r="508" ht="31.5" customHeight="1">
      <c r="A508" s="145" t="s">
        <v>279</v>
      </c>
      <c r="B508" s="195"/>
    </row>
    <row r="509" ht="31.5" customHeight="1">
      <c r="A509" s="145" t="s">
        <v>299</v>
      </c>
      <c r="B509" s="195"/>
    </row>
    <row r="510" ht="31.5" customHeight="1">
      <c r="A510" s="145" t="s">
        <v>319</v>
      </c>
      <c r="B510" s="195"/>
    </row>
    <row r="511" ht="31.5" customHeight="1">
      <c r="A511" s="145" t="s">
        <v>339</v>
      </c>
      <c r="B511" s="195"/>
    </row>
    <row r="512" ht="31.5" customHeight="1">
      <c r="A512" s="145" t="s">
        <v>359</v>
      </c>
      <c r="B512" s="195"/>
    </row>
    <row r="513" ht="31.5" customHeight="1">
      <c r="A513" s="145" t="s">
        <v>383</v>
      </c>
      <c r="B513" s="195"/>
    </row>
    <row r="514" ht="31.5" customHeight="1">
      <c r="A514" s="145" t="s">
        <v>408</v>
      </c>
      <c r="B514" s="196"/>
    </row>
    <row r="515" ht="31.5" customHeight="1">
      <c r="A515" s="145" t="s">
        <v>436</v>
      </c>
      <c r="B515" s="196"/>
    </row>
    <row r="516" ht="31.5" customHeight="1">
      <c r="A516" s="145" t="s">
        <v>465</v>
      </c>
      <c r="B516" s="196"/>
    </row>
    <row r="517" ht="31.5" customHeight="1">
      <c r="A517" s="145" t="s">
        <v>494</v>
      </c>
      <c r="B517" s="196"/>
    </row>
    <row r="518" ht="31.5" customHeight="1">
      <c r="A518" s="145" t="s">
        <v>518</v>
      </c>
      <c r="B518" s="196"/>
    </row>
    <row r="519" ht="31.5" customHeight="1">
      <c r="A519" s="145" t="s">
        <v>537</v>
      </c>
      <c r="B519" s="196"/>
    </row>
    <row r="520" ht="31.5" customHeight="1">
      <c r="A520" s="145" t="s">
        <v>557</v>
      </c>
      <c r="B520" s="196"/>
    </row>
    <row r="521" ht="31.5" customHeight="1">
      <c r="A521" s="145" t="s">
        <v>580</v>
      </c>
      <c r="B521" s="196"/>
    </row>
    <row r="522" ht="31.5" customHeight="1">
      <c r="A522" s="145" t="s">
        <v>604</v>
      </c>
      <c r="B522" s="196"/>
    </row>
    <row r="523" ht="31.5" customHeight="1">
      <c r="A523" s="145" t="s">
        <v>625</v>
      </c>
      <c r="B523" s="196"/>
    </row>
    <row r="524" ht="31.5" customHeight="1">
      <c r="A524" s="145" t="s">
        <v>651</v>
      </c>
      <c r="B524" s="196"/>
    </row>
    <row r="525" ht="31.5" customHeight="1">
      <c r="A525" s="145" t="s">
        <v>667</v>
      </c>
      <c r="B525" s="196"/>
    </row>
    <row r="526" ht="31.5" customHeight="1">
      <c r="A526" s="145" t="s">
        <v>681</v>
      </c>
      <c r="B526" s="197"/>
    </row>
    <row r="527" ht="31.5" customHeight="1">
      <c r="A527" s="145" t="s">
        <v>695</v>
      </c>
      <c r="B527" s="197"/>
    </row>
    <row r="528" ht="31.5" customHeight="1">
      <c r="A528" s="145" t="s">
        <v>714</v>
      </c>
      <c r="B528" s="197"/>
    </row>
    <row r="529" ht="31.5" customHeight="1">
      <c r="A529" s="145" t="s">
        <v>732</v>
      </c>
      <c r="B529" s="197"/>
    </row>
    <row r="530" ht="31.5" customHeight="1">
      <c r="A530" s="145" t="s">
        <v>750</v>
      </c>
      <c r="B530" s="197"/>
    </row>
    <row r="531" ht="31.5" customHeight="1">
      <c r="A531" s="145" t="s">
        <v>763</v>
      </c>
      <c r="B531" s="197"/>
    </row>
    <row r="532" ht="31.5" customHeight="1">
      <c r="A532" s="145" t="s">
        <v>503</v>
      </c>
      <c r="B532" s="181"/>
    </row>
    <row r="533" ht="31.5" customHeight="1">
      <c r="A533" s="145" t="s">
        <v>511</v>
      </c>
      <c r="B533" s="181"/>
    </row>
    <row r="534" ht="31.5" customHeight="1">
      <c r="A534" s="145" t="s">
        <v>516</v>
      </c>
      <c r="B534" s="182"/>
    </row>
    <row r="535" ht="31.5" customHeight="1">
      <c r="A535" s="145"/>
      <c r="B535" s="183"/>
    </row>
    <row r="536" ht="31.5" customHeight="1">
      <c r="A536" s="145"/>
      <c r="B536" s="183"/>
    </row>
    <row r="537" ht="31.5" customHeight="1">
      <c r="A537" s="145"/>
      <c r="B537" s="183"/>
    </row>
    <row r="538" ht="31.5" customHeight="1">
      <c r="A538" s="145"/>
      <c r="B538" s="183"/>
    </row>
    <row r="539" ht="31.5" customHeight="1">
      <c r="A539" s="145"/>
      <c r="B539" s="183"/>
    </row>
    <row r="540" ht="31.5" customHeight="1">
      <c r="A540" s="145"/>
      <c r="B540" s="183"/>
    </row>
    <row r="541" ht="31.5" customHeight="1">
      <c r="A541" s="145"/>
      <c r="B541" s="183"/>
    </row>
    <row r="542" ht="31.5" customHeight="1">
      <c r="A542" s="145"/>
      <c r="B542" s="183"/>
    </row>
    <row r="543" ht="31.5" customHeight="1">
      <c r="A543" s="145"/>
      <c r="B543" s="183"/>
    </row>
    <row r="544" ht="31.5" customHeight="1">
      <c r="A544" s="145"/>
      <c r="B544" s="183"/>
    </row>
    <row r="545" ht="31.5" customHeight="1">
      <c r="A545" s="145"/>
      <c r="B545" s="183"/>
    </row>
    <row r="546" ht="31.5" customHeight="1">
      <c r="A546" s="145"/>
      <c r="B546" s="183"/>
    </row>
    <row r="547" ht="31.5" customHeight="1">
      <c r="A547" s="145"/>
      <c r="B547" s="183"/>
    </row>
    <row r="548" ht="31.5" customHeight="1">
      <c r="A548" s="145"/>
      <c r="B548" s="183"/>
    </row>
    <row r="549" ht="31.5" customHeight="1">
      <c r="A549" s="145"/>
      <c r="B549" s="183"/>
    </row>
    <row r="550" ht="31.5" customHeight="1">
      <c r="A550" s="145"/>
      <c r="B550" s="183"/>
    </row>
    <row r="551" ht="31.5" customHeight="1">
      <c r="A551" s="198" t="str">
        <f t="array" ref="A551:A600">'Up Names'!L2:L51</f>
        <v>Explosive Bullets</v>
      </c>
      <c r="B551" s="194"/>
    </row>
    <row r="552" ht="31.5" customHeight="1">
      <c r="A552" s="146" t="s">
        <v>161</v>
      </c>
      <c r="B552" s="194"/>
    </row>
    <row r="553" ht="31.5" customHeight="1">
      <c r="A553" s="144" t="s">
        <v>181</v>
      </c>
      <c r="B553" s="194"/>
    </row>
    <row r="554" ht="31.5" customHeight="1">
      <c r="A554" s="146" t="s">
        <v>201</v>
      </c>
      <c r="B554" s="194"/>
    </row>
    <row r="555" ht="31.5" customHeight="1">
      <c r="A555" s="144" t="s">
        <v>221</v>
      </c>
      <c r="B555" s="195"/>
    </row>
    <row r="556" ht="31.5" customHeight="1">
      <c r="A556" s="146" t="s">
        <v>240</v>
      </c>
      <c r="B556" s="195"/>
    </row>
    <row r="557" ht="31.5" customHeight="1">
      <c r="A557" s="144" t="s">
        <v>260</v>
      </c>
      <c r="B557" s="195"/>
    </row>
    <row r="558" ht="31.5" customHeight="1">
      <c r="A558" s="146" t="s">
        <v>280</v>
      </c>
      <c r="B558" s="195"/>
    </row>
    <row r="559" ht="31.5" customHeight="1">
      <c r="A559" s="144" t="s">
        <v>300</v>
      </c>
      <c r="B559" s="195"/>
    </row>
    <row r="560" ht="31.5" customHeight="1">
      <c r="A560" s="146" t="s">
        <v>320</v>
      </c>
      <c r="B560" s="195"/>
    </row>
    <row r="561" ht="31.5" customHeight="1">
      <c r="A561" s="144" t="s">
        <v>340</v>
      </c>
      <c r="B561" s="195"/>
    </row>
    <row r="562" ht="31.5" customHeight="1">
      <c r="A562" s="146" t="s">
        <v>360</v>
      </c>
      <c r="B562" s="195"/>
    </row>
    <row r="563" ht="31.5" customHeight="1">
      <c r="A563" s="144" t="s">
        <v>384</v>
      </c>
      <c r="B563" s="195"/>
    </row>
    <row r="564" ht="31.5" customHeight="1">
      <c r="A564" s="146" t="s">
        <v>409</v>
      </c>
      <c r="B564" s="195"/>
    </row>
    <row r="565" ht="31.5" customHeight="1">
      <c r="A565" s="144" t="s">
        <v>438</v>
      </c>
      <c r="B565" s="199"/>
    </row>
    <row r="566" ht="31.5" customHeight="1">
      <c r="A566" s="146" t="s">
        <v>466</v>
      </c>
      <c r="B566" s="199"/>
    </row>
    <row r="567" ht="31.5" customHeight="1">
      <c r="A567" s="144" t="s">
        <v>495</v>
      </c>
      <c r="B567" s="199"/>
    </row>
    <row r="568" ht="31.5" customHeight="1">
      <c r="A568" s="146" t="s">
        <v>519</v>
      </c>
      <c r="B568" s="199"/>
    </row>
    <row r="569" ht="31.5" customHeight="1">
      <c r="A569" s="144" t="s">
        <v>538</v>
      </c>
      <c r="B569" s="199"/>
    </row>
    <row r="570" ht="31.5" customHeight="1">
      <c r="A570" s="146" t="s">
        <v>558</v>
      </c>
      <c r="B570" s="199"/>
    </row>
    <row r="571" ht="31.5" customHeight="1">
      <c r="A571" s="144" t="s">
        <v>582</v>
      </c>
      <c r="B571" s="199"/>
    </row>
    <row r="572" ht="31.5" customHeight="1">
      <c r="A572" s="146" t="s">
        <v>606</v>
      </c>
      <c r="B572" s="199"/>
    </row>
    <row r="573" ht="31.5" customHeight="1">
      <c r="A573" s="144" t="s">
        <v>626</v>
      </c>
      <c r="B573" s="199"/>
    </row>
    <row r="574" ht="31.5" customHeight="1">
      <c r="A574" s="146" t="s">
        <v>652</v>
      </c>
      <c r="B574" s="199"/>
    </row>
    <row r="575" ht="31.5" customHeight="1">
      <c r="A575" s="144" t="s">
        <v>668</v>
      </c>
      <c r="B575" s="199"/>
    </row>
    <row r="576" ht="31.5" customHeight="1">
      <c r="A576" s="146" t="s">
        <v>682</v>
      </c>
      <c r="B576" s="199"/>
    </row>
    <row r="577" ht="31.5" customHeight="1">
      <c r="A577" s="144" t="s">
        <v>696</v>
      </c>
      <c r="B577" s="197"/>
    </row>
    <row r="578" ht="31.5" customHeight="1">
      <c r="A578" s="146" t="s">
        <v>715</v>
      </c>
      <c r="B578" s="197"/>
    </row>
    <row r="579" ht="31.5" customHeight="1">
      <c r="A579" s="144" t="s">
        <v>734</v>
      </c>
      <c r="B579" s="197"/>
    </row>
    <row r="580" ht="31.5" customHeight="1">
      <c r="A580" s="146" t="s">
        <v>751</v>
      </c>
      <c r="B580" s="197"/>
    </row>
    <row r="581" ht="31.5" customHeight="1">
      <c r="A581" s="144" t="s">
        <v>764</v>
      </c>
      <c r="B581" s="197"/>
    </row>
    <row r="582" ht="31.5" customHeight="1">
      <c r="A582" s="200" t="s">
        <v>503</v>
      </c>
      <c r="B582" s="181"/>
    </row>
    <row r="583" ht="31.5" customHeight="1">
      <c r="A583" s="145" t="s">
        <v>511</v>
      </c>
      <c r="B583" s="181"/>
    </row>
    <row r="584" ht="31.5" customHeight="1">
      <c r="A584" s="145" t="s">
        <v>516</v>
      </c>
      <c r="B584" s="182"/>
    </row>
    <row r="585" ht="31.5" customHeight="1">
      <c r="A585" s="145"/>
      <c r="B585" s="183"/>
    </row>
    <row r="586" ht="31.5" customHeight="1">
      <c r="A586" s="145"/>
      <c r="B586" s="183"/>
    </row>
    <row r="587" ht="31.5" customHeight="1">
      <c r="A587" s="145"/>
      <c r="B587" s="183"/>
    </row>
    <row r="588" ht="31.5" customHeight="1">
      <c r="A588" s="145"/>
      <c r="B588" s="183"/>
    </row>
    <row r="589" ht="31.5" customHeight="1">
      <c r="A589" s="145"/>
      <c r="B589" s="183"/>
    </row>
    <row r="590" ht="31.5" customHeight="1">
      <c r="A590" s="145"/>
      <c r="B590" s="183"/>
    </row>
    <row r="591" ht="31.5" customHeight="1">
      <c r="A591" s="145"/>
      <c r="B591" s="183"/>
    </row>
    <row r="592" ht="31.5" customHeight="1">
      <c r="A592" s="145"/>
      <c r="B592" s="183"/>
    </row>
    <row r="593" ht="31.5" customHeight="1">
      <c r="A593" s="145"/>
      <c r="B593" s="183"/>
    </row>
    <row r="594" ht="31.5" customHeight="1">
      <c r="A594" s="145"/>
      <c r="B594" s="183"/>
    </row>
    <row r="595" ht="31.5" customHeight="1">
      <c r="A595" s="145"/>
      <c r="B595" s="183"/>
    </row>
    <row r="596" ht="31.5" customHeight="1">
      <c r="A596" s="145"/>
      <c r="B596" s="183"/>
    </row>
    <row r="597" ht="31.5" customHeight="1">
      <c r="A597" s="145"/>
      <c r="B597" s="183"/>
    </row>
    <row r="598" ht="31.5" customHeight="1">
      <c r="A598" s="145"/>
      <c r="B598" s="183"/>
    </row>
    <row r="599" ht="31.5" customHeight="1">
      <c r="A599" s="145"/>
      <c r="B599" s="183"/>
    </row>
    <row r="600" ht="31.5" customHeight="1">
      <c r="A600" s="145"/>
      <c r="B600" s="183"/>
    </row>
    <row r="601" ht="31.5" customHeight="1">
      <c r="A601" s="171" t="str">
        <f t="array" ref="A601:A650">'Up Names'!M2:M51</f>
        <v>Cluster Bomb</v>
      </c>
      <c r="B601" s="177"/>
    </row>
    <row r="602" ht="31.5" customHeight="1">
      <c r="A602" s="145" t="s">
        <v>162</v>
      </c>
      <c r="B602" s="177"/>
    </row>
    <row r="603" ht="31.5" customHeight="1">
      <c r="A603" s="143" t="s">
        <v>182</v>
      </c>
      <c r="B603" s="177"/>
    </row>
    <row r="604" ht="31.5" customHeight="1">
      <c r="A604" s="145" t="s">
        <v>202</v>
      </c>
      <c r="B604" s="178"/>
    </row>
    <row r="605" ht="31.5" customHeight="1">
      <c r="A605" s="143" t="s">
        <v>222</v>
      </c>
      <c r="B605" s="178"/>
    </row>
    <row r="606" ht="31.5" customHeight="1">
      <c r="A606" s="145" t="s">
        <v>241</v>
      </c>
      <c r="B606" s="178"/>
    </row>
    <row r="607" ht="31.5" customHeight="1">
      <c r="A607" s="143" t="s">
        <v>261</v>
      </c>
      <c r="B607" s="178"/>
    </row>
    <row r="608" ht="31.5" customHeight="1">
      <c r="A608" s="145" t="s">
        <v>281</v>
      </c>
      <c r="B608" s="178"/>
    </row>
    <row r="609" ht="31.5" customHeight="1">
      <c r="A609" s="143" t="s">
        <v>301</v>
      </c>
      <c r="B609" s="178"/>
    </row>
    <row r="610" ht="31.5" customHeight="1">
      <c r="A610" s="145" t="s">
        <v>321</v>
      </c>
      <c r="B610" s="178"/>
    </row>
    <row r="611" ht="31.5" customHeight="1">
      <c r="A611" s="143" t="s">
        <v>341</v>
      </c>
      <c r="B611" s="179"/>
    </row>
    <row r="612" ht="31.5" customHeight="1">
      <c r="A612" s="145" t="s">
        <v>361</v>
      </c>
      <c r="B612" s="179"/>
    </row>
    <row r="613" ht="31.5" customHeight="1">
      <c r="A613" s="143" t="s">
        <v>385</v>
      </c>
      <c r="B613" s="179"/>
    </row>
    <row r="614" ht="31.5" customHeight="1">
      <c r="A614" s="145" t="s">
        <v>412</v>
      </c>
      <c r="B614" s="179"/>
    </row>
    <row r="615" ht="31.5" customHeight="1">
      <c r="A615" s="143" t="s">
        <v>440</v>
      </c>
      <c r="B615" s="179"/>
    </row>
    <row r="616" ht="31.5" customHeight="1">
      <c r="A616" s="145" t="s">
        <v>467</v>
      </c>
      <c r="B616" s="179"/>
    </row>
    <row r="617" ht="31.5" customHeight="1">
      <c r="A617" s="143" t="s">
        <v>497</v>
      </c>
      <c r="B617" s="179"/>
    </row>
    <row r="618" ht="31.5" customHeight="1">
      <c r="A618" s="145" t="s">
        <v>520</v>
      </c>
      <c r="B618" s="180"/>
    </row>
    <row r="619" ht="31.5" customHeight="1">
      <c r="A619" s="143" t="s">
        <v>539</v>
      </c>
      <c r="B619" s="180"/>
    </row>
    <row r="620" ht="31.5" customHeight="1">
      <c r="A620" s="145" t="s">
        <v>559</v>
      </c>
      <c r="B620" s="180"/>
    </row>
    <row r="621" ht="31.5" customHeight="1">
      <c r="A621" s="143" t="s">
        <v>583</v>
      </c>
      <c r="B621" s="195"/>
    </row>
    <row r="622" ht="31.5" customHeight="1">
      <c r="A622" s="145" t="s">
        <v>607</v>
      </c>
      <c r="B622" s="194"/>
    </row>
    <row r="623" ht="31.5" customHeight="1">
      <c r="A623" s="143" t="s">
        <v>627</v>
      </c>
      <c r="B623" s="194"/>
    </row>
    <row r="624" ht="31.5" customHeight="1">
      <c r="A624" s="145" t="s">
        <v>653</v>
      </c>
      <c r="B624" s="181"/>
    </row>
    <row r="625" ht="31.5" customHeight="1">
      <c r="A625" s="143" t="s">
        <v>503</v>
      </c>
      <c r="B625" s="181"/>
    </row>
    <row r="626" ht="31.5" customHeight="1">
      <c r="A626" s="145" t="s">
        <v>511</v>
      </c>
      <c r="B626" s="181"/>
    </row>
    <row r="627" ht="31.5" customHeight="1">
      <c r="A627" s="143" t="s">
        <v>516</v>
      </c>
      <c r="B627" s="182"/>
    </row>
    <row r="628" ht="31.5" customHeight="1">
      <c r="A628" s="145"/>
      <c r="B628" s="183"/>
    </row>
    <row r="629" ht="31.5" customHeight="1">
      <c r="A629" s="143"/>
      <c r="B629" s="183"/>
    </row>
    <row r="630" ht="31.5" customHeight="1">
      <c r="A630" s="145"/>
      <c r="B630" s="183"/>
    </row>
    <row r="631" ht="31.5" customHeight="1">
      <c r="A631" s="143"/>
      <c r="B631" s="183"/>
    </row>
    <row r="632" ht="31.5" customHeight="1">
      <c r="A632" s="145"/>
      <c r="B632" s="183"/>
    </row>
    <row r="633" ht="31.5" customHeight="1">
      <c r="A633" s="143"/>
      <c r="B633" s="183"/>
    </row>
    <row r="634" ht="31.5" customHeight="1">
      <c r="A634" s="145"/>
      <c r="B634" s="183"/>
    </row>
    <row r="635" ht="31.5" customHeight="1">
      <c r="A635" s="143"/>
      <c r="B635" s="183"/>
    </row>
    <row r="636" ht="31.5" customHeight="1">
      <c r="A636" s="145"/>
      <c r="B636" s="183"/>
    </row>
    <row r="637" ht="31.5" customHeight="1">
      <c r="A637" s="143"/>
      <c r="B637" s="183"/>
    </row>
    <row r="638" ht="31.5" customHeight="1">
      <c r="A638" s="145"/>
      <c r="B638" s="183"/>
    </row>
    <row r="639" ht="31.5" customHeight="1">
      <c r="A639" s="143"/>
      <c r="B639" s="183"/>
    </row>
    <row r="640" ht="31.5" customHeight="1">
      <c r="A640" s="145"/>
      <c r="B640" s="183"/>
    </row>
    <row r="641" ht="31.5" customHeight="1">
      <c r="A641" s="143"/>
      <c r="B641" s="183"/>
    </row>
    <row r="642" ht="31.5" customHeight="1">
      <c r="A642" s="145"/>
      <c r="B642" s="183"/>
    </row>
    <row r="643" ht="31.5" customHeight="1">
      <c r="A643" s="143"/>
      <c r="B643" s="183"/>
    </row>
    <row r="644" ht="31.5" customHeight="1">
      <c r="A644" s="145"/>
      <c r="B644" s="183"/>
    </row>
    <row r="645" ht="31.5" customHeight="1">
      <c r="A645" s="143"/>
      <c r="B645" s="183"/>
    </row>
    <row r="646" ht="31.5" customHeight="1">
      <c r="A646" s="145"/>
      <c r="B646" s="183"/>
    </row>
    <row r="647" ht="31.5" customHeight="1">
      <c r="A647" s="143"/>
      <c r="B647" s="183"/>
    </row>
    <row r="648" ht="31.5" customHeight="1">
      <c r="A648" s="145"/>
      <c r="B648" s="183"/>
    </row>
    <row r="649" ht="31.5" customHeight="1">
      <c r="A649" s="143"/>
      <c r="B649" s="183"/>
    </row>
    <row r="650" ht="31.5" customHeight="1">
      <c r="A650" s="184"/>
      <c r="B650" s="183"/>
    </row>
    <row r="651" ht="31.5" customHeight="1">
      <c r="A651" s="171" t="str">
        <f t="array" ref="A651:A700">'Up Names'!N2:N51</f>
        <v>Flash Storm</v>
      </c>
      <c r="B651" s="177"/>
    </row>
    <row r="652" ht="31.5" customHeight="1">
      <c r="A652" s="145" t="s">
        <v>163</v>
      </c>
      <c r="B652" s="177"/>
    </row>
    <row r="653" ht="31.5" customHeight="1">
      <c r="A653" s="143" t="s">
        <v>183</v>
      </c>
      <c r="B653" s="177"/>
    </row>
    <row r="654" ht="31.5" customHeight="1">
      <c r="A654" s="145" t="s">
        <v>203</v>
      </c>
      <c r="B654" s="178"/>
    </row>
    <row r="655" ht="31.5" customHeight="1">
      <c r="A655" s="143" t="s">
        <v>223</v>
      </c>
      <c r="B655" s="178"/>
    </row>
    <row r="656" ht="31.5" customHeight="1">
      <c r="A656" s="145" t="s">
        <v>242</v>
      </c>
      <c r="B656" s="178"/>
    </row>
    <row r="657" ht="31.5" customHeight="1">
      <c r="A657" s="143" t="s">
        <v>262</v>
      </c>
      <c r="B657" s="178"/>
    </row>
    <row r="658" ht="31.5" customHeight="1">
      <c r="A658" s="145" t="s">
        <v>282</v>
      </c>
      <c r="B658" s="178"/>
    </row>
    <row r="659" ht="31.5" customHeight="1">
      <c r="A659" s="143" t="s">
        <v>302</v>
      </c>
      <c r="B659" s="178"/>
    </row>
    <row r="660" ht="31.5" customHeight="1">
      <c r="A660" s="145" t="s">
        <v>322</v>
      </c>
      <c r="B660" s="178"/>
    </row>
    <row r="661" ht="31.5" customHeight="1">
      <c r="A661" s="143" t="s">
        <v>342</v>
      </c>
      <c r="B661" s="178"/>
    </row>
    <row r="662" ht="31.5" customHeight="1">
      <c r="A662" s="145" t="s">
        <v>362</v>
      </c>
      <c r="B662" s="179"/>
    </row>
    <row r="663" ht="31.5" customHeight="1">
      <c r="A663" s="143" t="s">
        <v>387</v>
      </c>
      <c r="B663" s="179"/>
    </row>
    <row r="664" ht="31.5" customHeight="1">
      <c r="A664" s="145" t="s">
        <v>413</v>
      </c>
      <c r="B664" s="179"/>
    </row>
    <row r="665" ht="31.5" customHeight="1">
      <c r="A665" s="143" t="s">
        <v>441</v>
      </c>
      <c r="B665" s="179"/>
    </row>
    <row r="666" ht="31.5" customHeight="1">
      <c r="A666" s="145" t="s">
        <v>469</v>
      </c>
      <c r="B666" s="179"/>
    </row>
    <row r="667" ht="31.5" customHeight="1">
      <c r="A667" s="143" t="s">
        <v>498</v>
      </c>
      <c r="B667" s="179"/>
    </row>
    <row r="668" ht="31.5" customHeight="1">
      <c r="A668" s="145" t="s">
        <v>521</v>
      </c>
      <c r="B668" s="180"/>
    </row>
    <row r="669" ht="31.5" customHeight="1">
      <c r="A669" s="143" t="s">
        <v>540</v>
      </c>
      <c r="B669" s="180"/>
    </row>
    <row r="670" ht="31.5" customHeight="1">
      <c r="A670" s="145" t="s">
        <v>560</v>
      </c>
      <c r="B670" s="180"/>
    </row>
    <row r="671" ht="31.5" customHeight="1">
      <c r="A671" s="143" t="s">
        <v>583</v>
      </c>
      <c r="B671" s="195"/>
    </row>
    <row r="672" ht="31.5" customHeight="1">
      <c r="A672" s="145" t="s">
        <v>607</v>
      </c>
      <c r="B672" s="194"/>
    </row>
    <row r="673" ht="31.5" customHeight="1">
      <c r="A673" s="143" t="s">
        <v>627</v>
      </c>
      <c r="B673" s="194"/>
    </row>
    <row r="674" ht="31.5" customHeight="1">
      <c r="A674" s="145" t="s">
        <v>653</v>
      </c>
      <c r="B674" s="181"/>
    </row>
    <row r="675" ht="31.5" customHeight="1">
      <c r="A675" s="143" t="s">
        <v>503</v>
      </c>
      <c r="B675" s="181"/>
    </row>
    <row r="676" ht="31.5" customHeight="1">
      <c r="A676" s="145" t="s">
        <v>511</v>
      </c>
      <c r="B676" s="181"/>
    </row>
    <row r="677" ht="31.5" customHeight="1">
      <c r="A677" s="143" t="s">
        <v>516</v>
      </c>
      <c r="B677" s="182"/>
    </row>
    <row r="678" ht="31.5" customHeight="1">
      <c r="A678" s="145"/>
      <c r="B678" s="183"/>
    </row>
    <row r="679" ht="31.5" customHeight="1">
      <c r="A679" s="143"/>
      <c r="B679" s="183"/>
    </row>
    <row r="680" ht="31.5" customHeight="1">
      <c r="A680" s="145"/>
      <c r="B680" s="183"/>
    </row>
    <row r="681" ht="31.5" customHeight="1">
      <c r="A681" s="143"/>
      <c r="B681" s="183"/>
    </row>
    <row r="682" ht="31.5" customHeight="1">
      <c r="A682" s="145"/>
      <c r="B682" s="183"/>
    </row>
    <row r="683" ht="31.5" customHeight="1">
      <c r="A683" s="143"/>
      <c r="B683" s="183"/>
    </row>
    <row r="684" ht="31.5" customHeight="1">
      <c r="A684" s="145"/>
      <c r="B684" s="183"/>
    </row>
    <row r="685" ht="31.5" customHeight="1">
      <c r="A685" s="143"/>
      <c r="B685" s="183"/>
    </row>
    <row r="686" ht="31.5" customHeight="1">
      <c r="A686" s="145"/>
      <c r="B686" s="183"/>
    </row>
    <row r="687" ht="31.5" customHeight="1">
      <c r="A687" s="143"/>
      <c r="B687" s="183"/>
    </row>
    <row r="688" ht="31.5" customHeight="1">
      <c r="A688" s="145"/>
      <c r="B688" s="183"/>
    </row>
    <row r="689" ht="31.5" customHeight="1">
      <c r="A689" s="143"/>
      <c r="B689" s="183"/>
    </row>
    <row r="690" ht="31.5" customHeight="1">
      <c r="A690" s="145"/>
      <c r="B690" s="183"/>
    </row>
    <row r="691" ht="31.5" customHeight="1">
      <c r="A691" s="143"/>
      <c r="B691" s="183"/>
    </row>
    <row r="692" ht="31.5" customHeight="1">
      <c r="A692" s="145"/>
      <c r="B692" s="183"/>
    </row>
    <row r="693" ht="31.5" customHeight="1">
      <c r="A693" s="143"/>
      <c r="B693" s="183"/>
    </row>
    <row r="694" ht="31.5" customHeight="1">
      <c r="A694" s="145"/>
      <c r="B694" s="183"/>
    </row>
    <row r="695" ht="31.5" customHeight="1">
      <c r="A695" s="143"/>
      <c r="B695" s="183"/>
    </row>
    <row r="696" ht="31.5" customHeight="1">
      <c r="A696" s="145"/>
      <c r="B696" s="183"/>
    </row>
    <row r="697" ht="31.5" customHeight="1">
      <c r="A697" s="143"/>
      <c r="B697" s="183"/>
    </row>
    <row r="698" ht="31.5" customHeight="1">
      <c r="A698" s="145"/>
      <c r="B698" s="183"/>
    </row>
    <row r="699" ht="31.5" customHeight="1">
      <c r="A699" s="143"/>
      <c r="B699" s="183"/>
    </row>
    <row r="700" ht="31.5" customHeight="1">
      <c r="A700" s="184"/>
      <c r="B700" s="183"/>
    </row>
    <row r="701" ht="31.5" customHeight="1">
      <c r="A701" s="171" t="str">
        <f t="array" ref="A701:A750">'Up Names'!O2:O51</f>
        <v>Connected Systems</v>
      </c>
      <c r="B701" s="177"/>
    </row>
    <row r="702" ht="31.5" customHeight="1">
      <c r="A702" s="145" t="s">
        <v>164</v>
      </c>
      <c r="B702" s="177"/>
    </row>
    <row r="703" ht="31.5" customHeight="1">
      <c r="A703" s="143" t="s">
        <v>184</v>
      </c>
      <c r="B703" s="177"/>
    </row>
    <row r="704" ht="31.5" customHeight="1">
      <c r="A704" s="145" t="s">
        <v>204</v>
      </c>
      <c r="B704" s="178"/>
    </row>
    <row r="705" ht="31.5" customHeight="1">
      <c r="A705" s="143" t="s">
        <v>224</v>
      </c>
      <c r="B705" s="178"/>
    </row>
    <row r="706" ht="31.5" customHeight="1">
      <c r="A706" s="145" t="s">
        <v>243</v>
      </c>
      <c r="B706" s="178"/>
    </row>
    <row r="707" ht="31.5" customHeight="1">
      <c r="A707" s="143" t="s">
        <v>263</v>
      </c>
      <c r="B707" s="178"/>
    </row>
    <row r="708" ht="31.5" customHeight="1">
      <c r="A708" s="145" t="s">
        <v>283</v>
      </c>
      <c r="B708" s="178"/>
    </row>
    <row r="709" ht="31.5" customHeight="1">
      <c r="A709" s="143" t="s">
        <v>303</v>
      </c>
      <c r="B709" s="178"/>
    </row>
    <row r="710" ht="31.5" customHeight="1">
      <c r="A710" s="145" t="s">
        <v>323</v>
      </c>
      <c r="B710" s="178"/>
    </row>
    <row r="711" ht="31.5" customHeight="1">
      <c r="A711" s="143" t="s">
        <v>343</v>
      </c>
      <c r="B711" s="179"/>
    </row>
    <row r="712" ht="31.5" customHeight="1">
      <c r="A712" s="145" t="s">
        <v>363</v>
      </c>
      <c r="B712" s="179"/>
    </row>
    <row r="713" ht="31.5" customHeight="1">
      <c r="A713" s="143" t="s">
        <v>388</v>
      </c>
      <c r="B713" s="179"/>
    </row>
    <row r="714" ht="31.5" customHeight="1">
      <c r="A714" s="145" t="s">
        <v>414</v>
      </c>
      <c r="B714" s="179"/>
    </row>
    <row r="715" ht="31.5" customHeight="1">
      <c r="A715" s="143" t="s">
        <v>442</v>
      </c>
      <c r="B715" s="179"/>
    </row>
    <row r="716" ht="31.5" customHeight="1">
      <c r="A716" s="145" t="s">
        <v>470</v>
      </c>
      <c r="B716" s="179"/>
    </row>
    <row r="717" ht="31.5" customHeight="1">
      <c r="A717" s="143" t="s">
        <v>500</v>
      </c>
      <c r="B717" s="179"/>
    </row>
    <row r="718" ht="31.5" customHeight="1">
      <c r="A718" s="145" t="s">
        <v>522</v>
      </c>
      <c r="B718" s="180"/>
    </row>
    <row r="719" ht="31.5" customHeight="1">
      <c r="A719" s="143" t="s">
        <v>541</v>
      </c>
      <c r="B719" s="180"/>
    </row>
    <row r="720" ht="31.5" customHeight="1">
      <c r="A720" s="145" t="s">
        <v>561</v>
      </c>
      <c r="B720" s="180"/>
    </row>
    <row r="721" ht="31.5" customHeight="1">
      <c r="A721" s="143" t="s">
        <v>583</v>
      </c>
      <c r="B721" s="195"/>
    </row>
    <row r="722" ht="31.5" customHeight="1">
      <c r="A722" s="145" t="s">
        <v>607</v>
      </c>
      <c r="B722" s="194"/>
    </row>
    <row r="723" ht="31.5" customHeight="1">
      <c r="A723" s="143" t="s">
        <v>627</v>
      </c>
      <c r="B723" s="194"/>
    </row>
    <row r="724" ht="31.5" customHeight="1">
      <c r="A724" s="145" t="s">
        <v>653</v>
      </c>
      <c r="B724" s="181"/>
    </row>
    <row r="725" ht="31.5" customHeight="1">
      <c r="A725" s="143" t="s">
        <v>503</v>
      </c>
      <c r="B725" s="181"/>
    </row>
    <row r="726" ht="31.5" customHeight="1">
      <c r="A726" s="145" t="s">
        <v>511</v>
      </c>
      <c r="B726" s="181"/>
    </row>
    <row r="727" ht="31.5" customHeight="1">
      <c r="A727" s="143" t="s">
        <v>516</v>
      </c>
      <c r="B727" s="182"/>
    </row>
    <row r="728" ht="31.5" customHeight="1">
      <c r="A728" s="145"/>
      <c r="B728" s="183"/>
    </row>
    <row r="729" ht="31.5" customHeight="1">
      <c r="A729" s="143"/>
      <c r="B729" s="183"/>
    </row>
    <row r="730" ht="31.5" customHeight="1">
      <c r="A730" s="145"/>
      <c r="B730" s="183"/>
    </row>
    <row r="731" ht="31.5" customHeight="1">
      <c r="A731" s="143"/>
      <c r="B731" s="183"/>
    </row>
    <row r="732" ht="31.5" customHeight="1">
      <c r="A732" s="145"/>
      <c r="B732" s="183"/>
    </row>
    <row r="733" ht="31.5" customHeight="1">
      <c r="A733" s="143"/>
      <c r="B733" s="183"/>
    </row>
    <row r="734" ht="31.5" customHeight="1">
      <c r="A734" s="145"/>
      <c r="B734" s="183"/>
    </row>
    <row r="735" ht="31.5" customHeight="1">
      <c r="A735" s="143"/>
      <c r="B735" s="183"/>
    </row>
    <row r="736" ht="31.5" customHeight="1">
      <c r="A736" s="145"/>
      <c r="B736" s="183"/>
    </row>
    <row r="737" ht="31.5" customHeight="1">
      <c r="A737" s="143"/>
      <c r="B737" s="183"/>
    </row>
    <row r="738" ht="31.5" customHeight="1">
      <c r="A738" s="145"/>
      <c r="B738" s="183"/>
    </row>
    <row r="739" ht="31.5" customHeight="1">
      <c r="A739" s="143"/>
      <c r="B739" s="183"/>
    </row>
    <row r="740" ht="31.5" customHeight="1">
      <c r="A740" s="145"/>
      <c r="B740" s="183"/>
    </row>
    <row r="741" ht="31.5" customHeight="1">
      <c r="A741" s="143"/>
      <c r="B741" s="183"/>
    </row>
    <row r="742" ht="31.5" customHeight="1">
      <c r="A742" s="145"/>
      <c r="B742" s="183"/>
    </row>
    <row r="743" ht="31.5" customHeight="1">
      <c r="A743" s="143"/>
      <c r="B743" s="183"/>
    </row>
    <row r="744" ht="31.5" customHeight="1">
      <c r="A744" s="145"/>
      <c r="B744" s="183"/>
    </row>
    <row r="745" ht="31.5" customHeight="1">
      <c r="A745" s="143"/>
      <c r="B745" s="183"/>
    </row>
    <row r="746" ht="31.5" customHeight="1">
      <c r="A746" s="145"/>
      <c r="B746" s="183"/>
    </row>
    <row r="747" ht="31.5" customHeight="1">
      <c r="A747" s="143"/>
      <c r="B747" s="183"/>
    </row>
    <row r="748" ht="31.5" customHeight="1">
      <c r="A748" s="145"/>
      <c r="B748" s="183"/>
    </row>
    <row r="749" ht="31.5" customHeight="1">
      <c r="A749" s="143"/>
      <c r="B749" s="183"/>
    </row>
    <row r="750" ht="31.5" customHeight="1">
      <c r="A750" s="184"/>
      <c r="B750" s="183"/>
    </row>
    <row r="751" ht="31.5" customHeight="1">
      <c r="A751" s="171" t="str">
        <f t="array" ref="A751:A800">'Up Names'!P2:P51</f>
        <v>Magboots</v>
      </c>
      <c r="B751" s="177"/>
    </row>
    <row r="752" ht="31.5" customHeight="1">
      <c r="A752" s="145" t="s">
        <v>165</v>
      </c>
      <c r="B752" s="178"/>
    </row>
    <row r="753" ht="31.5" customHeight="1">
      <c r="A753" s="143" t="s">
        <v>185</v>
      </c>
      <c r="B753" s="178"/>
    </row>
    <row r="754" ht="31.5" customHeight="1">
      <c r="A754" s="145" t="s">
        <v>205</v>
      </c>
      <c r="B754" s="178"/>
    </row>
    <row r="755" ht="31.5" customHeight="1">
      <c r="A755" s="143" t="s">
        <v>39</v>
      </c>
      <c r="B755" s="178"/>
    </row>
    <row r="756" ht="31.5" customHeight="1">
      <c r="A756" s="145" t="s">
        <v>244</v>
      </c>
      <c r="B756" s="178"/>
    </row>
    <row r="757" ht="31.5" customHeight="1">
      <c r="A757" s="143" t="s">
        <v>264</v>
      </c>
      <c r="B757" s="178"/>
    </row>
    <row r="758" ht="31.5" customHeight="1">
      <c r="A758" s="145" t="s">
        <v>284</v>
      </c>
      <c r="B758" s="178"/>
    </row>
    <row r="759" ht="31.5" customHeight="1">
      <c r="A759" s="143" t="s">
        <v>304</v>
      </c>
      <c r="B759" s="178"/>
    </row>
    <row r="760" ht="31.5" customHeight="1">
      <c r="A760" s="145" t="s">
        <v>324</v>
      </c>
      <c r="B760" s="178"/>
    </row>
    <row r="761" ht="31.5" customHeight="1">
      <c r="A761" s="143" t="s">
        <v>344</v>
      </c>
      <c r="B761" s="178"/>
    </row>
    <row r="762" ht="31.5" customHeight="1">
      <c r="A762" s="145" t="s">
        <v>364</v>
      </c>
      <c r="B762" s="178"/>
    </row>
    <row r="763" ht="31.5" customHeight="1">
      <c r="A763" s="143" t="s">
        <v>389</v>
      </c>
      <c r="B763" s="178"/>
    </row>
    <row r="764" ht="31.5" customHeight="1">
      <c r="A764" s="145" t="s">
        <v>417</v>
      </c>
      <c r="B764" s="178"/>
    </row>
    <row r="765" ht="31.5" customHeight="1">
      <c r="A765" s="143" t="s">
        <v>444</v>
      </c>
      <c r="B765" s="178"/>
    </row>
    <row r="766" ht="31.5" customHeight="1">
      <c r="A766" s="145" t="s">
        <v>471</v>
      </c>
      <c r="B766" s="179"/>
    </row>
    <row r="767" ht="31.5" customHeight="1">
      <c r="A767" s="143" t="s">
        <v>501</v>
      </c>
      <c r="B767" s="179"/>
    </row>
    <row r="768" ht="31.5" customHeight="1">
      <c r="A768" s="145" t="s">
        <v>523</v>
      </c>
      <c r="B768" s="179"/>
    </row>
    <row r="769" ht="31.5" customHeight="1">
      <c r="A769" s="143" t="s">
        <v>542</v>
      </c>
      <c r="B769" s="179"/>
    </row>
    <row r="770" ht="31.5" customHeight="1">
      <c r="A770" s="145" t="s">
        <v>562</v>
      </c>
      <c r="B770" s="179"/>
    </row>
    <row r="771" ht="31.5" customHeight="1">
      <c r="A771" s="143" t="s">
        <v>585</v>
      </c>
      <c r="B771" s="179"/>
    </row>
    <row r="772" ht="31.5" customHeight="1">
      <c r="A772" s="145" t="s">
        <v>608</v>
      </c>
      <c r="B772" s="179"/>
    </row>
    <row r="773" ht="31.5" customHeight="1">
      <c r="A773" s="143" t="s">
        <v>629</v>
      </c>
      <c r="B773" s="179"/>
    </row>
    <row r="774" ht="31.5" customHeight="1">
      <c r="A774" s="145" t="s">
        <v>654</v>
      </c>
      <c r="B774" s="179"/>
    </row>
    <row r="775" ht="31.5" customHeight="1">
      <c r="A775" s="143" t="s">
        <v>669</v>
      </c>
      <c r="B775" s="179"/>
    </row>
    <row r="776" ht="31.5" customHeight="1">
      <c r="A776" s="145" t="s">
        <v>683</v>
      </c>
      <c r="B776" s="179"/>
    </row>
    <row r="777" ht="31.5" customHeight="1">
      <c r="A777" s="143" t="s">
        <v>698</v>
      </c>
      <c r="B777" s="179"/>
    </row>
    <row r="778" ht="31.5" customHeight="1">
      <c r="A778" s="145" t="s">
        <v>717</v>
      </c>
      <c r="B778" s="180"/>
    </row>
    <row r="779" ht="31.5" customHeight="1">
      <c r="A779" s="143" t="s">
        <v>735</v>
      </c>
      <c r="B779" s="180"/>
    </row>
    <row r="780" ht="31.5" customHeight="1">
      <c r="A780" s="145" t="s">
        <v>753</v>
      </c>
      <c r="B780" s="180"/>
    </row>
    <row r="781" ht="31.5" customHeight="1">
      <c r="A781" s="143" t="s">
        <v>765</v>
      </c>
      <c r="B781" s="195"/>
    </row>
    <row r="782" ht="31.5" customHeight="1">
      <c r="A782" s="145" t="s">
        <v>774</v>
      </c>
      <c r="B782" s="181"/>
    </row>
    <row r="783" ht="31.5" customHeight="1">
      <c r="A783" s="143" t="s">
        <v>780</v>
      </c>
      <c r="B783" s="181"/>
    </row>
    <row r="784" ht="31.5" customHeight="1">
      <c r="A784" s="145" t="s">
        <v>785</v>
      </c>
      <c r="B784" s="181"/>
    </row>
    <row r="785" ht="31.5" customHeight="1">
      <c r="A785" s="143" t="s">
        <v>790</v>
      </c>
      <c r="B785" s="181"/>
    </row>
    <row r="786" ht="31.5" customHeight="1">
      <c r="A786" s="145" t="s">
        <v>503</v>
      </c>
      <c r="B786" s="181"/>
    </row>
    <row r="787" ht="31.5" customHeight="1">
      <c r="A787" s="143" t="s">
        <v>511</v>
      </c>
      <c r="B787" s="181"/>
    </row>
    <row r="788" ht="31.5" customHeight="1">
      <c r="A788" s="145" t="s">
        <v>516</v>
      </c>
      <c r="B788" s="182"/>
    </row>
    <row r="789" ht="31.5" customHeight="1">
      <c r="A789" s="143"/>
      <c r="B789" s="183"/>
    </row>
    <row r="790" ht="31.5" customHeight="1">
      <c r="A790" s="145"/>
      <c r="B790" s="183"/>
    </row>
    <row r="791" ht="31.5" customHeight="1">
      <c r="A791" s="143"/>
      <c r="B791" s="183"/>
    </row>
    <row r="792" ht="31.5" customHeight="1">
      <c r="A792" s="145"/>
      <c r="B792" s="183"/>
    </row>
    <row r="793" ht="31.5" customHeight="1">
      <c r="A793" s="143"/>
      <c r="B793" s="183"/>
    </row>
    <row r="794" ht="31.5" customHeight="1">
      <c r="A794" s="145"/>
      <c r="B794" s="183"/>
    </row>
    <row r="795" ht="31.5" customHeight="1">
      <c r="A795" s="143"/>
      <c r="B795" s="183"/>
    </row>
    <row r="796" ht="31.5" customHeight="1">
      <c r="A796" s="145"/>
      <c r="B796" s="183"/>
    </row>
    <row r="797" ht="31.5" customHeight="1">
      <c r="A797" s="143"/>
      <c r="B797" s="183"/>
    </row>
    <row r="798" ht="31.5" customHeight="1">
      <c r="A798" s="145"/>
      <c r="B798" s="183"/>
    </row>
    <row r="799" ht="31.5" customHeight="1">
      <c r="A799" s="143"/>
      <c r="B799" s="183"/>
    </row>
    <row r="800" ht="31.5" customHeight="1">
      <c r="A800" s="184"/>
      <c r="B800" s="183"/>
    </row>
    <row r="801" ht="31.5" customHeight="1">
      <c r="A801" s="171" t="str">
        <f t="array" ref="A801:A850">'Up Names'!Q2:Q51</f>
        <v>Switcheroo</v>
      </c>
      <c r="B801" s="201"/>
    </row>
    <row r="802" ht="31.5" customHeight="1">
      <c r="A802" s="145" t="s">
        <v>166</v>
      </c>
      <c r="B802" s="177"/>
    </row>
    <row r="803" ht="31.5" customHeight="1">
      <c r="A803" s="143" t="s">
        <v>186</v>
      </c>
      <c r="B803" s="177"/>
    </row>
    <row r="804" ht="31.5" customHeight="1">
      <c r="A804" s="145" t="s">
        <v>206</v>
      </c>
      <c r="B804" s="177"/>
    </row>
    <row r="805" ht="31.5" customHeight="1">
      <c r="A805" s="143" t="s">
        <v>225</v>
      </c>
      <c r="B805" s="177"/>
    </row>
    <row r="806" ht="31.5" customHeight="1">
      <c r="A806" s="145" t="s">
        <v>245</v>
      </c>
      <c r="B806" s="177"/>
    </row>
    <row r="807" ht="31.5" customHeight="1">
      <c r="A807" s="143" t="s">
        <v>265</v>
      </c>
      <c r="B807" s="178"/>
    </row>
    <row r="808" ht="31.5" customHeight="1">
      <c r="A808" s="145" t="s">
        <v>285</v>
      </c>
      <c r="B808" s="178"/>
    </row>
    <row r="809" ht="31.5" customHeight="1">
      <c r="A809" s="143" t="s">
        <v>305</v>
      </c>
      <c r="B809" s="178"/>
    </row>
    <row r="810" ht="31.5" customHeight="1">
      <c r="A810" s="145" t="s">
        <v>325</v>
      </c>
      <c r="B810" s="178"/>
    </row>
    <row r="811" ht="31.5" customHeight="1">
      <c r="A811" s="143" t="s">
        <v>345</v>
      </c>
      <c r="B811" s="178"/>
    </row>
    <row r="812" ht="31.5" customHeight="1">
      <c r="A812" s="145" t="s">
        <v>365</v>
      </c>
      <c r="B812" s="178"/>
    </row>
    <row r="813" ht="31.5" customHeight="1">
      <c r="A813" s="143" t="s">
        <v>390</v>
      </c>
      <c r="B813" s="178"/>
    </row>
    <row r="814" ht="31.5" customHeight="1">
      <c r="A814" s="145" t="s">
        <v>418</v>
      </c>
      <c r="B814" s="178"/>
    </row>
    <row r="815" ht="31.5" customHeight="1">
      <c r="A815" s="143" t="s">
        <v>445</v>
      </c>
      <c r="B815" s="178"/>
    </row>
    <row r="816" ht="31.5" customHeight="1">
      <c r="A816" s="145" t="s">
        <v>473</v>
      </c>
      <c r="B816" s="178"/>
    </row>
    <row r="817" ht="31.5" customHeight="1">
      <c r="A817" s="143" t="s">
        <v>502</v>
      </c>
      <c r="B817" s="179"/>
    </row>
    <row r="818" ht="31.5" customHeight="1">
      <c r="A818" s="145" t="s">
        <v>524</v>
      </c>
      <c r="B818" s="179"/>
    </row>
    <row r="819" ht="31.5" customHeight="1">
      <c r="A819" s="143" t="s">
        <v>543</v>
      </c>
      <c r="B819" s="179"/>
    </row>
    <row r="820" ht="31.5" customHeight="1">
      <c r="A820" s="145" t="s">
        <v>564</v>
      </c>
      <c r="B820" s="179"/>
    </row>
    <row r="821" ht="31.5" customHeight="1">
      <c r="A821" s="143" t="s">
        <v>586</v>
      </c>
      <c r="B821" s="179"/>
    </row>
    <row r="822" ht="31.5" customHeight="1">
      <c r="A822" s="145" t="s">
        <v>609</v>
      </c>
      <c r="B822" s="179"/>
    </row>
    <row r="823" ht="31.5" customHeight="1">
      <c r="A823" s="143" t="s">
        <v>631</v>
      </c>
      <c r="B823" s="179"/>
    </row>
    <row r="824" ht="31.5" customHeight="1">
      <c r="A824" s="145" t="s">
        <v>655</v>
      </c>
      <c r="B824" s="179"/>
    </row>
    <row r="825" ht="31.5" customHeight="1">
      <c r="A825" s="143" t="s">
        <v>670</v>
      </c>
      <c r="B825" s="179"/>
    </row>
    <row r="826" ht="31.5" customHeight="1">
      <c r="A826" s="145" t="s">
        <v>684</v>
      </c>
      <c r="B826" s="179"/>
    </row>
    <row r="827" ht="31.5" customHeight="1">
      <c r="A827" s="143" t="s">
        <v>699</v>
      </c>
      <c r="B827" s="179"/>
    </row>
    <row r="828" ht="31.5" customHeight="1">
      <c r="A828" s="145" t="s">
        <v>719</v>
      </c>
      <c r="B828" s="179"/>
    </row>
    <row r="829" ht="31.5" customHeight="1">
      <c r="A829" s="143" t="s">
        <v>737</v>
      </c>
      <c r="B829" s="180"/>
    </row>
    <row r="830" ht="31.5" customHeight="1">
      <c r="A830" s="145" t="s">
        <v>754</v>
      </c>
      <c r="B830" s="180"/>
    </row>
    <row r="831" ht="31.5" customHeight="1">
      <c r="A831" s="143" t="s">
        <v>766</v>
      </c>
      <c r="B831" s="180"/>
    </row>
    <row r="832" ht="31.5" customHeight="1">
      <c r="A832" s="145" t="s">
        <v>775</v>
      </c>
      <c r="B832" s="180"/>
    </row>
    <row r="833" ht="31.5" customHeight="1">
      <c r="A833" s="143" t="s">
        <v>781</v>
      </c>
      <c r="B833" s="180"/>
    </row>
    <row r="834" ht="31.5" customHeight="1">
      <c r="A834" s="145" t="s">
        <v>786</v>
      </c>
      <c r="B834" s="180"/>
    </row>
    <row r="835" ht="31.5" customHeight="1">
      <c r="A835" s="143" t="s">
        <v>791</v>
      </c>
      <c r="B835" s="194"/>
    </row>
    <row r="836" ht="31.5" customHeight="1">
      <c r="A836" s="145" t="s">
        <v>797</v>
      </c>
      <c r="B836" s="195"/>
    </row>
    <row r="837" ht="31.5" customHeight="1">
      <c r="A837" s="143"/>
      <c r="B837" s="183"/>
    </row>
    <row r="838" ht="31.5" customHeight="1">
      <c r="A838" s="145"/>
      <c r="B838" s="183"/>
    </row>
    <row r="839" ht="31.5" customHeight="1">
      <c r="A839" s="143"/>
      <c r="B839" s="183"/>
    </row>
    <row r="840" ht="31.5" customHeight="1">
      <c r="A840" s="145"/>
      <c r="B840" s="183"/>
    </row>
    <row r="841" ht="31.5" customHeight="1">
      <c r="A841" s="143"/>
      <c r="B841" s="183"/>
    </row>
    <row r="842" ht="31.5" customHeight="1">
      <c r="A842" s="145"/>
      <c r="B842" s="183"/>
    </row>
    <row r="843" ht="31.5" customHeight="1">
      <c r="A843" s="143"/>
      <c r="B843" s="183"/>
    </row>
    <row r="844" ht="31.5" customHeight="1">
      <c r="A844" s="145"/>
      <c r="B844" s="183"/>
    </row>
    <row r="845" ht="31.5" customHeight="1">
      <c r="A845" s="143"/>
      <c r="B845" s="183"/>
    </row>
    <row r="846" ht="31.5" customHeight="1">
      <c r="A846" s="145"/>
      <c r="B846" s="183"/>
    </row>
    <row r="847" ht="31.5" customHeight="1">
      <c r="A847" s="143"/>
      <c r="B847" s="183"/>
    </row>
    <row r="848" ht="31.5" customHeight="1">
      <c r="A848" s="145"/>
      <c r="B848" s="183"/>
    </row>
    <row r="849" ht="31.5" customHeight="1">
      <c r="A849" s="143"/>
      <c r="B849" s="183"/>
    </row>
    <row r="850" ht="31.5" customHeight="1">
      <c r="A850" s="184"/>
      <c r="B850" s="183"/>
    </row>
    <row r="851" ht="31.5" customHeight="1">
      <c r="A851" s="171" t="str">
        <f t="array" ref="A851:A900">'Up Names'!R2:R51</f>
        <v>Modular Construction</v>
      </c>
      <c r="B851" s="188"/>
    </row>
    <row r="852" ht="31.5" customHeight="1">
      <c r="A852" s="145" t="s">
        <v>167</v>
      </c>
      <c r="B852" s="177"/>
    </row>
    <row r="853" ht="31.5" customHeight="1">
      <c r="A853" s="143" t="s">
        <v>187</v>
      </c>
      <c r="B853" s="177"/>
    </row>
    <row r="854" ht="31.5" customHeight="1">
      <c r="A854" s="145" t="s">
        <v>207</v>
      </c>
      <c r="B854" s="177"/>
    </row>
    <row r="855" ht="31.5" customHeight="1">
      <c r="A855" s="143" t="s">
        <v>226</v>
      </c>
      <c r="B855" s="177"/>
    </row>
    <row r="856" ht="31.5" customHeight="1">
      <c r="A856" s="145" t="s">
        <v>246</v>
      </c>
      <c r="B856" s="177"/>
    </row>
    <row r="857" ht="31.5" customHeight="1">
      <c r="A857" s="143" t="s">
        <v>266</v>
      </c>
      <c r="B857" s="178"/>
    </row>
    <row r="858" ht="31.5" customHeight="1">
      <c r="A858" s="145" t="s">
        <v>286</v>
      </c>
      <c r="B858" s="178"/>
    </row>
    <row r="859" ht="31.5" customHeight="1">
      <c r="A859" s="143" t="s">
        <v>306</v>
      </c>
      <c r="B859" s="178"/>
    </row>
    <row r="860" ht="31.5" customHeight="1">
      <c r="A860" s="145" t="s">
        <v>326</v>
      </c>
      <c r="B860" s="178"/>
    </row>
    <row r="861" ht="31.5" customHeight="1">
      <c r="A861" s="143" t="s">
        <v>346</v>
      </c>
      <c r="B861" s="178"/>
    </row>
    <row r="862" ht="31.5" customHeight="1">
      <c r="A862" s="145" t="s">
        <v>366</v>
      </c>
      <c r="B862" s="178"/>
    </row>
    <row r="863" ht="31.5" customHeight="1">
      <c r="A863" s="143" t="s">
        <v>391</v>
      </c>
      <c r="B863" s="178"/>
    </row>
    <row r="864" ht="31.5" customHeight="1">
      <c r="A864" s="145" t="s">
        <v>419</v>
      </c>
      <c r="B864" s="179"/>
    </row>
    <row r="865" ht="31.5" customHeight="1">
      <c r="A865" s="143" t="s">
        <v>446</v>
      </c>
      <c r="B865" s="179"/>
    </row>
    <row r="866" ht="31.5" customHeight="1">
      <c r="A866" s="145" t="s">
        <v>475</v>
      </c>
      <c r="B866" s="179"/>
    </row>
    <row r="867" ht="31.5" customHeight="1">
      <c r="A867" s="143" t="s">
        <v>504</v>
      </c>
      <c r="B867" s="179"/>
    </row>
    <row r="868" ht="31.5" customHeight="1">
      <c r="A868" s="145" t="s">
        <v>525</v>
      </c>
      <c r="B868" s="179"/>
    </row>
    <row r="869" ht="31.5" customHeight="1">
      <c r="A869" s="143" t="s">
        <v>544</v>
      </c>
      <c r="B869" s="179"/>
    </row>
    <row r="870" ht="31.5" customHeight="1">
      <c r="A870" s="145" t="s">
        <v>565</v>
      </c>
      <c r="B870" s="179"/>
    </row>
    <row r="871" ht="31.5" customHeight="1">
      <c r="A871" s="143" t="s">
        <v>588</v>
      </c>
      <c r="B871" s="179"/>
    </row>
    <row r="872" ht="31.5" customHeight="1">
      <c r="A872" s="145" t="s">
        <v>610</v>
      </c>
      <c r="B872" s="179"/>
    </row>
    <row r="873" ht="31.5" customHeight="1">
      <c r="A873" s="143" t="s">
        <v>633</v>
      </c>
      <c r="B873" s="179"/>
    </row>
    <row r="874" ht="31.5" customHeight="1">
      <c r="A874" s="145" t="s">
        <v>656</v>
      </c>
      <c r="B874" s="179"/>
    </row>
    <row r="875" ht="31.5" customHeight="1">
      <c r="A875" s="143" t="s">
        <v>671</v>
      </c>
      <c r="B875" s="179"/>
    </row>
    <row r="876" ht="31.5" customHeight="1">
      <c r="A876" s="145" t="s">
        <v>685</v>
      </c>
      <c r="B876" s="179"/>
    </row>
    <row r="877" ht="31.5" customHeight="1">
      <c r="A877" s="143" t="s">
        <v>701</v>
      </c>
      <c r="B877" s="180"/>
    </row>
    <row r="878" ht="31.5" customHeight="1">
      <c r="A878" s="145" t="s">
        <v>720</v>
      </c>
      <c r="B878" s="180"/>
    </row>
    <row r="879" ht="31.5" customHeight="1">
      <c r="A879" s="143" t="s">
        <v>738</v>
      </c>
      <c r="B879" s="180"/>
    </row>
    <row r="880" ht="31.5" customHeight="1">
      <c r="A880" s="145" t="s">
        <v>755</v>
      </c>
      <c r="B880" s="180"/>
    </row>
    <row r="881" ht="31.5" customHeight="1">
      <c r="A881" s="143" t="s">
        <v>768</v>
      </c>
      <c r="B881" s="180"/>
    </row>
    <row r="882" ht="31.5" customHeight="1">
      <c r="A882" s="145" t="s">
        <v>776</v>
      </c>
      <c r="B882" s="180"/>
    </row>
    <row r="883" ht="31.5" customHeight="1">
      <c r="A883" s="143" t="s">
        <v>782</v>
      </c>
      <c r="B883" s="180"/>
    </row>
    <row r="884" ht="31.5" customHeight="1">
      <c r="A884" s="145" t="s">
        <v>787</v>
      </c>
      <c r="B884" s="194"/>
    </row>
    <row r="885" ht="31.5" customHeight="1">
      <c r="A885" s="143" t="s">
        <v>792</v>
      </c>
      <c r="B885" s="195"/>
    </row>
    <row r="886" ht="31.5" customHeight="1">
      <c r="A886" s="145"/>
      <c r="B886" s="183"/>
    </row>
    <row r="887" ht="31.5" customHeight="1">
      <c r="A887" s="143"/>
      <c r="B887" s="183"/>
    </row>
    <row r="888" ht="31.5" customHeight="1">
      <c r="A888" s="145"/>
      <c r="B888" s="183"/>
    </row>
    <row r="889" ht="31.5" customHeight="1">
      <c r="A889" s="143"/>
      <c r="B889" s="183"/>
    </row>
    <row r="890" ht="31.5" customHeight="1">
      <c r="A890" s="145"/>
      <c r="B890" s="183"/>
    </row>
    <row r="891" ht="31.5" customHeight="1">
      <c r="A891" s="143"/>
      <c r="B891" s="183"/>
    </row>
    <row r="892" ht="31.5" customHeight="1">
      <c r="A892" s="145"/>
      <c r="B892" s="183"/>
    </row>
    <row r="893" ht="31.5" customHeight="1">
      <c r="A893" s="143"/>
      <c r="B893" s="183"/>
    </row>
    <row r="894" ht="31.5" customHeight="1">
      <c r="A894" s="145"/>
      <c r="B894" s="183"/>
    </row>
    <row r="895" ht="31.5" customHeight="1">
      <c r="A895" s="143"/>
      <c r="B895" s="183"/>
    </row>
    <row r="896" ht="31.5" customHeight="1">
      <c r="A896" s="145"/>
      <c r="B896" s="183"/>
    </row>
    <row r="897" ht="31.5" customHeight="1">
      <c r="A897" s="143"/>
      <c r="B897" s="183"/>
    </row>
    <row r="898" ht="31.5" customHeight="1">
      <c r="A898" s="145"/>
      <c r="B898" s="183"/>
    </row>
    <row r="899" ht="31.5" customHeight="1">
      <c r="A899" s="143"/>
      <c r="B899" s="183"/>
    </row>
    <row r="900" ht="31.5" customHeight="1">
      <c r="A900" s="184"/>
      <c r="B900" s="183"/>
    </row>
    <row r="901" ht="31.5" customHeight="1">
      <c r="A901" s="171" t="str">
        <f t="array" ref="A901:A950">'Up Names'!S2:S51</f>
        <v>Upside Down</v>
      </c>
      <c r="B901" s="188"/>
    </row>
    <row r="902" ht="31.5" customHeight="1">
      <c r="A902" s="145" t="s">
        <v>168</v>
      </c>
      <c r="B902" s="177"/>
    </row>
    <row r="903" ht="31.5" customHeight="1">
      <c r="A903" s="143" t="s">
        <v>188</v>
      </c>
      <c r="B903" s="177"/>
    </row>
    <row r="904" ht="31.5" customHeight="1">
      <c r="A904" s="145" t="s">
        <v>208</v>
      </c>
      <c r="B904" s="177"/>
    </row>
    <row r="905" ht="31.5" customHeight="1">
      <c r="A905" s="143" t="s">
        <v>227</v>
      </c>
      <c r="B905" s="177"/>
    </row>
    <row r="906" ht="31.5" customHeight="1">
      <c r="A906" s="145" t="s">
        <v>247</v>
      </c>
      <c r="B906" s="177"/>
    </row>
    <row r="907" ht="31.5" customHeight="1">
      <c r="A907" s="143" t="s">
        <v>267</v>
      </c>
      <c r="B907" s="178"/>
    </row>
    <row r="908" ht="31.5" customHeight="1">
      <c r="A908" s="145" t="s">
        <v>287</v>
      </c>
      <c r="B908" s="178"/>
    </row>
    <row r="909" ht="31.5" customHeight="1">
      <c r="A909" s="143" t="s">
        <v>307</v>
      </c>
      <c r="B909" s="178"/>
    </row>
    <row r="910" ht="31.5" customHeight="1">
      <c r="A910" s="145" t="s">
        <v>327</v>
      </c>
      <c r="B910" s="178"/>
    </row>
    <row r="911" ht="31.5" customHeight="1">
      <c r="A911" s="143" t="s">
        <v>347</v>
      </c>
      <c r="B911" s="178"/>
    </row>
    <row r="912" ht="31.5" customHeight="1">
      <c r="A912" s="145" t="s">
        <v>367</v>
      </c>
      <c r="B912" s="178"/>
    </row>
    <row r="913" ht="31.5" customHeight="1">
      <c r="A913" s="143" t="s">
        <v>392</v>
      </c>
      <c r="B913" s="178"/>
    </row>
    <row r="914" ht="31.5" customHeight="1">
      <c r="A914" s="145" t="s">
        <v>420</v>
      </c>
      <c r="B914" s="178"/>
    </row>
    <row r="915" ht="31.5" customHeight="1">
      <c r="A915" s="143" t="s">
        <v>448</v>
      </c>
      <c r="B915" s="178"/>
    </row>
    <row r="916" ht="31.5" customHeight="1">
      <c r="A916" s="145" t="s">
        <v>476</v>
      </c>
      <c r="B916" s="178"/>
    </row>
    <row r="917" ht="31.5" customHeight="1">
      <c r="A917" s="143" t="s">
        <v>505</v>
      </c>
      <c r="B917" s="179"/>
    </row>
    <row r="918" ht="31.5" customHeight="1">
      <c r="A918" s="145" t="s">
        <v>526</v>
      </c>
      <c r="B918" s="179"/>
    </row>
    <row r="919" ht="31.5" customHeight="1">
      <c r="A919" s="143" t="s">
        <v>545</v>
      </c>
      <c r="B919" s="179"/>
    </row>
    <row r="920" ht="31.5" customHeight="1">
      <c r="A920" s="145" t="s">
        <v>566</v>
      </c>
      <c r="B920" s="179"/>
    </row>
    <row r="921" ht="31.5" customHeight="1">
      <c r="A921" s="143" t="s">
        <v>589</v>
      </c>
      <c r="B921" s="179"/>
    </row>
    <row r="922" ht="31.5" customHeight="1">
      <c r="A922" s="145" t="s">
        <v>611</v>
      </c>
      <c r="B922" s="179"/>
    </row>
    <row r="923" ht="31.5" customHeight="1">
      <c r="A923" s="143" t="s">
        <v>634</v>
      </c>
      <c r="B923" s="179"/>
    </row>
    <row r="924" ht="31.5" customHeight="1">
      <c r="A924" s="145" t="s">
        <v>657</v>
      </c>
      <c r="B924" s="179"/>
    </row>
    <row r="925" ht="31.5" customHeight="1">
      <c r="A925" s="143" t="s">
        <v>672</v>
      </c>
      <c r="B925" s="179"/>
    </row>
    <row r="926" ht="31.5" customHeight="1">
      <c r="A926" s="145" t="s">
        <v>686</v>
      </c>
      <c r="B926" s="179"/>
    </row>
    <row r="927" ht="31.5" customHeight="1">
      <c r="A927" s="143" t="s">
        <v>702</v>
      </c>
      <c r="B927" s="179"/>
    </row>
    <row r="928" ht="31.5" customHeight="1">
      <c r="A928" s="145" t="s">
        <v>721</v>
      </c>
      <c r="B928" s="179"/>
    </row>
    <row r="929" ht="31.5" customHeight="1">
      <c r="A929" s="143" t="s">
        <v>739</v>
      </c>
      <c r="B929" s="180"/>
    </row>
    <row r="930" ht="31.5" customHeight="1">
      <c r="A930" s="145" t="s">
        <v>757</v>
      </c>
      <c r="B930" s="180"/>
    </row>
    <row r="931" ht="31.5" customHeight="1">
      <c r="A931" s="143" t="s">
        <v>769</v>
      </c>
      <c r="B931" s="180"/>
    </row>
    <row r="932" ht="31.5" customHeight="1">
      <c r="A932" s="145" t="s">
        <v>777</v>
      </c>
      <c r="B932" s="180"/>
    </row>
    <row r="933" ht="31.5" customHeight="1">
      <c r="A933" s="143" t="s">
        <v>783</v>
      </c>
      <c r="B933" s="180"/>
    </row>
    <row r="934" ht="31.5" customHeight="1">
      <c r="A934" s="145" t="s">
        <v>788</v>
      </c>
      <c r="B934" s="194"/>
    </row>
    <row r="935" ht="31.5" customHeight="1">
      <c r="A935" s="143" t="s">
        <v>793</v>
      </c>
      <c r="B935" s="195"/>
    </row>
    <row r="936" ht="31.5" customHeight="1">
      <c r="A936" s="145"/>
      <c r="B936" s="183"/>
    </row>
    <row r="937" ht="31.5" customHeight="1">
      <c r="A937" s="143"/>
      <c r="B937" s="183"/>
    </row>
    <row r="938" ht="31.5" customHeight="1">
      <c r="A938" s="145"/>
      <c r="B938" s="183"/>
    </row>
    <row r="939" ht="31.5" customHeight="1">
      <c r="A939" s="143"/>
      <c r="B939" s="183"/>
    </row>
    <row r="940" ht="31.5" customHeight="1">
      <c r="A940" s="145"/>
      <c r="B940" s="183"/>
    </row>
    <row r="941" ht="31.5" customHeight="1">
      <c r="A941" s="143"/>
      <c r="B941" s="183"/>
    </row>
    <row r="942" ht="31.5" customHeight="1">
      <c r="A942" s="145"/>
      <c r="B942" s="183"/>
    </row>
    <row r="943" ht="31.5" customHeight="1">
      <c r="A943" s="143"/>
      <c r="B943" s="183"/>
    </row>
    <row r="944" ht="31.5" customHeight="1">
      <c r="A944" s="145"/>
      <c r="B944" s="183"/>
    </row>
    <row r="945" ht="31.5" customHeight="1">
      <c r="A945" s="143"/>
      <c r="B945" s="183"/>
    </row>
    <row r="946" ht="31.5" customHeight="1">
      <c r="A946" s="145"/>
      <c r="B946" s="183"/>
    </row>
    <row r="947" ht="31.5" customHeight="1">
      <c r="A947" s="143"/>
      <c r="B947" s="183"/>
    </row>
    <row r="948" ht="31.5" customHeight="1">
      <c r="A948" s="145"/>
      <c r="B948" s="183"/>
    </row>
    <row r="949" ht="31.5" customHeight="1">
      <c r="A949" s="143"/>
      <c r="B949" s="183"/>
    </row>
    <row r="950" ht="31.5" customHeight="1">
      <c r="A950" s="184"/>
      <c r="B950" s="183"/>
    </row>
    <row r="951" ht="31.5" customHeight="1">
      <c r="A951" s="171" t="str">
        <f t="array" ref="A951:A1000">'Up Names'!T2:T51</f>
        <v>Attrition Supply</v>
      </c>
      <c r="B951" s="177"/>
    </row>
    <row r="952" ht="31.5" customHeight="1">
      <c r="A952" s="145" t="s">
        <v>169</v>
      </c>
      <c r="B952" s="177"/>
    </row>
    <row r="953" ht="31.5" customHeight="1">
      <c r="A953" s="143" t="s">
        <v>189</v>
      </c>
      <c r="B953" s="177"/>
    </row>
    <row r="954" ht="31.5" customHeight="1">
      <c r="A954" s="145" t="s">
        <v>209</v>
      </c>
      <c r="B954" s="177"/>
    </row>
    <row r="955" ht="31.5" customHeight="1">
      <c r="A955" s="143" t="s">
        <v>228</v>
      </c>
      <c r="B955" s="177"/>
    </row>
    <row r="956" ht="31.5" customHeight="1">
      <c r="A956" s="145" t="s">
        <v>248</v>
      </c>
      <c r="B956" s="178"/>
    </row>
    <row r="957" ht="31.5" customHeight="1">
      <c r="A957" s="143" t="s">
        <v>268</v>
      </c>
      <c r="B957" s="178"/>
    </row>
    <row r="958" ht="31.5" customHeight="1">
      <c r="A958" s="145" t="s">
        <v>288</v>
      </c>
      <c r="B958" s="178"/>
    </row>
    <row r="959" ht="31.5" customHeight="1">
      <c r="A959" s="143" t="s">
        <v>308</v>
      </c>
      <c r="B959" s="178"/>
    </row>
    <row r="960" ht="31.5" customHeight="1">
      <c r="A960" s="145" t="s">
        <v>328</v>
      </c>
      <c r="B960" s="178"/>
    </row>
    <row r="961" ht="31.5" customHeight="1">
      <c r="A961" s="143" t="s">
        <v>348</v>
      </c>
      <c r="B961" s="178"/>
    </row>
    <row r="962" ht="31.5" customHeight="1">
      <c r="A962" s="145" t="s">
        <v>368</v>
      </c>
      <c r="B962" s="178"/>
    </row>
    <row r="963" ht="31.5" customHeight="1">
      <c r="A963" s="143" t="s">
        <v>393</v>
      </c>
      <c r="B963" s="178"/>
    </row>
    <row r="964" ht="31.5" customHeight="1">
      <c r="A964" s="145" t="s">
        <v>422</v>
      </c>
      <c r="B964" s="178"/>
    </row>
    <row r="965" ht="31.5" customHeight="1">
      <c r="A965" s="143" t="s">
        <v>450</v>
      </c>
      <c r="B965" s="178"/>
    </row>
    <row r="966" ht="31.5" customHeight="1">
      <c r="A966" s="145" t="s">
        <v>478</v>
      </c>
      <c r="B966" s="178"/>
    </row>
    <row r="967" ht="31.5" customHeight="1">
      <c r="A967" s="143" t="s">
        <v>506</v>
      </c>
      <c r="B967" s="179"/>
    </row>
    <row r="968" ht="31.5" customHeight="1">
      <c r="A968" s="145" t="s">
        <v>527</v>
      </c>
      <c r="B968" s="179"/>
    </row>
    <row r="969" ht="31.5" customHeight="1">
      <c r="A969" s="143" t="s">
        <v>546</v>
      </c>
      <c r="B969" s="179"/>
    </row>
    <row r="970" ht="31.5" customHeight="1">
      <c r="A970" s="145" t="s">
        <v>568</v>
      </c>
      <c r="B970" s="179"/>
    </row>
    <row r="971" ht="31.5" customHeight="1">
      <c r="A971" s="143" t="s">
        <v>590</v>
      </c>
      <c r="B971" s="179"/>
    </row>
    <row r="972" ht="31.5" customHeight="1">
      <c r="A972" s="145" t="s">
        <v>612</v>
      </c>
      <c r="B972" s="179"/>
    </row>
    <row r="973" ht="31.5" customHeight="1">
      <c r="A973" s="143" t="s">
        <v>636</v>
      </c>
      <c r="B973" s="179"/>
    </row>
    <row r="974" ht="31.5" customHeight="1">
      <c r="A974" s="145" t="s">
        <v>658</v>
      </c>
      <c r="B974" s="179"/>
    </row>
    <row r="975" ht="31.5" customHeight="1">
      <c r="A975" s="143" t="s">
        <v>673</v>
      </c>
      <c r="B975" s="179"/>
    </row>
    <row r="976" ht="31.5" customHeight="1">
      <c r="A976" s="145" t="s">
        <v>687</v>
      </c>
      <c r="B976" s="179"/>
    </row>
    <row r="977" ht="31.5" customHeight="1">
      <c r="A977" s="143" t="s">
        <v>703</v>
      </c>
      <c r="B977" s="179"/>
    </row>
    <row r="978" ht="31.5" customHeight="1">
      <c r="A978" s="145" t="s">
        <v>722</v>
      </c>
      <c r="B978" s="179"/>
    </row>
    <row r="979" ht="31.5" customHeight="1">
      <c r="A979" s="143" t="s">
        <v>741</v>
      </c>
      <c r="B979" s="180"/>
    </row>
    <row r="980" ht="31.5" customHeight="1">
      <c r="A980" s="145" t="s">
        <v>758</v>
      </c>
      <c r="B980" s="180"/>
    </row>
    <row r="981" ht="31.5" customHeight="1">
      <c r="A981" s="143" t="s">
        <v>771</v>
      </c>
      <c r="B981" s="180"/>
    </row>
    <row r="982" ht="31.5" customHeight="1">
      <c r="A982" s="145" t="s">
        <v>778</v>
      </c>
      <c r="B982" s="180"/>
    </row>
    <row r="983" ht="31.5" customHeight="1">
      <c r="A983" s="143" t="s">
        <v>784</v>
      </c>
      <c r="B983" s="180"/>
    </row>
    <row r="984" ht="31.5" customHeight="1">
      <c r="A984" s="145" t="s">
        <v>789</v>
      </c>
      <c r="B984" s="177"/>
    </row>
    <row r="985" ht="31.5" customHeight="1">
      <c r="A985" s="143" t="s">
        <v>794</v>
      </c>
      <c r="B985" s="178"/>
    </row>
    <row r="986" ht="31.5" customHeight="1">
      <c r="A986" s="145"/>
      <c r="B986" s="203"/>
    </row>
    <row r="987" ht="31.5" customHeight="1">
      <c r="A987" s="143"/>
      <c r="B987" s="203"/>
    </row>
    <row r="988" ht="31.5" customHeight="1">
      <c r="A988" s="145"/>
      <c r="B988" s="203"/>
    </row>
    <row r="989" ht="31.5" customHeight="1">
      <c r="A989" s="143"/>
      <c r="B989" s="203"/>
    </row>
    <row r="990" ht="31.5" customHeight="1">
      <c r="A990" s="145"/>
      <c r="B990" s="203"/>
    </row>
    <row r="991" ht="31.5" customHeight="1">
      <c r="A991" s="143"/>
      <c r="B991" s="203"/>
    </row>
    <row r="992" ht="31.5" customHeight="1">
      <c r="A992" s="145"/>
      <c r="B992" s="203"/>
    </row>
    <row r="993" ht="31.5" customHeight="1">
      <c r="A993" s="143"/>
      <c r="B993" s="203"/>
    </row>
    <row r="994" ht="31.5" customHeight="1">
      <c r="A994" s="145"/>
      <c r="B994" s="203"/>
    </row>
    <row r="995" ht="31.5" customHeight="1">
      <c r="A995" s="143"/>
      <c r="B995" s="203"/>
    </row>
    <row r="996" ht="31.5" customHeight="1">
      <c r="A996" s="145"/>
      <c r="B996" s="203"/>
    </row>
    <row r="997" ht="31.5" customHeight="1">
      <c r="A997" s="143"/>
      <c r="B997" s="203"/>
    </row>
    <row r="998" ht="31.5" customHeight="1">
      <c r="A998" s="145"/>
      <c r="B998" s="203"/>
    </row>
    <row r="999" ht="31.5" customHeight="1">
      <c r="A999" s="143"/>
      <c r="B999" s="203"/>
    </row>
    <row r="1000" ht="31.5" customHeight="1">
      <c r="A1000" s="184"/>
      <c r="B1000" s="203"/>
    </row>
  </sheetData>
  <drawing r:id="rId1"/>
  <tableParts count="1">
    <tablePart r:id="rId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63"/>
  </cols>
  <sheetData>
    <row r="1">
      <c r="A1" s="150" t="str">
        <f t="array" ref="A1:A50">'Up Names'!A2:A51</f>
        <v>Corrode Siphon</v>
      </c>
      <c r="B1" s="185" t="s">
        <v>1031</v>
      </c>
    </row>
    <row r="2">
      <c r="A2" s="153" t="s">
        <v>150</v>
      </c>
      <c r="B2" s="187" t="s">
        <v>1032</v>
      </c>
    </row>
    <row r="3">
      <c r="A3" s="155" t="s">
        <v>170</v>
      </c>
      <c r="B3" s="185" t="s">
        <v>1033</v>
      </c>
    </row>
    <row r="4">
      <c r="A4" s="153" t="s">
        <v>190</v>
      </c>
      <c r="B4" s="187" t="s">
        <v>1034</v>
      </c>
    </row>
    <row r="5">
      <c r="A5" s="155" t="s">
        <v>210</v>
      </c>
      <c r="B5" s="185" t="s">
        <v>1035</v>
      </c>
    </row>
    <row r="6">
      <c r="A6" s="153" t="s">
        <v>229</v>
      </c>
      <c r="B6" s="187" t="s">
        <v>1036</v>
      </c>
    </row>
    <row r="7">
      <c r="A7" s="155" t="s">
        <v>249</v>
      </c>
      <c r="B7" s="185" t="s">
        <v>1037</v>
      </c>
    </row>
    <row r="8">
      <c r="A8" s="153" t="s">
        <v>269</v>
      </c>
      <c r="B8" s="187" t="s">
        <v>1038</v>
      </c>
    </row>
    <row r="9">
      <c r="A9" s="155" t="s">
        <v>289</v>
      </c>
      <c r="B9" s="185" t="s">
        <v>1039</v>
      </c>
    </row>
    <row r="10">
      <c r="A10" s="153" t="s">
        <v>309</v>
      </c>
      <c r="B10" s="187" t="s">
        <v>1040</v>
      </c>
    </row>
    <row r="11">
      <c r="A11" s="155" t="s">
        <v>329</v>
      </c>
      <c r="B11" s="185" t="s">
        <v>1041</v>
      </c>
    </row>
    <row r="12">
      <c r="A12" s="153" t="s">
        <v>349</v>
      </c>
      <c r="B12" s="187" t="s">
        <v>1044</v>
      </c>
    </row>
    <row r="13">
      <c r="A13" s="155" t="s">
        <v>372</v>
      </c>
      <c r="B13" s="185" t="s">
        <v>1049</v>
      </c>
    </row>
    <row r="14">
      <c r="A14" s="153" t="s">
        <v>394</v>
      </c>
      <c r="B14" s="187" t="s">
        <v>1055</v>
      </c>
    </row>
    <row r="15">
      <c r="A15" s="155" t="s">
        <v>404</v>
      </c>
      <c r="B15" s="185" t="s">
        <v>1062</v>
      </c>
    </row>
    <row r="16">
      <c r="A16" s="153" t="s">
        <v>410</v>
      </c>
      <c r="B16" s="187" t="s">
        <v>1069</v>
      </c>
    </row>
    <row r="17">
      <c r="A17" s="155" t="s">
        <v>415</v>
      </c>
      <c r="B17" s="185" t="s">
        <v>1073</v>
      </c>
    </row>
    <row r="18">
      <c r="A18" s="153" t="s">
        <v>421</v>
      </c>
      <c r="B18" s="187" t="s">
        <v>1074</v>
      </c>
    </row>
    <row r="19">
      <c r="A19" s="155" t="s">
        <v>426</v>
      </c>
      <c r="B19" s="185" t="s">
        <v>1080</v>
      </c>
    </row>
    <row r="20">
      <c r="A20" s="153" t="s">
        <v>430</v>
      </c>
      <c r="B20" s="187" t="s">
        <v>1086</v>
      </c>
    </row>
    <row r="21">
      <c r="A21" s="155" t="s">
        <v>435</v>
      </c>
      <c r="B21" s="185" t="s">
        <v>1093</v>
      </c>
    </row>
    <row r="22">
      <c r="A22" s="153" t="s">
        <v>439</v>
      </c>
      <c r="B22" s="187" t="s">
        <v>1098</v>
      </c>
    </row>
    <row r="23">
      <c r="A23" s="155" t="s">
        <v>443</v>
      </c>
      <c r="B23" s="185" t="s">
        <v>1100</v>
      </c>
    </row>
    <row r="24">
      <c r="A24" s="153" t="s">
        <v>447</v>
      </c>
      <c r="B24" s="187" t="s">
        <v>1101</v>
      </c>
    </row>
    <row r="25">
      <c r="A25" s="155" t="s">
        <v>451</v>
      </c>
      <c r="B25" s="185" t="s">
        <v>1108</v>
      </c>
    </row>
    <row r="26">
      <c r="A26" s="153" t="s">
        <v>455</v>
      </c>
      <c r="B26" s="187" t="s">
        <v>1118</v>
      </c>
    </row>
    <row r="27">
      <c r="A27" s="155" t="s">
        <v>459</v>
      </c>
      <c r="B27" s="185" t="s">
        <v>1124</v>
      </c>
    </row>
    <row r="28">
      <c r="A28" s="153" t="s">
        <v>464</v>
      </c>
      <c r="B28" s="187" t="s">
        <v>1131</v>
      </c>
    </row>
    <row r="29">
      <c r="A29" s="155" t="s">
        <v>468</v>
      </c>
      <c r="B29" s="185" t="s">
        <v>1132</v>
      </c>
    </row>
    <row r="30">
      <c r="A30" s="153" t="s">
        <v>472</v>
      </c>
      <c r="B30" s="187" t="s">
        <v>1133</v>
      </c>
    </row>
    <row r="31">
      <c r="A31" s="155" t="s">
        <v>477</v>
      </c>
      <c r="B31" s="185" t="s">
        <v>1135</v>
      </c>
    </row>
    <row r="32">
      <c r="A32" s="153" t="s">
        <v>481</v>
      </c>
      <c r="B32" s="187" t="s">
        <v>1139</v>
      </c>
    </row>
    <row r="33">
      <c r="A33" s="155" t="s">
        <v>486</v>
      </c>
      <c r="B33" s="185" t="s">
        <v>1143</v>
      </c>
    </row>
    <row r="34">
      <c r="A34" s="153" t="s">
        <v>492</v>
      </c>
      <c r="B34" s="187" t="s">
        <v>1145</v>
      </c>
    </row>
    <row r="35">
      <c r="A35" s="155" t="s">
        <v>496</v>
      </c>
      <c r="B35" s="185" t="s">
        <v>1149</v>
      </c>
    </row>
    <row r="36">
      <c r="A36" s="153" t="s">
        <v>499</v>
      </c>
      <c r="B36" s="187" t="s">
        <v>1152</v>
      </c>
    </row>
    <row r="37">
      <c r="A37" s="155" t="s">
        <v>503</v>
      </c>
      <c r="B37" s="160"/>
    </row>
    <row r="38">
      <c r="A38" s="153" t="s">
        <v>511</v>
      </c>
      <c r="B38" s="161"/>
    </row>
    <row r="39">
      <c r="A39" s="155" t="s">
        <v>516</v>
      </c>
      <c r="B39" s="160"/>
    </row>
    <row r="40">
      <c r="A40" s="153"/>
      <c r="B40" s="161"/>
    </row>
    <row r="41">
      <c r="A41" s="155"/>
      <c r="B41" s="160"/>
    </row>
    <row r="42">
      <c r="A42" s="153"/>
      <c r="B42" s="161"/>
    </row>
    <row r="43">
      <c r="A43" s="155"/>
      <c r="B43" s="160"/>
    </row>
    <row r="44">
      <c r="A44" s="153"/>
      <c r="B44" s="161"/>
    </row>
    <row r="45">
      <c r="A45" s="155"/>
      <c r="B45" s="160"/>
    </row>
    <row r="46">
      <c r="A46" s="153"/>
      <c r="B46" s="161"/>
    </row>
    <row r="47">
      <c r="A47" s="155"/>
      <c r="B47" s="160"/>
    </row>
    <row r="48">
      <c r="A48" s="153"/>
      <c r="B48" s="161"/>
    </row>
    <row r="49">
      <c r="A49" s="155"/>
      <c r="B49" s="160"/>
    </row>
    <row r="50">
      <c r="A50" s="162"/>
      <c r="B50" s="161"/>
    </row>
    <row r="51">
      <c r="A51" s="150" t="str">
        <f t="array" ref="A51:A100">'Up Names'!B2:B51</f>
        <v>All Powdered Up</v>
      </c>
      <c r="B51" s="185" t="s">
        <v>1163</v>
      </c>
    </row>
    <row r="52">
      <c r="A52" s="153" t="s">
        <v>151</v>
      </c>
      <c r="B52" s="187" t="s">
        <v>1166</v>
      </c>
    </row>
    <row r="53">
      <c r="A53" s="155" t="s">
        <v>171</v>
      </c>
      <c r="B53" s="185" t="s">
        <v>1167</v>
      </c>
    </row>
    <row r="54">
      <c r="A54" s="153" t="s">
        <v>191</v>
      </c>
      <c r="B54" s="187" t="s">
        <v>1168</v>
      </c>
    </row>
    <row r="55">
      <c r="A55" s="155" t="s">
        <v>211</v>
      </c>
      <c r="B55" s="185" t="s">
        <v>1169</v>
      </c>
    </row>
    <row r="56">
      <c r="A56" s="153" t="s">
        <v>230</v>
      </c>
      <c r="B56" s="187" t="s">
        <v>1170</v>
      </c>
    </row>
    <row r="57">
      <c r="A57" s="155" t="s">
        <v>250</v>
      </c>
      <c r="B57" s="185" t="s">
        <v>1171</v>
      </c>
    </row>
    <row r="58">
      <c r="A58" s="153" t="s">
        <v>270</v>
      </c>
      <c r="B58" s="187" t="s">
        <v>1172</v>
      </c>
    </row>
    <row r="59">
      <c r="A59" s="155" t="s">
        <v>290</v>
      </c>
      <c r="B59" s="185" t="s">
        <v>1173</v>
      </c>
    </row>
    <row r="60">
      <c r="A60" s="153" t="s">
        <v>310</v>
      </c>
      <c r="B60" s="187" t="s">
        <v>1174</v>
      </c>
    </row>
    <row r="61">
      <c r="A61" s="155" t="s">
        <v>330</v>
      </c>
      <c r="B61" s="185" t="s">
        <v>1175</v>
      </c>
    </row>
    <row r="62">
      <c r="A62" s="153" t="s">
        <v>350</v>
      </c>
      <c r="B62" s="187" t="s">
        <v>1176</v>
      </c>
    </row>
    <row r="63">
      <c r="A63" s="155" t="s">
        <v>373</v>
      </c>
      <c r="B63" s="185" t="s">
        <v>1177</v>
      </c>
    </row>
    <row r="64">
      <c r="A64" s="153" t="s">
        <v>395</v>
      </c>
      <c r="B64" s="187" t="s">
        <v>1178</v>
      </c>
    </row>
    <row r="65">
      <c r="A65" s="155" t="s">
        <v>424</v>
      </c>
      <c r="B65" s="185" t="s">
        <v>1181</v>
      </c>
    </row>
    <row r="66">
      <c r="A66" s="153" t="s">
        <v>452</v>
      </c>
      <c r="B66" s="187" t="s">
        <v>1184</v>
      </c>
    </row>
    <row r="67">
      <c r="A67" s="155" t="s">
        <v>480</v>
      </c>
      <c r="B67" s="185" t="s">
        <v>1188</v>
      </c>
    </row>
    <row r="68">
      <c r="A68" s="153" t="s">
        <v>507</v>
      </c>
      <c r="B68" s="187" t="s">
        <v>1194</v>
      </c>
    </row>
    <row r="69">
      <c r="A69" s="155" t="s">
        <v>528</v>
      </c>
      <c r="B69" s="185" t="s">
        <v>1200</v>
      </c>
    </row>
    <row r="70">
      <c r="A70" s="153" t="s">
        <v>547</v>
      </c>
      <c r="B70" s="187" t="s">
        <v>1206</v>
      </c>
    </row>
    <row r="71">
      <c r="A71" s="155" t="s">
        <v>570</v>
      </c>
      <c r="B71" s="185" t="s">
        <v>1214</v>
      </c>
    </row>
    <row r="72">
      <c r="A72" s="153" t="s">
        <v>592</v>
      </c>
      <c r="B72" s="187" t="s">
        <v>1223</v>
      </c>
    </row>
    <row r="73">
      <c r="A73" s="155" t="s">
        <v>613</v>
      </c>
      <c r="B73" s="185" t="s">
        <v>1225</v>
      </c>
    </row>
    <row r="74">
      <c r="A74" s="153" t="s">
        <v>628</v>
      </c>
      <c r="B74" s="187" t="s">
        <v>1226</v>
      </c>
    </row>
    <row r="75">
      <c r="A75" s="155" t="s">
        <v>630</v>
      </c>
      <c r="B75" s="185" t="s">
        <v>1232</v>
      </c>
    </row>
    <row r="76">
      <c r="A76" s="153" t="s">
        <v>635</v>
      </c>
      <c r="B76" s="187" t="s">
        <v>1239</v>
      </c>
    </row>
    <row r="77">
      <c r="A77" s="155" t="s">
        <v>638</v>
      </c>
      <c r="B77" s="185" t="s">
        <v>1247</v>
      </c>
    </row>
    <row r="78">
      <c r="A78" s="153" t="s">
        <v>642</v>
      </c>
      <c r="B78" s="187" t="s">
        <v>1254</v>
      </c>
    </row>
    <row r="79">
      <c r="A79" s="155" t="s">
        <v>646</v>
      </c>
      <c r="B79" s="185" t="s">
        <v>1260</v>
      </c>
    </row>
    <row r="80">
      <c r="A80" s="153" t="s">
        <v>650</v>
      </c>
      <c r="B80" s="187" t="s">
        <v>1261</v>
      </c>
    </row>
    <row r="81">
      <c r="A81" s="155" t="s">
        <v>503</v>
      </c>
      <c r="B81" s="160"/>
    </row>
    <row r="82">
      <c r="A82" s="153" t="s">
        <v>511</v>
      </c>
      <c r="B82" s="161"/>
    </row>
    <row r="83">
      <c r="A83" s="155" t="s">
        <v>516</v>
      </c>
      <c r="B83" s="160"/>
    </row>
    <row r="84">
      <c r="A84" s="153"/>
      <c r="B84" s="161"/>
    </row>
    <row r="85">
      <c r="A85" s="155"/>
      <c r="B85" s="160"/>
    </row>
    <row r="86">
      <c r="A86" s="153"/>
      <c r="B86" s="161"/>
    </row>
    <row r="87">
      <c r="A87" s="155"/>
      <c r="B87" s="160"/>
    </row>
    <row r="88">
      <c r="A88" s="153"/>
      <c r="B88" s="161"/>
    </row>
    <row r="89">
      <c r="A89" s="155"/>
      <c r="B89" s="160"/>
    </row>
    <row r="90">
      <c r="A90" s="153"/>
      <c r="B90" s="161"/>
    </row>
    <row r="91">
      <c r="A91" s="155"/>
      <c r="B91" s="160"/>
    </row>
    <row r="92">
      <c r="A92" s="153"/>
      <c r="B92" s="161"/>
    </row>
    <row r="93">
      <c r="A93" s="155"/>
      <c r="B93" s="160"/>
    </row>
    <row r="94">
      <c r="A94" s="153"/>
      <c r="B94" s="161"/>
    </row>
    <row r="95">
      <c r="A95" s="155"/>
      <c r="B95" s="160"/>
    </row>
    <row r="96">
      <c r="A96" s="153"/>
      <c r="B96" s="161"/>
    </row>
    <row r="97">
      <c r="A97" s="155"/>
      <c r="B97" s="160"/>
    </row>
    <row r="98">
      <c r="A98" s="153"/>
      <c r="B98" s="161"/>
    </row>
    <row r="99">
      <c r="A99" s="155"/>
      <c r="B99" s="160"/>
    </row>
    <row r="100">
      <c r="A100" s="162"/>
      <c r="B100" s="161"/>
    </row>
    <row r="101">
      <c r="A101" s="150" t="str">
        <f t="array" ref="A101:A150">'Up Names'!C2:C51</f>
        <v>Breeding Season</v>
      </c>
      <c r="B101" s="185" t="s">
        <v>1270</v>
      </c>
    </row>
    <row r="102">
      <c r="A102" s="153" t="s">
        <v>152</v>
      </c>
      <c r="B102" s="187" t="s">
        <v>1279</v>
      </c>
    </row>
    <row r="103">
      <c r="A103" s="155" t="s">
        <v>172</v>
      </c>
      <c r="B103" s="185" t="s">
        <v>1287</v>
      </c>
    </row>
    <row r="104">
      <c r="A104" s="153" t="s">
        <v>192</v>
      </c>
      <c r="B104" s="187" t="s">
        <v>1293</v>
      </c>
    </row>
    <row r="105">
      <c r="A105" s="155" t="s">
        <v>212</v>
      </c>
      <c r="B105" s="185" t="s">
        <v>1294</v>
      </c>
    </row>
    <row r="106">
      <c r="A106" s="153" t="s">
        <v>231</v>
      </c>
      <c r="B106" s="187" t="s">
        <v>1295</v>
      </c>
    </row>
    <row r="107">
      <c r="A107" s="155" t="s">
        <v>251</v>
      </c>
      <c r="B107" s="185" t="s">
        <v>1296</v>
      </c>
    </row>
    <row r="108">
      <c r="A108" s="153" t="s">
        <v>271</v>
      </c>
      <c r="B108" s="187" t="s">
        <v>1303</v>
      </c>
    </row>
    <row r="109">
      <c r="A109" s="155" t="s">
        <v>291</v>
      </c>
      <c r="B109" s="185" t="s">
        <v>1311</v>
      </c>
    </row>
    <row r="110">
      <c r="A110" s="153" t="s">
        <v>311</v>
      </c>
      <c r="B110" s="187" t="s">
        <v>1319</v>
      </c>
    </row>
    <row r="111">
      <c r="A111" s="155" t="s">
        <v>331</v>
      </c>
      <c r="B111" s="185" t="s">
        <v>1328</v>
      </c>
    </row>
    <row r="112">
      <c r="A112" s="153" t="s">
        <v>351</v>
      </c>
      <c r="B112" s="187" t="s">
        <v>1333</v>
      </c>
    </row>
    <row r="113">
      <c r="A113" s="155" t="s">
        <v>374</v>
      </c>
      <c r="B113" s="185" t="s">
        <v>1334</v>
      </c>
    </row>
    <row r="114">
      <c r="A114" s="153" t="s">
        <v>396</v>
      </c>
      <c r="B114" s="187" t="s">
        <v>1335</v>
      </c>
    </row>
    <row r="115">
      <c r="A115" s="155" t="s">
        <v>425</v>
      </c>
      <c r="B115" s="185" t="s">
        <v>1336</v>
      </c>
    </row>
    <row r="116">
      <c r="A116" s="153" t="s">
        <v>453</v>
      </c>
      <c r="B116" s="187" t="s">
        <v>1344</v>
      </c>
    </row>
    <row r="117">
      <c r="A117" s="155" t="s">
        <v>482</v>
      </c>
      <c r="B117" s="185" t="s">
        <v>1351</v>
      </c>
    </row>
    <row r="118">
      <c r="A118" s="153" t="s">
        <v>508</v>
      </c>
      <c r="B118" s="187" t="s">
        <v>1358</v>
      </c>
    </row>
    <row r="119">
      <c r="A119" s="155" t="s">
        <v>529</v>
      </c>
      <c r="B119" s="185" t="s">
        <v>1366</v>
      </c>
    </row>
    <row r="120">
      <c r="A120" s="153" t="s">
        <v>548</v>
      </c>
      <c r="B120" s="187" t="s">
        <v>1367</v>
      </c>
    </row>
    <row r="121">
      <c r="A121" s="155" t="s">
        <v>571</v>
      </c>
      <c r="B121" s="185" t="s">
        <v>1368</v>
      </c>
    </row>
    <row r="122">
      <c r="A122" s="153" t="s">
        <v>594</v>
      </c>
      <c r="B122" s="187" t="s">
        <v>1369</v>
      </c>
    </row>
    <row r="123">
      <c r="A123" s="155" t="s">
        <v>615</v>
      </c>
      <c r="B123" s="185" t="s">
        <v>1371</v>
      </c>
    </row>
    <row r="124">
      <c r="A124" s="153" t="s">
        <v>640</v>
      </c>
      <c r="B124" s="187" t="s">
        <v>1379</v>
      </c>
    </row>
    <row r="125">
      <c r="A125" s="155" t="s">
        <v>659</v>
      </c>
      <c r="B125" s="185" t="s">
        <v>1387</v>
      </c>
    </row>
    <row r="126">
      <c r="A126" s="153" t="s">
        <v>674</v>
      </c>
      <c r="B126" s="187" t="s">
        <v>1395</v>
      </c>
    </row>
    <row r="127">
      <c r="A127" s="155" t="s">
        <v>688</v>
      </c>
      <c r="B127" s="185" t="s">
        <v>1403</v>
      </c>
    </row>
    <row r="128">
      <c r="A128" s="153" t="s">
        <v>705</v>
      </c>
      <c r="B128" s="187" t="s">
        <v>1404</v>
      </c>
    </row>
    <row r="129">
      <c r="A129" s="155" t="s">
        <v>724</v>
      </c>
      <c r="B129" s="185" t="s">
        <v>1405</v>
      </c>
    </row>
    <row r="130">
      <c r="A130" s="153" t="s">
        <v>742</v>
      </c>
      <c r="B130" s="187" t="s">
        <v>1406</v>
      </c>
    </row>
    <row r="131">
      <c r="A131" s="155" t="s">
        <v>503</v>
      </c>
      <c r="B131" s="160"/>
    </row>
    <row r="132">
      <c r="A132" s="153" t="s">
        <v>511</v>
      </c>
      <c r="B132" s="161"/>
    </row>
    <row r="133">
      <c r="A133" s="155" t="s">
        <v>516</v>
      </c>
      <c r="B133" s="160"/>
    </row>
    <row r="134">
      <c r="A134" s="153"/>
      <c r="B134" s="161"/>
    </row>
    <row r="135">
      <c r="A135" s="155"/>
      <c r="B135" s="160"/>
    </row>
    <row r="136">
      <c r="A136" s="153"/>
      <c r="B136" s="161"/>
    </row>
    <row r="137">
      <c r="A137" s="155"/>
      <c r="B137" s="160"/>
    </row>
    <row r="138">
      <c r="A138" s="153"/>
      <c r="B138" s="161"/>
    </row>
    <row r="139">
      <c r="A139" s="155"/>
      <c r="B139" s="160"/>
    </row>
    <row r="140">
      <c r="A140" s="153"/>
      <c r="B140" s="161"/>
    </row>
    <row r="141">
      <c r="A141" s="155"/>
      <c r="B141" s="160"/>
    </row>
    <row r="142">
      <c r="A142" s="153"/>
      <c r="B142" s="161"/>
    </row>
    <row r="143">
      <c r="A143" s="155"/>
      <c r="B143" s="160"/>
    </row>
    <row r="144">
      <c r="A144" s="153"/>
      <c r="B144" s="161"/>
    </row>
    <row r="145">
      <c r="A145" s="155"/>
      <c r="B145" s="160"/>
    </row>
    <row r="146">
      <c r="A146" s="153"/>
      <c r="B146" s="161"/>
    </row>
    <row r="147">
      <c r="A147" s="155"/>
      <c r="B147" s="160"/>
    </row>
    <row r="148">
      <c r="A148" s="153"/>
      <c r="B148" s="161"/>
    </row>
    <row r="149">
      <c r="A149" s="155"/>
      <c r="B149" s="160"/>
    </row>
    <row r="150">
      <c r="A150" s="162"/>
      <c r="B150" s="161"/>
    </row>
    <row r="151">
      <c r="A151" s="150" t="str">
        <f t="array" ref="A151:A200">'Up Names'!D2:D51</f>
        <v>Arc Lightning</v>
      </c>
      <c r="B151" s="185" t="s">
        <v>1428</v>
      </c>
    </row>
    <row r="152">
      <c r="A152" s="153" t="s">
        <v>153</v>
      </c>
      <c r="B152" s="187" t="s">
        <v>1431</v>
      </c>
    </row>
    <row r="153">
      <c r="A153" s="155" t="s">
        <v>173</v>
      </c>
      <c r="B153" s="185" t="s">
        <v>1432</v>
      </c>
    </row>
    <row r="154">
      <c r="A154" s="153" t="s">
        <v>193</v>
      </c>
      <c r="B154" s="187" t="s">
        <v>1433</v>
      </c>
    </row>
    <row r="155">
      <c r="A155" s="155" t="s">
        <v>213</v>
      </c>
      <c r="B155" s="185" t="s">
        <v>1442</v>
      </c>
    </row>
    <row r="156">
      <c r="A156" s="153" t="s">
        <v>232</v>
      </c>
      <c r="B156" s="187" t="s">
        <v>1450</v>
      </c>
    </row>
    <row r="157">
      <c r="A157" s="155" t="s">
        <v>252</v>
      </c>
      <c r="B157" s="185" t="s">
        <v>1458</v>
      </c>
    </row>
    <row r="158">
      <c r="A158" s="153" t="s">
        <v>272</v>
      </c>
      <c r="B158" s="187" t="s">
        <v>1464</v>
      </c>
    </row>
    <row r="159">
      <c r="A159" s="155" t="s">
        <v>292</v>
      </c>
      <c r="B159" s="185" t="s">
        <v>1465</v>
      </c>
    </row>
    <row r="160">
      <c r="A160" s="153" t="s">
        <v>312</v>
      </c>
      <c r="B160" s="187" t="s">
        <v>1466</v>
      </c>
    </row>
    <row r="161">
      <c r="A161" s="155" t="s">
        <v>332</v>
      </c>
      <c r="B161" s="185" t="s">
        <v>1468</v>
      </c>
    </row>
    <row r="162">
      <c r="A162" s="153" t="s">
        <v>352</v>
      </c>
      <c r="B162" s="187" t="s">
        <v>1476</v>
      </c>
    </row>
    <row r="163">
      <c r="A163" s="155" t="s">
        <v>375</v>
      </c>
      <c r="B163" s="185" t="s">
        <v>1481</v>
      </c>
    </row>
    <row r="164">
      <c r="A164" s="153" t="s">
        <v>398</v>
      </c>
      <c r="B164" s="187" t="s">
        <v>1485</v>
      </c>
    </row>
    <row r="165">
      <c r="A165" s="155" t="s">
        <v>427</v>
      </c>
      <c r="B165" s="185" t="s">
        <v>1492</v>
      </c>
    </row>
    <row r="166">
      <c r="A166" s="153" t="s">
        <v>454</v>
      </c>
      <c r="B166" s="187" t="s">
        <v>1496</v>
      </c>
    </row>
    <row r="167">
      <c r="A167" s="155" t="s">
        <v>484</v>
      </c>
      <c r="B167" s="185" t="s">
        <v>1497</v>
      </c>
    </row>
    <row r="168">
      <c r="A168" s="153" t="s">
        <v>509</v>
      </c>
      <c r="B168" s="187" t="s">
        <v>1498</v>
      </c>
    </row>
    <row r="169">
      <c r="A169" s="155" t="s">
        <v>530</v>
      </c>
      <c r="B169" s="185" t="s">
        <v>1504</v>
      </c>
    </row>
    <row r="170">
      <c r="A170" s="153" t="s">
        <v>549</v>
      </c>
      <c r="B170" s="187" t="s">
        <v>1511</v>
      </c>
    </row>
    <row r="171">
      <c r="A171" s="155" t="s">
        <v>572</v>
      </c>
      <c r="B171" s="185" t="s">
        <v>1518</v>
      </c>
    </row>
    <row r="172">
      <c r="A172" s="153" t="s">
        <v>595</v>
      </c>
      <c r="B172" s="187" t="s">
        <v>1524</v>
      </c>
    </row>
    <row r="173">
      <c r="A173" s="155" t="s">
        <v>616</v>
      </c>
      <c r="B173" s="185" t="s">
        <v>1527</v>
      </c>
    </row>
    <row r="174">
      <c r="A174" s="153" t="s">
        <v>641</v>
      </c>
      <c r="B174" s="187" t="s">
        <v>1528</v>
      </c>
    </row>
    <row r="175">
      <c r="A175" s="155" t="s">
        <v>660</v>
      </c>
      <c r="B175" s="185" t="s">
        <v>1529</v>
      </c>
    </row>
    <row r="176">
      <c r="A176" s="153" t="s">
        <v>675</v>
      </c>
      <c r="B176" s="187" t="s">
        <v>1536</v>
      </c>
    </row>
    <row r="177">
      <c r="A177" s="155" t="s">
        <v>689</v>
      </c>
      <c r="B177" s="185" t="s">
        <v>1541</v>
      </c>
    </row>
    <row r="178">
      <c r="A178" s="153" t="s">
        <v>707</v>
      </c>
      <c r="B178" s="187" t="s">
        <v>1548</v>
      </c>
    </row>
    <row r="179">
      <c r="A179" s="155" t="s">
        <v>725</v>
      </c>
      <c r="B179" s="185" t="s">
        <v>1554</v>
      </c>
    </row>
    <row r="180">
      <c r="A180" s="153" t="s">
        <v>743</v>
      </c>
      <c r="B180" s="187" t="s">
        <v>1560</v>
      </c>
    </row>
    <row r="181">
      <c r="A181" s="155" t="s">
        <v>760</v>
      </c>
      <c r="B181" s="160"/>
    </row>
    <row r="182">
      <c r="A182" s="153" t="s">
        <v>773</v>
      </c>
      <c r="B182" s="161"/>
    </row>
    <row r="183">
      <c r="A183" s="155" t="s">
        <v>779</v>
      </c>
      <c r="B183" s="202" t="s">
        <v>1562</v>
      </c>
    </row>
    <row r="184">
      <c r="A184" s="153" t="s">
        <v>503</v>
      </c>
      <c r="B184" s="161"/>
    </row>
    <row r="185">
      <c r="A185" s="155" t="s">
        <v>511</v>
      </c>
      <c r="B185" s="160"/>
    </row>
    <row r="186">
      <c r="A186" s="153" t="s">
        <v>516</v>
      </c>
      <c r="B186" s="161"/>
    </row>
    <row r="187">
      <c r="A187" s="155"/>
      <c r="B187" s="160"/>
    </row>
    <row r="188">
      <c r="A188" s="153"/>
      <c r="B188" s="161"/>
    </row>
    <row r="189">
      <c r="A189" s="155"/>
      <c r="B189" s="160"/>
    </row>
    <row r="190">
      <c r="A190" s="153"/>
      <c r="B190" s="161"/>
    </row>
    <row r="191">
      <c r="A191" s="155"/>
      <c r="B191" s="160"/>
    </row>
    <row r="192">
      <c r="A192" s="153"/>
      <c r="B192" s="161"/>
    </row>
    <row r="193">
      <c r="A193" s="155"/>
      <c r="B193" s="160"/>
    </row>
    <row r="194">
      <c r="A194" s="153"/>
      <c r="B194" s="161"/>
    </row>
    <row r="195">
      <c r="A195" s="155"/>
      <c r="B195" s="160"/>
    </row>
    <row r="196">
      <c r="A196" s="153"/>
      <c r="B196" s="161"/>
    </row>
    <row r="197">
      <c r="A197" s="155"/>
      <c r="B197" s="160"/>
    </row>
    <row r="198">
      <c r="A198" s="153"/>
      <c r="B198" s="161"/>
    </row>
    <row r="199">
      <c r="A199" s="155"/>
      <c r="B199" s="160"/>
    </row>
    <row r="200">
      <c r="A200" s="162"/>
      <c r="B200" s="161"/>
    </row>
    <row r="201">
      <c r="A201" s="150" t="str">
        <f t="array" ref="A201:A250">'Up Names'!E2:E51</f>
        <v>Big Fat Doobie</v>
      </c>
      <c r="B201" s="185" t="s">
        <v>1563</v>
      </c>
    </row>
    <row r="202">
      <c r="A202" s="153" t="s">
        <v>154</v>
      </c>
      <c r="B202" s="187" t="s">
        <v>1565</v>
      </c>
    </row>
    <row r="203">
      <c r="A203" s="155" t="s">
        <v>174</v>
      </c>
      <c r="B203" s="185" t="s">
        <v>1571</v>
      </c>
    </row>
    <row r="204">
      <c r="A204" s="153" t="s">
        <v>194</v>
      </c>
      <c r="B204" s="187" t="s">
        <v>1574</v>
      </c>
    </row>
    <row r="205">
      <c r="A205" s="155" t="s">
        <v>214</v>
      </c>
      <c r="B205" s="185" t="s">
        <v>1583</v>
      </c>
    </row>
    <row r="206">
      <c r="A206" s="153" t="s">
        <v>233</v>
      </c>
      <c r="B206" s="187" t="s">
        <v>1593</v>
      </c>
    </row>
    <row r="207">
      <c r="A207" s="155" t="s">
        <v>253</v>
      </c>
      <c r="B207" s="185" t="s">
        <v>1597</v>
      </c>
    </row>
    <row r="208">
      <c r="A208" s="153" t="s">
        <v>273</v>
      </c>
      <c r="B208" s="187" t="s">
        <v>1599</v>
      </c>
    </row>
    <row r="209">
      <c r="A209" s="155" t="s">
        <v>293</v>
      </c>
      <c r="B209" s="185" t="s">
        <v>1600</v>
      </c>
    </row>
    <row r="210">
      <c r="A210" s="153" t="s">
        <v>313</v>
      </c>
      <c r="B210" s="187" t="s">
        <v>1601</v>
      </c>
    </row>
    <row r="211">
      <c r="A211" s="155" t="s">
        <v>333</v>
      </c>
      <c r="B211" s="185" t="s">
        <v>1602</v>
      </c>
    </row>
    <row r="212">
      <c r="A212" s="153" t="s">
        <v>353</v>
      </c>
      <c r="B212" s="187" t="s">
        <v>1604</v>
      </c>
    </row>
    <row r="213">
      <c r="A213" s="155" t="s">
        <v>376</v>
      </c>
      <c r="B213" s="185" t="s">
        <v>1608</v>
      </c>
    </row>
    <row r="214">
      <c r="A214" s="153" t="s">
        <v>399</v>
      </c>
      <c r="B214" s="209" t="s">
        <v>1613</v>
      </c>
    </row>
    <row r="215">
      <c r="A215" s="155" t="s">
        <v>428</v>
      </c>
      <c r="B215" s="185" t="s">
        <v>1619</v>
      </c>
    </row>
    <row r="216">
      <c r="A216" s="153" t="s">
        <v>456</v>
      </c>
      <c r="B216" s="187" t="s">
        <v>1626</v>
      </c>
    </row>
    <row r="217">
      <c r="A217" s="155" t="s">
        <v>485</v>
      </c>
      <c r="B217" s="185" t="s">
        <v>1631</v>
      </c>
    </row>
    <row r="218">
      <c r="A218" s="153" t="s">
        <v>510</v>
      </c>
      <c r="B218" s="187" t="s">
        <v>1634</v>
      </c>
    </row>
    <row r="219">
      <c r="A219" s="155" t="s">
        <v>531</v>
      </c>
      <c r="B219" s="185" t="s">
        <v>1635</v>
      </c>
    </row>
    <row r="220">
      <c r="A220" s="153" t="s">
        <v>550</v>
      </c>
      <c r="B220" s="187" t="s">
        <v>1636</v>
      </c>
    </row>
    <row r="221">
      <c r="A221" s="155" t="s">
        <v>574</v>
      </c>
      <c r="B221" s="185" t="s">
        <v>1637</v>
      </c>
    </row>
    <row r="222">
      <c r="A222" s="153" t="s">
        <v>596</v>
      </c>
      <c r="B222" s="187" t="s">
        <v>1638</v>
      </c>
    </row>
    <row r="223">
      <c r="A223" s="155" t="s">
        <v>617</v>
      </c>
      <c r="B223" s="185" t="s">
        <v>1642</v>
      </c>
    </row>
    <row r="224">
      <c r="A224" s="153" t="s">
        <v>643</v>
      </c>
      <c r="B224" s="187" t="s">
        <v>1648</v>
      </c>
    </row>
    <row r="225">
      <c r="A225" s="155" t="s">
        <v>661</v>
      </c>
      <c r="B225" s="185" t="s">
        <v>1653</v>
      </c>
    </row>
    <row r="226">
      <c r="A226" s="153" t="s">
        <v>676</v>
      </c>
      <c r="B226" s="209" t="s">
        <v>1659</v>
      </c>
    </row>
    <row r="227">
      <c r="A227" s="155" t="s">
        <v>690</v>
      </c>
      <c r="B227" s="185" t="s">
        <v>1661</v>
      </c>
    </row>
    <row r="228">
      <c r="A228" s="153" t="s">
        <v>708</v>
      </c>
      <c r="B228" s="187" t="s">
        <v>1662</v>
      </c>
    </row>
    <row r="229">
      <c r="A229" s="155" t="s">
        <v>727</v>
      </c>
      <c r="B229" s="185" t="s">
        <v>1663</v>
      </c>
    </row>
    <row r="230">
      <c r="A230" s="153" t="s">
        <v>744</v>
      </c>
      <c r="B230" s="187" t="s">
        <v>1664</v>
      </c>
    </row>
    <row r="231">
      <c r="A231" s="155" t="s">
        <v>761</v>
      </c>
      <c r="B231" s="185" t="s">
        <v>1665</v>
      </c>
    </row>
    <row r="232">
      <c r="A232" s="153" t="s">
        <v>503</v>
      </c>
      <c r="B232" s="161"/>
    </row>
    <row r="233">
      <c r="A233" s="155" t="s">
        <v>511</v>
      </c>
      <c r="B233" s="160"/>
    </row>
    <row r="234">
      <c r="A234" s="153" t="s">
        <v>516</v>
      </c>
      <c r="B234" s="161"/>
    </row>
    <row r="235">
      <c r="A235" s="155"/>
      <c r="B235" s="160"/>
    </row>
    <row r="236">
      <c r="A236" s="153"/>
      <c r="B236" s="161"/>
    </row>
    <row r="237">
      <c r="A237" s="155"/>
      <c r="B237" s="160"/>
    </row>
    <row r="238">
      <c r="A238" s="153"/>
      <c r="B238" s="161"/>
    </row>
    <row r="239">
      <c r="A239" s="155"/>
      <c r="B239" s="160"/>
    </row>
    <row r="240">
      <c r="A240" s="153"/>
      <c r="B240" s="161"/>
    </row>
    <row r="241">
      <c r="A241" s="155"/>
      <c r="B241" s="160"/>
    </row>
    <row r="242">
      <c r="A242" s="153"/>
      <c r="B242" s="161"/>
    </row>
    <row r="243">
      <c r="A243" s="155"/>
      <c r="B243" s="160"/>
    </row>
    <row r="244">
      <c r="A244" s="153"/>
      <c r="B244" s="161"/>
    </row>
    <row r="245">
      <c r="A245" s="155"/>
      <c r="B245" s="160"/>
    </row>
    <row r="246">
      <c r="A246" s="153"/>
      <c r="B246" s="161"/>
    </row>
    <row r="247">
      <c r="A247" s="155"/>
      <c r="B247" s="160"/>
    </row>
    <row r="248">
      <c r="A248" s="153"/>
      <c r="B248" s="161"/>
    </row>
    <row r="249">
      <c r="A249" s="155"/>
      <c r="B249" s="160"/>
    </row>
    <row r="250">
      <c r="A250" s="162"/>
      <c r="B250" s="161"/>
    </row>
    <row r="251">
      <c r="A251" s="150" t="str">
        <f t="array" ref="A251:A300">'Up Names'!F2:F51</f>
        <v>Return to Receiver</v>
      </c>
      <c r="B251" s="185" t="s">
        <v>1666</v>
      </c>
    </row>
    <row r="252">
      <c r="A252" s="153" t="s">
        <v>155</v>
      </c>
      <c r="B252" s="187" t="s">
        <v>1671</v>
      </c>
    </row>
    <row r="253">
      <c r="A253" s="155" t="s">
        <v>175</v>
      </c>
      <c r="B253" s="185" t="s">
        <v>1676</v>
      </c>
    </row>
    <row r="254">
      <c r="A254" s="153" t="s">
        <v>195</v>
      </c>
      <c r="B254" s="187" t="s">
        <v>1680</v>
      </c>
    </row>
    <row r="255">
      <c r="A255" s="155" t="s">
        <v>215</v>
      </c>
      <c r="B255" s="185" t="s">
        <v>1686</v>
      </c>
    </row>
    <row r="256">
      <c r="A256" s="153" t="s">
        <v>234</v>
      </c>
      <c r="B256" s="187" t="s">
        <v>1689</v>
      </c>
    </row>
    <row r="257">
      <c r="A257" s="155" t="s">
        <v>254</v>
      </c>
      <c r="B257" s="185" t="s">
        <v>1690</v>
      </c>
    </row>
    <row r="258">
      <c r="A258" s="153" t="s">
        <v>274</v>
      </c>
      <c r="B258" s="187" t="s">
        <v>1691</v>
      </c>
    </row>
    <row r="259">
      <c r="A259" s="155" t="s">
        <v>294</v>
      </c>
      <c r="B259" s="185" t="s">
        <v>1692</v>
      </c>
    </row>
    <row r="260">
      <c r="A260" s="153" t="s">
        <v>314</v>
      </c>
      <c r="B260" s="187" t="s">
        <v>1693</v>
      </c>
    </row>
    <row r="261">
      <c r="A261" s="155" t="s">
        <v>334</v>
      </c>
      <c r="B261" s="185" t="s">
        <v>1694</v>
      </c>
    </row>
    <row r="262">
      <c r="A262" s="153" t="s">
        <v>354</v>
      </c>
      <c r="B262" s="187" t="s">
        <v>1695</v>
      </c>
    </row>
    <row r="263">
      <c r="A263" s="155" t="s">
        <v>378</v>
      </c>
      <c r="B263" s="185" t="s">
        <v>1702</v>
      </c>
    </row>
    <row r="264">
      <c r="A264" s="153" t="s">
        <v>400</v>
      </c>
      <c r="B264" s="187" t="s">
        <v>1708</v>
      </c>
    </row>
    <row r="265">
      <c r="A265" s="155" t="s">
        <v>429</v>
      </c>
      <c r="B265" s="185" t="s">
        <v>1716</v>
      </c>
    </row>
    <row r="266">
      <c r="A266" s="153" t="s">
        <v>457</v>
      </c>
      <c r="B266" s="187" t="s">
        <v>1725</v>
      </c>
    </row>
    <row r="267">
      <c r="A267" s="155" t="s">
        <v>487</v>
      </c>
      <c r="B267" s="185" t="s">
        <v>1731</v>
      </c>
    </row>
    <row r="268">
      <c r="A268" s="153" t="s">
        <v>512</v>
      </c>
      <c r="B268" s="187" t="s">
        <v>1738</v>
      </c>
    </row>
    <row r="269">
      <c r="A269" s="155" t="s">
        <v>532</v>
      </c>
      <c r="B269" s="185" t="s">
        <v>1741</v>
      </c>
    </row>
    <row r="270">
      <c r="A270" s="153" t="s">
        <v>551</v>
      </c>
      <c r="B270" s="187" t="s">
        <v>1742</v>
      </c>
    </row>
    <row r="271">
      <c r="A271" s="155" t="s">
        <v>575</v>
      </c>
      <c r="B271" s="185" t="s">
        <v>1743</v>
      </c>
    </row>
    <row r="272">
      <c r="A272" s="153" t="s">
        <v>598</v>
      </c>
      <c r="B272" s="187" t="s">
        <v>1744</v>
      </c>
    </row>
    <row r="273">
      <c r="A273" s="155" t="s">
        <v>619</v>
      </c>
      <c r="B273" s="185" t="s">
        <v>1746</v>
      </c>
    </row>
    <row r="274">
      <c r="A274" s="153" t="s">
        <v>644</v>
      </c>
      <c r="B274" s="187" t="s">
        <v>1751</v>
      </c>
    </row>
    <row r="275">
      <c r="A275" s="155" t="s">
        <v>662</v>
      </c>
      <c r="B275" s="185" t="s">
        <v>1759</v>
      </c>
    </row>
    <row r="276">
      <c r="A276" s="153" t="s">
        <v>677</v>
      </c>
      <c r="B276" s="187" t="s">
        <v>1764</v>
      </c>
    </row>
    <row r="277">
      <c r="A277" s="155" t="s">
        <v>691</v>
      </c>
      <c r="B277" s="185" t="s">
        <v>1771</v>
      </c>
    </row>
    <row r="278">
      <c r="A278" s="153" t="s">
        <v>709</v>
      </c>
      <c r="B278" s="187" t="s">
        <v>1781</v>
      </c>
    </row>
    <row r="279">
      <c r="A279" s="155" t="s">
        <v>728</v>
      </c>
      <c r="B279" s="185" t="s">
        <v>1790</v>
      </c>
    </row>
    <row r="280">
      <c r="A280" s="153" t="s">
        <v>746</v>
      </c>
      <c r="B280" s="187" t="s">
        <v>1792</v>
      </c>
    </row>
    <row r="281">
      <c r="A281" s="155" t="s">
        <v>503</v>
      </c>
      <c r="B281" s="160"/>
    </row>
    <row r="282">
      <c r="A282" s="153" t="s">
        <v>511</v>
      </c>
      <c r="B282" s="161"/>
    </row>
    <row r="283">
      <c r="A283" s="155" t="s">
        <v>516</v>
      </c>
      <c r="B283" s="160"/>
    </row>
    <row r="284">
      <c r="A284" s="153"/>
      <c r="B284" s="161"/>
    </row>
    <row r="285">
      <c r="A285" s="155"/>
      <c r="B285" s="160"/>
    </row>
    <row r="286">
      <c r="A286" s="153"/>
      <c r="B286" s="161"/>
    </row>
    <row r="287">
      <c r="A287" s="155"/>
      <c r="B287" s="160"/>
    </row>
    <row r="288">
      <c r="A288" s="153"/>
      <c r="B288" s="161"/>
    </row>
    <row r="289">
      <c r="A289" s="155"/>
      <c r="B289" s="160"/>
    </row>
    <row r="290">
      <c r="A290" s="153"/>
      <c r="B290" s="161"/>
    </row>
    <row r="291">
      <c r="A291" s="155"/>
      <c r="B291" s="160"/>
    </row>
    <row r="292">
      <c r="A292" s="153"/>
      <c r="B292" s="161"/>
    </row>
    <row r="293">
      <c r="A293" s="155"/>
      <c r="B293" s="160"/>
    </row>
    <row r="294">
      <c r="A294" s="153"/>
      <c r="B294" s="161"/>
    </row>
    <row r="295">
      <c r="A295" s="155"/>
      <c r="B295" s="160"/>
    </row>
    <row r="296">
      <c r="A296" s="153"/>
      <c r="B296" s="161"/>
    </row>
    <row r="297">
      <c r="A297" s="155"/>
      <c r="B297" s="160"/>
    </row>
    <row r="298">
      <c r="A298" s="153"/>
      <c r="B298" s="161"/>
    </row>
    <row r="299">
      <c r="A299" s="155"/>
      <c r="B299" s="160"/>
    </row>
    <row r="300">
      <c r="A300" s="162"/>
      <c r="B300" s="161"/>
    </row>
    <row r="301">
      <c r="A301" s="150" t="str">
        <f t="array" ref="A301:A350">'Up Names'!G2:G51</f>
        <v>Yellow Prism</v>
      </c>
      <c r="B301" s="185" t="s">
        <v>1809</v>
      </c>
    </row>
    <row r="302">
      <c r="A302" s="153" t="s">
        <v>156</v>
      </c>
      <c r="B302" s="187" t="s">
        <v>1818</v>
      </c>
    </row>
    <row r="303">
      <c r="A303" s="155" t="s">
        <v>176</v>
      </c>
      <c r="B303" s="185" t="s">
        <v>1826</v>
      </c>
    </row>
    <row r="304">
      <c r="A304" s="153" t="s">
        <v>196</v>
      </c>
      <c r="B304" s="187" t="s">
        <v>1829</v>
      </c>
    </row>
    <row r="305">
      <c r="A305" s="155" t="s">
        <v>216</v>
      </c>
      <c r="B305" s="185" t="s">
        <v>1830</v>
      </c>
    </row>
    <row r="306">
      <c r="A306" s="153" t="s">
        <v>235</v>
      </c>
      <c r="B306" s="187" t="s">
        <v>1835</v>
      </c>
    </row>
    <row r="307">
      <c r="A307" s="155" t="s">
        <v>255</v>
      </c>
      <c r="B307" s="185" t="s">
        <v>1841</v>
      </c>
    </row>
    <row r="308">
      <c r="A308" s="153" t="s">
        <v>275</v>
      </c>
      <c r="B308" s="187" t="s">
        <v>1847</v>
      </c>
    </row>
    <row r="309">
      <c r="A309" s="155" t="s">
        <v>295</v>
      </c>
      <c r="B309" s="185" t="s">
        <v>1855</v>
      </c>
    </row>
    <row r="310">
      <c r="A310" s="153" t="s">
        <v>315</v>
      </c>
      <c r="B310" s="187" t="s">
        <v>1860</v>
      </c>
    </row>
    <row r="311">
      <c r="A311" s="155" t="s">
        <v>335</v>
      </c>
      <c r="B311" s="185" t="s">
        <v>1867</v>
      </c>
    </row>
    <row r="312">
      <c r="A312" s="153" t="s">
        <v>355</v>
      </c>
      <c r="B312" s="187" t="s">
        <v>1871</v>
      </c>
    </row>
    <row r="313">
      <c r="A313" s="155" t="s">
        <v>379</v>
      </c>
      <c r="B313" s="185" t="s">
        <v>1872</v>
      </c>
    </row>
    <row r="314">
      <c r="A314" s="153" t="s">
        <v>402</v>
      </c>
      <c r="B314" s="187" t="s">
        <v>1873</v>
      </c>
    </row>
    <row r="315">
      <c r="A315" s="155" t="s">
        <v>431</v>
      </c>
      <c r="B315" s="185" t="s">
        <v>1877</v>
      </c>
    </row>
    <row r="316">
      <c r="A316" s="153" t="s">
        <v>458</v>
      </c>
      <c r="B316" s="187" t="s">
        <v>1883</v>
      </c>
    </row>
    <row r="317">
      <c r="A317" s="155" t="s">
        <v>489</v>
      </c>
      <c r="B317" s="185" t="s">
        <v>1891</v>
      </c>
    </row>
    <row r="318">
      <c r="A318" s="153" t="s">
        <v>513</v>
      </c>
      <c r="B318" s="187" t="s">
        <v>1896</v>
      </c>
    </row>
    <row r="319">
      <c r="A319" s="155" t="s">
        <v>533</v>
      </c>
      <c r="B319" s="185" t="s">
        <v>1904</v>
      </c>
    </row>
    <row r="320">
      <c r="A320" s="153" t="s">
        <v>552</v>
      </c>
      <c r="B320" s="187" t="s">
        <v>1912</v>
      </c>
    </row>
    <row r="321">
      <c r="A321" s="155" t="s">
        <v>576</v>
      </c>
      <c r="B321" s="185" t="s">
        <v>1918</v>
      </c>
    </row>
    <row r="322">
      <c r="A322" s="153" t="s">
        <v>599</v>
      </c>
      <c r="B322" s="187" t="s">
        <v>1919</v>
      </c>
    </row>
    <row r="323">
      <c r="A323" s="155" t="s">
        <v>620</v>
      </c>
      <c r="B323" s="185" t="s">
        <v>1920</v>
      </c>
    </row>
    <row r="324">
      <c r="A324" s="153" t="s">
        <v>645</v>
      </c>
      <c r="B324" s="187" t="s">
        <v>1921</v>
      </c>
    </row>
    <row r="325">
      <c r="A325" s="155" t="s">
        <v>663</v>
      </c>
      <c r="B325" s="185" t="s">
        <v>1922</v>
      </c>
    </row>
    <row r="326">
      <c r="A326" s="153" t="s">
        <v>678</v>
      </c>
      <c r="B326" s="187" t="s">
        <v>1923</v>
      </c>
    </row>
    <row r="327">
      <c r="A327" s="155" t="s">
        <v>692</v>
      </c>
      <c r="B327" s="185" t="s">
        <v>1924</v>
      </c>
    </row>
    <row r="328">
      <c r="A328" s="153" t="s">
        <v>711</v>
      </c>
      <c r="B328" s="187" t="s">
        <v>1925</v>
      </c>
    </row>
    <row r="329">
      <c r="A329" s="155" t="s">
        <v>729</v>
      </c>
      <c r="B329" s="185" t="s">
        <v>1927</v>
      </c>
    </row>
    <row r="330">
      <c r="A330" s="153" t="s">
        <v>747</v>
      </c>
      <c r="B330" s="187" t="s">
        <v>1929</v>
      </c>
    </row>
    <row r="331">
      <c r="A331" s="155" t="s">
        <v>503</v>
      </c>
      <c r="B331" s="160"/>
    </row>
    <row r="332">
      <c r="A332" s="153" t="s">
        <v>511</v>
      </c>
      <c r="B332" s="161"/>
    </row>
    <row r="333">
      <c r="A333" s="155" t="s">
        <v>516</v>
      </c>
      <c r="B333" s="160"/>
    </row>
    <row r="334">
      <c r="A334" s="153"/>
      <c r="B334" s="161"/>
    </row>
    <row r="335">
      <c r="A335" s="155"/>
      <c r="B335" s="160"/>
    </row>
    <row r="336">
      <c r="A336" s="153"/>
      <c r="B336" s="161"/>
    </row>
    <row r="337">
      <c r="A337" s="155"/>
      <c r="B337" s="160"/>
    </row>
    <row r="338">
      <c r="A338" s="153"/>
      <c r="B338" s="161"/>
    </row>
    <row r="339">
      <c r="A339" s="155"/>
      <c r="B339" s="160"/>
    </row>
    <row r="340">
      <c r="A340" s="153"/>
      <c r="B340" s="161"/>
    </row>
    <row r="341">
      <c r="A341" s="155"/>
      <c r="B341" s="160"/>
    </row>
    <row r="342">
      <c r="A342" s="153"/>
      <c r="B342" s="161"/>
    </row>
    <row r="343">
      <c r="A343" s="155"/>
      <c r="B343" s="160"/>
    </row>
    <row r="344">
      <c r="A344" s="153"/>
      <c r="B344" s="161"/>
    </row>
    <row r="345">
      <c r="A345" s="155"/>
      <c r="B345" s="160"/>
    </row>
    <row r="346">
      <c r="A346" s="153"/>
      <c r="B346" s="161"/>
    </row>
    <row r="347">
      <c r="A347" s="155"/>
      <c r="B347" s="160"/>
    </row>
    <row r="348">
      <c r="A348" s="153"/>
      <c r="B348" s="161"/>
    </row>
    <row r="349">
      <c r="A349" s="155"/>
      <c r="B349" s="160"/>
    </row>
    <row r="350">
      <c r="A350" s="162"/>
      <c r="B350" s="161"/>
    </row>
    <row r="351">
      <c r="A351" s="150" t="str">
        <f t="array" ref="A351:A400">'Up Names'!H2:H51</f>
        <v>Bailing Water</v>
      </c>
      <c r="B351" s="185" t="s">
        <v>1931</v>
      </c>
    </row>
    <row r="352">
      <c r="A352" s="153" t="s">
        <v>157</v>
      </c>
      <c r="B352" s="187" t="s">
        <v>1933</v>
      </c>
    </row>
    <row r="353">
      <c r="A353" s="155" t="s">
        <v>177</v>
      </c>
      <c r="B353" s="185" t="s">
        <v>1935</v>
      </c>
    </row>
    <row r="354">
      <c r="A354" s="153" t="s">
        <v>197</v>
      </c>
      <c r="B354" s="187" t="s">
        <v>1937</v>
      </c>
    </row>
    <row r="355">
      <c r="A355" s="155" t="s">
        <v>217</v>
      </c>
      <c r="B355" s="185" t="s">
        <v>1938</v>
      </c>
    </row>
    <row r="356">
      <c r="A356" s="153" t="s">
        <v>236</v>
      </c>
      <c r="B356" s="187" t="s">
        <v>1939</v>
      </c>
    </row>
    <row r="357">
      <c r="A357" s="155" t="s">
        <v>256</v>
      </c>
      <c r="B357" s="185" t="s">
        <v>1940</v>
      </c>
    </row>
    <row r="358">
      <c r="A358" s="153" t="s">
        <v>276</v>
      </c>
      <c r="B358" s="187" t="s">
        <v>1941</v>
      </c>
    </row>
    <row r="359">
      <c r="A359" s="155" t="s">
        <v>296</v>
      </c>
      <c r="B359" s="185" t="s">
        <v>1942</v>
      </c>
    </row>
    <row r="360">
      <c r="A360" s="153" t="s">
        <v>316</v>
      </c>
      <c r="B360" s="187" t="s">
        <v>1943</v>
      </c>
    </row>
    <row r="361">
      <c r="A361" s="155" t="s">
        <v>336</v>
      </c>
      <c r="B361" s="185" t="s">
        <v>1944</v>
      </c>
    </row>
    <row r="362">
      <c r="A362" s="153" t="s">
        <v>356</v>
      </c>
      <c r="B362" s="187" t="s">
        <v>1945</v>
      </c>
    </row>
    <row r="363">
      <c r="A363" s="155" t="s">
        <v>380</v>
      </c>
      <c r="B363" s="185" t="s">
        <v>1946</v>
      </c>
    </row>
    <row r="364">
      <c r="A364" s="153" t="s">
        <v>403</v>
      </c>
      <c r="B364" s="187" t="s">
        <v>1947</v>
      </c>
    </row>
    <row r="365">
      <c r="A365" s="155" t="s">
        <v>432</v>
      </c>
      <c r="B365" s="185" t="s">
        <v>1948</v>
      </c>
    </row>
    <row r="366">
      <c r="A366" s="153" t="s">
        <v>460</v>
      </c>
      <c r="B366" s="187" t="s">
        <v>1949</v>
      </c>
    </row>
    <row r="367">
      <c r="A367" s="155" t="s">
        <v>490</v>
      </c>
      <c r="B367" s="185" t="s">
        <v>1950</v>
      </c>
    </row>
    <row r="368">
      <c r="A368" s="153" t="s">
        <v>514</v>
      </c>
      <c r="B368" s="187" t="s">
        <v>1951</v>
      </c>
    </row>
    <row r="369">
      <c r="A369" s="155" t="s">
        <v>534</v>
      </c>
      <c r="B369" s="185" t="s">
        <v>1952</v>
      </c>
    </row>
    <row r="370">
      <c r="A370" s="153" t="s">
        <v>553</v>
      </c>
      <c r="B370" s="187" t="s">
        <v>1953</v>
      </c>
    </row>
    <row r="371">
      <c r="A371" s="155" t="s">
        <v>577</v>
      </c>
      <c r="B371" s="185" t="s">
        <v>1954</v>
      </c>
    </row>
    <row r="372">
      <c r="A372" s="153" t="s">
        <v>601</v>
      </c>
      <c r="B372" s="187" t="s">
        <v>1955</v>
      </c>
    </row>
    <row r="373">
      <c r="A373" s="155" t="s">
        <v>621</v>
      </c>
      <c r="B373" s="185" t="s">
        <v>1956</v>
      </c>
    </row>
    <row r="374">
      <c r="A374" s="153" t="s">
        <v>647</v>
      </c>
      <c r="B374" s="187" t="s">
        <v>1957</v>
      </c>
    </row>
    <row r="375">
      <c r="A375" s="155" t="s">
        <v>664</v>
      </c>
      <c r="B375" s="185" t="s">
        <v>1958</v>
      </c>
    </row>
    <row r="376">
      <c r="A376" s="153" t="s">
        <v>679</v>
      </c>
      <c r="B376" s="187" t="s">
        <v>1959</v>
      </c>
    </row>
    <row r="377">
      <c r="A377" s="155" t="s">
        <v>693</v>
      </c>
      <c r="B377" s="185" t="s">
        <v>1960</v>
      </c>
    </row>
    <row r="378">
      <c r="A378" s="153" t="s">
        <v>712</v>
      </c>
      <c r="B378" s="187" t="s">
        <v>1961</v>
      </c>
    </row>
    <row r="379">
      <c r="A379" s="155" t="s">
        <v>731</v>
      </c>
      <c r="B379" s="185" t="s">
        <v>1962</v>
      </c>
    </row>
    <row r="380">
      <c r="A380" s="153" t="s">
        <v>748</v>
      </c>
      <c r="B380" s="187" t="s">
        <v>1963</v>
      </c>
    </row>
    <row r="381">
      <c r="A381" s="155" t="s">
        <v>503</v>
      </c>
      <c r="B381" s="160"/>
    </row>
    <row r="382">
      <c r="A382" s="153" t="s">
        <v>511</v>
      </c>
      <c r="B382" s="161"/>
    </row>
    <row r="383">
      <c r="A383" s="155" t="s">
        <v>516</v>
      </c>
      <c r="B383" s="160"/>
    </row>
    <row r="384">
      <c r="A384" s="153"/>
      <c r="B384" s="161"/>
    </row>
    <row r="385">
      <c r="A385" s="155"/>
      <c r="B385" s="160"/>
    </row>
    <row r="386">
      <c r="A386" s="153"/>
      <c r="B386" s="161"/>
    </row>
    <row r="387">
      <c r="A387" s="155"/>
      <c r="B387" s="160"/>
    </row>
    <row r="388">
      <c r="A388" s="153"/>
      <c r="B388" s="161"/>
    </row>
    <row r="389">
      <c r="A389" s="155"/>
      <c r="B389" s="160"/>
    </row>
    <row r="390">
      <c r="A390" s="153"/>
      <c r="B390" s="161"/>
    </row>
    <row r="391">
      <c r="A391" s="155"/>
      <c r="B391" s="160"/>
    </row>
    <row r="392">
      <c r="A392" s="153"/>
      <c r="B392" s="161"/>
    </row>
    <row r="393">
      <c r="A393" s="155"/>
      <c r="B393" s="160"/>
    </row>
    <row r="394">
      <c r="A394" s="153"/>
      <c r="B394" s="161"/>
    </row>
    <row r="395">
      <c r="A395" s="155"/>
      <c r="B395" s="160"/>
    </row>
    <row r="396">
      <c r="A396" s="153"/>
      <c r="B396" s="161"/>
    </row>
    <row r="397">
      <c r="A397" s="155"/>
      <c r="B397" s="160"/>
    </row>
    <row r="398">
      <c r="A398" s="153"/>
      <c r="B398" s="161"/>
    </row>
    <row r="399">
      <c r="A399" s="155"/>
      <c r="B399" s="160"/>
    </row>
    <row r="400">
      <c r="A400" s="162"/>
      <c r="B400" s="161"/>
    </row>
    <row r="401">
      <c r="A401" s="150" t="str">
        <f t="array" ref="A401:A450">'Up Names'!I2:I51</f>
        <v>Flood</v>
      </c>
      <c r="B401" s="185" t="s">
        <v>1964</v>
      </c>
    </row>
    <row r="402">
      <c r="A402" s="153" t="s">
        <v>158</v>
      </c>
      <c r="B402" s="187" t="s">
        <v>1965</v>
      </c>
    </row>
    <row r="403">
      <c r="A403" s="155" t="s">
        <v>178</v>
      </c>
      <c r="B403" s="185" t="s">
        <v>1966</v>
      </c>
    </row>
    <row r="404">
      <c r="A404" s="153" t="s">
        <v>198</v>
      </c>
      <c r="B404" s="187" t="s">
        <v>1967</v>
      </c>
    </row>
    <row r="405">
      <c r="A405" s="155" t="s">
        <v>218</v>
      </c>
      <c r="B405" s="185" t="s">
        <v>1968</v>
      </c>
    </row>
    <row r="406">
      <c r="A406" s="153" t="s">
        <v>237</v>
      </c>
      <c r="B406" s="187" t="s">
        <v>1969</v>
      </c>
    </row>
    <row r="407">
      <c r="A407" s="155" t="s">
        <v>257</v>
      </c>
      <c r="B407" s="185" t="s">
        <v>1970</v>
      </c>
    </row>
    <row r="408">
      <c r="A408" s="153" t="s">
        <v>277</v>
      </c>
      <c r="B408" s="187" t="s">
        <v>1971</v>
      </c>
    </row>
    <row r="409">
      <c r="A409" s="155" t="s">
        <v>297</v>
      </c>
      <c r="B409" s="185" t="s">
        <v>1972</v>
      </c>
    </row>
    <row r="410">
      <c r="A410" s="153" t="s">
        <v>317</v>
      </c>
      <c r="B410" s="187" t="s">
        <v>1973</v>
      </c>
    </row>
    <row r="411">
      <c r="A411" s="155" t="s">
        <v>337</v>
      </c>
      <c r="B411" s="185" t="s">
        <v>1974</v>
      </c>
    </row>
    <row r="412">
      <c r="A412" s="153" t="s">
        <v>357</v>
      </c>
      <c r="B412" s="187" t="s">
        <v>1975</v>
      </c>
    </row>
    <row r="413">
      <c r="A413" s="155" t="s">
        <v>381</v>
      </c>
      <c r="B413" s="185" t="s">
        <v>1976</v>
      </c>
    </row>
    <row r="414">
      <c r="A414" s="153" t="s">
        <v>405</v>
      </c>
      <c r="B414" s="187" t="s">
        <v>1977</v>
      </c>
    </row>
    <row r="415">
      <c r="A415" s="155" t="s">
        <v>433</v>
      </c>
      <c r="B415" s="185" t="s">
        <v>1978</v>
      </c>
    </row>
    <row r="416">
      <c r="A416" s="153" t="s">
        <v>462</v>
      </c>
      <c r="B416" s="187" t="s">
        <v>1979</v>
      </c>
    </row>
    <row r="417">
      <c r="A417" s="155" t="s">
        <v>491</v>
      </c>
      <c r="B417" s="185" t="s">
        <v>1980</v>
      </c>
    </row>
    <row r="418">
      <c r="A418" s="153" t="s">
        <v>515</v>
      </c>
      <c r="B418" s="187" t="s">
        <v>1981</v>
      </c>
    </row>
    <row r="419">
      <c r="A419" s="155" t="s">
        <v>535</v>
      </c>
      <c r="B419" s="185" t="s">
        <v>1982</v>
      </c>
    </row>
    <row r="420">
      <c r="A420" s="153" t="s">
        <v>554</v>
      </c>
      <c r="B420" s="187" t="s">
        <v>1983</v>
      </c>
    </row>
    <row r="421">
      <c r="A421" s="155" t="s">
        <v>578</v>
      </c>
      <c r="B421" s="185" t="s">
        <v>1984</v>
      </c>
    </row>
    <row r="422">
      <c r="A422" s="153" t="s">
        <v>602</v>
      </c>
      <c r="B422" s="187" t="s">
        <v>1985</v>
      </c>
    </row>
    <row r="423">
      <c r="A423" s="155" t="s">
        <v>623</v>
      </c>
      <c r="B423" s="185" t="s">
        <v>1986</v>
      </c>
    </row>
    <row r="424">
      <c r="A424" s="153" t="s">
        <v>648</v>
      </c>
      <c r="B424" s="187" t="s">
        <v>1987</v>
      </c>
    </row>
    <row r="425">
      <c r="A425" s="155" t="s">
        <v>665</v>
      </c>
      <c r="B425" s="185" t="s">
        <v>1989</v>
      </c>
    </row>
    <row r="426">
      <c r="A426" s="153" t="s">
        <v>503</v>
      </c>
      <c r="B426" s="161"/>
    </row>
    <row r="427">
      <c r="A427" s="155" t="s">
        <v>511</v>
      </c>
      <c r="B427" s="160"/>
    </row>
    <row r="428">
      <c r="A428" s="153" t="s">
        <v>516</v>
      </c>
      <c r="B428" s="161"/>
    </row>
    <row r="429">
      <c r="A429" s="155"/>
      <c r="B429" s="160"/>
    </row>
    <row r="430">
      <c r="A430" s="153"/>
      <c r="B430" s="161"/>
    </row>
    <row r="431">
      <c r="A431" s="155"/>
      <c r="B431" s="160"/>
    </row>
    <row r="432">
      <c r="A432" s="153"/>
      <c r="B432" s="161"/>
    </row>
    <row r="433">
      <c r="A433" s="155"/>
      <c r="B433" s="160"/>
    </row>
    <row r="434">
      <c r="A434" s="153"/>
      <c r="B434" s="161"/>
    </row>
    <row r="435">
      <c r="A435" s="155"/>
      <c r="B435" s="160"/>
    </row>
    <row r="436">
      <c r="A436" s="153"/>
      <c r="B436" s="161"/>
    </row>
    <row r="437">
      <c r="A437" s="155"/>
      <c r="B437" s="160"/>
    </row>
    <row r="438">
      <c r="A438" s="153"/>
      <c r="B438" s="161"/>
    </row>
    <row r="439">
      <c r="A439" s="155"/>
      <c r="B439" s="160"/>
    </row>
    <row r="440">
      <c r="A440" s="153"/>
      <c r="B440" s="161"/>
    </row>
    <row r="441">
      <c r="A441" s="155"/>
      <c r="B441" s="160"/>
    </row>
    <row r="442">
      <c r="A442" s="153"/>
      <c r="B442" s="161"/>
    </row>
    <row r="443">
      <c r="A443" s="155"/>
      <c r="B443" s="160"/>
    </row>
    <row r="444">
      <c r="A444" s="153"/>
      <c r="B444" s="161"/>
    </row>
    <row r="445">
      <c r="A445" s="155"/>
      <c r="B445" s="160"/>
    </row>
    <row r="446">
      <c r="A446" s="153"/>
      <c r="B446" s="161"/>
    </row>
    <row r="447">
      <c r="A447" s="155"/>
      <c r="B447" s="160"/>
    </row>
    <row r="448">
      <c r="A448" s="153"/>
      <c r="B448" s="161"/>
    </row>
    <row r="449">
      <c r="A449" s="155"/>
      <c r="B449" s="160"/>
    </row>
    <row r="450">
      <c r="A450" s="162"/>
      <c r="B450" s="161"/>
    </row>
    <row r="451">
      <c r="A451" s="150" t="str">
        <f t="array" ref="A451:A500">'Up Names'!J2:J51</f>
        <v>Deflector</v>
      </c>
      <c r="B451" s="185" t="s">
        <v>1990</v>
      </c>
    </row>
    <row r="452">
      <c r="A452" s="153" t="s">
        <v>159</v>
      </c>
      <c r="B452" s="187" t="s">
        <v>1991</v>
      </c>
    </row>
    <row r="453">
      <c r="A453" s="155" t="s">
        <v>179</v>
      </c>
      <c r="B453" s="185" t="s">
        <v>1993</v>
      </c>
    </row>
    <row r="454">
      <c r="A454" s="153" t="s">
        <v>199</v>
      </c>
      <c r="B454" s="187" t="s">
        <v>1998</v>
      </c>
    </row>
    <row r="455">
      <c r="A455" s="155" t="s">
        <v>219</v>
      </c>
      <c r="B455" s="185" t="s">
        <v>1999</v>
      </c>
    </row>
    <row r="456">
      <c r="A456" s="153" t="s">
        <v>238</v>
      </c>
      <c r="B456" s="187" t="s">
        <v>2000</v>
      </c>
    </row>
    <row r="457">
      <c r="A457" s="155" t="s">
        <v>258</v>
      </c>
      <c r="B457" s="185" t="s">
        <v>2001</v>
      </c>
    </row>
    <row r="458">
      <c r="A458" s="153" t="s">
        <v>278</v>
      </c>
      <c r="B458" s="209" t="s">
        <v>2002</v>
      </c>
    </row>
    <row r="459">
      <c r="A459" s="155" t="s">
        <v>298</v>
      </c>
      <c r="B459" s="185" t="s">
        <v>2003</v>
      </c>
    </row>
    <row r="460">
      <c r="A460" s="153" t="s">
        <v>318</v>
      </c>
      <c r="B460" s="187" t="s">
        <v>2004</v>
      </c>
    </row>
    <row r="461">
      <c r="A461" s="155" t="s">
        <v>338</v>
      </c>
      <c r="B461" s="185" t="s">
        <v>2010</v>
      </c>
    </row>
    <row r="462">
      <c r="A462" s="153" t="s">
        <v>358</v>
      </c>
      <c r="B462" s="187" t="s">
        <v>2011</v>
      </c>
    </row>
    <row r="463">
      <c r="A463" s="155" t="s">
        <v>382</v>
      </c>
      <c r="B463" s="185" t="s">
        <v>2012</v>
      </c>
    </row>
    <row r="464">
      <c r="A464" s="153" t="s">
        <v>407</v>
      </c>
      <c r="B464" s="187" t="s">
        <v>2013</v>
      </c>
    </row>
    <row r="465">
      <c r="A465" s="155" t="s">
        <v>434</v>
      </c>
      <c r="B465" s="185" t="s">
        <v>2014</v>
      </c>
    </row>
    <row r="466">
      <c r="A466" s="153" t="s">
        <v>463</v>
      </c>
      <c r="B466" s="187" t="s">
        <v>2015</v>
      </c>
    </row>
    <row r="467">
      <c r="A467" s="155" t="s">
        <v>493</v>
      </c>
      <c r="B467" s="185" t="s">
        <v>2021</v>
      </c>
    </row>
    <row r="468">
      <c r="A468" s="153" t="s">
        <v>517</v>
      </c>
      <c r="B468" s="187" t="s">
        <v>2022</v>
      </c>
    </row>
    <row r="469">
      <c r="A469" s="155" t="s">
        <v>536</v>
      </c>
      <c r="B469" s="185" t="s">
        <v>2023</v>
      </c>
    </row>
    <row r="470">
      <c r="A470" s="153" t="s">
        <v>555</v>
      </c>
      <c r="B470" s="209" t="s">
        <v>2024</v>
      </c>
    </row>
    <row r="471">
      <c r="A471" s="155" t="s">
        <v>579</v>
      </c>
      <c r="B471" s="185" t="s">
        <v>2025</v>
      </c>
    </row>
    <row r="472">
      <c r="A472" s="153" t="s">
        <v>603</v>
      </c>
      <c r="B472" s="187" t="s">
        <v>2031</v>
      </c>
    </row>
    <row r="473">
      <c r="A473" s="155" t="s">
        <v>624</v>
      </c>
      <c r="B473" s="185" t="s">
        <v>2032</v>
      </c>
    </row>
    <row r="474">
      <c r="A474" s="153" t="s">
        <v>649</v>
      </c>
      <c r="B474" s="187" t="s">
        <v>2033</v>
      </c>
    </row>
    <row r="475">
      <c r="A475" s="155" t="s">
        <v>666</v>
      </c>
      <c r="B475" s="185" t="s">
        <v>2034</v>
      </c>
    </row>
    <row r="476">
      <c r="A476" s="153" t="s">
        <v>680</v>
      </c>
      <c r="B476" s="161"/>
    </row>
    <row r="477">
      <c r="A477" s="155" t="s">
        <v>694</v>
      </c>
      <c r="B477" s="160"/>
    </row>
    <row r="478">
      <c r="A478" s="153" t="s">
        <v>503</v>
      </c>
      <c r="B478" s="161"/>
    </row>
    <row r="479">
      <c r="A479" s="155" t="s">
        <v>511</v>
      </c>
      <c r="B479" s="160"/>
    </row>
    <row r="480">
      <c r="A480" s="153" t="s">
        <v>516</v>
      </c>
      <c r="B480" s="161"/>
    </row>
    <row r="481">
      <c r="A481" s="155"/>
      <c r="B481" s="160"/>
    </row>
    <row r="482">
      <c r="A482" s="153"/>
      <c r="B482" s="161"/>
    </row>
    <row r="483">
      <c r="A483" s="155"/>
      <c r="B483" s="160"/>
    </row>
    <row r="484">
      <c r="A484" s="153"/>
      <c r="B484" s="161"/>
    </row>
    <row r="485">
      <c r="A485" s="155"/>
      <c r="B485" s="160"/>
    </row>
    <row r="486">
      <c r="A486" s="153"/>
      <c r="B486" s="161"/>
    </row>
    <row r="487">
      <c r="A487" s="155"/>
      <c r="B487" s="160"/>
    </row>
    <row r="488">
      <c r="A488" s="153"/>
      <c r="B488" s="161"/>
    </row>
    <row r="489">
      <c r="A489" s="155"/>
      <c r="B489" s="160"/>
    </row>
    <row r="490">
      <c r="A490" s="153"/>
      <c r="B490" s="161"/>
    </row>
    <row r="491">
      <c r="A491" s="155"/>
      <c r="B491" s="160"/>
    </row>
    <row r="492">
      <c r="A492" s="153"/>
      <c r="B492" s="161"/>
    </row>
    <row r="493">
      <c r="A493" s="155"/>
      <c r="B493" s="160"/>
    </row>
    <row r="494">
      <c r="A494" s="153"/>
      <c r="B494" s="161"/>
    </row>
    <row r="495">
      <c r="A495" s="155"/>
      <c r="B495" s="160"/>
    </row>
    <row r="496">
      <c r="A496" s="153"/>
      <c r="B496" s="161"/>
    </row>
    <row r="497">
      <c r="A497" s="155"/>
      <c r="B497" s="160"/>
    </row>
    <row r="498">
      <c r="A498" s="153"/>
      <c r="B498" s="161"/>
    </row>
    <row r="499">
      <c r="A499" s="155"/>
      <c r="B499" s="160"/>
    </row>
    <row r="500">
      <c r="A500" s="162"/>
      <c r="B500" s="161"/>
    </row>
    <row r="501">
      <c r="A501" s="153" t="str">
        <f t="array" ref="A501:A550">'Up Names'!K2:K51</f>
        <v>Auger Subroutine</v>
      </c>
      <c r="B501" s="161"/>
    </row>
    <row r="502">
      <c r="A502" s="153" t="s">
        <v>160</v>
      </c>
      <c r="B502" s="161"/>
    </row>
    <row r="503">
      <c r="A503" s="153" t="s">
        <v>180</v>
      </c>
      <c r="B503" s="161"/>
    </row>
    <row r="504">
      <c r="A504" s="153" t="s">
        <v>200</v>
      </c>
      <c r="B504" s="161"/>
    </row>
    <row r="505">
      <c r="A505" s="153" t="s">
        <v>220</v>
      </c>
      <c r="B505" s="161"/>
    </row>
    <row r="506">
      <c r="A506" s="153" t="s">
        <v>239</v>
      </c>
      <c r="B506" s="161"/>
    </row>
    <row r="507">
      <c r="A507" s="153" t="s">
        <v>259</v>
      </c>
      <c r="B507" s="161"/>
    </row>
    <row r="508">
      <c r="A508" s="153" t="s">
        <v>279</v>
      </c>
      <c r="B508" s="161"/>
    </row>
    <row r="509">
      <c r="A509" s="153" t="s">
        <v>299</v>
      </c>
      <c r="B509" s="161"/>
    </row>
    <row r="510">
      <c r="A510" s="153" t="s">
        <v>319</v>
      </c>
      <c r="B510" s="161"/>
    </row>
    <row r="511">
      <c r="A511" s="153" t="s">
        <v>339</v>
      </c>
      <c r="B511" s="161"/>
    </row>
    <row r="512">
      <c r="A512" s="153" t="s">
        <v>359</v>
      </c>
      <c r="B512" s="161"/>
    </row>
    <row r="513">
      <c r="A513" s="153" t="s">
        <v>383</v>
      </c>
      <c r="B513" s="161"/>
    </row>
    <row r="514">
      <c r="A514" s="153" t="s">
        <v>408</v>
      </c>
      <c r="B514" s="161"/>
    </row>
    <row r="515">
      <c r="A515" s="153" t="s">
        <v>436</v>
      </c>
      <c r="B515" s="161"/>
    </row>
    <row r="516">
      <c r="A516" s="153" t="s">
        <v>465</v>
      </c>
      <c r="B516" s="161"/>
    </row>
    <row r="517">
      <c r="A517" s="153" t="s">
        <v>494</v>
      </c>
      <c r="B517" s="161"/>
    </row>
    <row r="518">
      <c r="A518" s="153" t="s">
        <v>518</v>
      </c>
      <c r="B518" s="161"/>
    </row>
    <row r="519">
      <c r="A519" s="153" t="s">
        <v>537</v>
      </c>
      <c r="B519" s="161"/>
    </row>
    <row r="520">
      <c r="A520" s="153" t="s">
        <v>557</v>
      </c>
      <c r="B520" s="161"/>
    </row>
    <row r="521">
      <c r="A521" s="153" t="s">
        <v>580</v>
      </c>
      <c r="B521" s="161"/>
    </row>
    <row r="522">
      <c r="A522" s="153" t="s">
        <v>604</v>
      </c>
      <c r="B522" s="161"/>
    </row>
    <row r="523">
      <c r="A523" s="153" t="s">
        <v>625</v>
      </c>
      <c r="B523" s="161"/>
    </row>
    <row r="524">
      <c r="A524" s="153" t="s">
        <v>651</v>
      </c>
      <c r="B524" s="161"/>
    </row>
    <row r="525">
      <c r="A525" s="153" t="s">
        <v>667</v>
      </c>
      <c r="B525" s="161"/>
    </row>
    <row r="526">
      <c r="A526" s="153" t="s">
        <v>681</v>
      </c>
      <c r="B526" s="161"/>
    </row>
    <row r="527">
      <c r="A527" s="153" t="s">
        <v>695</v>
      </c>
      <c r="B527" s="161"/>
    </row>
    <row r="528">
      <c r="A528" s="153" t="s">
        <v>714</v>
      </c>
      <c r="B528" s="161"/>
    </row>
    <row r="529">
      <c r="A529" s="153" t="s">
        <v>732</v>
      </c>
      <c r="B529" s="161"/>
    </row>
    <row r="530">
      <c r="A530" s="153" t="s">
        <v>750</v>
      </c>
      <c r="B530" s="161"/>
    </row>
    <row r="531">
      <c r="A531" s="153" t="s">
        <v>763</v>
      </c>
      <c r="B531" s="161"/>
    </row>
    <row r="532">
      <c r="A532" s="153" t="s">
        <v>503</v>
      </c>
      <c r="B532" s="161"/>
    </row>
    <row r="533">
      <c r="A533" s="153" t="s">
        <v>511</v>
      </c>
      <c r="B533" s="161"/>
    </row>
    <row r="534">
      <c r="A534" s="153" t="s">
        <v>516</v>
      </c>
      <c r="B534" s="161"/>
    </row>
    <row r="535">
      <c r="A535" s="153"/>
      <c r="B535" s="161"/>
    </row>
    <row r="536">
      <c r="A536" s="153"/>
      <c r="B536" s="161"/>
    </row>
    <row r="537">
      <c r="A537" s="153"/>
      <c r="B537" s="161"/>
    </row>
    <row r="538">
      <c r="A538" s="153"/>
      <c r="B538" s="161"/>
    </row>
    <row r="539">
      <c r="A539" s="153"/>
      <c r="B539" s="161"/>
    </row>
    <row r="540">
      <c r="A540" s="153"/>
      <c r="B540" s="161"/>
    </row>
    <row r="541">
      <c r="A541" s="153"/>
      <c r="B541" s="161"/>
    </row>
    <row r="542">
      <c r="A542" s="153"/>
      <c r="B542" s="161"/>
    </row>
    <row r="543">
      <c r="A543" s="153"/>
      <c r="B543" s="161"/>
    </row>
    <row r="544">
      <c r="A544" s="153"/>
      <c r="B544" s="161"/>
    </row>
    <row r="545">
      <c r="A545" s="153"/>
      <c r="B545" s="161"/>
    </row>
    <row r="546">
      <c r="A546" s="153"/>
      <c r="B546" s="161"/>
    </row>
    <row r="547">
      <c r="A547" s="153"/>
      <c r="B547" s="161"/>
    </row>
    <row r="548">
      <c r="A548" s="153"/>
      <c r="B548" s="161"/>
    </row>
    <row r="549">
      <c r="A549" s="153"/>
      <c r="B549" s="161"/>
    </row>
    <row r="550">
      <c r="A550" s="153"/>
      <c r="B550" s="161"/>
    </row>
    <row r="551">
      <c r="A551" s="198" t="s">
        <v>141</v>
      </c>
      <c r="B551" s="161"/>
    </row>
    <row r="552">
      <c r="A552" s="146" t="s">
        <v>161</v>
      </c>
      <c r="B552" s="161"/>
    </row>
    <row r="553">
      <c r="A553" s="144" t="s">
        <v>181</v>
      </c>
      <c r="B553" s="161"/>
    </row>
    <row r="554">
      <c r="A554" s="146" t="s">
        <v>201</v>
      </c>
      <c r="B554" s="161"/>
    </row>
    <row r="555">
      <c r="A555" s="144" t="s">
        <v>221</v>
      </c>
      <c r="B555" s="161"/>
    </row>
    <row r="556">
      <c r="A556" s="146" t="s">
        <v>240</v>
      </c>
      <c r="B556" s="161"/>
    </row>
    <row r="557">
      <c r="A557" s="144" t="s">
        <v>260</v>
      </c>
      <c r="B557" s="161"/>
    </row>
    <row r="558">
      <c r="A558" s="146" t="s">
        <v>280</v>
      </c>
      <c r="B558" s="161"/>
    </row>
    <row r="559">
      <c r="A559" s="144" t="s">
        <v>300</v>
      </c>
      <c r="B559" s="161"/>
    </row>
    <row r="560">
      <c r="A560" s="146" t="s">
        <v>320</v>
      </c>
      <c r="B560" s="161"/>
    </row>
    <row r="561">
      <c r="A561" s="144" t="s">
        <v>340</v>
      </c>
      <c r="B561" s="161"/>
    </row>
    <row r="562">
      <c r="A562" s="146" t="s">
        <v>360</v>
      </c>
      <c r="B562" s="161"/>
    </row>
    <row r="563">
      <c r="A563" s="144" t="s">
        <v>384</v>
      </c>
      <c r="B563" s="161"/>
    </row>
    <row r="564">
      <c r="A564" s="146" t="s">
        <v>409</v>
      </c>
      <c r="B564" s="161"/>
    </row>
    <row r="565">
      <c r="A565" s="144" t="s">
        <v>438</v>
      </c>
      <c r="B565" s="161"/>
    </row>
    <row r="566">
      <c r="A566" s="146" t="s">
        <v>466</v>
      </c>
      <c r="B566" s="161"/>
    </row>
    <row r="567">
      <c r="A567" s="144" t="s">
        <v>495</v>
      </c>
      <c r="B567" s="161"/>
    </row>
    <row r="568">
      <c r="A568" s="146" t="s">
        <v>519</v>
      </c>
      <c r="B568" s="161"/>
    </row>
    <row r="569">
      <c r="A569" s="144" t="s">
        <v>538</v>
      </c>
      <c r="B569" s="161"/>
    </row>
    <row r="570">
      <c r="A570" s="146" t="s">
        <v>558</v>
      </c>
      <c r="B570" s="161"/>
    </row>
    <row r="571">
      <c r="A571" s="144" t="s">
        <v>582</v>
      </c>
      <c r="B571" s="161"/>
    </row>
    <row r="572">
      <c r="A572" s="146" t="s">
        <v>606</v>
      </c>
      <c r="B572" s="161"/>
    </row>
    <row r="573">
      <c r="A573" s="144" t="s">
        <v>626</v>
      </c>
      <c r="B573" s="161"/>
    </row>
    <row r="574">
      <c r="A574" s="146" t="s">
        <v>652</v>
      </c>
      <c r="B574" s="161"/>
    </row>
    <row r="575">
      <c r="A575" s="144" t="s">
        <v>668</v>
      </c>
      <c r="B575" s="161"/>
    </row>
    <row r="576">
      <c r="A576" s="146" t="s">
        <v>682</v>
      </c>
      <c r="B576" s="161"/>
    </row>
    <row r="577">
      <c r="A577" s="144" t="s">
        <v>696</v>
      </c>
      <c r="B577" s="161"/>
    </row>
    <row r="578">
      <c r="A578" s="146" t="s">
        <v>715</v>
      </c>
      <c r="B578" s="161"/>
    </row>
    <row r="579">
      <c r="A579" s="144" t="s">
        <v>734</v>
      </c>
      <c r="B579" s="161"/>
    </row>
    <row r="580">
      <c r="A580" s="146" t="s">
        <v>751</v>
      </c>
      <c r="B580" s="161"/>
    </row>
    <row r="581">
      <c r="A581" s="144" t="s">
        <v>764</v>
      </c>
      <c r="B581" s="161"/>
    </row>
    <row r="582">
      <c r="A582" s="232"/>
      <c r="B582" s="161"/>
    </row>
    <row r="583">
      <c r="A583" s="153"/>
      <c r="B583" s="161"/>
    </row>
    <row r="584">
      <c r="A584" s="153"/>
      <c r="B584" s="161"/>
    </row>
    <row r="585">
      <c r="A585" s="153"/>
      <c r="B585" s="161"/>
    </row>
    <row r="586">
      <c r="A586" s="153"/>
      <c r="B586" s="161"/>
    </row>
    <row r="587">
      <c r="A587" s="153"/>
      <c r="B587" s="161"/>
    </row>
    <row r="588">
      <c r="A588" s="153"/>
      <c r="B588" s="161"/>
    </row>
    <row r="589">
      <c r="A589" s="153"/>
      <c r="B589" s="161"/>
    </row>
    <row r="590">
      <c r="A590" s="153"/>
      <c r="B590" s="161"/>
    </row>
    <row r="591">
      <c r="A591" s="153"/>
      <c r="B591" s="161"/>
    </row>
    <row r="592">
      <c r="A592" s="153"/>
      <c r="B592" s="161"/>
    </row>
    <row r="593">
      <c r="A593" s="153"/>
      <c r="B593" s="161"/>
    </row>
    <row r="594">
      <c r="A594" s="153"/>
      <c r="B594" s="161"/>
    </row>
    <row r="595">
      <c r="A595" s="153"/>
      <c r="B595" s="161"/>
    </row>
    <row r="596">
      <c r="A596" s="153"/>
      <c r="B596" s="161"/>
    </row>
    <row r="597">
      <c r="A597" s="153"/>
      <c r="B597" s="161"/>
    </row>
    <row r="598">
      <c r="A598" s="153"/>
      <c r="B598" s="161"/>
    </row>
    <row r="599">
      <c r="A599" s="153"/>
      <c r="B599" s="161"/>
    </row>
    <row r="600">
      <c r="A600" s="153"/>
      <c r="B600" s="161"/>
    </row>
    <row r="601">
      <c r="A601" s="150" t="str">
        <f t="array" ref="A601:A650">'Up Names'!M2:M51</f>
        <v>Cluster Bomb</v>
      </c>
      <c r="B601" s="185" t="s">
        <v>2035</v>
      </c>
    </row>
    <row r="602">
      <c r="A602" s="153" t="s">
        <v>162</v>
      </c>
      <c r="B602" s="187" t="s">
        <v>2036</v>
      </c>
    </row>
    <row r="603">
      <c r="A603" s="155" t="s">
        <v>182</v>
      </c>
      <c r="B603" s="185" t="s">
        <v>2037</v>
      </c>
    </row>
    <row r="604">
      <c r="A604" s="153" t="s">
        <v>202</v>
      </c>
      <c r="B604" s="187" t="s">
        <v>2038</v>
      </c>
    </row>
    <row r="605">
      <c r="A605" s="155" t="s">
        <v>222</v>
      </c>
      <c r="B605" s="250" t="s">
        <v>2039</v>
      </c>
    </row>
    <row r="606">
      <c r="A606" s="153" t="s">
        <v>241</v>
      </c>
      <c r="B606" s="187" t="s">
        <v>2040</v>
      </c>
    </row>
    <row r="607">
      <c r="A607" s="155" t="s">
        <v>261</v>
      </c>
      <c r="B607" s="185" t="s">
        <v>2041</v>
      </c>
    </row>
    <row r="608">
      <c r="A608" s="153" t="s">
        <v>281</v>
      </c>
      <c r="B608" s="187" t="s">
        <v>2042</v>
      </c>
    </row>
    <row r="609">
      <c r="A609" s="155" t="s">
        <v>301</v>
      </c>
      <c r="B609" s="185" t="s">
        <v>2043</v>
      </c>
    </row>
    <row r="610">
      <c r="A610" s="153" t="s">
        <v>321</v>
      </c>
      <c r="B610" s="187" t="s">
        <v>2044</v>
      </c>
    </row>
    <row r="611">
      <c r="A611" s="155" t="s">
        <v>341</v>
      </c>
      <c r="B611" s="185" t="s">
        <v>2045</v>
      </c>
    </row>
    <row r="612">
      <c r="A612" s="153" t="s">
        <v>361</v>
      </c>
      <c r="B612" s="187" t="s">
        <v>2046</v>
      </c>
    </row>
    <row r="613">
      <c r="A613" s="155" t="s">
        <v>385</v>
      </c>
      <c r="B613" s="185" t="s">
        <v>2047</v>
      </c>
    </row>
    <row r="614">
      <c r="A614" s="153" t="s">
        <v>412</v>
      </c>
      <c r="B614" s="187" t="s">
        <v>2048</v>
      </c>
    </row>
    <row r="615">
      <c r="A615" s="155" t="s">
        <v>440</v>
      </c>
      <c r="B615" s="185" t="s">
        <v>2049</v>
      </c>
    </row>
    <row r="616">
      <c r="A616" s="153" t="s">
        <v>467</v>
      </c>
      <c r="B616" s="187" t="s">
        <v>2050</v>
      </c>
    </row>
    <row r="617">
      <c r="A617" s="155" t="s">
        <v>497</v>
      </c>
      <c r="B617" s="185" t="s">
        <v>2051</v>
      </c>
    </row>
    <row r="618">
      <c r="A618" s="153" t="s">
        <v>520</v>
      </c>
      <c r="B618" s="187" t="s">
        <v>2052</v>
      </c>
    </row>
    <row r="619">
      <c r="A619" s="155" t="s">
        <v>539</v>
      </c>
      <c r="B619" s="185" t="s">
        <v>2053</v>
      </c>
    </row>
    <row r="620">
      <c r="A620" s="153" t="s">
        <v>559</v>
      </c>
      <c r="B620" s="187" t="s">
        <v>2054</v>
      </c>
    </row>
    <row r="621">
      <c r="A621" s="155" t="s">
        <v>583</v>
      </c>
      <c r="B621" s="160"/>
    </row>
    <row r="622">
      <c r="A622" s="153" t="s">
        <v>607</v>
      </c>
      <c r="B622" s="161"/>
    </row>
    <row r="623">
      <c r="A623" s="155" t="s">
        <v>627</v>
      </c>
      <c r="B623" s="160"/>
    </row>
    <row r="624">
      <c r="A624" s="153" t="s">
        <v>653</v>
      </c>
      <c r="B624" s="161"/>
    </row>
    <row r="625">
      <c r="A625" s="155" t="s">
        <v>503</v>
      </c>
      <c r="B625" s="160"/>
    </row>
    <row r="626">
      <c r="A626" s="153" t="s">
        <v>511</v>
      </c>
      <c r="B626" s="161"/>
    </row>
    <row r="627">
      <c r="A627" s="155" t="s">
        <v>516</v>
      </c>
      <c r="B627" s="160"/>
    </row>
    <row r="628">
      <c r="A628" s="153"/>
      <c r="B628" s="161"/>
    </row>
    <row r="629">
      <c r="A629" s="155"/>
      <c r="B629" s="160"/>
    </row>
    <row r="630">
      <c r="A630" s="153"/>
      <c r="B630" s="161"/>
    </row>
    <row r="631">
      <c r="A631" s="155"/>
      <c r="B631" s="160"/>
    </row>
    <row r="632">
      <c r="A632" s="153"/>
      <c r="B632" s="161"/>
    </row>
    <row r="633">
      <c r="A633" s="155"/>
      <c r="B633" s="160"/>
    </row>
    <row r="634">
      <c r="A634" s="153"/>
      <c r="B634" s="161"/>
    </row>
    <row r="635">
      <c r="A635" s="155"/>
      <c r="B635" s="160"/>
    </row>
    <row r="636">
      <c r="A636" s="153"/>
      <c r="B636" s="161"/>
    </row>
    <row r="637">
      <c r="A637" s="155"/>
      <c r="B637" s="160"/>
    </row>
    <row r="638">
      <c r="A638" s="153"/>
      <c r="B638" s="161"/>
    </row>
    <row r="639">
      <c r="A639" s="155"/>
      <c r="B639" s="160"/>
    </row>
    <row r="640">
      <c r="A640" s="153"/>
      <c r="B640" s="161"/>
    </row>
    <row r="641">
      <c r="A641" s="155"/>
      <c r="B641" s="160"/>
    </row>
    <row r="642">
      <c r="A642" s="153"/>
      <c r="B642" s="161"/>
    </row>
    <row r="643">
      <c r="A643" s="155"/>
      <c r="B643" s="160"/>
    </row>
    <row r="644">
      <c r="A644" s="153"/>
      <c r="B644" s="161"/>
    </row>
    <row r="645">
      <c r="A645" s="155"/>
      <c r="B645" s="160"/>
    </row>
    <row r="646">
      <c r="A646" s="153"/>
      <c r="B646" s="161"/>
    </row>
    <row r="647">
      <c r="A647" s="155"/>
      <c r="B647" s="160"/>
    </row>
    <row r="648">
      <c r="A648" s="153"/>
      <c r="B648" s="161"/>
    </row>
    <row r="649">
      <c r="A649" s="155"/>
      <c r="B649" s="160"/>
    </row>
    <row r="650">
      <c r="A650" s="162"/>
      <c r="B650" s="161"/>
    </row>
    <row r="651">
      <c r="A651" s="150" t="str">
        <f t="array" ref="A651:A700">'Up Names'!N2:N51</f>
        <v>Flash Storm</v>
      </c>
      <c r="B651" s="185" t="s">
        <v>2055</v>
      </c>
    </row>
    <row r="652">
      <c r="A652" s="153" t="s">
        <v>163</v>
      </c>
      <c r="B652" s="187" t="s">
        <v>2056</v>
      </c>
    </row>
    <row r="653">
      <c r="A653" s="155" t="s">
        <v>183</v>
      </c>
      <c r="B653" s="185" t="s">
        <v>2057</v>
      </c>
    </row>
    <row r="654">
      <c r="A654" s="153" t="s">
        <v>203</v>
      </c>
      <c r="B654" s="187" t="s">
        <v>2058</v>
      </c>
    </row>
    <row r="655">
      <c r="A655" s="155" t="s">
        <v>223</v>
      </c>
      <c r="B655" s="185" t="s">
        <v>2059</v>
      </c>
    </row>
    <row r="656">
      <c r="A656" s="153" t="s">
        <v>242</v>
      </c>
      <c r="B656" s="187" t="s">
        <v>2060</v>
      </c>
    </row>
    <row r="657">
      <c r="A657" s="155" t="s">
        <v>262</v>
      </c>
      <c r="B657" s="185" t="s">
        <v>2061</v>
      </c>
    </row>
    <row r="658">
      <c r="A658" s="153" t="s">
        <v>282</v>
      </c>
      <c r="B658" s="187" t="s">
        <v>2062</v>
      </c>
    </row>
    <row r="659">
      <c r="A659" s="155" t="s">
        <v>302</v>
      </c>
      <c r="B659" s="185" t="s">
        <v>2063</v>
      </c>
    </row>
    <row r="660">
      <c r="A660" s="153" t="s">
        <v>322</v>
      </c>
      <c r="B660" s="187" t="s">
        <v>2066</v>
      </c>
    </row>
    <row r="661">
      <c r="A661" s="155" t="s">
        <v>342</v>
      </c>
      <c r="B661" s="185" t="s">
        <v>2069</v>
      </c>
    </row>
    <row r="662">
      <c r="A662" s="153" t="s">
        <v>362</v>
      </c>
      <c r="B662" s="209" t="s">
        <v>2071</v>
      </c>
    </row>
    <row r="663">
      <c r="A663" s="155" t="s">
        <v>387</v>
      </c>
      <c r="B663" s="185" t="s">
        <v>2081</v>
      </c>
    </row>
    <row r="664">
      <c r="A664" s="153" t="s">
        <v>413</v>
      </c>
      <c r="B664" s="187" t="s">
        <v>2086</v>
      </c>
    </row>
    <row r="665">
      <c r="A665" s="155" t="s">
        <v>441</v>
      </c>
      <c r="B665" s="185" t="s">
        <v>2092</v>
      </c>
    </row>
    <row r="666">
      <c r="A666" s="153" t="s">
        <v>469</v>
      </c>
      <c r="B666" s="187" t="s">
        <v>2099</v>
      </c>
    </row>
    <row r="667">
      <c r="A667" s="155" t="s">
        <v>498</v>
      </c>
      <c r="B667" s="185" t="s">
        <v>2103</v>
      </c>
    </row>
    <row r="668">
      <c r="A668" s="153" t="s">
        <v>521</v>
      </c>
      <c r="B668" s="187" t="s">
        <v>2107</v>
      </c>
    </row>
    <row r="669">
      <c r="A669" s="155" t="s">
        <v>540</v>
      </c>
      <c r="B669" s="185" t="s">
        <v>2110</v>
      </c>
    </row>
    <row r="670">
      <c r="A670" s="153" t="s">
        <v>560</v>
      </c>
      <c r="B670" s="187" t="s">
        <v>2111</v>
      </c>
    </row>
    <row r="671">
      <c r="A671" s="155" t="s">
        <v>583</v>
      </c>
      <c r="B671" s="160"/>
    </row>
    <row r="672">
      <c r="A672" s="153" t="s">
        <v>607</v>
      </c>
      <c r="B672" s="161"/>
    </row>
    <row r="673">
      <c r="A673" s="155" t="s">
        <v>627</v>
      </c>
      <c r="B673" s="160"/>
    </row>
    <row r="674">
      <c r="A674" s="153" t="s">
        <v>653</v>
      </c>
      <c r="B674" s="161"/>
    </row>
    <row r="675">
      <c r="A675" s="155" t="s">
        <v>503</v>
      </c>
      <c r="B675" s="160"/>
    </row>
    <row r="676">
      <c r="A676" s="153" t="s">
        <v>511</v>
      </c>
      <c r="B676" s="161"/>
    </row>
    <row r="677">
      <c r="A677" s="155" t="s">
        <v>516</v>
      </c>
      <c r="B677" s="160"/>
    </row>
    <row r="678">
      <c r="A678" s="153"/>
      <c r="B678" s="161"/>
    </row>
    <row r="679">
      <c r="A679" s="155"/>
      <c r="B679" s="160"/>
    </row>
    <row r="680">
      <c r="A680" s="153"/>
      <c r="B680" s="161"/>
    </row>
    <row r="681">
      <c r="A681" s="155"/>
      <c r="B681" s="160"/>
    </row>
    <row r="682">
      <c r="A682" s="153"/>
      <c r="B682" s="161"/>
    </row>
    <row r="683">
      <c r="A683" s="155"/>
      <c r="B683" s="160"/>
    </row>
    <row r="684">
      <c r="A684" s="153"/>
      <c r="B684" s="161"/>
    </row>
    <row r="685">
      <c r="A685" s="155"/>
      <c r="B685" s="160"/>
    </row>
    <row r="686">
      <c r="A686" s="153"/>
      <c r="B686" s="161"/>
    </row>
    <row r="687">
      <c r="A687" s="155"/>
      <c r="B687" s="160"/>
    </row>
    <row r="688">
      <c r="A688" s="153"/>
      <c r="B688" s="161"/>
    </row>
    <row r="689">
      <c r="A689" s="155"/>
      <c r="B689" s="160"/>
    </row>
    <row r="690">
      <c r="A690" s="153"/>
      <c r="B690" s="161"/>
    </row>
    <row r="691">
      <c r="A691" s="155"/>
      <c r="B691" s="160"/>
    </row>
    <row r="692">
      <c r="A692" s="153"/>
      <c r="B692" s="161"/>
    </row>
    <row r="693">
      <c r="A693" s="155"/>
      <c r="B693" s="160"/>
    </row>
    <row r="694">
      <c r="A694" s="153"/>
      <c r="B694" s="161"/>
    </row>
    <row r="695">
      <c r="A695" s="155"/>
      <c r="B695" s="160"/>
    </row>
    <row r="696">
      <c r="A696" s="153"/>
      <c r="B696" s="161"/>
    </row>
    <row r="697">
      <c r="A697" s="155"/>
      <c r="B697" s="160"/>
    </row>
    <row r="698">
      <c r="A698" s="153"/>
      <c r="B698" s="161"/>
    </row>
    <row r="699">
      <c r="A699" s="155"/>
      <c r="B699" s="160"/>
    </row>
    <row r="700">
      <c r="A700" s="162"/>
      <c r="B700" s="161"/>
    </row>
    <row r="701">
      <c r="A701" s="150" t="str">
        <f t="array" ref="A701:A750">'Up Names'!O2:O51</f>
        <v>Connected Systems</v>
      </c>
      <c r="B701" s="185" t="s">
        <v>2114</v>
      </c>
    </row>
    <row r="702">
      <c r="A702" s="153" t="s">
        <v>164</v>
      </c>
      <c r="B702" s="187" t="s">
        <v>2115</v>
      </c>
    </row>
    <row r="703">
      <c r="A703" s="155" t="s">
        <v>184</v>
      </c>
      <c r="B703" s="185" t="s">
        <v>2118</v>
      </c>
    </row>
    <row r="704">
      <c r="A704" s="153" t="s">
        <v>204</v>
      </c>
      <c r="B704" s="187" t="s">
        <v>2119</v>
      </c>
    </row>
    <row r="705">
      <c r="A705" s="155" t="s">
        <v>224</v>
      </c>
      <c r="B705" s="185" t="s">
        <v>2122</v>
      </c>
    </row>
    <row r="706">
      <c r="A706" s="153" t="s">
        <v>243</v>
      </c>
      <c r="B706" s="187" t="s">
        <v>2123</v>
      </c>
    </row>
    <row r="707">
      <c r="A707" s="155" t="s">
        <v>263</v>
      </c>
      <c r="B707" s="185" t="s">
        <v>2125</v>
      </c>
    </row>
    <row r="708">
      <c r="A708" s="153" t="s">
        <v>283</v>
      </c>
      <c r="B708" s="187" t="s">
        <v>2126</v>
      </c>
    </row>
    <row r="709">
      <c r="A709" s="155" t="s">
        <v>303</v>
      </c>
      <c r="B709" s="185" t="s">
        <v>2127</v>
      </c>
    </row>
    <row r="710">
      <c r="A710" s="153" t="s">
        <v>323</v>
      </c>
      <c r="B710" s="187" t="s">
        <v>2130</v>
      </c>
    </row>
    <row r="711">
      <c r="A711" s="155" t="s">
        <v>343</v>
      </c>
      <c r="B711" s="185" t="s">
        <v>2132</v>
      </c>
    </row>
    <row r="712">
      <c r="A712" s="153" t="s">
        <v>363</v>
      </c>
      <c r="B712" s="187" t="s">
        <v>2134</v>
      </c>
    </row>
    <row r="713">
      <c r="A713" s="155" t="s">
        <v>388</v>
      </c>
      <c r="B713" s="185" t="s">
        <v>2135</v>
      </c>
    </row>
    <row r="714">
      <c r="A714" s="153" t="s">
        <v>414</v>
      </c>
      <c r="B714" s="187" t="s">
        <v>2136</v>
      </c>
    </row>
    <row r="715">
      <c r="A715" s="155" t="s">
        <v>442</v>
      </c>
      <c r="B715" s="185" t="s">
        <v>2137</v>
      </c>
    </row>
    <row r="716">
      <c r="A716" s="153" t="s">
        <v>470</v>
      </c>
      <c r="B716" s="187" t="s">
        <v>2138</v>
      </c>
    </row>
    <row r="717">
      <c r="A717" s="155" t="s">
        <v>500</v>
      </c>
      <c r="B717" s="185" t="s">
        <v>2139</v>
      </c>
    </row>
    <row r="718">
      <c r="A718" s="153" t="s">
        <v>522</v>
      </c>
      <c r="B718" s="187" t="s">
        <v>2140</v>
      </c>
    </row>
    <row r="719">
      <c r="A719" s="155" t="s">
        <v>541</v>
      </c>
      <c r="B719" s="185" t="s">
        <v>2148</v>
      </c>
    </row>
    <row r="720">
      <c r="A720" s="153" t="s">
        <v>561</v>
      </c>
      <c r="B720" s="187" t="s">
        <v>2152</v>
      </c>
    </row>
    <row r="721">
      <c r="A721" s="155" t="s">
        <v>583</v>
      </c>
      <c r="B721" s="160"/>
    </row>
    <row r="722">
      <c r="A722" s="153" t="s">
        <v>607</v>
      </c>
      <c r="B722" s="161"/>
    </row>
    <row r="723">
      <c r="A723" s="155" t="s">
        <v>627</v>
      </c>
      <c r="B723" s="160"/>
    </row>
    <row r="724">
      <c r="A724" s="153" t="s">
        <v>653</v>
      </c>
      <c r="B724" s="161"/>
    </row>
    <row r="725">
      <c r="A725" s="155" t="s">
        <v>503</v>
      </c>
      <c r="B725" s="160"/>
    </row>
    <row r="726">
      <c r="A726" s="153" t="s">
        <v>511</v>
      </c>
      <c r="B726" s="161"/>
    </row>
    <row r="727">
      <c r="A727" s="155" t="s">
        <v>516</v>
      </c>
      <c r="B727" s="160"/>
    </row>
    <row r="728">
      <c r="A728" s="153"/>
      <c r="B728" s="161"/>
    </row>
    <row r="729">
      <c r="A729" s="155"/>
      <c r="B729" s="160"/>
    </row>
    <row r="730">
      <c r="A730" s="153"/>
      <c r="B730" s="161"/>
    </row>
    <row r="731">
      <c r="A731" s="155"/>
      <c r="B731" s="160"/>
    </row>
    <row r="732">
      <c r="A732" s="153"/>
      <c r="B732" s="161"/>
    </row>
    <row r="733">
      <c r="A733" s="155"/>
      <c r="B733" s="160"/>
    </row>
    <row r="734">
      <c r="A734" s="153"/>
      <c r="B734" s="161"/>
    </row>
    <row r="735">
      <c r="A735" s="155"/>
      <c r="B735" s="160"/>
    </row>
    <row r="736">
      <c r="A736" s="153"/>
      <c r="B736" s="161"/>
    </row>
    <row r="737">
      <c r="A737" s="155"/>
      <c r="B737" s="160"/>
    </row>
    <row r="738">
      <c r="A738" s="153"/>
      <c r="B738" s="161"/>
    </row>
    <row r="739">
      <c r="A739" s="155"/>
      <c r="B739" s="160"/>
    </row>
    <row r="740">
      <c r="A740" s="153"/>
      <c r="B740" s="161"/>
    </row>
    <row r="741">
      <c r="A741" s="155"/>
      <c r="B741" s="160"/>
    </row>
    <row r="742">
      <c r="A742" s="153"/>
      <c r="B742" s="161"/>
    </row>
    <row r="743">
      <c r="A743" s="155"/>
      <c r="B743" s="160"/>
    </row>
    <row r="744">
      <c r="A744" s="153"/>
      <c r="B744" s="161"/>
    </row>
    <row r="745">
      <c r="A745" s="155"/>
      <c r="B745" s="160"/>
    </row>
    <row r="746">
      <c r="A746" s="153"/>
      <c r="B746" s="161"/>
    </row>
    <row r="747">
      <c r="A747" s="155"/>
      <c r="B747" s="160"/>
    </row>
    <row r="748">
      <c r="A748" s="153"/>
      <c r="B748" s="161"/>
    </row>
    <row r="749">
      <c r="A749" s="155"/>
      <c r="B749" s="160"/>
    </row>
    <row r="750">
      <c r="A750" s="162"/>
      <c r="B750" s="161"/>
    </row>
    <row r="751">
      <c r="A751" s="150" t="str">
        <f t="array" ref="A751:A800">'Up Names'!P2:P51</f>
        <v>Magboots</v>
      </c>
      <c r="B751" s="185" t="s">
        <v>2155</v>
      </c>
    </row>
    <row r="752">
      <c r="A752" s="153" t="s">
        <v>165</v>
      </c>
      <c r="B752" s="187" t="s">
        <v>2156</v>
      </c>
    </row>
    <row r="753">
      <c r="A753" s="155" t="s">
        <v>185</v>
      </c>
      <c r="B753" s="185" t="s">
        <v>2157</v>
      </c>
    </row>
    <row r="754">
      <c r="A754" s="153" t="s">
        <v>205</v>
      </c>
      <c r="B754" s="187" t="s">
        <v>2158</v>
      </c>
    </row>
    <row r="755">
      <c r="A755" s="155" t="s">
        <v>39</v>
      </c>
      <c r="B755" s="185" t="s">
        <v>2159</v>
      </c>
    </row>
    <row r="756">
      <c r="A756" s="153" t="s">
        <v>244</v>
      </c>
      <c r="B756" s="187" t="s">
        <v>2160</v>
      </c>
    </row>
    <row r="757">
      <c r="A757" s="155" t="s">
        <v>264</v>
      </c>
      <c r="B757" s="185" t="s">
        <v>2161</v>
      </c>
    </row>
    <row r="758">
      <c r="A758" s="153" t="s">
        <v>284</v>
      </c>
      <c r="B758" s="187" t="s">
        <v>2162</v>
      </c>
    </row>
    <row r="759">
      <c r="A759" s="155" t="s">
        <v>304</v>
      </c>
      <c r="B759" s="185" t="s">
        <v>2170</v>
      </c>
    </row>
    <row r="760">
      <c r="A760" s="153" t="s">
        <v>324</v>
      </c>
      <c r="B760" s="187" t="s">
        <v>2173</v>
      </c>
    </row>
    <row r="761">
      <c r="A761" s="155" t="s">
        <v>344</v>
      </c>
      <c r="B761" s="185" t="s">
        <v>2175</v>
      </c>
    </row>
    <row r="762">
      <c r="A762" s="153" t="s">
        <v>364</v>
      </c>
      <c r="B762" s="187" t="s">
        <v>2178</v>
      </c>
    </row>
    <row r="763">
      <c r="A763" s="155" t="s">
        <v>389</v>
      </c>
      <c r="B763" s="185" t="s">
        <v>2182</v>
      </c>
    </row>
    <row r="764">
      <c r="A764" s="153" t="s">
        <v>417</v>
      </c>
      <c r="B764" s="187" t="s">
        <v>2185</v>
      </c>
    </row>
    <row r="765">
      <c r="A765" s="155" t="s">
        <v>444</v>
      </c>
      <c r="B765" s="185" t="s">
        <v>2186</v>
      </c>
    </row>
    <row r="766">
      <c r="A766" s="153" t="s">
        <v>471</v>
      </c>
      <c r="B766" s="187" t="s">
        <v>2187</v>
      </c>
    </row>
    <row r="767">
      <c r="A767" s="155" t="s">
        <v>501</v>
      </c>
      <c r="B767" s="185" t="s">
        <v>2188</v>
      </c>
    </row>
    <row r="768">
      <c r="A768" s="153" t="s">
        <v>523</v>
      </c>
      <c r="B768" s="187" t="s">
        <v>2189</v>
      </c>
    </row>
    <row r="769">
      <c r="A769" s="155" t="s">
        <v>542</v>
      </c>
      <c r="B769" s="185" t="s">
        <v>2190</v>
      </c>
    </row>
    <row r="770">
      <c r="A770" s="153" t="s">
        <v>562</v>
      </c>
      <c r="B770" s="187" t="s">
        <v>2191</v>
      </c>
    </row>
    <row r="771">
      <c r="A771" s="155" t="s">
        <v>585</v>
      </c>
      <c r="B771" s="185" t="s">
        <v>2192</v>
      </c>
    </row>
    <row r="772">
      <c r="A772" s="153" t="s">
        <v>608</v>
      </c>
      <c r="B772" s="187" t="s">
        <v>2193</v>
      </c>
    </row>
    <row r="773">
      <c r="A773" s="155" t="s">
        <v>629</v>
      </c>
      <c r="B773" s="185" t="s">
        <v>2196</v>
      </c>
    </row>
    <row r="774">
      <c r="A774" s="153" t="s">
        <v>654</v>
      </c>
      <c r="B774" s="187" t="s">
        <v>2198</v>
      </c>
    </row>
    <row r="775">
      <c r="A775" s="155" t="s">
        <v>669</v>
      </c>
      <c r="B775" s="185" t="s">
        <v>2200</v>
      </c>
    </row>
    <row r="776">
      <c r="A776" s="153" t="s">
        <v>683</v>
      </c>
      <c r="B776" s="187" t="s">
        <v>2201</v>
      </c>
    </row>
    <row r="777">
      <c r="A777" s="155" t="s">
        <v>698</v>
      </c>
      <c r="B777" s="185" t="s">
        <v>2204</v>
      </c>
    </row>
    <row r="778">
      <c r="A778" s="153" t="s">
        <v>717</v>
      </c>
      <c r="B778" s="187" t="s">
        <v>2208</v>
      </c>
    </row>
    <row r="779">
      <c r="A779" s="155" t="s">
        <v>735</v>
      </c>
      <c r="B779" s="185" t="s">
        <v>2209</v>
      </c>
    </row>
    <row r="780">
      <c r="A780" s="153" t="s">
        <v>753</v>
      </c>
      <c r="B780" s="187" t="s">
        <v>2210</v>
      </c>
    </row>
    <row r="781">
      <c r="A781" s="155" t="s">
        <v>765</v>
      </c>
      <c r="B781" s="160"/>
    </row>
    <row r="782">
      <c r="A782" s="153" t="s">
        <v>774</v>
      </c>
      <c r="B782" s="161"/>
    </row>
    <row r="783">
      <c r="A783" s="155" t="s">
        <v>780</v>
      </c>
      <c r="B783" s="160"/>
    </row>
    <row r="784">
      <c r="A784" s="153" t="s">
        <v>785</v>
      </c>
      <c r="B784" s="161"/>
    </row>
    <row r="785">
      <c r="A785" s="155" t="s">
        <v>790</v>
      </c>
      <c r="B785" s="160"/>
    </row>
    <row r="786">
      <c r="A786" s="153" t="s">
        <v>503</v>
      </c>
      <c r="B786" s="161"/>
    </row>
    <row r="787">
      <c r="A787" s="155" t="s">
        <v>511</v>
      </c>
      <c r="B787" s="160"/>
    </row>
    <row r="788">
      <c r="A788" s="153" t="s">
        <v>516</v>
      </c>
      <c r="B788" s="161"/>
    </row>
    <row r="789">
      <c r="A789" s="155"/>
      <c r="B789" s="160"/>
    </row>
    <row r="790">
      <c r="A790" s="153"/>
      <c r="B790" s="161"/>
    </row>
    <row r="791">
      <c r="A791" s="155"/>
      <c r="B791" s="160"/>
    </row>
    <row r="792">
      <c r="A792" s="153"/>
      <c r="B792" s="161"/>
    </row>
    <row r="793">
      <c r="A793" s="155"/>
      <c r="B793" s="160"/>
    </row>
    <row r="794">
      <c r="A794" s="153"/>
      <c r="B794" s="161"/>
    </row>
    <row r="795">
      <c r="A795" s="155"/>
      <c r="B795" s="160"/>
    </row>
    <row r="796">
      <c r="A796" s="153"/>
      <c r="B796" s="161"/>
    </row>
    <row r="797">
      <c r="A797" s="155"/>
      <c r="B797" s="160"/>
    </row>
    <row r="798">
      <c r="A798" s="153"/>
      <c r="B798" s="161"/>
    </row>
    <row r="799">
      <c r="A799" s="155"/>
      <c r="B799" s="160"/>
    </row>
    <row r="800">
      <c r="A800" s="162"/>
      <c r="B800" s="161"/>
    </row>
    <row r="801">
      <c r="A801" s="150" t="str">
        <f t="array" ref="A801:A850">'Up Names'!Q2:Q51</f>
        <v>Switcheroo</v>
      </c>
    </row>
    <row r="802">
      <c r="A802" s="153" t="s">
        <v>166</v>
      </c>
      <c r="B802" s="185" t="s">
        <v>2211</v>
      </c>
    </row>
    <row r="803">
      <c r="A803" s="155" t="s">
        <v>186</v>
      </c>
      <c r="B803" s="187" t="s">
        <v>2215</v>
      </c>
    </row>
    <row r="804">
      <c r="A804" s="153" t="s">
        <v>206</v>
      </c>
      <c r="B804" s="185" t="s">
        <v>2216</v>
      </c>
    </row>
    <row r="805">
      <c r="A805" s="155" t="s">
        <v>225</v>
      </c>
      <c r="B805" s="187" t="s">
        <v>2218</v>
      </c>
    </row>
    <row r="806">
      <c r="A806" s="153" t="s">
        <v>245</v>
      </c>
      <c r="B806" s="185" t="s">
        <v>2220</v>
      </c>
    </row>
    <row r="807">
      <c r="A807" s="155" t="s">
        <v>265</v>
      </c>
      <c r="B807" s="187" t="s">
        <v>2222</v>
      </c>
    </row>
    <row r="808">
      <c r="A808" s="153" t="s">
        <v>285</v>
      </c>
      <c r="B808" s="185" t="s">
        <v>2224</v>
      </c>
    </row>
    <row r="809">
      <c r="A809" s="155" t="s">
        <v>305</v>
      </c>
      <c r="B809" s="187" t="s">
        <v>2229</v>
      </c>
    </row>
    <row r="810">
      <c r="A810" s="153" t="s">
        <v>325</v>
      </c>
      <c r="B810" s="185" t="s">
        <v>2230</v>
      </c>
    </row>
    <row r="811">
      <c r="A811" s="155" t="s">
        <v>345</v>
      </c>
      <c r="B811" s="187" t="s">
        <v>2232</v>
      </c>
    </row>
    <row r="812">
      <c r="A812" s="153" t="s">
        <v>365</v>
      </c>
      <c r="B812" s="185" t="s">
        <v>2233</v>
      </c>
    </row>
    <row r="813">
      <c r="A813" s="155" t="s">
        <v>390</v>
      </c>
      <c r="B813" s="187" t="s">
        <v>2234</v>
      </c>
    </row>
    <row r="814">
      <c r="A814" s="153" t="s">
        <v>418</v>
      </c>
      <c r="B814" s="185" t="s">
        <v>2235</v>
      </c>
    </row>
    <row r="815">
      <c r="A815" s="155" t="s">
        <v>445</v>
      </c>
      <c r="B815" s="187" t="s">
        <v>2236</v>
      </c>
    </row>
    <row r="816">
      <c r="A816" s="153" t="s">
        <v>473</v>
      </c>
      <c r="B816" s="185" t="s">
        <v>2237</v>
      </c>
    </row>
    <row r="817">
      <c r="A817" s="155" t="s">
        <v>502</v>
      </c>
      <c r="B817" s="187" t="s">
        <v>2239</v>
      </c>
    </row>
    <row r="818">
      <c r="A818" s="153" t="s">
        <v>524</v>
      </c>
      <c r="B818" s="185" t="s">
        <v>2243</v>
      </c>
    </row>
    <row r="819">
      <c r="A819" s="155" t="s">
        <v>543</v>
      </c>
      <c r="B819" s="187" t="s">
        <v>2245</v>
      </c>
    </row>
    <row r="820">
      <c r="A820" s="153" t="s">
        <v>564</v>
      </c>
      <c r="B820" s="185" t="s">
        <v>2248</v>
      </c>
    </row>
    <row r="821">
      <c r="A821" s="155" t="s">
        <v>586</v>
      </c>
      <c r="B821" s="187" t="s">
        <v>2249</v>
      </c>
    </row>
    <row r="822">
      <c r="A822" s="153" t="s">
        <v>609</v>
      </c>
      <c r="B822" s="185" t="s">
        <v>2251</v>
      </c>
    </row>
    <row r="823">
      <c r="A823" s="155" t="s">
        <v>631</v>
      </c>
      <c r="B823" s="187" t="s">
        <v>2252</v>
      </c>
    </row>
    <row r="824">
      <c r="A824" s="153" t="s">
        <v>655</v>
      </c>
      <c r="B824" s="185" t="s">
        <v>2253</v>
      </c>
    </row>
    <row r="825">
      <c r="A825" s="155" t="s">
        <v>670</v>
      </c>
      <c r="B825" s="187" t="s">
        <v>2254</v>
      </c>
    </row>
    <row r="826">
      <c r="A826" s="153" t="s">
        <v>684</v>
      </c>
      <c r="B826" s="185" t="s">
        <v>2255</v>
      </c>
    </row>
    <row r="827">
      <c r="A827" s="155" t="s">
        <v>699</v>
      </c>
      <c r="B827" s="187" t="s">
        <v>2256</v>
      </c>
    </row>
    <row r="828">
      <c r="A828" s="153" t="s">
        <v>719</v>
      </c>
      <c r="B828" s="185" t="s">
        <v>2257</v>
      </c>
    </row>
    <row r="829">
      <c r="A829" s="155" t="s">
        <v>737</v>
      </c>
      <c r="B829" s="187" t="s">
        <v>2258</v>
      </c>
    </row>
    <row r="830">
      <c r="A830" s="153" t="s">
        <v>754</v>
      </c>
      <c r="B830" s="185" t="s">
        <v>2259</v>
      </c>
    </row>
    <row r="831">
      <c r="A831" s="155" t="s">
        <v>766</v>
      </c>
      <c r="B831" s="187" t="s">
        <v>2260</v>
      </c>
    </row>
    <row r="832">
      <c r="A832" s="153" t="s">
        <v>775</v>
      </c>
      <c r="B832" s="185" t="s">
        <v>2263</v>
      </c>
    </row>
    <row r="833">
      <c r="A833" s="155" t="s">
        <v>781</v>
      </c>
      <c r="B833" s="187" t="s">
        <v>2265</v>
      </c>
    </row>
    <row r="834">
      <c r="A834" s="153" t="s">
        <v>786</v>
      </c>
      <c r="B834" s="185" t="s">
        <v>2268</v>
      </c>
    </row>
    <row r="835">
      <c r="A835" s="155" t="s">
        <v>791</v>
      </c>
      <c r="B835" s="161"/>
    </row>
    <row r="836">
      <c r="A836" s="153" t="s">
        <v>797</v>
      </c>
      <c r="B836" s="161"/>
    </row>
    <row r="837">
      <c r="A837" s="155"/>
      <c r="B837" s="160"/>
    </row>
    <row r="838">
      <c r="A838" s="153"/>
      <c r="B838" s="161"/>
    </row>
    <row r="839">
      <c r="A839" s="155"/>
      <c r="B839" s="160"/>
    </row>
    <row r="840">
      <c r="A840" s="153"/>
      <c r="B840" s="161"/>
    </row>
    <row r="841">
      <c r="A841" s="155"/>
      <c r="B841" s="160"/>
    </row>
    <row r="842">
      <c r="A842" s="153"/>
      <c r="B842" s="161"/>
    </row>
    <row r="843">
      <c r="A843" s="155"/>
      <c r="B843" s="160"/>
    </row>
    <row r="844">
      <c r="A844" s="153"/>
      <c r="B844" s="161"/>
    </row>
    <row r="845">
      <c r="A845" s="155"/>
      <c r="B845" s="160"/>
    </row>
    <row r="846">
      <c r="A846" s="153"/>
      <c r="B846" s="161"/>
    </row>
    <row r="847">
      <c r="A847" s="155"/>
      <c r="B847" s="160"/>
    </row>
    <row r="848">
      <c r="A848" s="153"/>
      <c r="B848" s="161"/>
    </row>
    <row r="849">
      <c r="A849" s="155"/>
      <c r="B849" s="160"/>
    </row>
    <row r="850">
      <c r="A850" s="162"/>
      <c r="B850" s="161"/>
    </row>
    <row r="851">
      <c r="A851" s="150" t="str">
        <f t="array" ref="A851:A900">'Up Names'!R2:R51</f>
        <v>Modular Construction</v>
      </c>
      <c r="B851" s="185" t="s">
        <v>2269</v>
      </c>
    </row>
    <row r="852">
      <c r="A852" s="153" t="s">
        <v>167</v>
      </c>
      <c r="B852" s="187" t="s">
        <v>2270</v>
      </c>
    </row>
    <row r="853">
      <c r="A853" s="155" t="s">
        <v>187</v>
      </c>
      <c r="B853" s="185" t="s">
        <v>2271</v>
      </c>
    </row>
    <row r="854">
      <c r="A854" s="153" t="s">
        <v>207</v>
      </c>
      <c r="B854" s="187" t="s">
        <v>2272</v>
      </c>
    </row>
    <row r="855">
      <c r="A855" s="155" t="s">
        <v>226</v>
      </c>
      <c r="B855" s="185" t="s">
        <v>2273</v>
      </c>
    </row>
    <row r="856">
      <c r="A856" s="153" t="s">
        <v>246</v>
      </c>
      <c r="B856" s="187" t="s">
        <v>2275</v>
      </c>
    </row>
    <row r="857">
      <c r="A857" s="155" t="s">
        <v>266</v>
      </c>
      <c r="B857" s="185" t="s">
        <v>2276</v>
      </c>
    </row>
    <row r="858">
      <c r="A858" s="153" t="s">
        <v>286</v>
      </c>
      <c r="B858" s="187" t="s">
        <v>2279</v>
      </c>
    </row>
    <row r="859">
      <c r="A859" s="155" t="s">
        <v>306</v>
      </c>
      <c r="B859" s="185" t="s">
        <v>2281</v>
      </c>
    </row>
    <row r="860">
      <c r="A860" s="153" t="s">
        <v>326</v>
      </c>
      <c r="B860" s="187" t="s">
        <v>2283</v>
      </c>
    </row>
    <row r="861">
      <c r="A861" s="155" t="s">
        <v>346</v>
      </c>
      <c r="B861" s="185" t="s">
        <v>2284</v>
      </c>
    </row>
    <row r="862">
      <c r="A862" s="153" t="s">
        <v>366</v>
      </c>
      <c r="B862" s="187" t="s">
        <v>2285</v>
      </c>
    </row>
    <row r="863">
      <c r="A863" s="155" t="s">
        <v>391</v>
      </c>
      <c r="B863" s="185" t="s">
        <v>2286</v>
      </c>
    </row>
    <row r="864">
      <c r="A864" s="153" t="s">
        <v>419</v>
      </c>
      <c r="B864" s="187" t="s">
        <v>2287</v>
      </c>
    </row>
    <row r="865">
      <c r="A865" s="155" t="s">
        <v>446</v>
      </c>
      <c r="B865" s="185" t="s">
        <v>2288</v>
      </c>
    </row>
    <row r="866">
      <c r="A866" s="153" t="s">
        <v>475</v>
      </c>
      <c r="B866" s="187" t="s">
        <v>2289</v>
      </c>
    </row>
    <row r="867">
      <c r="A867" s="155" t="s">
        <v>504</v>
      </c>
      <c r="B867" s="185" t="s">
        <v>2290</v>
      </c>
    </row>
    <row r="868">
      <c r="A868" s="153" t="s">
        <v>525</v>
      </c>
      <c r="B868" s="187" t="s">
        <v>2291</v>
      </c>
    </row>
    <row r="869">
      <c r="A869" s="155" t="s">
        <v>544</v>
      </c>
      <c r="B869" s="185" t="s">
        <v>2292</v>
      </c>
    </row>
    <row r="870">
      <c r="A870" s="153" t="s">
        <v>565</v>
      </c>
      <c r="B870" s="187" t="s">
        <v>2293</v>
      </c>
    </row>
    <row r="871">
      <c r="A871" s="155" t="s">
        <v>588</v>
      </c>
      <c r="B871" s="185" t="s">
        <v>2294</v>
      </c>
    </row>
    <row r="872">
      <c r="A872" s="153" t="s">
        <v>610</v>
      </c>
      <c r="B872" s="187" t="s">
        <v>2295</v>
      </c>
    </row>
    <row r="873">
      <c r="A873" s="155" t="s">
        <v>633</v>
      </c>
      <c r="B873" s="185" t="s">
        <v>2296</v>
      </c>
    </row>
    <row r="874">
      <c r="A874" s="153" t="s">
        <v>656</v>
      </c>
      <c r="B874" s="187" t="s">
        <v>2297</v>
      </c>
    </row>
    <row r="875">
      <c r="A875" s="155" t="s">
        <v>671</v>
      </c>
      <c r="B875" s="185" t="s">
        <v>2299</v>
      </c>
    </row>
    <row r="876">
      <c r="A876" s="153" t="s">
        <v>685</v>
      </c>
      <c r="B876" s="187" t="s">
        <v>2301</v>
      </c>
    </row>
    <row r="877">
      <c r="A877" s="155" t="s">
        <v>701</v>
      </c>
      <c r="B877" s="185" t="s">
        <v>2302</v>
      </c>
    </row>
    <row r="878">
      <c r="A878" s="153" t="s">
        <v>720</v>
      </c>
      <c r="B878" s="187" t="s">
        <v>2304</v>
      </c>
    </row>
    <row r="879">
      <c r="A879" s="155" t="s">
        <v>738</v>
      </c>
      <c r="B879" s="185" t="s">
        <v>2306</v>
      </c>
    </row>
    <row r="880">
      <c r="A880" s="153" t="s">
        <v>755</v>
      </c>
      <c r="B880" s="187" t="s">
        <v>2307</v>
      </c>
    </row>
    <row r="881">
      <c r="A881" s="155" t="s">
        <v>768</v>
      </c>
      <c r="B881" s="185" t="s">
        <v>2308</v>
      </c>
    </row>
    <row r="882">
      <c r="A882" s="153" t="s">
        <v>776</v>
      </c>
      <c r="B882" s="187" t="s">
        <v>2310</v>
      </c>
    </row>
    <row r="883">
      <c r="A883" s="155" t="s">
        <v>782</v>
      </c>
      <c r="B883" s="185" t="s">
        <v>2312</v>
      </c>
    </row>
    <row r="884">
      <c r="A884" s="153" t="s">
        <v>787</v>
      </c>
      <c r="B884" s="161"/>
    </row>
    <row r="885">
      <c r="A885" s="155" t="s">
        <v>792</v>
      </c>
      <c r="B885" s="160"/>
    </row>
    <row r="886">
      <c r="A886" s="153"/>
      <c r="B886" s="161"/>
    </row>
    <row r="887">
      <c r="A887" s="155"/>
      <c r="B887" s="160"/>
    </row>
    <row r="888">
      <c r="A888" s="153"/>
      <c r="B888" s="161"/>
    </row>
    <row r="889">
      <c r="A889" s="155"/>
      <c r="B889" s="160"/>
    </row>
    <row r="890">
      <c r="A890" s="153"/>
      <c r="B890" s="161"/>
    </row>
    <row r="891">
      <c r="A891" s="155"/>
      <c r="B891" s="160"/>
    </row>
    <row r="892">
      <c r="A892" s="153"/>
      <c r="B892" s="161"/>
    </row>
    <row r="893">
      <c r="A893" s="155"/>
      <c r="B893" s="160"/>
    </row>
    <row r="894">
      <c r="A894" s="153"/>
      <c r="B894" s="161"/>
    </row>
    <row r="895">
      <c r="A895" s="155"/>
      <c r="B895" s="160"/>
    </row>
    <row r="896">
      <c r="A896" s="153"/>
      <c r="B896" s="161"/>
    </row>
    <row r="897">
      <c r="A897" s="155"/>
      <c r="B897" s="160"/>
    </row>
    <row r="898">
      <c r="A898" s="153"/>
      <c r="B898" s="161"/>
    </row>
    <row r="899">
      <c r="A899" s="155"/>
      <c r="B899" s="160"/>
    </row>
    <row r="900">
      <c r="A900" s="162"/>
      <c r="B900" s="161"/>
    </row>
    <row r="901">
      <c r="A901" s="150" t="str">
        <f t="array" ref="A901:A950">'Up Names'!S2:S51</f>
        <v>Upside Down</v>
      </c>
      <c r="B901" s="185" t="s">
        <v>2314</v>
      </c>
    </row>
    <row r="902">
      <c r="A902" s="153" t="s">
        <v>168</v>
      </c>
      <c r="B902" s="187" t="s">
        <v>2315</v>
      </c>
    </row>
    <row r="903">
      <c r="A903" s="155" t="s">
        <v>188</v>
      </c>
      <c r="B903" s="185" t="s">
        <v>2316</v>
      </c>
    </row>
    <row r="904">
      <c r="A904" s="153" t="s">
        <v>208</v>
      </c>
      <c r="B904" s="187" t="s">
        <v>2317</v>
      </c>
    </row>
    <row r="905">
      <c r="A905" s="155" t="s">
        <v>227</v>
      </c>
      <c r="B905" s="185" t="s">
        <v>2319</v>
      </c>
    </row>
    <row r="906">
      <c r="A906" s="153" t="s">
        <v>247</v>
      </c>
      <c r="B906" s="187" t="s">
        <v>2320</v>
      </c>
    </row>
    <row r="907">
      <c r="A907" s="155" t="s">
        <v>267</v>
      </c>
      <c r="B907" s="185" t="s">
        <v>2321</v>
      </c>
    </row>
    <row r="908">
      <c r="A908" s="153" t="s">
        <v>287</v>
      </c>
      <c r="B908" s="187" t="s">
        <v>2323</v>
      </c>
    </row>
    <row r="909">
      <c r="A909" s="155" t="s">
        <v>307</v>
      </c>
      <c r="B909" s="185" t="s">
        <v>2324</v>
      </c>
    </row>
    <row r="910">
      <c r="A910" s="153" t="s">
        <v>327</v>
      </c>
      <c r="B910" s="187" t="s">
        <v>2325</v>
      </c>
    </row>
    <row r="911">
      <c r="A911" s="155" t="s">
        <v>347</v>
      </c>
      <c r="B911" s="185" t="s">
        <v>2327</v>
      </c>
    </row>
    <row r="912">
      <c r="A912" s="153" t="s">
        <v>367</v>
      </c>
      <c r="B912" s="187" t="s">
        <v>2329</v>
      </c>
    </row>
    <row r="913">
      <c r="A913" s="155" t="s">
        <v>392</v>
      </c>
      <c r="B913" s="185" t="s">
        <v>2330</v>
      </c>
    </row>
    <row r="914">
      <c r="A914" s="153" t="s">
        <v>420</v>
      </c>
      <c r="B914" s="187" t="s">
        <v>2331</v>
      </c>
    </row>
    <row r="915">
      <c r="A915" s="155" t="s">
        <v>448</v>
      </c>
      <c r="B915" s="185" t="s">
        <v>2332</v>
      </c>
    </row>
    <row r="916">
      <c r="A916" s="153" t="s">
        <v>476</v>
      </c>
      <c r="B916" s="187" t="s">
        <v>2333</v>
      </c>
    </row>
    <row r="917">
      <c r="A917" s="155" t="s">
        <v>505</v>
      </c>
      <c r="B917" s="185" t="s">
        <v>2334</v>
      </c>
    </row>
    <row r="918">
      <c r="A918" s="153" t="s">
        <v>526</v>
      </c>
      <c r="B918" s="187" t="s">
        <v>2335</v>
      </c>
    </row>
    <row r="919">
      <c r="A919" s="155" t="s">
        <v>545</v>
      </c>
      <c r="B919" s="185" t="s">
        <v>2336</v>
      </c>
    </row>
    <row r="920">
      <c r="A920" s="153" t="s">
        <v>566</v>
      </c>
      <c r="B920" s="187" t="s">
        <v>2339</v>
      </c>
    </row>
    <row r="921">
      <c r="A921" s="155" t="s">
        <v>589</v>
      </c>
      <c r="B921" s="185" t="s">
        <v>2341</v>
      </c>
    </row>
    <row r="922">
      <c r="A922" s="153" t="s">
        <v>611</v>
      </c>
      <c r="B922" s="187" t="s">
        <v>2344</v>
      </c>
    </row>
    <row r="923">
      <c r="A923" s="155" t="s">
        <v>634</v>
      </c>
      <c r="B923" s="185" t="s">
        <v>2347</v>
      </c>
    </row>
    <row r="924">
      <c r="A924" s="153" t="s">
        <v>657</v>
      </c>
      <c r="B924" s="187" t="s">
        <v>2348</v>
      </c>
    </row>
    <row r="925">
      <c r="A925" s="155" t="s">
        <v>672</v>
      </c>
      <c r="B925" s="185" t="s">
        <v>2351</v>
      </c>
    </row>
    <row r="926">
      <c r="A926" s="153" t="s">
        <v>686</v>
      </c>
      <c r="B926" s="187" t="s">
        <v>2352</v>
      </c>
    </row>
    <row r="927">
      <c r="A927" s="155" t="s">
        <v>702</v>
      </c>
      <c r="B927" s="185" t="s">
        <v>2353</v>
      </c>
    </row>
    <row r="928">
      <c r="A928" s="153" t="s">
        <v>721</v>
      </c>
      <c r="B928" s="187" t="s">
        <v>2354</v>
      </c>
    </row>
    <row r="929">
      <c r="A929" s="155" t="s">
        <v>739</v>
      </c>
      <c r="B929" s="185" t="s">
        <v>2355</v>
      </c>
    </row>
    <row r="930">
      <c r="A930" s="153" t="s">
        <v>757</v>
      </c>
      <c r="B930" s="187" t="s">
        <v>2356</v>
      </c>
    </row>
    <row r="931">
      <c r="A931" s="155" t="s">
        <v>769</v>
      </c>
      <c r="B931" s="185" t="s">
        <v>2357</v>
      </c>
    </row>
    <row r="932">
      <c r="A932" s="153" t="s">
        <v>777</v>
      </c>
      <c r="B932" s="187" t="s">
        <v>2358</v>
      </c>
    </row>
    <row r="933">
      <c r="A933" s="155" t="s">
        <v>783</v>
      </c>
      <c r="B933" s="185" t="s">
        <v>2360</v>
      </c>
    </row>
    <row r="934">
      <c r="A934" s="153" t="s">
        <v>788</v>
      </c>
      <c r="B934" s="161"/>
    </row>
    <row r="935">
      <c r="A935" s="155" t="s">
        <v>793</v>
      </c>
      <c r="B935" s="160"/>
    </row>
    <row r="936">
      <c r="A936" s="153"/>
      <c r="B936" s="161"/>
    </row>
    <row r="937">
      <c r="A937" s="155"/>
      <c r="B937" s="160"/>
    </row>
    <row r="938">
      <c r="A938" s="153"/>
      <c r="B938" s="161"/>
    </row>
    <row r="939">
      <c r="A939" s="155"/>
      <c r="B939" s="160"/>
    </row>
    <row r="940">
      <c r="A940" s="153"/>
      <c r="B940" s="161"/>
    </row>
    <row r="941">
      <c r="A941" s="155"/>
      <c r="B941" s="160"/>
    </row>
    <row r="942">
      <c r="A942" s="153"/>
      <c r="B942" s="161"/>
    </row>
    <row r="943">
      <c r="A943" s="155"/>
      <c r="B943" s="160"/>
    </row>
    <row r="944">
      <c r="A944" s="153"/>
      <c r="B944" s="161"/>
    </row>
    <row r="945">
      <c r="A945" s="155"/>
      <c r="B945" s="160"/>
    </row>
    <row r="946">
      <c r="A946" s="153"/>
      <c r="B946" s="161"/>
    </row>
    <row r="947">
      <c r="A947" s="155"/>
      <c r="B947" s="160"/>
    </row>
    <row r="948">
      <c r="A948" s="153"/>
      <c r="B948" s="161"/>
    </row>
    <row r="949">
      <c r="A949" s="155"/>
      <c r="B949" s="160"/>
    </row>
    <row r="950">
      <c r="A950" s="162"/>
      <c r="B950" s="161"/>
    </row>
    <row r="951">
      <c r="A951" s="150" t="str">
        <f t="array" ref="A951:A1000">'Up Names'!T2:T51</f>
        <v>Attrition Supply</v>
      </c>
      <c r="B951" s="185" t="s">
        <v>2367</v>
      </c>
    </row>
    <row r="952">
      <c r="A952" s="153" t="s">
        <v>169</v>
      </c>
      <c r="B952" s="187" t="s">
        <v>2368</v>
      </c>
    </row>
    <row r="953">
      <c r="A953" s="155" t="s">
        <v>189</v>
      </c>
      <c r="B953" s="185" t="s">
        <v>2369</v>
      </c>
    </row>
    <row r="954">
      <c r="A954" s="153" t="s">
        <v>209</v>
      </c>
      <c r="B954" s="187" t="s">
        <v>2371</v>
      </c>
    </row>
    <row r="955">
      <c r="A955" s="155" t="s">
        <v>228</v>
      </c>
      <c r="B955" s="185" t="s">
        <v>2372</v>
      </c>
    </row>
    <row r="956">
      <c r="A956" s="153" t="s">
        <v>248</v>
      </c>
      <c r="B956" s="187" t="s">
        <v>2373</v>
      </c>
    </row>
    <row r="957">
      <c r="A957" s="155" t="s">
        <v>268</v>
      </c>
      <c r="B957" s="185" t="s">
        <v>2374</v>
      </c>
    </row>
    <row r="958">
      <c r="A958" s="153" t="s">
        <v>288</v>
      </c>
      <c r="B958" s="187" t="s">
        <v>2375</v>
      </c>
    </row>
    <row r="959">
      <c r="A959" s="155" t="s">
        <v>308</v>
      </c>
      <c r="B959" s="185" t="s">
        <v>2376</v>
      </c>
    </row>
    <row r="960">
      <c r="A960" s="153" t="s">
        <v>328</v>
      </c>
      <c r="B960" s="187" t="s">
        <v>2377</v>
      </c>
    </row>
    <row r="961">
      <c r="A961" s="155" t="s">
        <v>348</v>
      </c>
      <c r="B961" s="185" t="s">
        <v>2378</v>
      </c>
    </row>
    <row r="962">
      <c r="A962" s="153" t="s">
        <v>368</v>
      </c>
      <c r="B962" s="187" t="s">
        <v>2379</v>
      </c>
    </row>
    <row r="963">
      <c r="A963" s="155" t="s">
        <v>393</v>
      </c>
      <c r="B963" s="185" t="s">
        <v>2380</v>
      </c>
    </row>
    <row r="964">
      <c r="A964" s="153" t="s">
        <v>422</v>
      </c>
      <c r="B964" s="187" t="s">
        <v>2382</v>
      </c>
    </row>
    <row r="965">
      <c r="A965" s="155" t="s">
        <v>450</v>
      </c>
      <c r="B965" s="185" t="s">
        <v>2383</v>
      </c>
    </row>
    <row r="966">
      <c r="A966" s="153" t="s">
        <v>478</v>
      </c>
      <c r="B966" s="187" t="s">
        <v>2385</v>
      </c>
    </row>
    <row r="967">
      <c r="A967" s="155" t="s">
        <v>506</v>
      </c>
      <c r="B967" s="185" t="s">
        <v>2386</v>
      </c>
    </row>
    <row r="968">
      <c r="A968" s="153" t="s">
        <v>527</v>
      </c>
      <c r="B968" s="187" t="s">
        <v>2387</v>
      </c>
    </row>
    <row r="969">
      <c r="A969" s="155" t="s">
        <v>546</v>
      </c>
      <c r="B969" s="185" t="s">
        <v>2388</v>
      </c>
    </row>
    <row r="970">
      <c r="A970" s="153" t="s">
        <v>568</v>
      </c>
      <c r="B970" s="187" t="s">
        <v>2389</v>
      </c>
    </row>
    <row r="971">
      <c r="A971" s="155" t="s">
        <v>590</v>
      </c>
      <c r="B971" s="185" t="s">
        <v>2390</v>
      </c>
    </row>
    <row r="972">
      <c r="A972" s="153" t="s">
        <v>612</v>
      </c>
      <c r="B972" s="187" t="s">
        <v>2391</v>
      </c>
    </row>
    <row r="973">
      <c r="A973" s="155" t="s">
        <v>636</v>
      </c>
      <c r="B973" s="185" t="s">
        <v>2392</v>
      </c>
    </row>
    <row r="974">
      <c r="A974" s="153" t="s">
        <v>658</v>
      </c>
      <c r="B974" s="187" t="s">
        <v>2393</v>
      </c>
    </row>
    <row r="975">
      <c r="A975" s="155" t="s">
        <v>673</v>
      </c>
      <c r="B975" s="185" t="s">
        <v>2394</v>
      </c>
    </row>
    <row r="976">
      <c r="A976" s="153" t="s">
        <v>687</v>
      </c>
      <c r="B976" s="187" t="s">
        <v>2395</v>
      </c>
    </row>
    <row r="977">
      <c r="A977" s="155" t="s">
        <v>703</v>
      </c>
      <c r="B977" s="185" t="s">
        <v>2396</v>
      </c>
    </row>
    <row r="978">
      <c r="A978" s="153" t="s">
        <v>722</v>
      </c>
      <c r="B978" s="187" t="s">
        <v>2398</v>
      </c>
    </row>
    <row r="979">
      <c r="A979" s="155" t="s">
        <v>741</v>
      </c>
      <c r="B979" s="185" t="s">
        <v>2399</v>
      </c>
    </row>
    <row r="980">
      <c r="A980" s="153" t="s">
        <v>758</v>
      </c>
      <c r="B980" s="187" t="s">
        <v>2402</v>
      </c>
    </row>
    <row r="981">
      <c r="A981" s="155" t="s">
        <v>771</v>
      </c>
      <c r="B981" s="185" t="s">
        <v>2404</v>
      </c>
    </row>
    <row r="982">
      <c r="A982" s="153" t="s">
        <v>778</v>
      </c>
      <c r="B982" s="187" t="s">
        <v>2405</v>
      </c>
    </row>
    <row r="983">
      <c r="A983" s="155" t="s">
        <v>784</v>
      </c>
      <c r="B983" s="185" t="s">
        <v>2406</v>
      </c>
    </row>
    <row r="984">
      <c r="A984" s="153" t="s">
        <v>789</v>
      </c>
      <c r="B984" s="161"/>
    </row>
    <row r="985">
      <c r="A985" s="155" t="s">
        <v>794</v>
      </c>
      <c r="B985" s="160"/>
    </row>
    <row r="986">
      <c r="A986" s="153"/>
      <c r="B986" s="161"/>
    </row>
    <row r="987">
      <c r="A987" s="155"/>
      <c r="B987" s="160"/>
    </row>
    <row r="988">
      <c r="A988" s="153"/>
      <c r="B988" s="161"/>
    </row>
    <row r="989">
      <c r="A989" s="155"/>
      <c r="B989" s="160"/>
    </row>
    <row r="990">
      <c r="A990" s="153"/>
      <c r="B990" s="161"/>
    </row>
    <row r="991">
      <c r="A991" s="155"/>
      <c r="B991" s="160"/>
    </row>
    <row r="992">
      <c r="A992" s="153"/>
      <c r="B992" s="161"/>
    </row>
    <row r="993">
      <c r="A993" s="155"/>
      <c r="B993" s="160"/>
    </row>
    <row r="994">
      <c r="A994" s="153"/>
      <c r="B994" s="161"/>
    </row>
    <row r="995">
      <c r="A995" s="155"/>
      <c r="B995" s="160"/>
    </row>
    <row r="996">
      <c r="A996" s="153"/>
      <c r="B996" s="161"/>
    </row>
    <row r="997">
      <c r="A997" s="155"/>
      <c r="B997" s="160"/>
    </row>
    <row r="998">
      <c r="A998" s="153"/>
      <c r="B998" s="161"/>
    </row>
    <row r="999">
      <c r="A999" s="155"/>
      <c r="B999" s="160"/>
    </row>
    <row r="1000">
      <c r="A1000" s="162"/>
      <c r="B1000" s="161"/>
    </row>
  </sheetData>
  <hyperlinks>
    <hyperlink r:id="rId1" ref="B1"/>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B28"/>
    <hyperlink r:id="rId29" ref="B29"/>
    <hyperlink r:id="rId30" ref="B30"/>
    <hyperlink r:id="rId31" ref="B31"/>
    <hyperlink r:id="rId32" ref="B32"/>
    <hyperlink r:id="rId33" ref="B33"/>
    <hyperlink r:id="rId34" ref="B34"/>
    <hyperlink r:id="rId35" ref="B35"/>
    <hyperlink r:id="rId36" ref="B36"/>
    <hyperlink r:id="rId37" ref="B51"/>
    <hyperlink r:id="rId38" ref="B52"/>
    <hyperlink r:id="rId39" ref="B53"/>
    <hyperlink r:id="rId40" ref="B54"/>
    <hyperlink r:id="rId41" ref="B55"/>
    <hyperlink r:id="rId42" ref="B56"/>
    <hyperlink r:id="rId43" ref="B57"/>
    <hyperlink r:id="rId44" ref="B58"/>
    <hyperlink r:id="rId45" ref="B59"/>
    <hyperlink r:id="rId46" ref="B60"/>
    <hyperlink r:id="rId47" ref="B61"/>
    <hyperlink r:id="rId48" ref="B62"/>
    <hyperlink r:id="rId49" ref="B63"/>
    <hyperlink r:id="rId50" ref="B64"/>
    <hyperlink r:id="rId51" ref="B65"/>
    <hyperlink r:id="rId52" ref="B66"/>
    <hyperlink r:id="rId53" ref="B67"/>
    <hyperlink r:id="rId54" ref="B68"/>
    <hyperlink r:id="rId55" ref="B69"/>
    <hyperlink r:id="rId56" ref="B70"/>
    <hyperlink r:id="rId57" ref="B71"/>
    <hyperlink r:id="rId58" ref="B72"/>
    <hyperlink r:id="rId59" ref="B73"/>
    <hyperlink r:id="rId60" ref="B74"/>
    <hyperlink r:id="rId61" ref="B75"/>
    <hyperlink r:id="rId62" ref="B76"/>
    <hyperlink r:id="rId63" ref="B77"/>
    <hyperlink r:id="rId64" ref="B78"/>
    <hyperlink r:id="rId65" ref="B79"/>
    <hyperlink r:id="rId66" ref="B80"/>
    <hyperlink r:id="rId67" ref="B101"/>
    <hyperlink r:id="rId68" ref="B102"/>
    <hyperlink r:id="rId69" ref="B103"/>
    <hyperlink r:id="rId70" ref="B104"/>
    <hyperlink r:id="rId71" ref="B105"/>
    <hyperlink r:id="rId72" ref="B106"/>
    <hyperlink r:id="rId73" ref="B107"/>
    <hyperlink r:id="rId74" ref="B108"/>
    <hyperlink r:id="rId75" ref="B109"/>
    <hyperlink r:id="rId76" ref="B110"/>
    <hyperlink r:id="rId77" ref="B111"/>
    <hyperlink r:id="rId78" ref="B112"/>
    <hyperlink r:id="rId79" ref="B113"/>
    <hyperlink r:id="rId80" ref="B114"/>
    <hyperlink r:id="rId81" ref="B115"/>
    <hyperlink r:id="rId82" ref="B116"/>
    <hyperlink r:id="rId83" ref="B117"/>
    <hyperlink r:id="rId84" ref="B118"/>
    <hyperlink r:id="rId85" ref="B119"/>
    <hyperlink r:id="rId86" ref="B120"/>
    <hyperlink r:id="rId87" ref="B121"/>
    <hyperlink r:id="rId88" ref="B122"/>
    <hyperlink r:id="rId89" ref="B123"/>
    <hyperlink r:id="rId90" ref="B124"/>
    <hyperlink r:id="rId91" ref="B125"/>
    <hyperlink r:id="rId92" ref="B126"/>
    <hyperlink r:id="rId93" ref="B127"/>
    <hyperlink r:id="rId94" ref="B128"/>
    <hyperlink r:id="rId95" ref="B129"/>
    <hyperlink r:id="rId96" ref="B130"/>
    <hyperlink r:id="rId97" ref="B151"/>
    <hyperlink r:id="rId98" ref="B152"/>
    <hyperlink r:id="rId99" ref="B153"/>
    <hyperlink r:id="rId100" ref="B154"/>
    <hyperlink r:id="rId101" ref="B155"/>
    <hyperlink r:id="rId102" ref="B156"/>
    <hyperlink r:id="rId103" ref="B157"/>
    <hyperlink r:id="rId104" ref="B158"/>
    <hyperlink r:id="rId105" ref="B159"/>
    <hyperlink r:id="rId106" ref="B160"/>
    <hyperlink r:id="rId107" ref="B161"/>
    <hyperlink r:id="rId108" ref="B162"/>
    <hyperlink r:id="rId109" ref="B163"/>
    <hyperlink r:id="rId110" ref="B164"/>
    <hyperlink r:id="rId111" ref="B165"/>
    <hyperlink r:id="rId112" ref="B166"/>
    <hyperlink r:id="rId113" ref="B167"/>
    <hyperlink r:id="rId114" ref="B168"/>
    <hyperlink r:id="rId115" ref="B169"/>
    <hyperlink r:id="rId116" ref="B170"/>
    <hyperlink r:id="rId117" ref="B171"/>
    <hyperlink r:id="rId118" ref="B172"/>
    <hyperlink r:id="rId119" ref="B173"/>
    <hyperlink r:id="rId120" ref="B174"/>
    <hyperlink r:id="rId121" ref="B175"/>
    <hyperlink r:id="rId122" ref="B176"/>
    <hyperlink r:id="rId123" ref="B177"/>
    <hyperlink r:id="rId124" ref="B178"/>
    <hyperlink r:id="rId125" ref="B179"/>
    <hyperlink r:id="rId126" ref="B180"/>
    <hyperlink r:id="rId127" ref="B183"/>
    <hyperlink r:id="rId128" ref="B201"/>
    <hyperlink r:id="rId129" ref="B202"/>
    <hyperlink r:id="rId130" ref="B203"/>
    <hyperlink r:id="rId131" ref="B204"/>
    <hyperlink r:id="rId132" ref="B205"/>
    <hyperlink r:id="rId133" ref="B206"/>
    <hyperlink r:id="rId134" ref="B207"/>
    <hyperlink r:id="rId135" ref="B208"/>
    <hyperlink r:id="rId136" ref="B209"/>
    <hyperlink r:id="rId137" ref="B210"/>
    <hyperlink r:id="rId138" ref="B211"/>
    <hyperlink r:id="rId139" ref="B212"/>
    <hyperlink r:id="rId140" ref="B213"/>
    <hyperlink r:id="rId141" ref="B214"/>
    <hyperlink r:id="rId142" ref="B215"/>
    <hyperlink r:id="rId143" ref="B216"/>
    <hyperlink r:id="rId144" ref="B217"/>
    <hyperlink r:id="rId145" ref="B218"/>
    <hyperlink r:id="rId146" ref="B219"/>
    <hyperlink r:id="rId147" ref="B220"/>
    <hyperlink r:id="rId148" ref="B221"/>
    <hyperlink r:id="rId149" ref="B222"/>
    <hyperlink r:id="rId150" ref="B223"/>
    <hyperlink r:id="rId151" ref="B224"/>
    <hyperlink r:id="rId152" ref="B225"/>
    <hyperlink r:id="rId153" ref="B226"/>
    <hyperlink r:id="rId154" ref="B227"/>
    <hyperlink r:id="rId155" ref="B228"/>
    <hyperlink r:id="rId156" ref="B229"/>
    <hyperlink r:id="rId157" ref="B230"/>
    <hyperlink r:id="rId158" ref="B231"/>
    <hyperlink r:id="rId159" ref="B251"/>
    <hyperlink r:id="rId160" ref="B252"/>
    <hyperlink r:id="rId161" ref="B253"/>
    <hyperlink r:id="rId162" ref="B254"/>
    <hyperlink r:id="rId163" ref="B255"/>
    <hyperlink r:id="rId164" ref="B256"/>
    <hyperlink r:id="rId165" ref="B257"/>
    <hyperlink r:id="rId166" ref="B258"/>
    <hyperlink r:id="rId167" ref="B259"/>
    <hyperlink r:id="rId168" ref="B260"/>
    <hyperlink r:id="rId169" ref="B261"/>
    <hyperlink r:id="rId170" ref="B262"/>
    <hyperlink r:id="rId171" ref="B263"/>
    <hyperlink r:id="rId172" ref="B264"/>
    <hyperlink r:id="rId173" ref="B265"/>
    <hyperlink r:id="rId174" ref="B266"/>
    <hyperlink r:id="rId175" ref="B267"/>
    <hyperlink r:id="rId176" ref="B268"/>
    <hyperlink r:id="rId177" ref="B269"/>
    <hyperlink r:id="rId178" ref="B270"/>
    <hyperlink r:id="rId179" ref="B271"/>
    <hyperlink r:id="rId180" ref="B272"/>
    <hyperlink r:id="rId181" ref="B273"/>
    <hyperlink r:id="rId182" ref="B274"/>
    <hyperlink r:id="rId183" ref="B275"/>
    <hyperlink r:id="rId184" ref="B276"/>
    <hyperlink r:id="rId185" ref="B277"/>
    <hyperlink r:id="rId186" ref="B278"/>
    <hyperlink r:id="rId187" ref="B279"/>
    <hyperlink r:id="rId188" ref="B280"/>
    <hyperlink r:id="rId189" ref="B301"/>
    <hyperlink r:id="rId190" ref="B302"/>
    <hyperlink r:id="rId191" ref="B303"/>
    <hyperlink r:id="rId192" ref="B304"/>
    <hyperlink r:id="rId193" ref="B305"/>
    <hyperlink r:id="rId194" ref="B306"/>
    <hyperlink r:id="rId195" ref="B307"/>
    <hyperlink r:id="rId196" ref="B308"/>
    <hyperlink r:id="rId197" ref="B309"/>
    <hyperlink r:id="rId198" ref="B310"/>
    <hyperlink r:id="rId199" ref="B311"/>
    <hyperlink r:id="rId200" ref="B312"/>
    <hyperlink r:id="rId201" ref="B313"/>
    <hyperlink r:id="rId202" ref="B314"/>
    <hyperlink r:id="rId203" ref="B315"/>
    <hyperlink r:id="rId204" ref="B316"/>
    <hyperlink r:id="rId205" ref="B317"/>
    <hyperlink r:id="rId206" ref="B318"/>
    <hyperlink r:id="rId207" ref="B319"/>
    <hyperlink r:id="rId208" ref="B320"/>
    <hyperlink r:id="rId209" ref="B321"/>
    <hyperlink r:id="rId210" ref="B322"/>
    <hyperlink r:id="rId211" ref="B323"/>
    <hyperlink r:id="rId212" ref="B324"/>
    <hyperlink r:id="rId213" ref="B325"/>
    <hyperlink r:id="rId214" ref="B326"/>
    <hyperlink r:id="rId215" ref="B327"/>
    <hyperlink r:id="rId216" ref="B328"/>
    <hyperlink r:id="rId217" ref="B329"/>
    <hyperlink r:id="rId218" ref="B330"/>
    <hyperlink r:id="rId219" ref="B351"/>
    <hyperlink r:id="rId220" ref="B352"/>
    <hyperlink r:id="rId221" ref="B353"/>
    <hyperlink r:id="rId222" ref="B354"/>
    <hyperlink r:id="rId223" ref="B355"/>
    <hyperlink r:id="rId224" ref="B356"/>
    <hyperlink r:id="rId225" ref="B357"/>
    <hyperlink r:id="rId226" ref="B358"/>
    <hyperlink r:id="rId227" ref="B359"/>
    <hyperlink r:id="rId228" ref="B360"/>
    <hyperlink r:id="rId229" ref="B361"/>
    <hyperlink r:id="rId230" ref="B362"/>
    <hyperlink r:id="rId231" ref="B363"/>
    <hyperlink r:id="rId232" ref="B364"/>
    <hyperlink r:id="rId233" ref="B365"/>
    <hyperlink r:id="rId234" ref="B366"/>
    <hyperlink r:id="rId235" ref="B367"/>
    <hyperlink r:id="rId236" ref="B368"/>
    <hyperlink r:id="rId237" ref="B369"/>
    <hyperlink r:id="rId238" ref="B370"/>
    <hyperlink r:id="rId239" ref="B371"/>
    <hyperlink r:id="rId240" ref="B372"/>
    <hyperlink r:id="rId241" ref="B373"/>
    <hyperlink r:id="rId242" ref="B374"/>
    <hyperlink r:id="rId243" ref="B375"/>
    <hyperlink r:id="rId244" ref="B376"/>
    <hyperlink r:id="rId245" ref="B377"/>
    <hyperlink r:id="rId246" ref="B378"/>
    <hyperlink r:id="rId247" ref="B379"/>
    <hyperlink r:id="rId248" ref="B380"/>
    <hyperlink r:id="rId249" ref="B401"/>
    <hyperlink r:id="rId250" ref="B402"/>
    <hyperlink r:id="rId251" ref="B403"/>
    <hyperlink r:id="rId252" ref="B404"/>
    <hyperlink r:id="rId253" ref="B405"/>
    <hyperlink r:id="rId254" ref="B406"/>
    <hyperlink r:id="rId255" ref="B407"/>
    <hyperlink r:id="rId256" ref="B408"/>
    <hyperlink r:id="rId257" ref="B409"/>
    <hyperlink r:id="rId258" ref="B410"/>
    <hyperlink r:id="rId259" ref="B411"/>
    <hyperlink r:id="rId260" ref="B412"/>
    <hyperlink r:id="rId261" ref="B413"/>
    <hyperlink r:id="rId262" ref="B414"/>
    <hyperlink r:id="rId263" ref="B415"/>
    <hyperlink r:id="rId264" ref="B416"/>
    <hyperlink r:id="rId265" ref="B417"/>
    <hyperlink r:id="rId266" ref="B418"/>
    <hyperlink r:id="rId267" ref="B419"/>
    <hyperlink r:id="rId268" ref="B420"/>
    <hyperlink r:id="rId269" ref="B421"/>
    <hyperlink r:id="rId270" ref="B422"/>
    <hyperlink r:id="rId271" ref="B423"/>
    <hyperlink r:id="rId272" ref="B424"/>
    <hyperlink r:id="rId273" ref="B425"/>
    <hyperlink r:id="rId274" ref="B451"/>
    <hyperlink r:id="rId275" ref="B452"/>
    <hyperlink r:id="rId276" ref="B453"/>
    <hyperlink r:id="rId277" ref="B454"/>
    <hyperlink r:id="rId278" ref="B455"/>
    <hyperlink r:id="rId279" ref="B456"/>
    <hyperlink r:id="rId280" ref="B457"/>
    <hyperlink r:id="rId281" ref="B458"/>
    <hyperlink r:id="rId282" ref="B459"/>
    <hyperlink r:id="rId283" ref="B460"/>
    <hyperlink r:id="rId284" ref="B461"/>
    <hyperlink r:id="rId285" ref="B462"/>
    <hyperlink r:id="rId286" ref="B463"/>
    <hyperlink r:id="rId287" ref="B464"/>
    <hyperlink r:id="rId288" ref="B465"/>
    <hyperlink r:id="rId289" ref="B466"/>
    <hyperlink r:id="rId290" ref="B467"/>
    <hyperlink r:id="rId291" ref="B468"/>
    <hyperlink r:id="rId292" ref="B469"/>
    <hyperlink r:id="rId293" ref="B470"/>
    <hyperlink r:id="rId294" ref="B471"/>
    <hyperlink r:id="rId295" ref="B472"/>
    <hyperlink r:id="rId296" ref="B473"/>
    <hyperlink r:id="rId297" ref="B474"/>
    <hyperlink r:id="rId298" ref="B475"/>
    <hyperlink r:id="rId299" ref="B601"/>
    <hyperlink r:id="rId300" ref="B602"/>
    <hyperlink r:id="rId301" ref="B603"/>
    <hyperlink r:id="rId302" ref="B604"/>
    <hyperlink r:id="rId303" ref="B605"/>
    <hyperlink r:id="rId304" ref="B606"/>
    <hyperlink r:id="rId305" ref="B607"/>
    <hyperlink r:id="rId306" ref="B608"/>
    <hyperlink r:id="rId307" ref="B609"/>
    <hyperlink r:id="rId308" ref="B610"/>
    <hyperlink r:id="rId309" ref="B611"/>
    <hyperlink r:id="rId310" ref="B612"/>
    <hyperlink r:id="rId311" ref="B613"/>
    <hyperlink r:id="rId312" ref="B614"/>
    <hyperlink r:id="rId313" ref="B615"/>
    <hyperlink r:id="rId314" ref="B616"/>
    <hyperlink r:id="rId315" ref="B617"/>
    <hyperlink r:id="rId316" ref="B618"/>
    <hyperlink r:id="rId317" ref="B619"/>
    <hyperlink r:id="rId318" ref="B620"/>
    <hyperlink r:id="rId319" ref="B651"/>
    <hyperlink r:id="rId320" ref="B652"/>
    <hyperlink r:id="rId321" ref="B653"/>
    <hyperlink r:id="rId322" ref="B654"/>
    <hyperlink r:id="rId323" ref="B655"/>
    <hyperlink r:id="rId324" ref="B656"/>
    <hyperlink r:id="rId325" ref="B657"/>
    <hyperlink r:id="rId326" ref="B658"/>
    <hyperlink r:id="rId327" ref="B659"/>
    <hyperlink r:id="rId328" ref="B660"/>
    <hyperlink r:id="rId329" ref="B661"/>
    <hyperlink r:id="rId330" ref="B662"/>
    <hyperlink r:id="rId331" ref="B663"/>
    <hyperlink r:id="rId332" ref="B664"/>
    <hyperlink r:id="rId333" ref="B665"/>
    <hyperlink r:id="rId334" ref="B666"/>
    <hyperlink r:id="rId335" ref="B667"/>
    <hyperlink r:id="rId336" ref="B668"/>
    <hyperlink r:id="rId337" ref="B669"/>
    <hyperlink r:id="rId338" ref="B670"/>
    <hyperlink r:id="rId339" ref="B701"/>
    <hyperlink r:id="rId340" ref="B702"/>
    <hyperlink r:id="rId341" ref="B703"/>
    <hyperlink r:id="rId342" ref="B704"/>
    <hyperlink r:id="rId343" ref="B705"/>
    <hyperlink r:id="rId344" ref="B706"/>
    <hyperlink r:id="rId345" ref="B707"/>
    <hyperlink r:id="rId346" ref="B708"/>
    <hyperlink r:id="rId347" ref="B709"/>
    <hyperlink r:id="rId348" ref="B710"/>
    <hyperlink r:id="rId349" ref="B711"/>
    <hyperlink r:id="rId350" ref="B712"/>
    <hyperlink r:id="rId351" ref="B713"/>
    <hyperlink r:id="rId352" ref="B714"/>
    <hyperlink r:id="rId353" ref="B715"/>
    <hyperlink r:id="rId354" ref="B716"/>
    <hyperlink r:id="rId355" ref="B717"/>
    <hyperlink r:id="rId356" ref="B718"/>
    <hyperlink r:id="rId357" ref="B719"/>
    <hyperlink r:id="rId358" ref="B720"/>
    <hyperlink r:id="rId359" ref="B751"/>
    <hyperlink r:id="rId360" ref="B752"/>
    <hyperlink r:id="rId361" ref="B753"/>
    <hyperlink r:id="rId362" ref="B754"/>
    <hyperlink r:id="rId363" ref="B755"/>
    <hyperlink r:id="rId364" ref="B756"/>
    <hyperlink r:id="rId365" ref="B757"/>
    <hyperlink r:id="rId366" ref="B758"/>
    <hyperlink r:id="rId367" ref="B759"/>
    <hyperlink r:id="rId368" ref="B760"/>
    <hyperlink r:id="rId369" ref="B761"/>
    <hyperlink r:id="rId370" ref="B762"/>
    <hyperlink r:id="rId371" ref="B763"/>
    <hyperlink r:id="rId372" ref="B764"/>
    <hyperlink r:id="rId373" ref="B765"/>
    <hyperlink r:id="rId374" ref="B766"/>
    <hyperlink r:id="rId375" ref="B767"/>
    <hyperlink r:id="rId376" ref="B768"/>
    <hyperlink r:id="rId377" ref="B769"/>
    <hyperlink r:id="rId378" ref="B770"/>
    <hyperlink r:id="rId379" ref="B771"/>
    <hyperlink r:id="rId380" ref="B772"/>
    <hyperlink r:id="rId381" ref="B773"/>
    <hyperlink r:id="rId382" ref="B774"/>
    <hyperlink r:id="rId383" ref="B775"/>
    <hyperlink r:id="rId384" ref="B776"/>
    <hyperlink r:id="rId385" ref="B777"/>
    <hyperlink r:id="rId386" ref="B778"/>
    <hyperlink r:id="rId387" ref="B779"/>
    <hyperlink r:id="rId388" ref="B780"/>
    <hyperlink r:id="rId389" ref="B802"/>
    <hyperlink r:id="rId390" ref="B803"/>
    <hyperlink r:id="rId391" ref="B804"/>
    <hyperlink r:id="rId392" ref="B805"/>
    <hyperlink r:id="rId393" ref="B806"/>
    <hyperlink r:id="rId394" ref="B807"/>
    <hyperlink r:id="rId395" ref="B808"/>
    <hyperlink r:id="rId396" ref="B809"/>
    <hyperlink r:id="rId397" ref="B810"/>
    <hyperlink r:id="rId398" ref="B811"/>
    <hyperlink r:id="rId399" ref="B812"/>
    <hyperlink r:id="rId400" ref="B813"/>
    <hyperlink r:id="rId401" ref="B814"/>
    <hyperlink r:id="rId402" ref="B815"/>
    <hyperlink r:id="rId403" ref="B816"/>
    <hyperlink r:id="rId404" ref="B817"/>
    <hyperlink r:id="rId405" ref="B818"/>
    <hyperlink r:id="rId406" ref="B819"/>
    <hyperlink r:id="rId407" ref="B820"/>
    <hyperlink r:id="rId408" ref="B821"/>
    <hyperlink r:id="rId409" ref="B822"/>
    <hyperlink r:id="rId410" ref="B823"/>
    <hyperlink r:id="rId411" ref="B824"/>
    <hyperlink r:id="rId412" ref="B825"/>
    <hyperlink r:id="rId413" ref="B826"/>
    <hyperlink r:id="rId414" ref="B827"/>
    <hyperlink r:id="rId415" ref="B828"/>
    <hyperlink r:id="rId416" ref="B829"/>
    <hyperlink r:id="rId417" ref="B830"/>
    <hyperlink r:id="rId418" ref="B831"/>
    <hyperlink r:id="rId419" ref="B832"/>
    <hyperlink r:id="rId420" ref="B833"/>
    <hyperlink r:id="rId421" ref="B834"/>
    <hyperlink r:id="rId422" ref="B851"/>
    <hyperlink r:id="rId423" ref="B852"/>
    <hyperlink r:id="rId424" ref="B853"/>
    <hyperlink r:id="rId425" ref="B854"/>
    <hyperlink r:id="rId426" ref="B855"/>
    <hyperlink r:id="rId427" ref="B856"/>
    <hyperlink r:id="rId428" ref="B857"/>
    <hyperlink r:id="rId429" ref="B858"/>
    <hyperlink r:id="rId430" ref="B859"/>
    <hyperlink r:id="rId431" ref="B860"/>
    <hyperlink r:id="rId432" ref="B861"/>
    <hyperlink r:id="rId433" ref="B862"/>
    <hyperlink r:id="rId434" ref="B863"/>
    <hyperlink r:id="rId435" ref="B864"/>
    <hyperlink r:id="rId436" ref="B865"/>
    <hyperlink r:id="rId437" ref="B866"/>
    <hyperlink r:id="rId438" ref="B867"/>
    <hyperlink r:id="rId439" ref="B868"/>
    <hyperlink r:id="rId440" ref="B869"/>
    <hyperlink r:id="rId441" ref="B870"/>
    <hyperlink r:id="rId442" ref="B871"/>
    <hyperlink r:id="rId443" ref="B872"/>
    <hyperlink r:id="rId444" ref="B873"/>
    <hyperlink r:id="rId445" ref="B874"/>
    <hyperlink r:id="rId446" ref="B875"/>
    <hyperlink r:id="rId447" ref="B876"/>
    <hyperlink r:id="rId448" ref="B877"/>
    <hyperlink r:id="rId449" ref="B878"/>
    <hyperlink r:id="rId450" ref="B879"/>
    <hyperlink r:id="rId451" ref="B880"/>
    <hyperlink r:id="rId452" ref="B881"/>
    <hyperlink r:id="rId453" ref="B882"/>
    <hyperlink r:id="rId454" ref="B883"/>
    <hyperlink r:id="rId455" ref="B901"/>
    <hyperlink r:id="rId456" ref="B902"/>
    <hyperlink r:id="rId457" ref="B903"/>
    <hyperlink r:id="rId458" ref="B904"/>
    <hyperlink r:id="rId459" ref="B905"/>
    <hyperlink r:id="rId460" ref="B906"/>
    <hyperlink r:id="rId461" ref="B907"/>
    <hyperlink r:id="rId462" ref="B908"/>
    <hyperlink r:id="rId463" ref="B909"/>
    <hyperlink r:id="rId464" ref="B910"/>
    <hyperlink r:id="rId465" ref="B911"/>
    <hyperlink r:id="rId466" ref="B912"/>
    <hyperlink r:id="rId467" ref="B913"/>
    <hyperlink r:id="rId468" ref="B914"/>
    <hyperlink r:id="rId469" ref="B915"/>
    <hyperlink r:id="rId470" ref="B916"/>
    <hyperlink r:id="rId471" ref="B917"/>
    <hyperlink r:id="rId472" ref="B918"/>
    <hyperlink r:id="rId473" ref="B919"/>
    <hyperlink r:id="rId474" ref="B920"/>
    <hyperlink r:id="rId475" ref="B921"/>
    <hyperlink r:id="rId476" ref="B922"/>
    <hyperlink r:id="rId477" ref="B923"/>
    <hyperlink r:id="rId478" ref="B924"/>
    <hyperlink r:id="rId479" ref="B925"/>
    <hyperlink r:id="rId480" ref="B926"/>
    <hyperlink r:id="rId481" ref="B927"/>
    <hyperlink r:id="rId482" ref="B928"/>
    <hyperlink r:id="rId483" ref="B929"/>
    <hyperlink r:id="rId484" ref="B930"/>
    <hyperlink r:id="rId485" ref="B931"/>
    <hyperlink r:id="rId486" ref="B932"/>
    <hyperlink r:id="rId487" ref="B933"/>
    <hyperlink r:id="rId488" ref="B951"/>
    <hyperlink r:id="rId489" ref="B952"/>
    <hyperlink r:id="rId490" ref="B953"/>
    <hyperlink r:id="rId491" ref="B954"/>
    <hyperlink r:id="rId492" ref="B955"/>
    <hyperlink r:id="rId493" ref="B956"/>
    <hyperlink r:id="rId494" ref="B957"/>
    <hyperlink r:id="rId495" ref="B958"/>
    <hyperlink r:id="rId496" ref="B959"/>
    <hyperlink r:id="rId497" ref="B960"/>
    <hyperlink r:id="rId498" ref="B961"/>
    <hyperlink r:id="rId499" ref="B962"/>
    <hyperlink r:id="rId500" ref="B963"/>
    <hyperlink r:id="rId501" ref="B964"/>
    <hyperlink r:id="rId502" ref="B965"/>
    <hyperlink r:id="rId503" ref="B966"/>
    <hyperlink r:id="rId504" ref="B967"/>
    <hyperlink r:id="rId505" ref="B968"/>
    <hyperlink r:id="rId506" ref="B969"/>
    <hyperlink r:id="rId507" ref="B970"/>
    <hyperlink r:id="rId508" ref="B971"/>
    <hyperlink r:id="rId509" ref="B972"/>
    <hyperlink r:id="rId510" ref="B973"/>
    <hyperlink r:id="rId511" ref="B974"/>
    <hyperlink r:id="rId512" ref="B975"/>
    <hyperlink r:id="rId513" ref="B976"/>
    <hyperlink r:id="rId514" ref="B977"/>
    <hyperlink r:id="rId515" ref="B978"/>
    <hyperlink r:id="rId516" ref="B979"/>
    <hyperlink r:id="rId517" ref="B980"/>
    <hyperlink r:id="rId518" ref="B981"/>
    <hyperlink r:id="rId519" ref="B982"/>
    <hyperlink r:id="rId520" ref="B983"/>
  </hyperlinks>
  <drawing r:id="rId521"/>
  <tableParts count="1">
    <tablePart r:id="rId52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63"/>
  </cols>
  <sheetData>
    <row r="1">
      <c r="A1" s="171" t="str">
        <f t="array" ref="A1:A50">'Up Names'!A2:A51</f>
        <v>Corrode Siphon</v>
      </c>
      <c r="B1" s="190" t="s">
        <v>1179</v>
      </c>
    </row>
    <row r="2">
      <c r="A2" s="145" t="s">
        <v>150</v>
      </c>
      <c r="B2" s="191" t="s">
        <v>1180</v>
      </c>
    </row>
    <row r="3">
      <c r="A3" s="143" t="s">
        <v>170</v>
      </c>
      <c r="B3" s="190" t="s">
        <v>1182</v>
      </c>
    </row>
    <row r="4">
      <c r="A4" s="145" t="s">
        <v>190</v>
      </c>
      <c r="B4" s="192" t="s">
        <v>1183</v>
      </c>
    </row>
    <row r="5">
      <c r="A5" s="143" t="s">
        <v>210</v>
      </c>
      <c r="B5" s="190" t="s">
        <v>1185</v>
      </c>
    </row>
    <row r="6">
      <c r="A6" s="145" t="s">
        <v>229</v>
      </c>
      <c r="B6" s="191" t="s">
        <v>1186</v>
      </c>
    </row>
    <row r="7">
      <c r="A7" s="143" t="s">
        <v>249</v>
      </c>
      <c r="B7" s="193" t="s">
        <v>1187</v>
      </c>
    </row>
    <row r="8">
      <c r="A8" s="145" t="s">
        <v>269</v>
      </c>
      <c r="B8" s="192" t="s">
        <v>1189</v>
      </c>
    </row>
    <row r="9">
      <c r="A9" s="143" t="s">
        <v>289</v>
      </c>
      <c r="B9" s="193" t="s">
        <v>1190</v>
      </c>
    </row>
    <row r="10">
      <c r="A10" s="145" t="s">
        <v>309</v>
      </c>
      <c r="B10" s="191" t="s">
        <v>1191</v>
      </c>
    </row>
    <row r="11">
      <c r="A11" s="143" t="s">
        <v>329</v>
      </c>
      <c r="B11" s="193" t="s">
        <v>1192</v>
      </c>
    </row>
    <row r="12">
      <c r="A12" s="145" t="s">
        <v>349</v>
      </c>
      <c r="B12" s="192" t="s">
        <v>1193</v>
      </c>
    </row>
    <row r="13">
      <c r="A13" s="143" t="s">
        <v>372</v>
      </c>
      <c r="B13" s="190" t="s">
        <v>1195</v>
      </c>
    </row>
    <row r="14">
      <c r="A14" s="145" t="s">
        <v>394</v>
      </c>
      <c r="B14" s="192" t="s">
        <v>1196</v>
      </c>
    </row>
    <row r="15">
      <c r="A15" s="143" t="s">
        <v>404</v>
      </c>
      <c r="B15" s="193" t="s">
        <v>1197</v>
      </c>
    </row>
    <row r="16">
      <c r="A16" s="145" t="s">
        <v>410</v>
      </c>
      <c r="B16" s="192" t="s">
        <v>1198</v>
      </c>
    </row>
    <row r="17">
      <c r="A17" s="143" t="s">
        <v>415</v>
      </c>
      <c r="B17" s="193" t="s">
        <v>1199</v>
      </c>
    </row>
    <row r="18">
      <c r="A18" s="145" t="s">
        <v>421</v>
      </c>
      <c r="B18" s="192" t="s">
        <v>1201</v>
      </c>
    </row>
    <row r="19">
      <c r="A19" s="143" t="s">
        <v>426</v>
      </c>
      <c r="B19" s="190" t="s">
        <v>1202</v>
      </c>
    </row>
    <row r="20">
      <c r="A20" s="145" t="s">
        <v>430</v>
      </c>
      <c r="B20" s="191" t="s">
        <v>1203</v>
      </c>
    </row>
    <row r="21">
      <c r="A21" s="143" t="s">
        <v>435</v>
      </c>
      <c r="B21" s="193" t="s">
        <v>1204</v>
      </c>
    </row>
    <row r="22">
      <c r="A22" s="145" t="s">
        <v>439</v>
      </c>
      <c r="B22" s="192" t="s">
        <v>1205</v>
      </c>
    </row>
    <row r="23">
      <c r="A23" s="143" t="s">
        <v>443</v>
      </c>
      <c r="B23" s="193" t="s">
        <v>1207</v>
      </c>
    </row>
    <row r="24">
      <c r="A24" s="145" t="s">
        <v>447</v>
      </c>
      <c r="B24" s="192" t="s">
        <v>1208</v>
      </c>
    </row>
    <row r="25">
      <c r="A25" s="143" t="s">
        <v>451</v>
      </c>
      <c r="B25" s="193" t="s">
        <v>1209</v>
      </c>
    </row>
    <row r="26">
      <c r="A26" s="145" t="s">
        <v>455</v>
      </c>
      <c r="B26" s="191" t="s">
        <v>1210</v>
      </c>
    </row>
    <row r="27">
      <c r="A27" s="143" t="s">
        <v>459</v>
      </c>
      <c r="B27" s="193" t="s">
        <v>1211</v>
      </c>
    </row>
    <row r="28">
      <c r="A28" s="145" t="s">
        <v>464</v>
      </c>
      <c r="B28" s="191" t="s">
        <v>1212</v>
      </c>
    </row>
    <row r="29">
      <c r="A29" s="143" t="s">
        <v>468</v>
      </c>
      <c r="B29" s="193" t="s">
        <v>1213</v>
      </c>
    </row>
    <row r="30">
      <c r="A30" s="145" t="s">
        <v>472</v>
      </c>
      <c r="B30" s="191" t="s">
        <v>1215</v>
      </c>
    </row>
    <row r="31">
      <c r="A31" s="143" t="s">
        <v>477</v>
      </c>
      <c r="B31" s="193" t="s">
        <v>1216</v>
      </c>
    </row>
    <row r="32">
      <c r="A32" s="145" t="s">
        <v>481</v>
      </c>
      <c r="B32" s="191" t="s">
        <v>1217</v>
      </c>
    </row>
    <row r="33">
      <c r="A33" s="143" t="s">
        <v>486</v>
      </c>
      <c r="B33" s="193" t="s">
        <v>1218</v>
      </c>
    </row>
    <row r="34">
      <c r="A34" s="145" t="s">
        <v>492</v>
      </c>
      <c r="B34" s="191" t="s">
        <v>1219</v>
      </c>
    </row>
    <row r="35">
      <c r="A35" s="143" t="s">
        <v>496</v>
      </c>
      <c r="B35" s="193" t="s">
        <v>1220</v>
      </c>
    </row>
    <row r="36">
      <c r="A36" s="145" t="s">
        <v>499</v>
      </c>
      <c r="B36" s="191" t="s">
        <v>1221</v>
      </c>
    </row>
    <row r="37">
      <c r="A37" s="143" t="s">
        <v>503</v>
      </c>
      <c r="B37" s="190" t="s">
        <v>1222</v>
      </c>
    </row>
    <row r="38">
      <c r="A38" s="145" t="s">
        <v>511</v>
      </c>
      <c r="B38" s="192" t="s">
        <v>1224</v>
      </c>
    </row>
    <row r="39">
      <c r="A39" s="143" t="s">
        <v>516</v>
      </c>
      <c r="B39" s="190" t="s">
        <v>1222</v>
      </c>
    </row>
    <row r="40">
      <c r="A40" s="145"/>
      <c r="B40" s="191"/>
    </row>
    <row r="41">
      <c r="A41" s="143"/>
      <c r="B41" s="193"/>
    </row>
    <row r="42">
      <c r="A42" s="145"/>
      <c r="B42" s="191"/>
    </row>
    <row r="43">
      <c r="A43" s="143"/>
      <c r="B43" s="193"/>
    </row>
    <row r="44">
      <c r="A44" s="145"/>
      <c r="B44" s="191"/>
    </row>
    <row r="45">
      <c r="A45" s="143"/>
      <c r="B45" s="193"/>
    </row>
    <row r="46">
      <c r="A46" s="145"/>
      <c r="B46" s="191"/>
    </row>
    <row r="47">
      <c r="A47" s="143"/>
      <c r="B47" s="193"/>
    </row>
    <row r="48">
      <c r="A48" s="145"/>
      <c r="B48" s="191"/>
    </row>
    <row r="49">
      <c r="A49" s="143"/>
      <c r="B49" s="193"/>
    </row>
    <row r="50">
      <c r="A50" s="184"/>
      <c r="B50" s="191"/>
    </row>
    <row r="51">
      <c r="A51" s="171" t="str">
        <f t="array" ref="A51:A100">'Up Names'!B2:B51</f>
        <v>All Powdered Up</v>
      </c>
      <c r="B51" s="190" t="s">
        <v>1227</v>
      </c>
    </row>
    <row r="52">
      <c r="A52" s="145" t="s">
        <v>151</v>
      </c>
      <c r="B52" s="192" t="s">
        <v>1228</v>
      </c>
    </row>
    <row r="53">
      <c r="A53" s="143" t="s">
        <v>171</v>
      </c>
      <c r="B53" s="193" t="s">
        <v>1229</v>
      </c>
    </row>
    <row r="54">
      <c r="A54" s="145" t="s">
        <v>191</v>
      </c>
      <c r="B54" s="191" t="s">
        <v>1230</v>
      </c>
    </row>
    <row r="55">
      <c r="A55" s="143" t="s">
        <v>211</v>
      </c>
      <c r="B55" s="193" t="s">
        <v>1231</v>
      </c>
    </row>
    <row r="56">
      <c r="A56" s="145" t="s">
        <v>230</v>
      </c>
      <c r="B56" s="192" t="s">
        <v>1233</v>
      </c>
    </row>
    <row r="57">
      <c r="A57" s="143" t="s">
        <v>250</v>
      </c>
      <c r="B57" s="193" t="s">
        <v>1234</v>
      </c>
    </row>
    <row r="58">
      <c r="A58" s="145" t="s">
        <v>270</v>
      </c>
      <c r="B58" s="192" t="s">
        <v>1235</v>
      </c>
    </row>
    <row r="59">
      <c r="A59" s="143" t="s">
        <v>290</v>
      </c>
      <c r="B59" s="190" t="s">
        <v>1236</v>
      </c>
    </row>
    <row r="60">
      <c r="A60" s="145" t="s">
        <v>310</v>
      </c>
      <c r="B60" s="191" t="s">
        <v>1237</v>
      </c>
    </row>
    <row r="61">
      <c r="A61" s="143" t="s">
        <v>330</v>
      </c>
      <c r="B61" s="190" t="s">
        <v>1238</v>
      </c>
    </row>
    <row r="62">
      <c r="A62" s="145" t="s">
        <v>350</v>
      </c>
      <c r="B62" s="192" t="s">
        <v>1240</v>
      </c>
    </row>
    <row r="63">
      <c r="A63" s="143" t="s">
        <v>373</v>
      </c>
      <c r="B63" s="193" t="s">
        <v>1241</v>
      </c>
    </row>
    <row r="64">
      <c r="A64" s="145" t="s">
        <v>395</v>
      </c>
      <c r="B64" s="191" t="s">
        <v>1242</v>
      </c>
    </row>
    <row r="65">
      <c r="A65" s="143" t="s">
        <v>424</v>
      </c>
      <c r="B65" s="193" t="s">
        <v>1243</v>
      </c>
    </row>
    <row r="66">
      <c r="A66" s="145" t="s">
        <v>452</v>
      </c>
      <c r="B66" s="191" t="s">
        <v>1244</v>
      </c>
    </row>
    <row r="67">
      <c r="A67" s="143" t="s">
        <v>480</v>
      </c>
      <c r="B67" s="193" t="s">
        <v>1245</v>
      </c>
    </row>
    <row r="68">
      <c r="A68" s="145" t="s">
        <v>507</v>
      </c>
      <c r="B68" s="192" t="s">
        <v>1246</v>
      </c>
    </row>
    <row r="69">
      <c r="A69" s="143" t="s">
        <v>528</v>
      </c>
      <c r="B69" s="190" t="s">
        <v>1248</v>
      </c>
    </row>
    <row r="70">
      <c r="A70" s="145" t="s">
        <v>547</v>
      </c>
      <c r="B70" s="192" t="s">
        <v>1249</v>
      </c>
    </row>
    <row r="71">
      <c r="A71" s="143" t="s">
        <v>570</v>
      </c>
      <c r="B71" s="193" t="s">
        <v>1250</v>
      </c>
    </row>
    <row r="72">
      <c r="A72" s="145" t="s">
        <v>592</v>
      </c>
      <c r="B72" s="191" t="s">
        <v>1251</v>
      </c>
    </row>
    <row r="73">
      <c r="A73" s="143" t="s">
        <v>613</v>
      </c>
      <c r="B73" s="193" t="s">
        <v>1252</v>
      </c>
    </row>
    <row r="74">
      <c r="A74" s="145" t="s">
        <v>628</v>
      </c>
      <c r="B74" s="192" t="s">
        <v>1253</v>
      </c>
    </row>
    <row r="75">
      <c r="A75" s="143" t="s">
        <v>630</v>
      </c>
      <c r="B75" s="193" t="s">
        <v>1215</v>
      </c>
    </row>
    <row r="76">
      <c r="A76" s="145" t="s">
        <v>635</v>
      </c>
      <c r="B76" s="192" t="s">
        <v>1255</v>
      </c>
    </row>
    <row r="77">
      <c r="A77" s="143" t="s">
        <v>638</v>
      </c>
      <c r="B77" s="193" t="s">
        <v>1256</v>
      </c>
    </row>
    <row r="78">
      <c r="A78" s="145" t="s">
        <v>642</v>
      </c>
      <c r="B78" s="191" t="s">
        <v>1257</v>
      </c>
    </row>
    <row r="79">
      <c r="A79" s="143" t="s">
        <v>646</v>
      </c>
      <c r="B79" s="193" t="s">
        <v>1258</v>
      </c>
    </row>
    <row r="80">
      <c r="A80" s="145" t="s">
        <v>650</v>
      </c>
      <c r="B80" s="191" t="s">
        <v>1259</v>
      </c>
    </row>
    <row r="81">
      <c r="A81" s="143" t="s">
        <v>503</v>
      </c>
      <c r="B81" s="193" t="str">
        <f>B$37</f>
        <v>Increases the size of your upgrade grid.</v>
      </c>
    </row>
    <row r="82">
      <c r="A82" s="145" t="s">
        <v>511</v>
      </c>
      <c r="B82" s="193" t="str">
        <f>B$38</f>
        <v>Commandeers 1 column from each of your other upgrade grids.</v>
      </c>
    </row>
    <row r="83">
      <c r="A83" s="143" t="s">
        <v>516</v>
      </c>
      <c r="B83" s="193" t="str">
        <f>B$39</f>
        <v>Increases the size of your upgrade grid.</v>
      </c>
    </row>
    <row r="84">
      <c r="A84" s="145"/>
      <c r="B84" s="191"/>
    </row>
    <row r="85">
      <c r="A85" s="143"/>
      <c r="B85" s="193"/>
    </row>
    <row r="86">
      <c r="A86" s="145"/>
      <c r="B86" s="191"/>
    </row>
    <row r="87">
      <c r="A87" s="143"/>
      <c r="B87" s="193"/>
    </row>
    <row r="88">
      <c r="A88" s="145"/>
      <c r="B88" s="191"/>
    </row>
    <row r="89">
      <c r="A89" s="143"/>
      <c r="B89" s="193"/>
    </row>
    <row r="90">
      <c r="A90" s="145"/>
      <c r="B90" s="191"/>
    </row>
    <row r="91">
      <c r="A91" s="143"/>
      <c r="B91" s="193"/>
    </row>
    <row r="92">
      <c r="A92" s="145"/>
      <c r="B92" s="191"/>
    </row>
    <row r="93">
      <c r="A93" s="143"/>
      <c r="B93" s="193"/>
    </row>
    <row r="94">
      <c r="A94" s="145"/>
      <c r="B94" s="191"/>
    </row>
    <row r="95">
      <c r="A95" s="143"/>
      <c r="B95" s="193"/>
    </row>
    <row r="96">
      <c r="A96" s="145"/>
      <c r="B96" s="191"/>
    </row>
    <row r="97">
      <c r="A97" s="143"/>
      <c r="B97" s="193"/>
    </row>
    <row r="98">
      <c r="A98" s="145"/>
      <c r="B98" s="191"/>
    </row>
    <row r="99">
      <c r="A99" s="143"/>
      <c r="B99" s="193"/>
    </row>
    <row r="100">
      <c r="A100" s="184"/>
      <c r="B100" s="191"/>
    </row>
    <row r="101">
      <c r="A101" s="171" t="str">
        <f t="array" ref="A101:A150">'Up Names'!C2:C51</f>
        <v>Breeding Season</v>
      </c>
      <c r="B101" s="193" t="s">
        <v>1262</v>
      </c>
    </row>
    <row r="102">
      <c r="A102" s="145" t="s">
        <v>152</v>
      </c>
      <c r="B102" s="191" t="s">
        <v>1263</v>
      </c>
    </row>
    <row r="103">
      <c r="A103" s="143" t="s">
        <v>172</v>
      </c>
      <c r="B103" s="193" t="s">
        <v>1264</v>
      </c>
    </row>
    <row r="104">
      <c r="A104" s="145" t="s">
        <v>192</v>
      </c>
      <c r="B104" s="191" t="s">
        <v>1265</v>
      </c>
    </row>
    <row r="105">
      <c r="A105" s="143" t="s">
        <v>212</v>
      </c>
      <c r="B105" s="193" t="s">
        <v>1266</v>
      </c>
    </row>
    <row r="106">
      <c r="A106" s="145" t="s">
        <v>231</v>
      </c>
      <c r="B106" s="191" t="s">
        <v>1267</v>
      </c>
    </row>
    <row r="107">
      <c r="A107" s="143" t="s">
        <v>251</v>
      </c>
      <c r="B107" s="193" t="s">
        <v>1268</v>
      </c>
    </row>
    <row r="108">
      <c r="A108" s="145" t="s">
        <v>271</v>
      </c>
      <c r="B108" s="191" t="s">
        <v>1269</v>
      </c>
    </row>
    <row r="109">
      <c r="A109" s="143" t="s">
        <v>291</v>
      </c>
      <c r="B109" s="193" t="s">
        <v>1271</v>
      </c>
    </row>
    <row r="110">
      <c r="A110" s="145" t="s">
        <v>311</v>
      </c>
      <c r="B110" s="191" t="s">
        <v>1272</v>
      </c>
    </row>
    <row r="111">
      <c r="A111" s="143" t="s">
        <v>331</v>
      </c>
      <c r="B111" s="193" t="s">
        <v>1273</v>
      </c>
    </row>
    <row r="112">
      <c r="A112" s="145" t="s">
        <v>351</v>
      </c>
      <c r="B112" s="191" t="s">
        <v>1274</v>
      </c>
    </row>
    <row r="113">
      <c r="A113" s="143" t="s">
        <v>374</v>
      </c>
      <c r="B113" s="193" t="s">
        <v>1275</v>
      </c>
    </row>
    <row r="114">
      <c r="A114" s="145" t="s">
        <v>396</v>
      </c>
      <c r="B114" s="191" t="s">
        <v>1276</v>
      </c>
    </row>
    <row r="115">
      <c r="A115" s="143" t="s">
        <v>425</v>
      </c>
      <c r="B115" s="193" t="s">
        <v>1277</v>
      </c>
    </row>
    <row r="116">
      <c r="A116" s="145" t="s">
        <v>453</v>
      </c>
      <c r="B116" s="191" t="s">
        <v>1278</v>
      </c>
    </row>
    <row r="117">
      <c r="A117" s="143" t="s">
        <v>482</v>
      </c>
      <c r="B117" s="193" t="s">
        <v>1280</v>
      </c>
    </row>
    <row r="118">
      <c r="A118" s="145" t="s">
        <v>508</v>
      </c>
      <c r="B118" s="192" t="s">
        <v>1281</v>
      </c>
    </row>
    <row r="119">
      <c r="A119" s="143" t="s">
        <v>529</v>
      </c>
      <c r="B119" s="190" t="s">
        <v>1282</v>
      </c>
    </row>
    <row r="120">
      <c r="A120" s="145" t="s">
        <v>548</v>
      </c>
      <c r="B120" s="191" t="s">
        <v>1283</v>
      </c>
    </row>
    <row r="121">
      <c r="A121" s="143" t="s">
        <v>571</v>
      </c>
      <c r="B121" s="193" t="s">
        <v>1284</v>
      </c>
    </row>
    <row r="122">
      <c r="A122" s="145" t="s">
        <v>594</v>
      </c>
      <c r="B122" s="191" t="s">
        <v>1285</v>
      </c>
    </row>
    <row r="123">
      <c r="A123" s="143" t="s">
        <v>615</v>
      </c>
      <c r="B123" s="193" t="s">
        <v>1286</v>
      </c>
    </row>
    <row r="124">
      <c r="A124" s="145" t="s">
        <v>640</v>
      </c>
      <c r="B124" s="192" t="s">
        <v>1288</v>
      </c>
    </row>
    <row r="125">
      <c r="A125" s="143" t="s">
        <v>659</v>
      </c>
      <c r="B125" s="193" t="s">
        <v>1289</v>
      </c>
    </row>
    <row r="126">
      <c r="A126" s="145" t="s">
        <v>674</v>
      </c>
      <c r="B126" s="191" t="s">
        <v>1215</v>
      </c>
    </row>
    <row r="127">
      <c r="A127" s="143" t="s">
        <v>688</v>
      </c>
      <c r="B127" s="193" t="s">
        <v>1259</v>
      </c>
    </row>
    <row r="128">
      <c r="A128" s="145" t="s">
        <v>705</v>
      </c>
      <c r="B128" s="191" t="s">
        <v>1290</v>
      </c>
    </row>
    <row r="129">
      <c r="A129" s="143" t="s">
        <v>724</v>
      </c>
      <c r="B129" s="193" t="s">
        <v>1291</v>
      </c>
    </row>
    <row r="130">
      <c r="A130" s="145" t="s">
        <v>742</v>
      </c>
      <c r="B130" s="191" t="s">
        <v>1292</v>
      </c>
    </row>
    <row r="131">
      <c r="A131" s="143" t="s">
        <v>503</v>
      </c>
      <c r="B131" s="193" t="str">
        <f>B$37</f>
        <v>Increases the size of your upgrade grid.</v>
      </c>
    </row>
    <row r="132">
      <c r="A132" s="145" t="s">
        <v>511</v>
      </c>
      <c r="B132" s="193" t="str">
        <f>B$38</f>
        <v>Commandeers 1 column from each of your other upgrade grids.</v>
      </c>
    </row>
    <row r="133">
      <c r="A133" s="143" t="s">
        <v>516</v>
      </c>
      <c r="B133" s="193" t="str">
        <f>B$39</f>
        <v>Increases the size of your upgrade grid.</v>
      </c>
    </row>
    <row r="134">
      <c r="A134" s="145"/>
      <c r="B134" s="191"/>
    </row>
    <row r="135">
      <c r="A135" s="143"/>
      <c r="B135" s="193"/>
    </row>
    <row r="136">
      <c r="A136" s="145"/>
      <c r="B136" s="191"/>
    </row>
    <row r="137">
      <c r="A137" s="143"/>
      <c r="B137" s="193"/>
    </row>
    <row r="138">
      <c r="A138" s="145"/>
      <c r="B138" s="191"/>
    </row>
    <row r="139">
      <c r="A139" s="143"/>
      <c r="B139" s="193"/>
    </row>
    <row r="140">
      <c r="A140" s="145"/>
      <c r="B140" s="191"/>
    </row>
    <row r="141">
      <c r="A141" s="143"/>
      <c r="B141" s="193"/>
    </row>
    <row r="142">
      <c r="A142" s="145"/>
      <c r="B142" s="191"/>
    </row>
    <row r="143">
      <c r="A143" s="143"/>
      <c r="B143" s="193"/>
    </row>
    <row r="144">
      <c r="A144" s="145"/>
      <c r="B144" s="191"/>
    </row>
    <row r="145">
      <c r="A145" s="143"/>
      <c r="B145" s="193"/>
    </row>
    <row r="146">
      <c r="A146" s="145"/>
      <c r="B146" s="191"/>
    </row>
    <row r="147">
      <c r="A147" s="143"/>
      <c r="B147" s="193"/>
    </row>
    <row r="148">
      <c r="A148" s="145"/>
      <c r="B148" s="191"/>
    </row>
    <row r="149">
      <c r="A149" s="143"/>
      <c r="B149" s="193"/>
    </row>
    <row r="150">
      <c r="A150" s="184"/>
      <c r="B150" s="191"/>
    </row>
    <row r="151">
      <c r="A151" s="171" t="str">
        <f t="array" ref="A151:A200">'Up Names'!D2:D51</f>
        <v>Arc Lightning</v>
      </c>
      <c r="B151" s="190" t="s">
        <v>1297</v>
      </c>
    </row>
    <row r="152">
      <c r="A152" s="145" t="s">
        <v>153</v>
      </c>
      <c r="B152" s="191" t="s">
        <v>1298</v>
      </c>
    </row>
    <row r="153">
      <c r="A153" s="143" t="s">
        <v>173</v>
      </c>
      <c r="B153" s="193" t="s">
        <v>1299</v>
      </c>
    </row>
    <row r="154">
      <c r="A154" s="145" t="s">
        <v>193</v>
      </c>
      <c r="B154" s="192" t="s">
        <v>1300</v>
      </c>
    </row>
    <row r="155">
      <c r="A155" s="143" t="s">
        <v>213</v>
      </c>
      <c r="B155" s="193" t="s">
        <v>1301</v>
      </c>
    </row>
    <row r="156">
      <c r="A156" s="145" t="s">
        <v>232</v>
      </c>
      <c r="B156" s="191" t="s">
        <v>1302</v>
      </c>
    </row>
    <row r="157">
      <c r="A157" s="143" t="s">
        <v>252</v>
      </c>
      <c r="B157" s="193" t="s">
        <v>1304</v>
      </c>
    </row>
    <row r="158">
      <c r="A158" s="145" t="s">
        <v>272</v>
      </c>
      <c r="B158" s="192" t="s">
        <v>1305</v>
      </c>
    </row>
    <row r="159">
      <c r="A159" s="143" t="s">
        <v>292</v>
      </c>
      <c r="B159" s="193" t="s">
        <v>1306</v>
      </c>
    </row>
    <row r="160">
      <c r="A160" s="145" t="s">
        <v>312</v>
      </c>
      <c r="B160" s="191" t="s">
        <v>1307</v>
      </c>
    </row>
    <row r="161">
      <c r="A161" s="143" t="s">
        <v>332</v>
      </c>
      <c r="B161" s="193" t="s">
        <v>1308</v>
      </c>
    </row>
    <row r="162">
      <c r="A162" s="145" t="s">
        <v>352</v>
      </c>
      <c r="B162" s="191" t="s">
        <v>1309</v>
      </c>
    </row>
    <row r="163">
      <c r="A163" s="143" t="s">
        <v>375</v>
      </c>
      <c r="B163" s="190" t="s">
        <v>1310</v>
      </c>
    </row>
    <row r="164">
      <c r="A164" s="145" t="s">
        <v>398</v>
      </c>
      <c r="B164" s="191" t="s">
        <v>1312</v>
      </c>
    </row>
    <row r="165">
      <c r="A165" s="143" t="s">
        <v>427</v>
      </c>
      <c r="B165" s="193" t="s">
        <v>1313</v>
      </c>
    </row>
    <row r="166">
      <c r="A166" s="145" t="s">
        <v>454</v>
      </c>
      <c r="B166" s="192" t="s">
        <v>1314</v>
      </c>
    </row>
    <row r="167">
      <c r="A167" s="143" t="s">
        <v>484</v>
      </c>
      <c r="B167" s="193" t="s">
        <v>1315</v>
      </c>
    </row>
    <row r="168">
      <c r="A168" s="145" t="s">
        <v>509</v>
      </c>
      <c r="B168" s="191" t="s">
        <v>1316</v>
      </c>
    </row>
    <row r="169">
      <c r="A169" s="143" t="s">
        <v>530</v>
      </c>
      <c r="B169" s="193" t="s">
        <v>1317</v>
      </c>
    </row>
    <row r="170">
      <c r="A170" s="145" t="s">
        <v>549</v>
      </c>
      <c r="B170" s="192" t="s">
        <v>1318</v>
      </c>
    </row>
    <row r="171">
      <c r="A171" s="143" t="s">
        <v>572</v>
      </c>
      <c r="B171" s="193" t="s">
        <v>1320</v>
      </c>
    </row>
    <row r="172">
      <c r="A172" s="145" t="s">
        <v>595</v>
      </c>
      <c r="B172" s="191" t="s">
        <v>1321</v>
      </c>
    </row>
    <row r="173">
      <c r="A173" s="143" t="s">
        <v>616</v>
      </c>
      <c r="B173" s="193" t="s">
        <v>1322</v>
      </c>
    </row>
    <row r="174">
      <c r="A174" s="145" t="s">
        <v>641</v>
      </c>
      <c r="B174" s="191" t="s">
        <v>1323</v>
      </c>
    </row>
    <row r="175">
      <c r="A175" s="143" t="s">
        <v>660</v>
      </c>
      <c r="B175" s="193" t="s">
        <v>1324</v>
      </c>
    </row>
    <row r="176">
      <c r="A176" s="145" t="s">
        <v>675</v>
      </c>
      <c r="B176" s="191" t="s">
        <v>1325</v>
      </c>
    </row>
    <row r="177">
      <c r="A177" s="143" t="s">
        <v>689</v>
      </c>
      <c r="B177" s="193" t="s">
        <v>1326</v>
      </c>
    </row>
    <row r="178">
      <c r="A178" s="145" t="s">
        <v>707</v>
      </c>
      <c r="B178" s="191" t="s">
        <v>1327</v>
      </c>
    </row>
    <row r="179">
      <c r="A179" s="143" t="s">
        <v>725</v>
      </c>
      <c r="B179" s="193" t="s">
        <v>1250</v>
      </c>
    </row>
    <row r="180">
      <c r="A180" s="145" t="s">
        <v>743</v>
      </c>
      <c r="B180" s="191" t="s">
        <v>1329</v>
      </c>
    </row>
    <row r="181">
      <c r="A181" s="143" t="s">
        <v>760</v>
      </c>
      <c r="B181" s="193" t="s">
        <v>1330</v>
      </c>
    </row>
    <row r="182">
      <c r="A182" s="145" t="s">
        <v>773</v>
      </c>
      <c r="B182" s="191" t="s">
        <v>1331</v>
      </c>
    </row>
    <row r="183">
      <c r="A183" s="143" t="s">
        <v>779</v>
      </c>
      <c r="B183" s="190" t="s">
        <v>1332</v>
      </c>
    </row>
    <row r="184">
      <c r="A184" s="145" t="s">
        <v>503</v>
      </c>
      <c r="B184" s="193" t="str">
        <f>B$37</f>
        <v>Increases the size of your upgrade grid.</v>
      </c>
    </row>
    <row r="185">
      <c r="A185" s="143" t="s">
        <v>511</v>
      </c>
      <c r="B185" s="193" t="str">
        <f>B$38</f>
        <v>Commandeers 1 column from each of your other upgrade grids.</v>
      </c>
    </row>
    <row r="186">
      <c r="A186" s="145" t="s">
        <v>516</v>
      </c>
      <c r="B186" s="193" t="str">
        <f>B$39</f>
        <v>Increases the size of your upgrade grid.</v>
      </c>
    </row>
    <row r="187">
      <c r="A187" s="143"/>
      <c r="B187" s="193"/>
    </row>
    <row r="188">
      <c r="A188" s="145"/>
      <c r="B188" s="191"/>
    </row>
    <row r="189">
      <c r="A189" s="143"/>
      <c r="B189" s="193"/>
    </row>
    <row r="190">
      <c r="A190" s="145"/>
      <c r="B190" s="191"/>
    </row>
    <row r="191">
      <c r="A191" s="143"/>
      <c r="B191" s="193"/>
    </row>
    <row r="192">
      <c r="A192" s="145"/>
      <c r="B192" s="191"/>
    </row>
    <row r="193">
      <c r="A193" s="143"/>
      <c r="B193" s="193"/>
    </row>
    <row r="194">
      <c r="A194" s="145"/>
      <c r="B194" s="191"/>
    </row>
    <row r="195">
      <c r="A195" s="143"/>
      <c r="B195" s="193"/>
    </row>
    <row r="196">
      <c r="A196" s="145"/>
      <c r="B196" s="191"/>
    </row>
    <row r="197">
      <c r="A197" s="143"/>
      <c r="B197" s="193"/>
    </row>
    <row r="198">
      <c r="A198" s="145"/>
      <c r="B198" s="191"/>
    </row>
    <row r="199">
      <c r="A199" s="143"/>
      <c r="B199" s="193"/>
    </row>
    <row r="200">
      <c r="A200" s="184"/>
      <c r="B200" s="191"/>
    </row>
    <row r="201">
      <c r="A201" s="171" t="str">
        <f t="array" ref="A201:A250">'Up Names'!E2:E51</f>
        <v>Big Fat Doobie</v>
      </c>
      <c r="B201" s="193" t="s">
        <v>1337</v>
      </c>
    </row>
    <row r="202">
      <c r="A202" s="145" t="s">
        <v>154</v>
      </c>
      <c r="B202" s="192" t="s">
        <v>1338</v>
      </c>
    </row>
    <row r="203">
      <c r="A203" s="143" t="s">
        <v>174</v>
      </c>
      <c r="B203" s="193" t="s">
        <v>1339</v>
      </c>
    </row>
    <row r="204">
      <c r="A204" s="145" t="s">
        <v>194</v>
      </c>
      <c r="B204" s="191" t="s">
        <v>1340</v>
      </c>
    </row>
    <row r="205">
      <c r="A205" s="143" t="s">
        <v>214</v>
      </c>
      <c r="B205" s="193" t="s">
        <v>1341</v>
      </c>
    </row>
    <row r="206">
      <c r="A206" s="145" t="s">
        <v>233</v>
      </c>
      <c r="B206" s="191" t="s">
        <v>1342</v>
      </c>
    </row>
    <row r="207">
      <c r="A207" s="143" t="s">
        <v>253</v>
      </c>
      <c r="B207" s="193" t="s">
        <v>1343</v>
      </c>
    </row>
    <row r="208">
      <c r="A208" s="145" t="s">
        <v>273</v>
      </c>
      <c r="B208" s="191" t="s">
        <v>1345</v>
      </c>
    </row>
    <row r="209">
      <c r="A209" s="143" t="s">
        <v>293</v>
      </c>
      <c r="B209" s="193" t="s">
        <v>1346</v>
      </c>
    </row>
    <row r="210">
      <c r="A210" s="145" t="s">
        <v>313</v>
      </c>
      <c r="B210" s="192" t="s">
        <v>1347</v>
      </c>
    </row>
    <row r="211">
      <c r="A211" s="143" t="s">
        <v>333</v>
      </c>
      <c r="B211" s="193" t="s">
        <v>1348</v>
      </c>
    </row>
    <row r="212">
      <c r="A212" s="145" t="s">
        <v>353</v>
      </c>
      <c r="B212" s="191" t="s">
        <v>1349</v>
      </c>
    </row>
    <row r="213">
      <c r="A213" s="143" t="s">
        <v>376</v>
      </c>
      <c r="B213" s="193" t="s">
        <v>1350</v>
      </c>
    </row>
    <row r="214">
      <c r="A214" s="145" t="s">
        <v>399</v>
      </c>
      <c r="B214" s="191" t="s">
        <v>1280</v>
      </c>
    </row>
    <row r="215">
      <c r="A215" s="143" t="s">
        <v>428</v>
      </c>
      <c r="B215" s="190" t="s">
        <v>1352</v>
      </c>
    </row>
    <row r="216">
      <c r="A216" s="145" t="s">
        <v>456</v>
      </c>
      <c r="B216" s="191" t="s">
        <v>1353</v>
      </c>
    </row>
    <row r="217">
      <c r="A217" s="143" t="s">
        <v>485</v>
      </c>
      <c r="B217" s="193" t="s">
        <v>1354</v>
      </c>
    </row>
    <row r="218">
      <c r="A218" s="145" t="s">
        <v>510</v>
      </c>
      <c r="B218" s="191" t="s">
        <v>1355</v>
      </c>
    </row>
    <row r="219">
      <c r="A219" s="143" t="s">
        <v>531</v>
      </c>
      <c r="B219" s="190" t="s">
        <v>1356</v>
      </c>
    </row>
    <row r="220">
      <c r="A220" s="145" t="s">
        <v>550</v>
      </c>
      <c r="B220" s="191" t="s">
        <v>1357</v>
      </c>
    </row>
    <row r="221">
      <c r="A221" s="143" t="s">
        <v>574</v>
      </c>
      <c r="B221" s="193" t="s">
        <v>1359</v>
      </c>
    </row>
    <row r="222">
      <c r="A222" s="145" t="s">
        <v>596</v>
      </c>
      <c r="B222" s="191" t="s">
        <v>1360</v>
      </c>
    </row>
    <row r="223">
      <c r="A223" s="143" t="s">
        <v>617</v>
      </c>
      <c r="B223" s="193" t="s">
        <v>1361</v>
      </c>
    </row>
    <row r="224">
      <c r="A224" s="145" t="s">
        <v>643</v>
      </c>
      <c r="B224" s="191" t="s">
        <v>1362</v>
      </c>
    </row>
    <row r="225">
      <c r="A225" s="143" t="s">
        <v>661</v>
      </c>
      <c r="B225" s="193" t="s">
        <v>1363</v>
      </c>
    </row>
    <row r="226">
      <c r="A226" s="145" t="s">
        <v>676</v>
      </c>
      <c r="B226" s="191" t="s">
        <v>1364</v>
      </c>
    </row>
    <row r="227">
      <c r="A227" s="143" t="s">
        <v>690</v>
      </c>
      <c r="B227" s="193" t="s">
        <v>1365</v>
      </c>
    </row>
    <row r="228">
      <c r="A228" s="145" t="s">
        <v>708</v>
      </c>
      <c r="B228" s="191" t="s">
        <v>1291</v>
      </c>
    </row>
    <row r="229">
      <c r="A229" s="143" t="s">
        <v>727</v>
      </c>
      <c r="B229" s="193" t="s">
        <v>1218</v>
      </c>
    </row>
    <row r="230">
      <c r="A230" s="145" t="s">
        <v>744</v>
      </c>
      <c r="B230" s="191" t="s">
        <v>1215</v>
      </c>
    </row>
    <row r="231">
      <c r="A231" s="143" t="s">
        <v>761</v>
      </c>
      <c r="B231" s="193" t="s">
        <v>1330</v>
      </c>
    </row>
    <row r="232">
      <c r="A232" s="145" t="s">
        <v>503</v>
      </c>
      <c r="B232" s="193" t="str">
        <f>B$37</f>
        <v>Increases the size of your upgrade grid.</v>
      </c>
    </row>
    <row r="233">
      <c r="A233" s="143" t="s">
        <v>511</v>
      </c>
      <c r="B233" s="193" t="str">
        <f>B$38</f>
        <v>Commandeers 1 column from each of your other upgrade grids.</v>
      </c>
    </row>
    <row r="234">
      <c r="A234" s="145" t="s">
        <v>516</v>
      </c>
      <c r="B234" s="193" t="str">
        <f>B$39</f>
        <v>Increases the size of your upgrade grid.</v>
      </c>
    </row>
    <row r="235">
      <c r="A235" s="143"/>
      <c r="B235" s="193"/>
    </row>
    <row r="236">
      <c r="A236" s="145"/>
      <c r="B236" s="191"/>
    </row>
    <row r="237">
      <c r="A237" s="143"/>
      <c r="B237" s="193"/>
    </row>
    <row r="238">
      <c r="A238" s="145"/>
      <c r="B238" s="191"/>
    </row>
    <row r="239">
      <c r="A239" s="143"/>
      <c r="B239" s="193"/>
    </row>
    <row r="240">
      <c r="A240" s="145"/>
      <c r="B240" s="191"/>
    </row>
    <row r="241">
      <c r="A241" s="143"/>
      <c r="B241" s="193"/>
    </row>
    <row r="242">
      <c r="A242" s="163"/>
      <c r="B242" s="191"/>
    </row>
    <row r="243">
      <c r="A243" s="143"/>
      <c r="B243" s="193"/>
    </row>
    <row r="244">
      <c r="A244" s="145"/>
      <c r="B244" s="191"/>
    </row>
    <row r="245">
      <c r="A245" s="143"/>
      <c r="B245" s="193"/>
    </row>
    <row r="246">
      <c r="A246" s="145"/>
      <c r="B246" s="191"/>
    </row>
    <row r="247">
      <c r="A247" s="143"/>
      <c r="B247" s="193"/>
    </row>
    <row r="248">
      <c r="A248" s="145"/>
      <c r="B248" s="191"/>
    </row>
    <row r="249">
      <c r="A249" s="143"/>
      <c r="B249" s="193"/>
    </row>
    <row r="250">
      <c r="A250" s="184"/>
      <c r="B250" s="191"/>
    </row>
    <row r="251">
      <c r="A251" s="171" t="str">
        <f t="array" ref="A251:A300">'Up Names'!F2:F51</f>
        <v>Return to Receiver</v>
      </c>
      <c r="B251" s="193" t="s">
        <v>1370</v>
      </c>
    </row>
    <row r="252">
      <c r="A252" s="145" t="s">
        <v>155</v>
      </c>
      <c r="B252" s="191" t="s">
        <v>1372</v>
      </c>
    </row>
    <row r="253">
      <c r="A253" s="143" t="s">
        <v>175</v>
      </c>
      <c r="B253" s="193" t="s">
        <v>1373</v>
      </c>
    </row>
    <row r="254">
      <c r="A254" s="145" t="s">
        <v>195</v>
      </c>
      <c r="B254" s="191" t="s">
        <v>1374</v>
      </c>
    </row>
    <row r="255">
      <c r="A255" s="143" t="s">
        <v>215</v>
      </c>
      <c r="B255" s="190" t="s">
        <v>1375</v>
      </c>
    </row>
    <row r="256">
      <c r="A256" s="145" t="s">
        <v>234</v>
      </c>
      <c r="B256" s="192" t="s">
        <v>1376</v>
      </c>
    </row>
    <row r="257">
      <c r="A257" s="143" t="s">
        <v>254</v>
      </c>
      <c r="B257" s="190" t="s">
        <v>1377</v>
      </c>
    </row>
    <row r="258">
      <c r="A258" s="145" t="s">
        <v>274</v>
      </c>
      <c r="B258" s="192" t="s">
        <v>1378</v>
      </c>
    </row>
    <row r="259">
      <c r="A259" s="143" t="s">
        <v>294</v>
      </c>
      <c r="B259" s="193" t="s">
        <v>1380</v>
      </c>
    </row>
    <row r="260">
      <c r="A260" s="145" t="s">
        <v>314</v>
      </c>
      <c r="B260" s="191" t="s">
        <v>1381</v>
      </c>
    </row>
    <row r="261">
      <c r="A261" s="143" t="s">
        <v>334</v>
      </c>
      <c r="B261" s="190" t="s">
        <v>1382</v>
      </c>
    </row>
    <row r="262">
      <c r="A262" s="145" t="s">
        <v>354</v>
      </c>
      <c r="B262" s="191" t="s">
        <v>1383</v>
      </c>
    </row>
    <row r="263">
      <c r="A263" s="143" t="s">
        <v>378</v>
      </c>
      <c r="B263" s="193" t="s">
        <v>1384</v>
      </c>
    </row>
    <row r="264">
      <c r="A264" s="145" t="s">
        <v>400</v>
      </c>
      <c r="B264" s="191" t="s">
        <v>1385</v>
      </c>
    </row>
    <row r="265">
      <c r="A265" s="143" t="s">
        <v>429</v>
      </c>
      <c r="B265" s="190" t="s">
        <v>1386</v>
      </c>
    </row>
    <row r="266">
      <c r="A266" s="145" t="s">
        <v>457</v>
      </c>
      <c r="B266" s="191" t="s">
        <v>1388</v>
      </c>
    </row>
    <row r="267">
      <c r="A267" s="143" t="s">
        <v>487</v>
      </c>
      <c r="B267" s="193" t="s">
        <v>1389</v>
      </c>
    </row>
    <row r="268">
      <c r="A268" s="145" t="s">
        <v>512</v>
      </c>
      <c r="B268" s="192" t="s">
        <v>1390</v>
      </c>
    </row>
    <row r="269">
      <c r="A269" s="143" t="s">
        <v>532</v>
      </c>
      <c r="B269" s="190" t="s">
        <v>1391</v>
      </c>
    </row>
    <row r="270">
      <c r="A270" s="145" t="s">
        <v>551</v>
      </c>
      <c r="B270" s="191" t="s">
        <v>1392</v>
      </c>
    </row>
    <row r="271">
      <c r="A271" s="143" t="s">
        <v>575</v>
      </c>
      <c r="B271" s="193" t="s">
        <v>1393</v>
      </c>
    </row>
    <row r="272">
      <c r="A272" s="145" t="s">
        <v>598</v>
      </c>
      <c r="B272" s="191" t="s">
        <v>1394</v>
      </c>
    </row>
    <row r="273">
      <c r="A273" s="143" t="s">
        <v>619</v>
      </c>
      <c r="B273" s="193" t="s">
        <v>1396</v>
      </c>
    </row>
    <row r="274">
      <c r="A274" s="145" t="s">
        <v>644</v>
      </c>
      <c r="B274" s="191" t="s">
        <v>1397</v>
      </c>
    </row>
    <row r="275">
      <c r="A275" s="143" t="s">
        <v>662</v>
      </c>
      <c r="B275" s="193" t="s">
        <v>1398</v>
      </c>
    </row>
    <row r="276">
      <c r="A276" s="145" t="s">
        <v>677</v>
      </c>
      <c r="B276" s="191" t="s">
        <v>1399</v>
      </c>
    </row>
    <row r="277">
      <c r="A277" s="143" t="s">
        <v>691</v>
      </c>
      <c r="B277" s="190" t="s">
        <v>1400</v>
      </c>
    </row>
    <row r="278">
      <c r="A278" s="145" t="s">
        <v>709</v>
      </c>
      <c r="B278" s="191" t="s">
        <v>1401</v>
      </c>
    </row>
    <row r="279">
      <c r="A279" s="143" t="s">
        <v>728</v>
      </c>
      <c r="B279" s="193" t="s">
        <v>1402</v>
      </c>
    </row>
    <row r="280">
      <c r="A280" s="145" t="s">
        <v>746</v>
      </c>
      <c r="B280" s="191" t="s">
        <v>1330</v>
      </c>
    </row>
    <row r="281">
      <c r="A281" s="143" t="s">
        <v>503</v>
      </c>
      <c r="B281" s="193" t="str">
        <f>B$37</f>
        <v>Increases the size of your upgrade grid.</v>
      </c>
    </row>
    <row r="282">
      <c r="A282" s="145" t="s">
        <v>511</v>
      </c>
      <c r="B282" s="193" t="str">
        <f>B$38</f>
        <v>Commandeers 1 column from each of your other upgrade grids.</v>
      </c>
    </row>
    <row r="283">
      <c r="A283" s="143" t="s">
        <v>516</v>
      </c>
      <c r="B283" s="193" t="str">
        <f>B$39</f>
        <v>Increases the size of your upgrade grid.</v>
      </c>
    </row>
    <row r="284">
      <c r="A284" s="145"/>
      <c r="B284" s="191"/>
    </row>
    <row r="285">
      <c r="A285" s="143"/>
      <c r="B285" s="193"/>
    </row>
    <row r="286">
      <c r="A286" s="145"/>
      <c r="B286" s="191"/>
    </row>
    <row r="287">
      <c r="A287" s="143"/>
      <c r="B287" s="193"/>
    </row>
    <row r="288">
      <c r="A288" s="145"/>
      <c r="B288" s="191"/>
    </row>
    <row r="289">
      <c r="A289" s="143"/>
      <c r="B289" s="193"/>
    </row>
    <row r="290">
      <c r="A290" s="145"/>
      <c r="B290" s="191"/>
    </row>
    <row r="291">
      <c r="A291" s="143"/>
      <c r="B291" s="193"/>
    </row>
    <row r="292">
      <c r="A292" s="145"/>
      <c r="B292" s="191"/>
    </row>
    <row r="293">
      <c r="A293" s="143"/>
      <c r="B293" s="193"/>
    </row>
    <row r="294">
      <c r="A294" s="145"/>
      <c r="B294" s="191"/>
    </row>
    <row r="295">
      <c r="A295" s="143"/>
      <c r="B295" s="193"/>
    </row>
    <row r="296">
      <c r="A296" s="145"/>
      <c r="B296" s="191"/>
    </row>
    <row r="297">
      <c r="A297" s="143"/>
      <c r="B297" s="193"/>
    </row>
    <row r="298">
      <c r="A298" s="145"/>
      <c r="B298" s="191"/>
    </row>
    <row r="299">
      <c r="A299" s="143"/>
      <c r="B299" s="193"/>
    </row>
    <row r="300">
      <c r="A300" s="184"/>
      <c r="B300" s="191"/>
    </row>
    <row r="301">
      <c r="A301" s="171" t="str">
        <f t="array" ref="A301:A350">'Up Names'!G2:G51</f>
        <v>Yellow Prism</v>
      </c>
      <c r="B301" s="193" t="s">
        <v>1407</v>
      </c>
    </row>
    <row r="302">
      <c r="A302" s="145" t="s">
        <v>156</v>
      </c>
      <c r="B302" s="191" t="s">
        <v>1408</v>
      </c>
    </row>
    <row r="303">
      <c r="A303" s="143" t="s">
        <v>176</v>
      </c>
      <c r="B303" s="190" t="s">
        <v>1409</v>
      </c>
    </row>
    <row r="304">
      <c r="A304" s="145" t="s">
        <v>196</v>
      </c>
      <c r="B304" s="191" t="s">
        <v>1410</v>
      </c>
    </row>
    <row r="305">
      <c r="A305" s="143" t="s">
        <v>216</v>
      </c>
      <c r="B305" s="190" t="s">
        <v>1411</v>
      </c>
    </row>
    <row r="306">
      <c r="A306" s="145" t="s">
        <v>235</v>
      </c>
      <c r="B306" s="191" t="s">
        <v>1407</v>
      </c>
    </row>
    <row r="307">
      <c r="A307" s="143" t="s">
        <v>255</v>
      </c>
      <c r="B307" s="190" t="s">
        <v>1412</v>
      </c>
    </row>
    <row r="308">
      <c r="A308" s="145" t="s">
        <v>275</v>
      </c>
      <c r="B308" s="192" t="s">
        <v>1413</v>
      </c>
    </row>
    <row r="309">
      <c r="A309" s="143" t="s">
        <v>295</v>
      </c>
      <c r="B309" s="190" t="s">
        <v>1414</v>
      </c>
    </row>
    <row r="310">
      <c r="A310" s="145" t="s">
        <v>315</v>
      </c>
      <c r="B310" s="191" t="s">
        <v>1415</v>
      </c>
    </row>
    <row r="311">
      <c r="A311" s="143" t="s">
        <v>335</v>
      </c>
      <c r="B311" s="193" t="s">
        <v>1416</v>
      </c>
    </row>
    <row r="312">
      <c r="A312" s="145" t="s">
        <v>355</v>
      </c>
      <c r="B312" s="191" t="s">
        <v>1417</v>
      </c>
    </row>
    <row r="313">
      <c r="A313" s="143" t="s">
        <v>379</v>
      </c>
      <c r="B313" s="193" t="s">
        <v>1418</v>
      </c>
    </row>
    <row r="314">
      <c r="A314" s="145" t="s">
        <v>402</v>
      </c>
      <c r="B314" s="191" t="s">
        <v>1419</v>
      </c>
    </row>
    <row r="315">
      <c r="A315" s="143" t="s">
        <v>431</v>
      </c>
      <c r="B315" s="193" t="s">
        <v>1420</v>
      </c>
    </row>
    <row r="316">
      <c r="A316" s="145" t="s">
        <v>458</v>
      </c>
      <c r="B316" s="191" t="s">
        <v>1407</v>
      </c>
    </row>
    <row r="317">
      <c r="A317" s="143" t="s">
        <v>489</v>
      </c>
      <c r="B317" s="193" t="s">
        <v>1421</v>
      </c>
    </row>
    <row r="318">
      <c r="A318" s="145" t="s">
        <v>513</v>
      </c>
      <c r="B318" s="191" t="s">
        <v>1422</v>
      </c>
    </row>
    <row r="319">
      <c r="A319" s="143" t="s">
        <v>533</v>
      </c>
      <c r="B319" s="193" t="s">
        <v>1423</v>
      </c>
    </row>
    <row r="320">
      <c r="A320" s="145" t="s">
        <v>552</v>
      </c>
      <c r="B320" s="191" t="s">
        <v>1424</v>
      </c>
    </row>
    <row r="321">
      <c r="A321" s="143" t="s">
        <v>576</v>
      </c>
      <c r="B321" s="190" t="s">
        <v>1425</v>
      </c>
    </row>
    <row r="322">
      <c r="A322" s="145" t="s">
        <v>599</v>
      </c>
      <c r="B322" s="191" t="s">
        <v>1426</v>
      </c>
    </row>
    <row r="323">
      <c r="A323" s="143" t="s">
        <v>620</v>
      </c>
      <c r="B323" s="193" t="s">
        <v>1399</v>
      </c>
    </row>
    <row r="324">
      <c r="A324" s="145" t="s">
        <v>645</v>
      </c>
      <c r="B324" s="191" t="s">
        <v>1427</v>
      </c>
    </row>
    <row r="325">
      <c r="A325" s="143" t="s">
        <v>663</v>
      </c>
      <c r="B325" s="193" t="s">
        <v>1407</v>
      </c>
    </row>
    <row r="326">
      <c r="A326" s="145" t="s">
        <v>678</v>
      </c>
      <c r="B326" s="191" t="s">
        <v>1257</v>
      </c>
    </row>
    <row r="327">
      <c r="A327" s="143" t="s">
        <v>692</v>
      </c>
      <c r="B327" s="193" t="s">
        <v>1291</v>
      </c>
    </row>
    <row r="328">
      <c r="A328" s="145" t="s">
        <v>711</v>
      </c>
      <c r="B328" s="191" t="s">
        <v>1429</v>
      </c>
    </row>
    <row r="329">
      <c r="A329" s="143" t="s">
        <v>729</v>
      </c>
      <c r="B329" s="193" t="s">
        <v>1430</v>
      </c>
    </row>
    <row r="330">
      <c r="A330" s="145" t="s">
        <v>747</v>
      </c>
      <c r="B330" s="191" t="s">
        <v>1292</v>
      </c>
    </row>
    <row r="331">
      <c r="A331" s="143" t="s">
        <v>503</v>
      </c>
      <c r="B331" s="193" t="str">
        <f>B$37</f>
        <v>Increases the size of your upgrade grid.</v>
      </c>
    </row>
    <row r="332">
      <c r="A332" s="145" t="s">
        <v>511</v>
      </c>
      <c r="B332" s="193" t="str">
        <f>B$38</f>
        <v>Commandeers 1 column from each of your other upgrade grids.</v>
      </c>
    </row>
    <row r="333">
      <c r="A333" s="143" t="s">
        <v>516</v>
      </c>
      <c r="B333" s="193" t="str">
        <f>B$39</f>
        <v>Increases the size of your upgrade grid.</v>
      </c>
    </row>
    <row r="334">
      <c r="A334" s="145"/>
      <c r="B334" s="191"/>
    </row>
    <row r="335">
      <c r="A335" s="143"/>
      <c r="B335" s="193"/>
    </row>
    <row r="336">
      <c r="A336" s="145"/>
      <c r="B336" s="191"/>
    </row>
    <row r="337">
      <c r="A337" s="143"/>
      <c r="B337" s="193"/>
    </row>
    <row r="338">
      <c r="A338" s="145"/>
      <c r="B338" s="191"/>
    </row>
    <row r="339">
      <c r="A339" s="143"/>
      <c r="B339" s="193"/>
    </row>
    <row r="340">
      <c r="A340" s="145"/>
      <c r="B340" s="191"/>
    </row>
    <row r="341">
      <c r="A341" s="143"/>
      <c r="B341" s="193"/>
    </row>
    <row r="342">
      <c r="A342" s="145"/>
      <c r="B342" s="191"/>
    </row>
    <row r="343">
      <c r="A343" s="143"/>
      <c r="B343" s="193"/>
    </row>
    <row r="344">
      <c r="A344" s="145"/>
      <c r="B344" s="191"/>
    </row>
    <row r="345">
      <c r="A345" s="143"/>
      <c r="B345" s="193"/>
    </row>
    <row r="346">
      <c r="A346" s="145"/>
      <c r="B346" s="191"/>
    </row>
    <row r="347">
      <c r="A347" s="143"/>
      <c r="B347" s="193"/>
    </row>
    <row r="348">
      <c r="A348" s="145"/>
      <c r="B348" s="191"/>
    </row>
    <row r="349">
      <c r="A349" s="143"/>
      <c r="B349" s="193"/>
    </row>
    <row r="350">
      <c r="A350" s="184"/>
      <c r="B350" s="191"/>
    </row>
    <row r="351">
      <c r="A351" s="171" t="str">
        <f t="array" ref="A351:A400">'Up Names'!H2:H51</f>
        <v>Bailing Water</v>
      </c>
      <c r="B351" s="190" t="s">
        <v>1434</v>
      </c>
    </row>
    <row r="352">
      <c r="A352" s="145" t="s">
        <v>157</v>
      </c>
      <c r="B352" s="192" t="s">
        <v>1435</v>
      </c>
    </row>
    <row r="353">
      <c r="A353" s="143" t="s">
        <v>177</v>
      </c>
      <c r="B353" s="193" t="s">
        <v>1436</v>
      </c>
    </row>
    <row r="354">
      <c r="A354" s="145" t="s">
        <v>197</v>
      </c>
      <c r="B354" s="192" t="s">
        <v>1437</v>
      </c>
    </row>
    <row r="355">
      <c r="A355" s="143" t="s">
        <v>217</v>
      </c>
      <c r="B355" s="190" t="s">
        <v>1438</v>
      </c>
    </row>
    <row r="356">
      <c r="A356" s="145" t="s">
        <v>236</v>
      </c>
      <c r="B356" s="192" t="s">
        <v>1439</v>
      </c>
    </row>
    <row r="357">
      <c r="A357" s="143" t="s">
        <v>256</v>
      </c>
      <c r="B357" s="193" t="s">
        <v>1440</v>
      </c>
    </row>
    <row r="358">
      <c r="A358" s="145" t="s">
        <v>276</v>
      </c>
      <c r="B358" s="192" t="s">
        <v>1441</v>
      </c>
    </row>
    <row r="359">
      <c r="A359" s="143" t="s">
        <v>296</v>
      </c>
      <c r="B359" s="190" t="s">
        <v>1443</v>
      </c>
    </row>
    <row r="360">
      <c r="A360" s="145" t="s">
        <v>316</v>
      </c>
      <c r="B360" s="192" t="s">
        <v>1444</v>
      </c>
    </row>
    <row r="361">
      <c r="A361" s="143" t="s">
        <v>336</v>
      </c>
      <c r="B361" s="190" t="s">
        <v>1445</v>
      </c>
    </row>
    <row r="362">
      <c r="A362" s="145" t="s">
        <v>356</v>
      </c>
      <c r="B362" s="192" t="s">
        <v>1446</v>
      </c>
    </row>
    <row r="363">
      <c r="A363" s="143" t="s">
        <v>380</v>
      </c>
      <c r="B363" s="190" t="s">
        <v>1447</v>
      </c>
    </row>
    <row r="364">
      <c r="A364" s="145" t="s">
        <v>403</v>
      </c>
      <c r="B364" s="191" t="s">
        <v>1448</v>
      </c>
    </row>
    <row r="365">
      <c r="A365" s="143" t="s">
        <v>432</v>
      </c>
      <c r="B365" s="193" t="s">
        <v>1449</v>
      </c>
    </row>
    <row r="366">
      <c r="A366" s="145" t="s">
        <v>460</v>
      </c>
      <c r="B366" s="192" t="s">
        <v>1451</v>
      </c>
    </row>
    <row r="367">
      <c r="A367" s="143" t="s">
        <v>490</v>
      </c>
      <c r="B367" s="190" t="s">
        <v>1452</v>
      </c>
    </row>
    <row r="368">
      <c r="A368" s="145" t="s">
        <v>514</v>
      </c>
      <c r="B368" s="192" t="s">
        <v>1453</v>
      </c>
    </row>
    <row r="369">
      <c r="A369" s="143" t="s">
        <v>534</v>
      </c>
      <c r="B369" s="190" t="s">
        <v>1454</v>
      </c>
    </row>
    <row r="370">
      <c r="A370" s="145" t="s">
        <v>553</v>
      </c>
      <c r="B370" s="191" t="s">
        <v>1455</v>
      </c>
    </row>
    <row r="371">
      <c r="A371" s="143" t="s">
        <v>577</v>
      </c>
      <c r="B371" s="190" t="s">
        <v>1215</v>
      </c>
    </row>
    <row r="372">
      <c r="A372" s="145" t="s">
        <v>601</v>
      </c>
      <c r="B372" s="192" t="s">
        <v>1456</v>
      </c>
    </row>
    <row r="373">
      <c r="A373" s="143" t="s">
        <v>621</v>
      </c>
      <c r="B373" s="193" t="s">
        <v>1457</v>
      </c>
    </row>
    <row r="374">
      <c r="A374" s="145" t="s">
        <v>647</v>
      </c>
      <c r="B374" s="192" t="s">
        <v>1459</v>
      </c>
    </row>
    <row r="375">
      <c r="A375" s="143" t="s">
        <v>664</v>
      </c>
      <c r="B375" s="190" t="s">
        <v>1460</v>
      </c>
    </row>
    <row r="376">
      <c r="A376" s="145" t="s">
        <v>679</v>
      </c>
      <c r="B376" s="191" t="s">
        <v>1461</v>
      </c>
    </row>
    <row r="377">
      <c r="A377" s="143" t="s">
        <v>693</v>
      </c>
      <c r="B377" s="193" t="s">
        <v>1291</v>
      </c>
    </row>
    <row r="378">
      <c r="A378" s="145" t="s">
        <v>712</v>
      </c>
      <c r="B378" s="191" t="s">
        <v>1215</v>
      </c>
    </row>
    <row r="379">
      <c r="A379" s="143" t="s">
        <v>731</v>
      </c>
      <c r="B379" s="193" t="s">
        <v>1462</v>
      </c>
    </row>
    <row r="380">
      <c r="A380" s="145" t="s">
        <v>748</v>
      </c>
      <c r="B380" s="192" t="s">
        <v>1463</v>
      </c>
    </row>
    <row r="381">
      <c r="A381" s="143" t="s">
        <v>503</v>
      </c>
      <c r="B381" s="193" t="str">
        <f>B$37</f>
        <v>Increases the size of your upgrade grid.</v>
      </c>
    </row>
    <row r="382">
      <c r="A382" s="145" t="s">
        <v>511</v>
      </c>
      <c r="B382" s="193" t="str">
        <f>B$38</f>
        <v>Commandeers 1 column from each of your other upgrade grids.</v>
      </c>
    </row>
    <row r="383">
      <c r="A383" s="143" t="s">
        <v>516</v>
      </c>
      <c r="B383" s="193" t="str">
        <f>B$39</f>
        <v>Increases the size of your upgrade grid.</v>
      </c>
    </row>
    <row r="384">
      <c r="A384" s="145"/>
      <c r="B384" s="191"/>
    </row>
    <row r="385">
      <c r="A385" s="143"/>
      <c r="B385" s="193"/>
    </row>
    <row r="386">
      <c r="A386" s="145"/>
      <c r="B386" s="191"/>
    </row>
    <row r="387">
      <c r="A387" s="143"/>
      <c r="B387" s="193"/>
    </row>
    <row r="388">
      <c r="A388" s="145"/>
      <c r="B388" s="191"/>
    </row>
    <row r="389">
      <c r="A389" s="143"/>
      <c r="B389" s="193"/>
    </row>
    <row r="390">
      <c r="A390" s="145"/>
      <c r="B390" s="191"/>
    </row>
    <row r="391">
      <c r="A391" s="143"/>
      <c r="B391" s="193"/>
    </row>
    <row r="392">
      <c r="A392" s="145"/>
      <c r="B392" s="191"/>
    </row>
    <row r="393">
      <c r="A393" s="143"/>
      <c r="B393" s="193"/>
    </row>
    <row r="394">
      <c r="A394" s="145"/>
      <c r="B394" s="191"/>
    </row>
    <row r="395">
      <c r="A395" s="143"/>
      <c r="B395" s="193"/>
    </row>
    <row r="396">
      <c r="A396" s="145"/>
      <c r="B396" s="191"/>
    </row>
    <row r="397">
      <c r="A397" s="143"/>
      <c r="B397" s="193"/>
    </row>
    <row r="398">
      <c r="A398" s="145"/>
      <c r="B398" s="191"/>
    </row>
    <row r="399">
      <c r="A399" s="143"/>
      <c r="B399" s="193"/>
    </row>
    <row r="400">
      <c r="A400" s="184"/>
      <c r="B400" s="191"/>
    </row>
    <row r="401">
      <c r="A401" s="171" t="str">
        <f t="array" ref="A401:A450">'Up Names'!I2:I51</f>
        <v>Flood</v>
      </c>
      <c r="B401" s="190" t="s">
        <v>1467</v>
      </c>
    </row>
    <row r="402">
      <c r="A402" s="145" t="s">
        <v>158</v>
      </c>
      <c r="B402" s="192" t="s">
        <v>1469</v>
      </c>
    </row>
    <row r="403">
      <c r="A403" s="143" t="s">
        <v>178</v>
      </c>
      <c r="B403" s="190" t="s">
        <v>1470</v>
      </c>
    </row>
    <row r="404">
      <c r="A404" s="145" t="s">
        <v>198</v>
      </c>
      <c r="B404" s="191" t="s">
        <v>1471</v>
      </c>
    </row>
    <row r="405">
      <c r="A405" s="143" t="s">
        <v>218</v>
      </c>
      <c r="B405" s="193" t="s">
        <v>1472</v>
      </c>
    </row>
    <row r="406">
      <c r="A406" s="145" t="s">
        <v>237</v>
      </c>
      <c r="B406" s="192" t="s">
        <v>1473</v>
      </c>
    </row>
    <row r="407">
      <c r="A407" s="143" t="s">
        <v>257</v>
      </c>
      <c r="B407" s="190" t="s">
        <v>1474</v>
      </c>
    </row>
    <row r="408">
      <c r="A408" s="145" t="s">
        <v>277</v>
      </c>
      <c r="B408" s="192" t="s">
        <v>1475</v>
      </c>
    </row>
    <row r="409">
      <c r="A409" s="143" t="s">
        <v>297</v>
      </c>
      <c r="B409" s="193" t="s">
        <v>1477</v>
      </c>
    </row>
    <row r="410">
      <c r="A410" s="145" t="s">
        <v>317</v>
      </c>
      <c r="B410" s="191" t="s">
        <v>1478</v>
      </c>
    </row>
    <row r="411">
      <c r="A411" s="143" t="s">
        <v>337</v>
      </c>
      <c r="B411" s="190" t="s">
        <v>1479</v>
      </c>
    </row>
    <row r="412">
      <c r="A412" s="145" t="s">
        <v>357</v>
      </c>
      <c r="B412" s="191" t="s">
        <v>1480</v>
      </c>
    </row>
    <row r="413">
      <c r="A413" s="143" t="s">
        <v>381</v>
      </c>
      <c r="B413" s="193" t="s">
        <v>1482</v>
      </c>
    </row>
    <row r="414">
      <c r="A414" s="145" t="s">
        <v>405</v>
      </c>
      <c r="B414" s="191" t="s">
        <v>1483</v>
      </c>
    </row>
    <row r="415">
      <c r="A415" s="143" t="s">
        <v>433</v>
      </c>
      <c r="B415" s="190" t="s">
        <v>1484</v>
      </c>
    </row>
    <row r="416">
      <c r="A416" s="145" t="s">
        <v>462</v>
      </c>
      <c r="B416" s="191" t="s">
        <v>1486</v>
      </c>
    </row>
    <row r="417">
      <c r="A417" s="143" t="s">
        <v>491</v>
      </c>
      <c r="B417" s="193" t="s">
        <v>1487</v>
      </c>
    </row>
    <row r="418">
      <c r="A418" s="145" t="s">
        <v>515</v>
      </c>
      <c r="B418" s="192" t="s">
        <v>1488</v>
      </c>
    </row>
    <row r="419">
      <c r="A419" s="143" t="s">
        <v>535</v>
      </c>
      <c r="B419" s="193" t="s">
        <v>1489</v>
      </c>
    </row>
    <row r="420">
      <c r="A420" s="145" t="s">
        <v>554</v>
      </c>
      <c r="B420" s="191" t="s">
        <v>1490</v>
      </c>
    </row>
    <row r="421">
      <c r="A421" s="143" t="s">
        <v>578</v>
      </c>
      <c r="B421" s="193" t="s">
        <v>1491</v>
      </c>
    </row>
    <row r="422">
      <c r="A422" s="145" t="s">
        <v>602</v>
      </c>
      <c r="B422" s="192" t="s">
        <v>1493</v>
      </c>
    </row>
    <row r="423">
      <c r="A423" s="143" t="s">
        <v>623</v>
      </c>
      <c r="B423" s="193" t="s">
        <v>623</v>
      </c>
    </row>
    <row r="424">
      <c r="A424" s="145" t="s">
        <v>648</v>
      </c>
      <c r="B424" s="191" t="s">
        <v>1494</v>
      </c>
    </row>
    <row r="425">
      <c r="A425" s="143" t="s">
        <v>665</v>
      </c>
      <c r="B425" s="193" t="s">
        <v>1495</v>
      </c>
    </row>
    <row r="426">
      <c r="A426" s="145" t="s">
        <v>503</v>
      </c>
      <c r="B426" s="193" t="str">
        <f>B$37</f>
        <v>Increases the size of your upgrade grid.</v>
      </c>
    </row>
    <row r="427">
      <c r="A427" s="143" t="s">
        <v>511</v>
      </c>
      <c r="B427" s="193" t="str">
        <f>B$38</f>
        <v>Commandeers 1 column from each of your other upgrade grids.</v>
      </c>
    </row>
    <row r="428">
      <c r="A428" s="145" t="s">
        <v>516</v>
      </c>
      <c r="B428" s="193" t="str">
        <f>B$39</f>
        <v>Increases the size of your upgrade grid.</v>
      </c>
    </row>
    <row r="429">
      <c r="A429" s="143"/>
      <c r="B429" s="193"/>
    </row>
    <row r="430">
      <c r="A430" s="145"/>
      <c r="B430" s="191"/>
    </row>
    <row r="431">
      <c r="A431" s="143"/>
      <c r="B431" s="193"/>
    </row>
    <row r="432">
      <c r="A432" s="145"/>
      <c r="B432" s="191"/>
    </row>
    <row r="433">
      <c r="A433" s="143"/>
      <c r="B433" s="193"/>
    </row>
    <row r="434">
      <c r="A434" s="145"/>
      <c r="B434" s="191"/>
    </row>
    <row r="435">
      <c r="A435" s="143"/>
      <c r="B435" s="193"/>
    </row>
    <row r="436">
      <c r="A436" s="145"/>
      <c r="B436" s="191"/>
    </row>
    <row r="437">
      <c r="A437" s="143"/>
      <c r="B437" s="193"/>
    </row>
    <row r="438">
      <c r="A438" s="145"/>
      <c r="B438" s="191"/>
    </row>
    <row r="439">
      <c r="A439" s="143"/>
      <c r="B439" s="193"/>
    </row>
    <row r="440">
      <c r="A440" s="145"/>
      <c r="B440" s="191"/>
    </row>
    <row r="441">
      <c r="A441" s="143"/>
      <c r="B441" s="193"/>
    </row>
    <row r="442">
      <c r="A442" s="145"/>
      <c r="B442" s="191"/>
    </row>
    <row r="443">
      <c r="A443" s="143"/>
      <c r="B443" s="193"/>
    </row>
    <row r="444">
      <c r="A444" s="145"/>
      <c r="B444" s="191"/>
    </row>
    <row r="445">
      <c r="A445" s="143"/>
      <c r="B445" s="193"/>
    </row>
    <row r="446">
      <c r="A446" s="145"/>
      <c r="B446" s="191"/>
    </row>
    <row r="447">
      <c r="A447" s="143"/>
      <c r="B447" s="193"/>
    </row>
    <row r="448">
      <c r="A448" s="145"/>
      <c r="B448" s="191"/>
    </row>
    <row r="449">
      <c r="A449" s="143"/>
      <c r="B449" s="193"/>
    </row>
    <row r="450">
      <c r="A450" s="184"/>
      <c r="B450" s="191"/>
    </row>
    <row r="451">
      <c r="A451" s="171" t="str">
        <f t="array" ref="A451:A500">'Up Names'!J2:J51</f>
        <v>Deflector</v>
      </c>
      <c r="B451" s="190" t="s">
        <v>1499</v>
      </c>
    </row>
    <row r="452">
      <c r="A452" s="145" t="s">
        <v>159</v>
      </c>
      <c r="B452" s="192" t="s">
        <v>1500</v>
      </c>
    </row>
    <row r="453">
      <c r="A453" s="143" t="s">
        <v>179</v>
      </c>
      <c r="B453" s="193" t="s">
        <v>1501</v>
      </c>
    </row>
    <row r="454">
      <c r="A454" s="145" t="s">
        <v>199</v>
      </c>
      <c r="B454" s="191" t="s">
        <v>1502</v>
      </c>
    </row>
    <row r="455">
      <c r="A455" s="143" t="s">
        <v>219</v>
      </c>
      <c r="B455" s="190" t="s">
        <v>1503</v>
      </c>
    </row>
    <row r="456">
      <c r="A456" s="145" t="s">
        <v>238</v>
      </c>
      <c r="B456" s="192" t="s">
        <v>1505</v>
      </c>
    </row>
    <row r="457">
      <c r="A457" s="143" t="s">
        <v>258</v>
      </c>
      <c r="B457" s="190" t="s">
        <v>1506</v>
      </c>
    </row>
    <row r="458">
      <c r="A458" s="145" t="s">
        <v>278</v>
      </c>
      <c r="B458" s="191" t="s">
        <v>1507</v>
      </c>
    </row>
    <row r="459">
      <c r="A459" s="143" t="s">
        <v>298</v>
      </c>
      <c r="B459" s="190" t="s">
        <v>1508</v>
      </c>
    </row>
    <row r="460">
      <c r="A460" s="145" t="s">
        <v>318</v>
      </c>
      <c r="B460" s="191" t="s">
        <v>1509</v>
      </c>
    </row>
    <row r="461">
      <c r="A461" s="143" t="s">
        <v>338</v>
      </c>
      <c r="B461" s="190" t="s">
        <v>1510</v>
      </c>
    </row>
    <row r="462">
      <c r="A462" s="145" t="s">
        <v>358</v>
      </c>
      <c r="B462" s="192" t="s">
        <v>1512</v>
      </c>
    </row>
    <row r="463">
      <c r="A463" s="143" t="s">
        <v>382</v>
      </c>
      <c r="B463" s="190" t="s">
        <v>1513</v>
      </c>
    </row>
    <row r="464">
      <c r="A464" s="145" t="s">
        <v>407</v>
      </c>
      <c r="B464" s="192" t="s">
        <v>1514</v>
      </c>
    </row>
    <row r="465">
      <c r="A465" s="143" t="s">
        <v>434</v>
      </c>
      <c r="B465" s="190" t="s">
        <v>1515</v>
      </c>
    </row>
    <row r="466">
      <c r="A466" s="145" t="s">
        <v>463</v>
      </c>
      <c r="B466" s="192" t="s">
        <v>1516</v>
      </c>
    </row>
    <row r="467">
      <c r="A467" s="143" t="s">
        <v>493</v>
      </c>
      <c r="B467" s="193" t="s">
        <v>1517</v>
      </c>
    </row>
    <row r="468">
      <c r="A468" s="145" t="s">
        <v>517</v>
      </c>
      <c r="B468" s="192" t="s">
        <v>1519</v>
      </c>
    </row>
    <row r="469">
      <c r="A469" s="143" t="s">
        <v>536</v>
      </c>
      <c r="B469" s="193" t="s">
        <v>1520</v>
      </c>
    </row>
    <row r="470">
      <c r="A470" s="145" t="s">
        <v>555</v>
      </c>
      <c r="B470" s="191" t="s">
        <v>1521</v>
      </c>
    </row>
    <row r="471">
      <c r="A471" s="143" t="s">
        <v>579</v>
      </c>
      <c r="B471" s="193" t="s">
        <v>1215</v>
      </c>
    </row>
    <row r="472">
      <c r="A472" s="145" t="s">
        <v>603</v>
      </c>
      <c r="B472" s="191" t="s">
        <v>1218</v>
      </c>
    </row>
    <row r="473">
      <c r="A473" s="143" t="s">
        <v>624</v>
      </c>
      <c r="B473" s="190" t="s">
        <v>1522</v>
      </c>
    </row>
    <row r="474">
      <c r="A474" s="145" t="s">
        <v>649</v>
      </c>
      <c r="B474" s="192" t="s">
        <v>1523</v>
      </c>
    </row>
    <row r="475">
      <c r="A475" s="143" t="s">
        <v>666</v>
      </c>
      <c r="B475" s="193" t="s">
        <v>1291</v>
      </c>
    </row>
    <row r="476">
      <c r="A476" s="145" t="s">
        <v>680</v>
      </c>
      <c r="B476" s="191" t="s">
        <v>1525</v>
      </c>
    </row>
    <row r="477">
      <c r="A477" s="143" t="s">
        <v>694</v>
      </c>
      <c r="B477" s="193" t="s">
        <v>1526</v>
      </c>
    </row>
    <row r="478">
      <c r="A478" s="145" t="s">
        <v>503</v>
      </c>
      <c r="B478" s="193" t="str">
        <f>B$37</f>
        <v>Increases the size of your upgrade grid.</v>
      </c>
    </row>
    <row r="479">
      <c r="A479" s="143" t="s">
        <v>511</v>
      </c>
      <c r="B479" s="193" t="str">
        <f>B$38</f>
        <v>Commandeers 1 column from each of your other upgrade grids.</v>
      </c>
    </row>
    <row r="480">
      <c r="A480" s="145" t="s">
        <v>516</v>
      </c>
      <c r="B480" s="193" t="str">
        <f>B$39</f>
        <v>Increases the size of your upgrade grid.</v>
      </c>
    </row>
    <row r="481">
      <c r="A481" s="143"/>
      <c r="B481" s="193"/>
    </row>
    <row r="482">
      <c r="A482" s="145"/>
      <c r="B482" s="191"/>
    </row>
    <row r="483">
      <c r="A483" s="143"/>
      <c r="B483" s="193"/>
    </row>
    <row r="484">
      <c r="A484" s="145"/>
      <c r="B484" s="191"/>
    </row>
    <row r="485">
      <c r="A485" s="143"/>
      <c r="B485" s="193"/>
    </row>
    <row r="486">
      <c r="A486" s="145"/>
      <c r="B486" s="191"/>
    </row>
    <row r="487">
      <c r="A487" s="143"/>
      <c r="B487" s="193"/>
    </row>
    <row r="488">
      <c r="A488" s="145"/>
      <c r="B488" s="191"/>
    </row>
    <row r="489">
      <c r="A489" s="143"/>
      <c r="B489" s="193"/>
    </row>
    <row r="490">
      <c r="A490" s="145"/>
      <c r="B490" s="191"/>
    </row>
    <row r="491">
      <c r="A491" s="143"/>
      <c r="B491" s="193"/>
    </row>
    <row r="492">
      <c r="A492" s="145"/>
      <c r="B492" s="191"/>
    </row>
    <row r="493">
      <c r="A493" s="143"/>
      <c r="B493" s="193"/>
    </row>
    <row r="494">
      <c r="A494" s="145"/>
      <c r="B494" s="191"/>
    </row>
    <row r="495">
      <c r="A495" s="143"/>
      <c r="B495" s="193"/>
    </row>
    <row r="496">
      <c r="A496" s="145"/>
      <c r="B496" s="191"/>
    </row>
    <row r="497">
      <c r="A497" s="143"/>
      <c r="B497" s="193"/>
    </row>
    <row r="498">
      <c r="A498" s="145"/>
      <c r="B498" s="191"/>
    </row>
    <row r="499">
      <c r="A499" s="143"/>
      <c r="B499" s="193"/>
    </row>
    <row r="500">
      <c r="A500" s="184"/>
      <c r="B500" s="191"/>
    </row>
    <row r="501">
      <c r="A501" s="145" t="str">
        <f t="array" ref="A501:A550">'Up Names'!K2:K51</f>
        <v>Auger Subroutine</v>
      </c>
      <c r="B501" s="192" t="s">
        <v>1530</v>
      </c>
    </row>
    <row r="502">
      <c r="A502" s="145" t="s">
        <v>160</v>
      </c>
      <c r="B502" s="192" t="s">
        <v>1531</v>
      </c>
    </row>
    <row r="503">
      <c r="A503" s="145" t="s">
        <v>180</v>
      </c>
      <c r="B503" s="192" t="s">
        <v>1532</v>
      </c>
    </row>
    <row r="504">
      <c r="A504" s="145" t="s">
        <v>200</v>
      </c>
      <c r="B504" s="192" t="s">
        <v>1533</v>
      </c>
    </row>
    <row r="505">
      <c r="A505" s="145" t="s">
        <v>220</v>
      </c>
      <c r="B505" s="192" t="s">
        <v>1534</v>
      </c>
    </row>
    <row r="506">
      <c r="A506" s="145" t="s">
        <v>239</v>
      </c>
      <c r="B506" s="192" t="s">
        <v>1535</v>
      </c>
    </row>
    <row r="507">
      <c r="A507" s="145" t="s">
        <v>259</v>
      </c>
      <c r="B507" s="192" t="s">
        <v>1537</v>
      </c>
    </row>
    <row r="508">
      <c r="A508" s="145" t="s">
        <v>279</v>
      </c>
      <c r="B508" s="192" t="s">
        <v>1538</v>
      </c>
    </row>
    <row r="509">
      <c r="A509" s="145" t="s">
        <v>299</v>
      </c>
      <c r="B509" s="192" t="s">
        <v>1539</v>
      </c>
    </row>
    <row r="510">
      <c r="A510" s="145" t="s">
        <v>319</v>
      </c>
      <c r="B510" s="192" t="s">
        <v>1540</v>
      </c>
    </row>
    <row r="511">
      <c r="A511" s="145" t="s">
        <v>339</v>
      </c>
      <c r="B511" s="192" t="s">
        <v>1542</v>
      </c>
    </row>
    <row r="512">
      <c r="A512" s="145" t="s">
        <v>359</v>
      </c>
      <c r="B512" s="192" t="s">
        <v>1543</v>
      </c>
    </row>
    <row r="513">
      <c r="A513" s="145" t="s">
        <v>383</v>
      </c>
      <c r="B513" s="192" t="s">
        <v>1544</v>
      </c>
    </row>
    <row r="514">
      <c r="A514" s="145" t="s">
        <v>408</v>
      </c>
      <c r="B514" s="192" t="s">
        <v>1545</v>
      </c>
    </row>
    <row r="515">
      <c r="A515" s="145" t="s">
        <v>436</v>
      </c>
      <c r="B515" s="192" t="s">
        <v>1546</v>
      </c>
    </row>
    <row r="516">
      <c r="A516" s="145" t="s">
        <v>465</v>
      </c>
      <c r="B516" s="192" t="s">
        <v>1547</v>
      </c>
    </row>
    <row r="517">
      <c r="A517" s="145" t="s">
        <v>494</v>
      </c>
      <c r="B517" s="192" t="s">
        <v>1549</v>
      </c>
    </row>
    <row r="518">
      <c r="A518" s="145" t="s">
        <v>518</v>
      </c>
      <c r="B518" s="192" t="s">
        <v>1550</v>
      </c>
    </row>
    <row r="519">
      <c r="A519" s="145" t="s">
        <v>537</v>
      </c>
      <c r="B519" s="192" t="s">
        <v>1551</v>
      </c>
    </row>
    <row r="520">
      <c r="A520" s="145" t="s">
        <v>557</v>
      </c>
      <c r="B520" s="192" t="s">
        <v>1552</v>
      </c>
    </row>
    <row r="521">
      <c r="A521" s="145" t="s">
        <v>580</v>
      </c>
      <c r="B521" s="192" t="s">
        <v>1553</v>
      </c>
    </row>
    <row r="522">
      <c r="A522" s="145" t="s">
        <v>604</v>
      </c>
      <c r="B522" s="192" t="s">
        <v>1555</v>
      </c>
    </row>
    <row r="523">
      <c r="A523" s="145" t="s">
        <v>625</v>
      </c>
      <c r="B523" s="192" t="s">
        <v>1556</v>
      </c>
    </row>
    <row r="524">
      <c r="A524" s="145" t="s">
        <v>651</v>
      </c>
      <c r="B524" s="192" t="s">
        <v>1557</v>
      </c>
    </row>
    <row r="525">
      <c r="A525" s="145" t="s">
        <v>667</v>
      </c>
      <c r="B525" s="192" t="s">
        <v>1558</v>
      </c>
    </row>
    <row r="526">
      <c r="A526" s="145" t="s">
        <v>681</v>
      </c>
      <c r="B526" s="192" t="s">
        <v>1559</v>
      </c>
    </row>
    <row r="527">
      <c r="A527" s="145" t="s">
        <v>695</v>
      </c>
      <c r="B527" s="192" t="s">
        <v>1561</v>
      </c>
    </row>
    <row r="528">
      <c r="A528" s="145" t="s">
        <v>714</v>
      </c>
      <c r="B528" s="192" t="s">
        <v>1218</v>
      </c>
    </row>
    <row r="529">
      <c r="A529" s="145" t="s">
        <v>732</v>
      </c>
      <c r="B529" s="192" t="s">
        <v>1291</v>
      </c>
    </row>
    <row r="530">
      <c r="A530" s="145" t="s">
        <v>750</v>
      </c>
      <c r="B530" s="192" t="s">
        <v>1430</v>
      </c>
    </row>
    <row r="531">
      <c r="A531" s="145" t="s">
        <v>763</v>
      </c>
      <c r="B531" s="192" t="s">
        <v>1215</v>
      </c>
    </row>
    <row r="532">
      <c r="A532" s="145" t="s">
        <v>503</v>
      </c>
      <c r="B532" s="193" t="str">
        <f>B$37</f>
        <v>Increases the size of your upgrade grid.</v>
      </c>
    </row>
    <row r="533">
      <c r="A533" s="145" t="s">
        <v>511</v>
      </c>
      <c r="B533" s="193" t="str">
        <f>B$38</f>
        <v>Commandeers 1 column from each of your other upgrade grids.</v>
      </c>
    </row>
    <row r="534">
      <c r="A534" s="145" t="s">
        <v>516</v>
      </c>
      <c r="B534" s="193" t="str">
        <f>B$39</f>
        <v>Increases the size of your upgrade grid.</v>
      </c>
    </row>
    <row r="535">
      <c r="A535" s="145"/>
      <c r="B535" s="191"/>
    </row>
    <row r="536">
      <c r="A536" s="145"/>
      <c r="B536" s="191"/>
    </row>
    <row r="537">
      <c r="A537" s="145"/>
      <c r="B537" s="191"/>
    </row>
    <row r="538">
      <c r="A538" s="145"/>
      <c r="B538" s="191"/>
    </row>
    <row r="539">
      <c r="A539" s="145"/>
      <c r="B539" s="191"/>
    </row>
    <row r="540">
      <c r="A540" s="145"/>
      <c r="B540" s="191"/>
    </row>
    <row r="541">
      <c r="A541" s="145"/>
      <c r="B541" s="191"/>
    </row>
    <row r="542">
      <c r="A542" s="145"/>
      <c r="B542" s="191"/>
    </row>
    <row r="543">
      <c r="A543" s="145"/>
      <c r="B543" s="191"/>
    </row>
    <row r="544">
      <c r="A544" s="145"/>
      <c r="B544" s="191"/>
    </row>
    <row r="545">
      <c r="A545" s="145"/>
      <c r="B545" s="191"/>
    </row>
    <row r="546">
      <c r="A546" s="145"/>
      <c r="B546" s="191"/>
    </row>
    <row r="547">
      <c r="A547" s="145"/>
      <c r="B547" s="191"/>
    </row>
    <row r="548">
      <c r="A548" s="145"/>
      <c r="B548" s="191"/>
    </row>
    <row r="549">
      <c r="A549" s="145"/>
      <c r="B549" s="191"/>
    </row>
    <row r="550">
      <c r="A550" s="145"/>
      <c r="B550" s="191"/>
    </row>
    <row r="551">
      <c r="A551" s="198" t="str">
        <f t="array" ref="A551:A600">'Up Names'!L2:L51</f>
        <v>Explosive Bullets</v>
      </c>
      <c r="B551" s="192" t="s">
        <v>1564</v>
      </c>
    </row>
    <row r="552">
      <c r="A552" s="146" t="s">
        <v>161</v>
      </c>
      <c r="B552" s="192" t="s">
        <v>1566</v>
      </c>
    </row>
    <row r="553">
      <c r="A553" s="144" t="s">
        <v>181</v>
      </c>
      <c r="B553" s="192" t="s">
        <v>1567</v>
      </c>
    </row>
    <row r="554">
      <c r="A554" s="146" t="s">
        <v>201</v>
      </c>
      <c r="B554" s="192" t="s">
        <v>1568</v>
      </c>
    </row>
    <row r="555">
      <c r="A555" s="144" t="s">
        <v>221</v>
      </c>
      <c r="B555" s="192" t="s">
        <v>1569</v>
      </c>
    </row>
    <row r="556">
      <c r="A556" s="146" t="s">
        <v>240</v>
      </c>
      <c r="B556" s="192" t="s">
        <v>1570</v>
      </c>
    </row>
    <row r="557">
      <c r="A557" s="144" t="s">
        <v>260</v>
      </c>
      <c r="B557" s="192" t="s">
        <v>1572</v>
      </c>
    </row>
    <row r="558">
      <c r="A558" s="146" t="s">
        <v>280</v>
      </c>
      <c r="B558" s="192" t="s">
        <v>1573</v>
      </c>
    </row>
    <row r="559">
      <c r="A559" s="144" t="s">
        <v>300</v>
      </c>
      <c r="B559" s="192" t="s">
        <v>1575</v>
      </c>
    </row>
    <row r="560">
      <c r="A560" s="146" t="s">
        <v>320</v>
      </c>
      <c r="B560" s="192" t="s">
        <v>1576</v>
      </c>
    </row>
    <row r="561">
      <c r="A561" s="144" t="s">
        <v>340</v>
      </c>
      <c r="B561" s="192" t="s">
        <v>1577</v>
      </c>
    </row>
    <row r="562">
      <c r="A562" s="146" t="s">
        <v>360</v>
      </c>
      <c r="B562" s="192" t="s">
        <v>1578</v>
      </c>
    </row>
    <row r="563">
      <c r="A563" s="144" t="s">
        <v>384</v>
      </c>
      <c r="B563" s="192" t="s">
        <v>1579</v>
      </c>
    </row>
    <row r="564">
      <c r="A564" s="146" t="s">
        <v>409</v>
      </c>
      <c r="B564" s="192" t="s">
        <v>1580</v>
      </c>
    </row>
    <row r="565">
      <c r="A565" s="144" t="s">
        <v>438</v>
      </c>
      <c r="B565" s="192" t="s">
        <v>1581</v>
      </c>
    </row>
    <row r="566">
      <c r="A566" s="146" t="s">
        <v>466</v>
      </c>
      <c r="B566" s="192" t="s">
        <v>1582</v>
      </c>
    </row>
    <row r="567">
      <c r="A567" s="144" t="s">
        <v>495</v>
      </c>
      <c r="B567" s="192" t="s">
        <v>1584</v>
      </c>
    </row>
    <row r="568">
      <c r="A568" s="146" t="s">
        <v>519</v>
      </c>
      <c r="B568" s="192" t="s">
        <v>1585</v>
      </c>
    </row>
    <row r="569">
      <c r="A569" s="144" t="s">
        <v>538</v>
      </c>
      <c r="B569" s="192" t="s">
        <v>1586</v>
      </c>
    </row>
    <row r="570">
      <c r="A570" s="146" t="s">
        <v>558</v>
      </c>
      <c r="B570" s="192" t="s">
        <v>1587</v>
      </c>
    </row>
    <row r="571">
      <c r="A571" s="144" t="s">
        <v>582</v>
      </c>
      <c r="B571" s="192" t="s">
        <v>1588</v>
      </c>
    </row>
    <row r="572">
      <c r="A572" s="146" t="s">
        <v>606</v>
      </c>
      <c r="B572" s="192" t="s">
        <v>1589</v>
      </c>
    </row>
    <row r="573">
      <c r="A573" s="144" t="s">
        <v>626</v>
      </c>
      <c r="B573" s="192" t="s">
        <v>1590</v>
      </c>
    </row>
    <row r="574">
      <c r="A574" s="146" t="s">
        <v>652</v>
      </c>
      <c r="B574" s="192" t="s">
        <v>1591</v>
      </c>
    </row>
    <row r="575">
      <c r="A575" s="144" t="s">
        <v>668</v>
      </c>
      <c r="B575" s="192" t="s">
        <v>1592</v>
      </c>
    </row>
    <row r="576">
      <c r="A576" s="146" t="s">
        <v>682</v>
      </c>
      <c r="B576" s="192" t="s">
        <v>1595</v>
      </c>
    </row>
    <row r="577">
      <c r="A577" s="144" t="s">
        <v>696</v>
      </c>
      <c r="B577" s="192" t="s">
        <v>1218</v>
      </c>
    </row>
    <row r="578">
      <c r="A578" s="146" t="s">
        <v>715</v>
      </c>
      <c r="B578" s="192" t="s">
        <v>1430</v>
      </c>
    </row>
    <row r="579">
      <c r="A579" s="144" t="s">
        <v>734</v>
      </c>
      <c r="B579" s="192" t="s">
        <v>1596</v>
      </c>
    </row>
    <row r="580">
      <c r="A580" s="146" t="s">
        <v>751</v>
      </c>
      <c r="B580" s="192" t="s">
        <v>1598</v>
      </c>
    </row>
    <row r="581">
      <c r="A581" s="144" t="s">
        <v>764</v>
      </c>
      <c r="B581" s="192" t="s">
        <v>1215</v>
      </c>
    </row>
    <row r="582">
      <c r="A582" s="207" t="s">
        <v>503</v>
      </c>
      <c r="B582" s="193" t="str">
        <f>B$37</f>
        <v>Increases the size of your upgrade grid.</v>
      </c>
    </row>
    <row r="583">
      <c r="A583" s="145" t="s">
        <v>511</v>
      </c>
      <c r="B583" s="193" t="str">
        <f>B$38</f>
        <v>Commandeers 1 column from each of your other upgrade grids.</v>
      </c>
    </row>
    <row r="584">
      <c r="A584" s="145" t="s">
        <v>516</v>
      </c>
      <c r="B584" s="193" t="str">
        <f>B$39</f>
        <v>Increases the size of your upgrade grid.</v>
      </c>
    </row>
    <row r="585">
      <c r="A585" s="145"/>
      <c r="B585" s="191"/>
    </row>
    <row r="586">
      <c r="A586" s="145"/>
      <c r="B586" s="191"/>
    </row>
    <row r="587">
      <c r="A587" s="145"/>
      <c r="B587" s="191"/>
    </row>
    <row r="588">
      <c r="A588" s="145"/>
      <c r="B588" s="191"/>
    </row>
    <row r="589">
      <c r="A589" s="145"/>
      <c r="B589" s="191"/>
    </row>
    <row r="590">
      <c r="A590" s="145"/>
      <c r="B590" s="191"/>
    </row>
    <row r="591">
      <c r="A591" s="145"/>
      <c r="B591" s="191"/>
    </row>
    <row r="592">
      <c r="A592" s="145"/>
      <c r="B592" s="191"/>
    </row>
    <row r="593">
      <c r="A593" s="145"/>
      <c r="B593" s="191"/>
    </row>
    <row r="594">
      <c r="A594" s="145"/>
      <c r="B594" s="191"/>
    </row>
    <row r="595">
      <c r="A595" s="145"/>
      <c r="B595" s="191"/>
    </row>
    <row r="596">
      <c r="A596" s="145"/>
      <c r="B596" s="191"/>
    </row>
    <row r="597">
      <c r="A597" s="145"/>
      <c r="B597" s="191"/>
    </row>
    <row r="598">
      <c r="A598" s="145"/>
      <c r="B598" s="191"/>
    </row>
    <row r="599">
      <c r="A599" s="145"/>
      <c r="B599" s="191"/>
    </row>
    <row r="600">
      <c r="A600" s="145"/>
      <c r="B600" s="191"/>
    </row>
    <row r="601">
      <c r="A601" s="171" t="str">
        <f t="array" ref="A601:A650">'Up Names'!M2:M51</f>
        <v>Cluster Bomb</v>
      </c>
      <c r="B601" s="193" t="s">
        <v>1603</v>
      </c>
    </row>
    <row r="602">
      <c r="A602" s="145" t="s">
        <v>162</v>
      </c>
      <c r="B602" s="191" t="s">
        <v>1605</v>
      </c>
    </row>
    <row r="603">
      <c r="A603" s="143" t="s">
        <v>182</v>
      </c>
      <c r="B603" s="190" t="s">
        <v>1606</v>
      </c>
    </row>
    <row r="604">
      <c r="A604" s="145" t="s">
        <v>202</v>
      </c>
      <c r="B604" s="191" t="s">
        <v>1607</v>
      </c>
    </row>
    <row r="605">
      <c r="A605" s="143" t="s">
        <v>222</v>
      </c>
      <c r="B605" s="190" t="s">
        <v>1609</v>
      </c>
    </row>
    <row r="606">
      <c r="A606" s="145" t="s">
        <v>241</v>
      </c>
      <c r="B606" s="192" t="s">
        <v>1610</v>
      </c>
    </row>
    <row r="607">
      <c r="A607" s="143" t="s">
        <v>261</v>
      </c>
      <c r="B607" s="190" t="s">
        <v>1612</v>
      </c>
    </row>
    <row r="608">
      <c r="A608" s="145" t="s">
        <v>281</v>
      </c>
      <c r="B608" s="192" t="s">
        <v>1614</v>
      </c>
    </row>
    <row r="609">
      <c r="A609" s="143" t="s">
        <v>301</v>
      </c>
      <c r="B609" s="193" t="s">
        <v>1615</v>
      </c>
    </row>
    <row r="610">
      <c r="A610" s="145" t="s">
        <v>321</v>
      </c>
      <c r="B610" s="192" t="s">
        <v>1616</v>
      </c>
    </row>
    <row r="611">
      <c r="A611" s="143" t="s">
        <v>341</v>
      </c>
      <c r="B611" s="190" t="s">
        <v>1617</v>
      </c>
    </row>
    <row r="612">
      <c r="A612" s="145" t="s">
        <v>361</v>
      </c>
      <c r="B612" s="191" t="s">
        <v>1618</v>
      </c>
    </row>
    <row r="613">
      <c r="A613" s="143" t="s">
        <v>385</v>
      </c>
      <c r="B613" s="190" t="s">
        <v>1620</v>
      </c>
    </row>
    <row r="614">
      <c r="A614" s="145" t="s">
        <v>412</v>
      </c>
      <c r="B614" s="191" t="s">
        <v>1621</v>
      </c>
    </row>
    <row r="615">
      <c r="A615" s="143" t="s">
        <v>440</v>
      </c>
      <c r="B615" s="193" t="s">
        <v>1622</v>
      </c>
    </row>
    <row r="616">
      <c r="A616" s="145" t="s">
        <v>467</v>
      </c>
      <c r="B616" s="191" t="s">
        <v>1623</v>
      </c>
    </row>
    <row r="617">
      <c r="A617" s="143" t="s">
        <v>497</v>
      </c>
      <c r="B617" s="193" t="s">
        <v>1624</v>
      </c>
    </row>
    <row r="618">
      <c r="A618" s="145" t="s">
        <v>520</v>
      </c>
      <c r="B618" s="191" t="s">
        <v>1625</v>
      </c>
    </row>
    <row r="619">
      <c r="A619" s="143" t="s">
        <v>539</v>
      </c>
      <c r="B619" s="193" t="s">
        <v>1627</v>
      </c>
    </row>
    <row r="620">
      <c r="A620" s="145" t="s">
        <v>559</v>
      </c>
      <c r="B620" s="210" t="s">
        <v>1628</v>
      </c>
    </row>
    <row r="621">
      <c r="A621" s="143" t="s">
        <v>583</v>
      </c>
      <c r="B621" s="190" t="s">
        <v>1629</v>
      </c>
    </row>
    <row r="622">
      <c r="A622" s="145" t="s">
        <v>607</v>
      </c>
      <c r="B622" s="192" t="s">
        <v>1630</v>
      </c>
    </row>
    <row r="623">
      <c r="A623" s="143" t="s">
        <v>627</v>
      </c>
      <c r="B623" s="190" t="s">
        <v>1632</v>
      </c>
    </row>
    <row r="624">
      <c r="A624" s="145" t="s">
        <v>653</v>
      </c>
      <c r="B624" s="192" t="s">
        <v>1633</v>
      </c>
    </row>
    <row r="625">
      <c r="A625" s="143" t="s">
        <v>503</v>
      </c>
      <c r="B625" s="193" t="str">
        <f>B$37</f>
        <v>Increases the size of your upgrade grid.</v>
      </c>
    </row>
    <row r="626">
      <c r="A626" s="145" t="s">
        <v>511</v>
      </c>
      <c r="B626" s="193" t="str">
        <f>B$38</f>
        <v>Commandeers 1 column from each of your other upgrade grids.</v>
      </c>
    </row>
    <row r="627">
      <c r="A627" s="143" t="s">
        <v>516</v>
      </c>
      <c r="B627" s="193" t="str">
        <f>B$39</f>
        <v>Increases the size of your upgrade grid.</v>
      </c>
    </row>
    <row r="628">
      <c r="A628" s="145"/>
      <c r="B628" s="210"/>
    </row>
    <row r="629">
      <c r="A629" s="143"/>
      <c r="B629" s="211"/>
    </row>
    <row r="630">
      <c r="A630" s="145"/>
      <c r="B630" s="210"/>
    </row>
    <row r="631">
      <c r="A631" s="143"/>
      <c r="B631" s="211"/>
    </row>
    <row r="632">
      <c r="A632" s="145"/>
      <c r="B632" s="210"/>
    </row>
    <row r="633">
      <c r="A633" s="143"/>
      <c r="B633" s="211"/>
    </row>
    <row r="634">
      <c r="A634" s="145"/>
      <c r="B634" s="210"/>
    </row>
    <row r="635">
      <c r="A635" s="143"/>
      <c r="B635" s="211"/>
    </row>
    <row r="636">
      <c r="A636" s="145"/>
      <c r="B636" s="210"/>
    </row>
    <row r="637">
      <c r="A637" s="143"/>
      <c r="B637" s="211"/>
    </row>
    <row r="638">
      <c r="A638" s="145"/>
      <c r="B638" s="210"/>
    </row>
    <row r="639">
      <c r="A639" s="143"/>
      <c r="B639" s="211"/>
    </row>
    <row r="640">
      <c r="A640" s="145"/>
      <c r="B640" s="210"/>
    </row>
    <row r="641">
      <c r="A641" s="143"/>
      <c r="B641" s="211"/>
    </row>
    <row r="642">
      <c r="A642" s="145"/>
      <c r="B642" s="210"/>
    </row>
    <row r="643">
      <c r="A643" s="143"/>
      <c r="B643" s="211"/>
    </row>
    <row r="644">
      <c r="A644" s="145"/>
      <c r="B644" s="210"/>
    </row>
    <row r="645">
      <c r="A645" s="143"/>
      <c r="B645" s="211"/>
    </row>
    <row r="646">
      <c r="A646" s="145"/>
      <c r="B646" s="210"/>
    </row>
    <row r="647">
      <c r="A647" s="143"/>
      <c r="B647" s="211"/>
    </row>
    <row r="648">
      <c r="A648" s="145"/>
      <c r="B648" s="210"/>
    </row>
    <row r="649">
      <c r="A649" s="143"/>
      <c r="B649" s="211"/>
    </row>
    <row r="650">
      <c r="A650" s="184"/>
      <c r="B650" s="210"/>
    </row>
    <row r="651">
      <c r="A651" s="171" t="str">
        <f t="array" ref="A651:A700">'Up Names'!N2:N51</f>
        <v>Flash Storm</v>
      </c>
      <c r="B651" s="211" t="s">
        <v>1639</v>
      </c>
    </row>
    <row r="652">
      <c r="A652" s="145" t="s">
        <v>163</v>
      </c>
      <c r="B652" s="192" t="s">
        <v>1640</v>
      </c>
    </row>
    <row r="653">
      <c r="A653" s="143" t="s">
        <v>183</v>
      </c>
      <c r="B653" s="211" t="s">
        <v>1641</v>
      </c>
    </row>
    <row r="654">
      <c r="A654" s="145" t="s">
        <v>203</v>
      </c>
      <c r="B654" s="210" t="s">
        <v>1643</v>
      </c>
    </row>
    <row r="655">
      <c r="A655" s="143" t="s">
        <v>223</v>
      </c>
      <c r="B655" s="211" t="s">
        <v>1644</v>
      </c>
    </row>
    <row r="656">
      <c r="A656" s="145" t="s">
        <v>242</v>
      </c>
      <c r="B656" s="210" t="s">
        <v>1645</v>
      </c>
    </row>
    <row r="657">
      <c r="A657" s="143" t="s">
        <v>262</v>
      </c>
      <c r="B657" s="211" t="s">
        <v>1646</v>
      </c>
    </row>
    <row r="658">
      <c r="A658" s="145" t="s">
        <v>282</v>
      </c>
      <c r="B658" s="210" t="s">
        <v>1647</v>
      </c>
    </row>
    <row r="659">
      <c r="A659" s="143" t="s">
        <v>302</v>
      </c>
      <c r="B659" s="211" t="s">
        <v>1649</v>
      </c>
    </row>
    <row r="660">
      <c r="A660" s="145" t="s">
        <v>322</v>
      </c>
      <c r="B660" s="192" t="s">
        <v>1650</v>
      </c>
    </row>
    <row r="661">
      <c r="A661" s="143" t="s">
        <v>342</v>
      </c>
      <c r="B661" s="211" t="s">
        <v>1651</v>
      </c>
    </row>
    <row r="662">
      <c r="A662" s="145" t="s">
        <v>362</v>
      </c>
      <c r="B662" s="210" t="s">
        <v>1621</v>
      </c>
    </row>
    <row r="663">
      <c r="A663" s="143" t="s">
        <v>387</v>
      </c>
      <c r="B663" s="211" t="s">
        <v>1652</v>
      </c>
    </row>
    <row r="664">
      <c r="A664" s="145" t="s">
        <v>413</v>
      </c>
      <c r="B664" s="210" t="s">
        <v>1654</v>
      </c>
    </row>
    <row r="665">
      <c r="A665" s="143" t="s">
        <v>441</v>
      </c>
      <c r="B665" s="211" t="s">
        <v>1655</v>
      </c>
    </row>
    <row r="666">
      <c r="A666" s="145" t="s">
        <v>469</v>
      </c>
      <c r="B666" s="210" t="s">
        <v>1656</v>
      </c>
    </row>
    <row r="667">
      <c r="A667" s="143" t="s">
        <v>498</v>
      </c>
      <c r="B667" s="211" t="s">
        <v>1657</v>
      </c>
    </row>
    <row r="668">
      <c r="A668" s="145" t="s">
        <v>521</v>
      </c>
      <c r="B668" s="210" t="s">
        <v>1658</v>
      </c>
    </row>
    <row r="669">
      <c r="A669" s="143" t="s">
        <v>540</v>
      </c>
      <c r="B669" s="211" t="s">
        <v>1660</v>
      </c>
    </row>
    <row r="670">
      <c r="A670" s="145" t="s">
        <v>560</v>
      </c>
      <c r="B670" s="210" t="s">
        <v>1625</v>
      </c>
    </row>
    <row r="671">
      <c r="A671" s="143" t="s">
        <v>583</v>
      </c>
      <c r="B671" s="211" t="str">
        <f>B$621</f>
        <v>Taking damage from any source other than your grenade provides some grenade charge.</v>
      </c>
    </row>
    <row r="672">
      <c r="A672" s="145" t="s">
        <v>607</v>
      </c>
      <c r="B672" s="211" t="str">
        <f>B$622</f>
        <v>Taking damage from any source other than your grenade has a small chance to toss out a grenade. This chance is proportional to the amount of damage taken.</v>
      </c>
    </row>
    <row r="673">
      <c r="A673" s="143" t="s">
        <v>627</v>
      </c>
      <c r="B673" s="211" t="str">
        <f>B$623</f>
        <v>Sliding will periodically throw out your grenade without consuming a charge. Stacking this upgrade throws additional grenades.</v>
      </c>
    </row>
    <row r="674">
      <c r="A674" s="145" t="s">
        <v>653</v>
      </c>
      <c r="B674" s="211" t="str">
        <f>B$624</f>
        <v>Grenades cost health to fire and no longer have a cooldown</v>
      </c>
    </row>
    <row r="675">
      <c r="A675" s="143" t="s">
        <v>503</v>
      </c>
      <c r="B675" s="193" t="str">
        <f>B$37</f>
        <v>Increases the size of your upgrade grid.</v>
      </c>
    </row>
    <row r="676">
      <c r="A676" s="145" t="s">
        <v>511</v>
      </c>
      <c r="B676" s="193" t="str">
        <f>B$38</f>
        <v>Commandeers 1 column from each of your other upgrade grids.</v>
      </c>
    </row>
    <row r="677">
      <c r="A677" s="143" t="s">
        <v>516</v>
      </c>
      <c r="B677" s="193" t="str">
        <f>B$39</f>
        <v>Increases the size of your upgrade grid.</v>
      </c>
    </row>
    <row r="678">
      <c r="A678" s="145"/>
      <c r="B678" s="210"/>
    </row>
    <row r="679">
      <c r="A679" s="143"/>
      <c r="B679" s="211"/>
    </row>
    <row r="680">
      <c r="A680" s="145"/>
      <c r="B680" s="210"/>
    </row>
    <row r="681">
      <c r="A681" s="143"/>
      <c r="B681" s="211"/>
    </row>
    <row r="682">
      <c r="A682" s="145"/>
      <c r="B682" s="210"/>
    </row>
    <row r="683">
      <c r="A683" s="143"/>
      <c r="B683" s="211"/>
    </row>
    <row r="684">
      <c r="A684" s="145"/>
      <c r="B684" s="210"/>
    </row>
    <row r="685">
      <c r="A685" s="143"/>
      <c r="B685" s="211"/>
    </row>
    <row r="686">
      <c r="A686" s="145"/>
      <c r="B686" s="210"/>
    </row>
    <row r="687">
      <c r="A687" s="143"/>
      <c r="B687" s="211"/>
    </row>
    <row r="688">
      <c r="A688" s="145"/>
      <c r="B688" s="210"/>
    </row>
    <row r="689">
      <c r="A689" s="143"/>
      <c r="B689" s="211"/>
    </row>
    <row r="690">
      <c r="A690" s="145"/>
      <c r="B690" s="210"/>
    </row>
    <row r="691">
      <c r="A691" s="143"/>
      <c r="B691" s="211"/>
    </row>
    <row r="692">
      <c r="A692" s="145"/>
      <c r="B692" s="210"/>
    </row>
    <row r="693">
      <c r="A693" s="143"/>
      <c r="B693" s="211"/>
    </row>
    <row r="694">
      <c r="A694" s="145"/>
      <c r="B694" s="210"/>
    </row>
    <row r="695">
      <c r="A695" s="143"/>
      <c r="B695" s="211"/>
    </row>
    <row r="696">
      <c r="A696" s="145"/>
      <c r="B696" s="210"/>
    </row>
    <row r="697">
      <c r="A697" s="143"/>
      <c r="B697" s="211"/>
    </row>
    <row r="698">
      <c r="A698" s="145"/>
      <c r="B698" s="210"/>
    </row>
    <row r="699">
      <c r="A699" s="143"/>
      <c r="B699" s="211"/>
    </row>
    <row r="700">
      <c r="A700" s="184"/>
      <c r="B700" s="210"/>
    </row>
    <row r="701">
      <c r="A701" s="171" t="str">
        <f t="array" ref="A701:A750">'Up Names'!O2:O51</f>
        <v>Connected Systems</v>
      </c>
      <c r="B701" s="211" t="s">
        <v>1667</v>
      </c>
    </row>
    <row r="702">
      <c r="A702" s="145" t="s">
        <v>164</v>
      </c>
      <c r="B702" s="210" t="s">
        <v>1668</v>
      </c>
    </row>
    <row r="703">
      <c r="A703" s="143" t="s">
        <v>184</v>
      </c>
      <c r="B703" s="190" t="s">
        <v>1669</v>
      </c>
    </row>
    <row r="704">
      <c r="A704" s="145" t="s">
        <v>204</v>
      </c>
      <c r="B704" s="192" t="s">
        <v>1670</v>
      </c>
    </row>
    <row r="705">
      <c r="A705" s="143" t="s">
        <v>224</v>
      </c>
      <c r="B705" s="190" t="s">
        <v>1672</v>
      </c>
    </row>
    <row r="706">
      <c r="A706" s="145" t="s">
        <v>243</v>
      </c>
      <c r="B706" s="192" t="s">
        <v>1673</v>
      </c>
    </row>
    <row r="707">
      <c r="A707" s="143" t="s">
        <v>263</v>
      </c>
      <c r="B707" s="190" t="s">
        <v>1674</v>
      </c>
    </row>
    <row r="708">
      <c r="A708" s="145" t="s">
        <v>283</v>
      </c>
      <c r="B708" s="210" t="s">
        <v>1675</v>
      </c>
    </row>
    <row r="709">
      <c r="A709" s="143" t="s">
        <v>303</v>
      </c>
      <c r="B709" s="211" t="s">
        <v>1677</v>
      </c>
    </row>
    <row r="710">
      <c r="A710" s="145" t="s">
        <v>323</v>
      </c>
      <c r="B710" s="210" t="s">
        <v>1678</v>
      </c>
    </row>
    <row r="711">
      <c r="A711" s="143" t="s">
        <v>343</v>
      </c>
      <c r="B711" s="212" t="s">
        <v>1679</v>
      </c>
    </row>
    <row r="712">
      <c r="A712" s="145" t="s">
        <v>363</v>
      </c>
      <c r="B712" s="210" t="s">
        <v>1681</v>
      </c>
    </row>
    <row r="713">
      <c r="A713" s="143" t="s">
        <v>388</v>
      </c>
      <c r="B713" s="211" t="s">
        <v>1682</v>
      </c>
    </row>
    <row r="714">
      <c r="A714" s="145" t="s">
        <v>414</v>
      </c>
      <c r="B714" s="210" t="s">
        <v>1683</v>
      </c>
    </row>
    <row r="715">
      <c r="A715" s="143" t="s">
        <v>442</v>
      </c>
      <c r="B715" s="211" t="s">
        <v>1684</v>
      </c>
    </row>
    <row r="716">
      <c r="A716" s="145" t="s">
        <v>470</v>
      </c>
      <c r="B716" s="210" t="s">
        <v>1685</v>
      </c>
    </row>
    <row r="717">
      <c r="A717" s="143" t="s">
        <v>500</v>
      </c>
      <c r="B717" s="211" t="s">
        <v>1621</v>
      </c>
    </row>
    <row r="718">
      <c r="A718" s="145" t="s">
        <v>522</v>
      </c>
      <c r="B718" s="210" t="s">
        <v>1625</v>
      </c>
    </row>
    <row r="719">
      <c r="A719" s="143" t="s">
        <v>541</v>
      </c>
      <c r="B719" s="211" t="s">
        <v>1687</v>
      </c>
    </row>
    <row r="720">
      <c r="A720" s="145" t="s">
        <v>561</v>
      </c>
      <c r="B720" s="210" t="s">
        <v>1688</v>
      </c>
    </row>
    <row r="721">
      <c r="A721" s="143" t="s">
        <v>583</v>
      </c>
      <c r="B721" s="211" t="str">
        <f>B$621</f>
        <v>Taking damage from any source other than your grenade provides some grenade charge.</v>
      </c>
    </row>
    <row r="722">
      <c r="A722" s="145" t="s">
        <v>607</v>
      </c>
      <c r="B722" s="211" t="str">
        <f>B$622</f>
        <v>Taking damage from any source other than your grenade has a small chance to toss out a grenade. This chance is proportional to the amount of damage taken.</v>
      </c>
    </row>
    <row r="723">
      <c r="A723" s="143" t="s">
        <v>627</v>
      </c>
      <c r="B723" s="211" t="str">
        <f>B$623</f>
        <v>Sliding will periodically throw out your grenade without consuming a charge. Stacking this upgrade throws additional grenades.</v>
      </c>
    </row>
    <row r="724">
      <c r="A724" s="145" t="s">
        <v>653</v>
      </c>
      <c r="B724" s="211" t="str">
        <f>B$624</f>
        <v>Grenades cost health to fire and no longer have a cooldown</v>
      </c>
    </row>
    <row r="725">
      <c r="A725" s="143" t="s">
        <v>503</v>
      </c>
      <c r="B725" s="193" t="str">
        <f>B$37</f>
        <v>Increases the size of your upgrade grid.</v>
      </c>
    </row>
    <row r="726">
      <c r="A726" s="145" t="s">
        <v>511</v>
      </c>
      <c r="B726" s="193" t="str">
        <f>B$38</f>
        <v>Commandeers 1 column from each of your other upgrade grids.</v>
      </c>
    </row>
    <row r="727">
      <c r="A727" s="143" t="s">
        <v>516</v>
      </c>
      <c r="B727" s="193" t="str">
        <f>B$39</f>
        <v>Increases the size of your upgrade grid.</v>
      </c>
    </row>
    <row r="728">
      <c r="A728" s="145"/>
      <c r="B728" s="210"/>
    </row>
    <row r="729">
      <c r="A729" s="143"/>
      <c r="B729" s="211"/>
    </row>
    <row r="730">
      <c r="A730" s="145"/>
      <c r="B730" s="210"/>
    </row>
    <row r="731">
      <c r="A731" s="143"/>
      <c r="B731" s="211"/>
    </row>
    <row r="732">
      <c r="A732" s="145"/>
      <c r="B732" s="210"/>
    </row>
    <row r="733">
      <c r="A733" s="143"/>
      <c r="B733" s="211"/>
    </row>
    <row r="734">
      <c r="A734" s="145"/>
      <c r="B734" s="210"/>
    </row>
    <row r="735">
      <c r="A735" s="143"/>
      <c r="B735" s="211"/>
    </row>
    <row r="736">
      <c r="A736" s="145"/>
      <c r="B736" s="210"/>
    </row>
    <row r="737">
      <c r="A737" s="143"/>
      <c r="B737" s="211"/>
    </row>
    <row r="738">
      <c r="A738" s="145"/>
      <c r="B738" s="210"/>
    </row>
    <row r="739">
      <c r="A739" s="143"/>
      <c r="B739" s="211"/>
    </row>
    <row r="740">
      <c r="A740" s="145"/>
      <c r="B740" s="210"/>
    </row>
    <row r="741">
      <c r="A741" s="143"/>
      <c r="B741" s="211"/>
    </row>
    <row r="742">
      <c r="A742" s="145"/>
      <c r="B742" s="210"/>
    </row>
    <row r="743">
      <c r="A743" s="143"/>
      <c r="B743" s="211"/>
    </row>
    <row r="744">
      <c r="A744" s="145"/>
      <c r="B744" s="210"/>
    </row>
    <row r="745">
      <c r="A745" s="143"/>
      <c r="B745" s="211"/>
    </row>
    <row r="746">
      <c r="A746" s="145"/>
      <c r="B746" s="210"/>
    </row>
    <row r="747">
      <c r="A747" s="143"/>
      <c r="B747" s="211"/>
    </row>
    <row r="748">
      <c r="A748" s="145"/>
      <c r="B748" s="210"/>
    </row>
    <row r="749">
      <c r="A749" s="143"/>
      <c r="B749" s="211"/>
    </row>
    <row r="750">
      <c r="A750" s="184"/>
      <c r="B750" s="210"/>
    </row>
    <row r="751">
      <c r="A751" s="171" t="str">
        <f t="array" ref="A751:A800">'Up Names'!P2:P51</f>
        <v>Magboots</v>
      </c>
      <c r="B751" s="211" t="s">
        <v>1696</v>
      </c>
    </row>
    <row r="752">
      <c r="A752" s="145" t="s">
        <v>165</v>
      </c>
      <c r="B752" s="210" t="s">
        <v>1697</v>
      </c>
    </row>
    <row r="753">
      <c r="A753" s="143" t="s">
        <v>185</v>
      </c>
      <c r="B753" s="211" t="s">
        <v>1698</v>
      </c>
    </row>
    <row r="754">
      <c r="A754" s="145" t="s">
        <v>205</v>
      </c>
      <c r="B754" s="210" t="s">
        <v>1699</v>
      </c>
    </row>
    <row r="755">
      <c r="A755" s="143" t="s">
        <v>39</v>
      </c>
      <c r="B755" s="211" t="s">
        <v>1700</v>
      </c>
    </row>
    <row r="756">
      <c r="A756" s="145" t="s">
        <v>244</v>
      </c>
      <c r="B756" s="210" t="s">
        <v>1701</v>
      </c>
    </row>
    <row r="757">
      <c r="A757" s="143" t="s">
        <v>264</v>
      </c>
      <c r="B757" s="211" t="s">
        <v>1703</v>
      </c>
    </row>
    <row r="758">
      <c r="A758" s="145" t="s">
        <v>284</v>
      </c>
      <c r="B758" s="210" t="s">
        <v>1704</v>
      </c>
    </row>
    <row r="759">
      <c r="A759" s="143" t="s">
        <v>304</v>
      </c>
      <c r="B759" s="211" t="s">
        <v>1705</v>
      </c>
    </row>
    <row r="760">
      <c r="A760" s="145" t="s">
        <v>324</v>
      </c>
      <c r="B760" s="210" t="s">
        <v>1706</v>
      </c>
    </row>
    <row r="761">
      <c r="A761" s="143" t="s">
        <v>344</v>
      </c>
      <c r="B761" s="211" t="s">
        <v>1707</v>
      </c>
    </row>
    <row r="762">
      <c r="A762" s="145" t="s">
        <v>364</v>
      </c>
      <c r="B762" s="210" t="s">
        <v>1709</v>
      </c>
    </row>
    <row r="763">
      <c r="A763" s="143" t="s">
        <v>389</v>
      </c>
      <c r="B763" s="211" t="s">
        <v>1710</v>
      </c>
    </row>
    <row r="764">
      <c r="A764" s="145" t="s">
        <v>417</v>
      </c>
      <c r="B764" s="210" t="s">
        <v>1711</v>
      </c>
    </row>
    <row r="765">
      <c r="A765" s="143" t="s">
        <v>444</v>
      </c>
      <c r="B765" s="211" t="s">
        <v>1712</v>
      </c>
    </row>
    <row r="766">
      <c r="A766" s="145" t="s">
        <v>471</v>
      </c>
      <c r="B766" s="192" t="s">
        <v>1714</v>
      </c>
    </row>
    <row r="767">
      <c r="A767" s="143" t="s">
        <v>501</v>
      </c>
      <c r="B767" s="211" t="s">
        <v>1715</v>
      </c>
    </row>
    <row r="768">
      <c r="A768" s="145" t="s">
        <v>523</v>
      </c>
      <c r="B768" s="210" t="s">
        <v>1717</v>
      </c>
    </row>
    <row r="769">
      <c r="A769" s="143" t="s">
        <v>542</v>
      </c>
      <c r="B769" s="211" t="s">
        <v>1719</v>
      </c>
    </row>
    <row r="770">
      <c r="A770" s="145" t="s">
        <v>562</v>
      </c>
      <c r="B770" s="192" t="s">
        <v>1721</v>
      </c>
    </row>
    <row r="771">
      <c r="A771" s="143" t="s">
        <v>585</v>
      </c>
      <c r="B771" s="211" t="s">
        <v>1722</v>
      </c>
    </row>
    <row r="772">
      <c r="A772" s="145" t="s">
        <v>608</v>
      </c>
      <c r="B772" s="210" t="s">
        <v>1724</v>
      </c>
    </row>
    <row r="773">
      <c r="A773" s="143" t="s">
        <v>629</v>
      </c>
      <c r="B773" s="211" t="s">
        <v>1726</v>
      </c>
    </row>
    <row r="774">
      <c r="A774" s="145" t="s">
        <v>654</v>
      </c>
      <c r="B774" s="210" t="s">
        <v>1727</v>
      </c>
    </row>
    <row r="775">
      <c r="A775" s="143" t="s">
        <v>669</v>
      </c>
      <c r="B775" s="190" t="s">
        <v>1728</v>
      </c>
    </row>
    <row r="776">
      <c r="A776" s="145" t="s">
        <v>683</v>
      </c>
      <c r="B776" s="210" t="s">
        <v>1729</v>
      </c>
    </row>
    <row r="777">
      <c r="A777" s="143" t="s">
        <v>698</v>
      </c>
      <c r="B777" s="190" t="s">
        <v>1730</v>
      </c>
    </row>
    <row r="778">
      <c r="A778" s="145" t="s">
        <v>717</v>
      </c>
      <c r="B778" s="192" t="s">
        <v>1732</v>
      </c>
    </row>
    <row r="779">
      <c r="A779" s="143" t="s">
        <v>735</v>
      </c>
      <c r="B779" s="190" t="s">
        <v>1733</v>
      </c>
    </row>
    <row r="780">
      <c r="A780" s="145" t="s">
        <v>753</v>
      </c>
      <c r="B780" s="192" t="s">
        <v>1734</v>
      </c>
    </row>
    <row r="781">
      <c r="A781" s="143" t="s">
        <v>765</v>
      </c>
      <c r="B781" s="190" t="s">
        <v>1735</v>
      </c>
    </row>
    <row r="782">
      <c r="A782" s="145" t="s">
        <v>774</v>
      </c>
      <c r="B782" s="192" t="s">
        <v>1736</v>
      </c>
    </row>
    <row r="783">
      <c r="A783" s="143" t="s">
        <v>780</v>
      </c>
      <c r="B783" s="190" t="s">
        <v>1737</v>
      </c>
    </row>
    <row r="784">
      <c r="A784" s="145" t="s">
        <v>785</v>
      </c>
      <c r="B784" s="192" t="s">
        <v>1739</v>
      </c>
    </row>
    <row r="785">
      <c r="A785" s="143" t="s">
        <v>790</v>
      </c>
      <c r="B785" s="190" t="s">
        <v>1740</v>
      </c>
    </row>
    <row r="786">
      <c r="A786" s="145" t="s">
        <v>503</v>
      </c>
      <c r="B786" s="193" t="str">
        <f>B$37</f>
        <v>Increases the size of your upgrade grid.</v>
      </c>
    </row>
    <row r="787">
      <c r="A787" s="143" t="s">
        <v>511</v>
      </c>
      <c r="B787" s="193" t="str">
        <f>B$38</f>
        <v>Commandeers 1 column from each of your other upgrade grids.</v>
      </c>
    </row>
    <row r="788">
      <c r="A788" s="145" t="s">
        <v>516</v>
      </c>
      <c r="B788" s="193" t="str">
        <f>B$39</f>
        <v>Increases the size of your upgrade grid.</v>
      </c>
    </row>
    <row r="789">
      <c r="A789" s="143"/>
      <c r="B789" s="211"/>
    </row>
    <row r="790">
      <c r="A790" s="145"/>
      <c r="B790" s="210"/>
    </row>
    <row r="791">
      <c r="A791" s="143"/>
      <c r="B791" s="211"/>
    </row>
    <row r="792">
      <c r="A792" s="145"/>
      <c r="B792" s="210"/>
    </row>
    <row r="793">
      <c r="A793" s="143"/>
      <c r="B793" s="211"/>
    </row>
    <row r="794">
      <c r="A794" s="145"/>
      <c r="B794" s="210"/>
    </row>
    <row r="795">
      <c r="A795" s="143"/>
      <c r="B795" s="211"/>
    </row>
    <row r="796">
      <c r="A796" s="145"/>
      <c r="B796" s="210"/>
    </row>
    <row r="797">
      <c r="A797" s="143"/>
      <c r="B797" s="211"/>
    </row>
    <row r="798">
      <c r="A798" s="145"/>
      <c r="B798" s="210"/>
    </row>
    <row r="799">
      <c r="A799" s="143"/>
      <c r="B799" s="211"/>
    </row>
    <row r="800">
      <c r="A800" s="184"/>
      <c r="B800" s="210"/>
    </row>
    <row r="801">
      <c r="A801" s="171" t="str">
        <f t="array" ref="A801:A850">'Up Names'!Q2:Q51</f>
        <v>Switcheroo</v>
      </c>
      <c r="B801" s="215" t="s">
        <v>1745</v>
      </c>
    </row>
    <row r="802">
      <c r="A802" s="145" t="s">
        <v>166</v>
      </c>
      <c r="B802" s="211" t="s">
        <v>1747</v>
      </c>
    </row>
    <row r="803">
      <c r="A803" s="143" t="s">
        <v>186</v>
      </c>
      <c r="B803" s="210" t="s">
        <v>1748</v>
      </c>
    </row>
    <row r="804">
      <c r="A804" s="145" t="s">
        <v>206</v>
      </c>
      <c r="B804" s="211" t="s">
        <v>1749</v>
      </c>
    </row>
    <row r="805">
      <c r="A805" s="143" t="s">
        <v>225</v>
      </c>
      <c r="B805" s="210" t="s">
        <v>1750</v>
      </c>
    </row>
    <row r="806">
      <c r="A806" s="145" t="s">
        <v>245</v>
      </c>
      <c r="B806" s="190" t="s">
        <v>1752</v>
      </c>
    </row>
    <row r="807">
      <c r="A807" s="143" t="s">
        <v>265</v>
      </c>
      <c r="B807" s="192" t="s">
        <v>1753</v>
      </c>
    </row>
    <row r="808">
      <c r="A808" s="145" t="s">
        <v>285</v>
      </c>
      <c r="B808" s="211" t="s">
        <v>1754</v>
      </c>
    </row>
    <row r="809">
      <c r="A809" s="143" t="s">
        <v>305</v>
      </c>
      <c r="B809" s="210" t="s">
        <v>1755</v>
      </c>
    </row>
    <row r="810">
      <c r="A810" s="145" t="s">
        <v>325</v>
      </c>
      <c r="B810" s="211" t="s">
        <v>1756</v>
      </c>
    </row>
    <row r="811">
      <c r="A811" s="143" t="s">
        <v>345</v>
      </c>
      <c r="B811" s="210" t="s">
        <v>1757</v>
      </c>
    </row>
    <row r="812">
      <c r="A812" s="145" t="s">
        <v>365</v>
      </c>
      <c r="B812" s="211" t="s">
        <v>1758</v>
      </c>
    </row>
    <row r="813">
      <c r="A813" s="143" t="s">
        <v>390</v>
      </c>
      <c r="B813" s="210" t="s">
        <v>1760</v>
      </c>
    </row>
    <row r="814">
      <c r="A814" s="145" t="s">
        <v>418</v>
      </c>
      <c r="B814" s="211" t="s">
        <v>1761</v>
      </c>
    </row>
    <row r="815">
      <c r="A815" s="143" t="s">
        <v>445</v>
      </c>
      <c r="B815" s="210" t="s">
        <v>1762</v>
      </c>
    </row>
    <row r="816">
      <c r="A816" s="145" t="s">
        <v>473</v>
      </c>
      <c r="B816" s="190" t="s">
        <v>1763</v>
      </c>
    </row>
    <row r="817">
      <c r="A817" s="143" t="s">
        <v>502</v>
      </c>
      <c r="B817" s="210" t="s">
        <v>1765</v>
      </c>
    </row>
    <row r="818">
      <c r="A818" s="145" t="s">
        <v>524</v>
      </c>
      <c r="B818" s="211" t="s">
        <v>1766</v>
      </c>
    </row>
    <row r="819">
      <c r="A819" s="143" t="s">
        <v>543</v>
      </c>
      <c r="B819" s="210" t="s">
        <v>1767</v>
      </c>
    </row>
    <row r="820">
      <c r="A820" s="145" t="s">
        <v>564</v>
      </c>
      <c r="B820" s="211" t="s">
        <v>1768</v>
      </c>
    </row>
    <row r="821">
      <c r="A821" s="143" t="s">
        <v>586</v>
      </c>
      <c r="B821" s="210" t="s">
        <v>1769</v>
      </c>
    </row>
    <row r="822">
      <c r="A822" s="145" t="s">
        <v>609</v>
      </c>
      <c r="B822" s="211" t="s">
        <v>1770</v>
      </c>
    </row>
    <row r="823">
      <c r="A823" s="143" t="s">
        <v>631</v>
      </c>
      <c r="B823" s="210" t="s">
        <v>1772</v>
      </c>
    </row>
    <row r="824">
      <c r="A824" s="145" t="s">
        <v>655</v>
      </c>
      <c r="B824" s="211" t="s">
        <v>1774</v>
      </c>
    </row>
    <row r="825">
      <c r="A825" s="143" t="s">
        <v>670</v>
      </c>
      <c r="B825" s="210" t="s">
        <v>1775</v>
      </c>
    </row>
    <row r="826">
      <c r="A826" s="145" t="s">
        <v>684</v>
      </c>
      <c r="B826" s="211" t="s">
        <v>1776</v>
      </c>
    </row>
    <row r="827">
      <c r="A827" s="143" t="s">
        <v>699</v>
      </c>
      <c r="B827" s="210" t="s">
        <v>1778</v>
      </c>
    </row>
    <row r="828">
      <c r="A828" s="145" t="s">
        <v>719</v>
      </c>
      <c r="B828" s="211" t="s">
        <v>1779</v>
      </c>
    </row>
    <row r="829">
      <c r="A829" s="143" t="s">
        <v>737</v>
      </c>
      <c r="B829" s="210" t="s">
        <v>1782</v>
      </c>
    </row>
    <row r="830">
      <c r="A830" s="145" t="s">
        <v>754</v>
      </c>
      <c r="B830" s="211" t="s">
        <v>1783</v>
      </c>
    </row>
    <row r="831">
      <c r="A831" s="143" t="s">
        <v>766</v>
      </c>
      <c r="B831" s="210" t="s">
        <v>1785</v>
      </c>
    </row>
    <row r="832">
      <c r="A832" s="145" t="s">
        <v>775</v>
      </c>
      <c r="B832" s="211" t="s">
        <v>1786</v>
      </c>
    </row>
    <row r="833">
      <c r="A833" s="143" t="s">
        <v>781</v>
      </c>
      <c r="B833" s="210" t="s">
        <v>1787</v>
      </c>
    </row>
    <row r="834">
      <c r="A834" s="145" t="s">
        <v>786</v>
      </c>
      <c r="B834" s="211" t="s">
        <v>1788</v>
      </c>
    </row>
    <row r="835">
      <c r="A835" s="143" t="s">
        <v>791</v>
      </c>
      <c r="B835" s="190" t="s">
        <v>1789</v>
      </c>
    </row>
    <row r="836">
      <c r="A836" s="145" t="s">
        <v>797</v>
      </c>
      <c r="B836" s="192" t="s">
        <v>1791</v>
      </c>
    </row>
    <row r="837">
      <c r="A837" s="143"/>
      <c r="B837" s="211"/>
    </row>
    <row r="838">
      <c r="A838" s="145"/>
      <c r="B838" s="210"/>
    </row>
    <row r="839">
      <c r="A839" s="143"/>
      <c r="B839" s="211"/>
    </row>
    <row r="840">
      <c r="A840" s="145"/>
      <c r="B840" s="210"/>
    </row>
    <row r="841">
      <c r="A841" s="143"/>
      <c r="B841" s="211"/>
    </row>
    <row r="842">
      <c r="A842" s="145"/>
      <c r="B842" s="210"/>
    </row>
    <row r="843">
      <c r="A843" s="143"/>
      <c r="B843" s="211"/>
    </row>
    <row r="844">
      <c r="A844" s="145"/>
      <c r="B844" s="210"/>
    </row>
    <row r="845">
      <c r="A845" s="143"/>
      <c r="B845" s="211"/>
    </row>
    <row r="846">
      <c r="A846" s="145"/>
      <c r="B846" s="210"/>
    </row>
    <row r="847">
      <c r="A847" s="143"/>
      <c r="B847" s="211"/>
    </row>
    <row r="848">
      <c r="A848" s="145"/>
      <c r="B848" s="210"/>
    </row>
    <row r="849">
      <c r="A849" s="143"/>
      <c r="B849" s="211"/>
    </row>
    <row r="850">
      <c r="A850" s="184"/>
      <c r="B850" s="210"/>
    </row>
    <row r="851">
      <c r="A851" s="171" t="str">
        <f t="array" ref="A851:A900">'Up Names'!R2:R51</f>
        <v>Modular Construction</v>
      </c>
      <c r="B851" s="211" t="s">
        <v>1793</v>
      </c>
    </row>
    <row r="852">
      <c r="A852" s="145" t="s">
        <v>167</v>
      </c>
      <c r="B852" s="210" t="s">
        <v>1794</v>
      </c>
    </row>
    <row r="853">
      <c r="A853" s="143" t="s">
        <v>187</v>
      </c>
      <c r="B853" s="211" t="s">
        <v>1795</v>
      </c>
    </row>
    <row r="854">
      <c r="A854" s="145" t="s">
        <v>207</v>
      </c>
      <c r="B854" s="210" t="s">
        <v>1796</v>
      </c>
    </row>
    <row r="855">
      <c r="A855" s="143" t="s">
        <v>226</v>
      </c>
      <c r="B855" s="211" t="s">
        <v>1797</v>
      </c>
    </row>
    <row r="856">
      <c r="A856" s="145" t="s">
        <v>246</v>
      </c>
      <c r="B856" s="210" t="s">
        <v>1798</v>
      </c>
    </row>
    <row r="857">
      <c r="A857" s="143" t="s">
        <v>266</v>
      </c>
      <c r="B857" s="211" t="s">
        <v>1799</v>
      </c>
    </row>
    <row r="858">
      <c r="A858" s="145" t="s">
        <v>286</v>
      </c>
      <c r="B858" s="210" t="s">
        <v>1800</v>
      </c>
    </row>
    <row r="859">
      <c r="A859" s="143" t="s">
        <v>306</v>
      </c>
      <c r="B859" s="211" t="s">
        <v>1801</v>
      </c>
    </row>
    <row r="860">
      <c r="A860" s="145" t="s">
        <v>326</v>
      </c>
      <c r="B860" s="210" t="s">
        <v>1802</v>
      </c>
    </row>
    <row r="861">
      <c r="A861" s="143" t="s">
        <v>346</v>
      </c>
      <c r="B861" s="211" t="s">
        <v>1803</v>
      </c>
    </row>
    <row r="862">
      <c r="A862" s="145" t="s">
        <v>366</v>
      </c>
      <c r="B862" s="192" t="s">
        <v>1804</v>
      </c>
    </row>
    <row r="863">
      <c r="A863" s="143" t="s">
        <v>391</v>
      </c>
      <c r="B863" s="211" t="s">
        <v>1805</v>
      </c>
    </row>
    <row r="864">
      <c r="A864" s="145" t="s">
        <v>419</v>
      </c>
      <c r="B864" s="210" t="s">
        <v>1806</v>
      </c>
    </row>
    <row r="865">
      <c r="A865" s="143" t="s">
        <v>446</v>
      </c>
      <c r="B865" s="211" t="s">
        <v>1807</v>
      </c>
    </row>
    <row r="866">
      <c r="A866" s="145" t="s">
        <v>475</v>
      </c>
      <c r="B866" s="210" t="s">
        <v>1808</v>
      </c>
    </row>
    <row r="867">
      <c r="A867" s="143" t="s">
        <v>504</v>
      </c>
      <c r="B867" s="211" t="s">
        <v>1810</v>
      </c>
    </row>
    <row r="868">
      <c r="A868" s="145" t="s">
        <v>525</v>
      </c>
      <c r="B868" s="210" t="s">
        <v>1811</v>
      </c>
    </row>
    <row r="869">
      <c r="A869" s="143" t="s">
        <v>544</v>
      </c>
      <c r="B869" s="211" t="s">
        <v>1812</v>
      </c>
    </row>
    <row r="870">
      <c r="A870" s="145" t="s">
        <v>565</v>
      </c>
      <c r="B870" s="210" t="s">
        <v>1813</v>
      </c>
    </row>
    <row r="871">
      <c r="A871" s="143" t="s">
        <v>588</v>
      </c>
      <c r="B871" s="211" t="s">
        <v>1814</v>
      </c>
    </row>
    <row r="872">
      <c r="A872" s="145" t="s">
        <v>610</v>
      </c>
      <c r="B872" s="210" t="s">
        <v>1815</v>
      </c>
    </row>
    <row r="873">
      <c r="A873" s="143" t="s">
        <v>633</v>
      </c>
      <c r="B873" s="211" t="s">
        <v>1816</v>
      </c>
    </row>
    <row r="874">
      <c r="A874" s="145" t="s">
        <v>656</v>
      </c>
      <c r="B874" s="210" t="s">
        <v>1817</v>
      </c>
    </row>
    <row r="875">
      <c r="A875" s="143" t="s">
        <v>671</v>
      </c>
      <c r="B875" s="190" t="s">
        <v>1819</v>
      </c>
    </row>
    <row r="876">
      <c r="A876" s="145" t="s">
        <v>685</v>
      </c>
      <c r="B876" s="192" t="s">
        <v>1820</v>
      </c>
    </row>
    <row r="877">
      <c r="A877" s="143" t="s">
        <v>701</v>
      </c>
      <c r="B877" s="211" t="s">
        <v>1821</v>
      </c>
    </row>
    <row r="878">
      <c r="A878" s="145" t="s">
        <v>720</v>
      </c>
      <c r="B878" s="210" t="s">
        <v>1822</v>
      </c>
    </row>
    <row r="879">
      <c r="A879" s="143" t="s">
        <v>738</v>
      </c>
      <c r="B879" s="211" t="s">
        <v>1823</v>
      </c>
    </row>
    <row r="880">
      <c r="A880" s="145" t="s">
        <v>755</v>
      </c>
      <c r="B880" s="210" t="s">
        <v>1824</v>
      </c>
    </row>
    <row r="881">
      <c r="A881" s="143" t="s">
        <v>768</v>
      </c>
      <c r="B881" s="211" t="s">
        <v>1825</v>
      </c>
    </row>
    <row r="882">
      <c r="A882" s="145" t="s">
        <v>776</v>
      </c>
      <c r="B882" s="210" t="s">
        <v>1810</v>
      </c>
    </row>
    <row r="883">
      <c r="A883" s="143" t="s">
        <v>782</v>
      </c>
      <c r="B883" s="211" t="s">
        <v>1814</v>
      </c>
    </row>
    <row r="884">
      <c r="A884" s="145" t="s">
        <v>787</v>
      </c>
      <c r="B884" s="192" t="s">
        <v>1827</v>
      </c>
    </row>
    <row r="885">
      <c r="A885" s="143" t="s">
        <v>792</v>
      </c>
      <c r="B885" s="190" t="s">
        <v>1828</v>
      </c>
    </row>
    <row r="886">
      <c r="A886" s="145"/>
      <c r="B886" s="210"/>
    </row>
    <row r="887">
      <c r="A887" s="143"/>
      <c r="B887" s="211"/>
    </row>
    <row r="888">
      <c r="A888" s="145"/>
      <c r="B888" s="210"/>
    </row>
    <row r="889">
      <c r="A889" s="143"/>
      <c r="B889" s="211"/>
    </row>
    <row r="890">
      <c r="A890" s="145"/>
      <c r="B890" s="210"/>
    </row>
    <row r="891">
      <c r="A891" s="143"/>
      <c r="B891" s="211"/>
    </row>
    <row r="892">
      <c r="A892" s="145"/>
      <c r="B892" s="210"/>
    </row>
    <row r="893">
      <c r="A893" s="143"/>
      <c r="B893" s="211"/>
    </row>
    <row r="894">
      <c r="A894" s="145"/>
      <c r="B894" s="210"/>
    </row>
    <row r="895">
      <c r="A895" s="143"/>
      <c r="B895" s="211"/>
    </row>
    <row r="896">
      <c r="A896" s="145"/>
      <c r="B896" s="210"/>
    </row>
    <row r="897">
      <c r="A897" s="143"/>
      <c r="B897" s="211"/>
    </row>
    <row r="898">
      <c r="A898" s="145"/>
      <c r="B898" s="210"/>
    </row>
    <row r="899">
      <c r="A899" s="143"/>
      <c r="B899" s="211"/>
    </row>
    <row r="900">
      <c r="A900" s="184"/>
      <c r="B900" s="210"/>
    </row>
    <row r="901">
      <c r="A901" s="171" t="str">
        <f t="array" ref="A901:A950">'Up Names'!S2:S51</f>
        <v>Upside Down</v>
      </c>
      <c r="B901" s="211" t="s">
        <v>1831</v>
      </c>
    </row>
    <row r="902">
      <c r="A902" s="145" t="s">
        <v>168</v>
      </c>
      <c r="B902" s="192" t="s">
        <v>1832</v>
      </c>
    </row>
    <row r="903">
      <c r="A903" s="143" t="s">
        <v>188</v>
      </c>
      <c r="B903" s="190" t="s">
        <v>1833</v>
      </c>
    </row>
    <row r="904">
      <c r="A904" s="145" t="s">
        <v>208</v>
      </c>
      <c r="B904" s="210" t="s">
        <v>1834</v>
      </c>
    </row>
    <row r="905">
      <c r="A905" s="143" t="s">
        <v>227</v>
      </c>
      <c r="B905" s="211" t="s">
        <v>1836</v>
      </c>
    </row>
    <row r="906">
      <c r="A906" s="145" t="s">
        <v>247</v>
      </c>
      <c r="B906" s="192" t="s">
        <v>1837</v>
      </c>
    </row>
    <row r="907">
      <c r="A907" s="143" t="s">
        <v>267</v>
      </c>
      <c r="B907" s="211" t="s">
        <v>1838</v>
      </c>
    </row>
    <row r="908">
      <c r="A908" s="145" t="s">
        <v>287</v>
      </c>
      <c r="B908" s="210" t="s">
        <v>1839</v>
      </c>
    </row>
    <row r="909">
      <c r="A909" s="143" t="s">
        <v>307</v>
      </c>
      <c r="B909" s="190" t="s">
        <v>1840</v>
      </c>
    </row>
    <row r="910">
      <c r="A910" s="145" t="s">
        <v>327</v>
      </c>
      <c r="B910" s="210" t="s">
        <v>1842</v>
      </c>
    </row>
    <row r="911">
      <c r="A911" s="143" t="s">
        <v>347</v>
      </c>
      <c r="B911" s="211" t="s">
        <v>1843</v>
      </c>
    </row>
    <row r="912">
      <c r="A912" s="145" t="s">
        <v>367</v>
      </c>
      <c r="B912" s="210" t="s">
        <v>1844</v>
      </c>
    </row>
    <row r="913">
      <c r="A913" s="143" t="s">
        <v>392</v>
      </c>
      <c r="B913" s="211" t="s">
        <v>1845</v>
      </c>
    </row>
    <row r="914">
      <c r="A914" s="145" t="s">
        <v>420</v>
      </c>
      <c r="B914" s="192" t="s">
        <v>1846</v>
      </c>
    </row>
    <row r="915">
      <c r="A915" s="143" t="s">
        <v>448</v>
      </c>
      <c r="B915" s="211" t="s">
        <v>1848</v>
      </c>
    </row>
    <row r="916">
      <c r="A916" s="145" t="s">
        <v>476</v>
      </c>
      <c r="B916" s="210" t="s">
        <v>1849</v>
      </c>
    </row>
    <row r="917">
      <c r="A917" s="143" t="s">
        <v>505</v>
      </c>
      <c r="B917" s="211" t="s">
        <v>1850</v>
      </c>
    </row>
    <row r="918">
      <c r="A918" s="145" t="s">
        <v>526</v>
      </c>
      <c r="B918" s="210" t="s">
        <v>1851</v>
      </c>
    </row>
    <row r="919">
      <c r="A919" s="143" t="s">
        <v>545</v>
      </c>
      <c r="B919" s="211" t="s">
        <v>1852</v>
      </c>
    </row>
    <row r="920">
      <c r="A920" s="145" t="s">
        <v>566</v>
      </c>
      <c r="B920" s="210" t="s">
        <v>1853</v>
      </c>
    </row>
    <row r="921">
      <c r="A921" s="143" t="s">
        <v>589</v>
      </c>
      <c r="B921" s="190" t="s">
        <v>1854</v>
      </c>
    </row>
    <row r="922">
      <c r="A922" s="145" t="s">
        <v>611</v>
      </c>
      <c r="B922" s="210" t="s">
        <v>1856</v>
      </c>
    </row>
    <row r="923">
      <c r="A923" s="143" t="s">
        <v>634</v>
      </c>
      <c r="B923" s="211" t="s">
        <v>1857</v>
      </c>
    </row>
    <row r="924">
      <c r="A924" s="145" t="s">
        <v>657</v>
      </c>
      <c r="B924" s="210" t="s">
        <v>1858</v>
      </c>
    </row>
    <row r="925">
      <c r="A925" s="143" t="s">
        <v>672</v>
      </c>
      <c r="B925" s="211" t="s">
        <v>1859</v>
      </c>
    </row>
    <row r="926">
      <c r="A926" s="145" t="s">
        <v>686</v>
      </c>
      <c r="B926" s="210" t="s">
        <v>1861</v>
      </c>
    </row>
    <row r="927">
      <c r="A927" s="143" t="s">
        <v>702</v>
      </c>
      <c r="B927" s="211" t="s">
        <v>1862</v>
      </c>
    </row>
    <row r="928">
      <c r="A928" s="145" t="s">
        <v>721</v>
      </c>
      <c r="B928" s="210" t="s">
        <v>1863</v>
      </c>
    </row>
    <row r="929">
      <c r="A929" s="143" t="s">
        <v>739</v>
      </c>
      <c r="B929" s="211" t="s">
        <v>1864</v>
      </c>
    </row>
    <row r="930">
      <c r="A930" s="145" t="s">
        <v>757</v>
      </c>
      <c r="B930" s="210" t="s">
        <v>1865</v>
      </c>
    </row>
    <row r="931">
      <c r="A931" s="143" t="s">
        <v>769</v>
      </c>
      <c r="B931" s="211" t="s">
        <v>1866</v>
      </c>
    </row>
    <row r="932">
      <c r="A932" s="145" t="s">
        <v>777</v>
      </c>
      <c r="B932" s="210" t="s">
        <v>1862</v>
      </c>
    </row>
    <row r="933">
      <c r="A933" s="143" t="s">
        <v>783</v>
      </c>
      <c r="B933" s="211" t="s">
        <v>1868</v>
      </c>
    </row>
    <row r="934">
      <c r="A934" s="145" t="s">
        <v>788</v>
      </c>
      <c r="B934" s="192" t="s">
        <v>1869</v>
      </c>
    </row>
    <row r="935">
      <c r="A935" s="143" t="s">
        <v>793</v>
      </c>
      <c r="B935" s="190" t="s">
        <v>1870</v>
      </c>
    </row>
    <row r="936">
      <c r="A936" s="145"/>
      <c r="B936" s="210"/>
    </row>
    <row r="937">
      <c r="A937" s="143"/>
      <c r="B937" s="211"/>
    </row>
    <row r="938">
      <c r="A938" s="145"/>
      <c r="B938" s="210"/>
    </row>
    <row r="939">
      <c r="A939" s="143"/>
      <c r="B939" s="211"/>
    </row>
    <row r="940">
      <c r="A940" s="145"/>
      <c r="B940" s="210"/>
    </row>
    <row r="941">
      <c r="A941" s="143"/>
      <c r="B941" s="211"/>
    </row>
    <row r="942">
      <c r="A942" s="145"/>
      <c r="B942" s="210"/>
    </row>
    <row r="943">
      <c r="A943" s="143"/>
      <c r="B943" s="211"/>
    </row>
    <row r="944">
      <c r="A944" s="145"/>
      <c r="B944" s="210"/>
    </row>
    <row r="945">
      <c r="A945" s="143"/>
      <c r="B945" s="211"/>
    </row>
    <row r="946">
      <c r="A946" s="145"/>
      <c r="B946" s="210"/>
    </row>
    <row r="947">
      <c r="A947" s="143"/>
      <c r="B947" s="211"/>
    </row>
    <row r="948">
      <c r="A948" s="145"/>
      <c r="B948" s="210"/>
    </row>
    <row r="949">
      <c r="A949" s="143"/>
      <c r="B949" s="211"/>
    </row>
    <row r="950">
      <c r="A950" s="184"/>
      <c r="B950" s="210"/>
    </row>
    <row r="951">
      <c r="A951" s="171" t="str">
        <f t="array" ref="A951:A1000">'Up Names'!T2:T51</f>
        <v>Attrition Supply</v>
      </c>
      <c r="B951" s="211" t="s">
        <v>1874</v>
      </c>
    </row>
    <row r="952">
      <c r="A952" s="145" t="s">
        <v>169</v>
      </c>
      <c r="B952" s="210" t="s">
        <v>1875</v>
      </c>
    </row>
    <row r="953">
      <c r="A953" s="143" t="s">
        <v>189</v>
      </c>
      <c r="B953" s="211" t="s">
        <v>1876</v>
      </c>
    </row>
    <row r="954">
      <c r="A954" s="145" t="s">
        <v>209</v>
      </c>
      <c r="B954" s="210" t="s">
        <v>1878</v>
      </c>
    </row>
    <row r="955">
      <c r="A955" s="143" t="s">
        <v>228</v>
      </c>
      <c r="B955" s="211" t="s">
        <v>1879</v>
      </c>
    </row>
    <row r="956">
      <c r="A956" s="145" t="s">
        <v>248</v>
      </c>
      <c r="B956" s="210" t="s">
        <v>1880</v>
      </c>
    </row>
    <row r="957">
      <c r="A957" s="143" t="s">
        <v>268</v>
      </c>
      <c r="B957" s="211" t="s">
        <v>1881</v>
      </c>
    </row>
    <row r="958">
      <c r="A958" s="145" t="s">
        <v>288</v>
      </c>
      <c r="B958" s="210" t="s">
        <v>1882</v>
      </c>
    </row>
    <row r="959">
      <c r="A959" s="143" t="s">
        <v>308</v>
      </c>
      <c r="B959" s="211" t="s">
        <v>1884</v>
      </c>
    </row>
    <row r="960">
      <c r="A960" s="145" t="s">
        <v>328</v>
      </c>
      <c r="B960" s="210" t="s">
        <v>1885</v>
      </c>
    </row>
    <row r="961">
      <c r="A961" s="143" t="s">
        <v>348</v>
      </c>
      <c r="B961" s="211" t="s">
        <v>1886</v>
      </c>
    </row>
    <row r="962">
      <c r="A962" s="145" t="s">
        <v>368</v>
      </c>
      <c r="B962" s="210" t="s">
        <v>1887</v>
      </c>
    </row>
    <row r="963">
      <c r="A963" s="143" t="s">
        <v>393</v>
      </c>
      <c r="B963" s="211" t="s">
        <v>1888</v>
      </c>
    </row>
    <row r="964">
      <c r="A964" s="145" t="s">
        <v>422</v>
      </c>
      <c r="B964" s="210" t="s">
        <v>1889</v>
      </c>
    </row>
    <row r="965">
      <c r="A965" s="143" t="s">
        <v>450</v>
      </c>
      <c r="B965" s="211" t="s">
        <v>1890</v>
      </c>
    </row>
    <row r="966">
      <c r="A966" s="145" t="s">
        <v>478</v>
      </c>
      <c r="B966" s="192" t="s">
        <v>1892</v>
      </c>
    </row>
    <row r="967">
      <c r="A967" s="143" t="s">
        <v>506</v>
      </c>
      <c r="B967" s="211" t="s">
        <v>1893</v>
      </c>
    </row>
    <row r="968">
      <c r="A968" s="145" t="s">
        <v>527</v>
      </c>
      <c r="B968" s="210" t="s">
        <v>1894</v>
      </c>
    </row>
    <row r="969">
      <c r="A969" s="143" t="s">
        <v>546</v>
      </c>
      <c r="B969" s="211" t="s">
        <v>1895</v>
      </c>
    </row>
    <row r="970">
      <c r="A970" s="145" t="s">
        <v>568</v>
      </c>
      <c r="B970" s="210" t="s">
        <v>1897</v>
      </c>
    </row>
    <row r="971">
      <c r="A971" s="143" t="s">
        <v>590</v>
      </c>
      <c r="B971" s="211" t="s">
        <v>1898</v>
      </c>
    </row>
    <row r="972">
      <c r="A972" s="145" t="s">
        <v>612</v>
      </c>
      <c r="B972" s="210" t="s">
        <v>1899</v>
      </c>
    </row>
    <row r="973">
      <c r="A973" s="143" t="s">
        <v>636</v>
      </c>
      <c r="B973" s="211" t="s">
        <v>1900</v>
      </c>
    </row>
    <row r="974">
      <c r="A974" s="145" t="s">
        <v>658</v>
      </c>
      <c r="B974" s="210" t="s">
        <v>1901</v>
      </c>
    </row>
    <row r="975">
      <c r="A975" s="143" t="s">
        <v>673</v>
      </c>
      <c r="B975" s="211" t="s">
        <v>1903</v>
      </c>
    </row>
    <row r="976">
      <c r="A976" s="145" t="s">
        <v>687</v>
      </c>
      <c r="B976" s="210" t="s">
        <v>1907</v>
      </c>
    </row>
    <row r="977">
      <c r="A977" s="143" t="s">
        <v>703</v>
      </c>
      <c r="B977" s="211" t="s">
        <v>1908</v>
      </c>
    </row>
    <row r="978">
      <c r="A978" s="145" t="s">
        <v>722</v>
      </c>
      <c r="B978" s="210" t="s">
        <v>1910</v>
      </c>
    </row>
    <row r="979">
      <c r="A979" s="143" t="s">
        <v>741</v>
      </c>
      <c r="B979" s="211" t="s">
        <v>1911</v>
      </c>
    </row>
    <row r="980">
      <c r="A980" s="145" t="s">
        <v>758</v>
      </c>
      <c r="B980" s="210" t="s">
        <v>1890</v>
      </c>
    </row>
    <row r="981">
      <c r="A981" s="143" t="s">
        <v>771</v>
      </c>
      <c r="B981" s="211" t="s">
        <v>1913</v>
      </c>
    </row>
    <row r="982">
      <c r="A982" s="145" t="s">
        <v>778</v>
      </c>
      <c r="B982" s="210" t="s">
        <v>1914</v>
      </c>
    </row>
    <row r="983">
      <c r="A983" s="143" t="s">
        <v>784</v>
      </c>
      <c r="B983" s="211" t="s">
        <v>1915</v>
      </c>
    </row>
    <row r="984">
      <c r="A984" s="145" t="s">
        <v>789</v>
      </c>
      <c r="B984" s="192" t="s">
        <v>1916</v>
      </c>
    </row>
    <row r="985">
      <c r="A985" s="143" t="s">
        <v>794</v>
      </c>
      <c r="B985" s="190" t="s">
        <v>1917</v>
      </c>
    </row>
    <row r="986">
      <c r="A986" s="145"/>
      <c r="B986" s="210"/>
    </row>
    <row r="987">
      <c r="A987" s="143"/>
      <c r="B987" s="211"/>
    </row>
    <row r="988">
      <c r="A988" s="145"/>
      <c r="B988" s="210"/>
    </row>
    <row r="989">
      <c r="A989" s="143"/>
      <c r="B989" s="211"/>
    </row>
    <row r="990">
      <c r="A990" s="145"/>
      <c r="B990" s="210"/>
    </row>
    <row r="991">
      <c r="A991" s="143"/>
      <c r="B991" s="211"/>
    </row>
    <row r="992">
      <c r="A992" s="145"/>
      <c r="B992" s="210"/>
    </row>
    <row r="993">
      <c r="A993" s="143"/>
      <c r="B993" s="211"/>
    </row>
    <row r="994">
      <c r="A994" s="145"/>
      <c r="B994" s="210"/>
    </row>
    <row r="995">
      <c r="A995" s="143"/>
      <c r="B995" s="211"/>
    </row>
    <row r="996">
      <c r="A996" s="145"/>
      <c r="B996" s="210"/>
    </row>
    <row r="997">
      <c r="A997" s="143"/>
      <c r="B997" s="211"/>
    </row>
    <row r="998">
      <c r="A998" s="145"/>
      <c r="B998" s="210"/>
    </row>
    <row r="999">
      <c r="A999" s="143"/>
      <c r="B999" s="211"/>
    </row>
    <row r="1000">
      <c r="A1000" s="184"/>
      <c r="B1000" s="210"/>
    </row>
  </sheetData>
  <drawing r:id="rId1"/>
  <tableParts count="1">
    <tablePart r:id="rId3"/>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63"/>
  </cols>
  <sheetData>
    <row r="1">
      <c r="A1" s="171" t="str">
        <f t="array" ref="A1:A50">'Up Names'!A2:A51</f>
        <v>Corrode Siphon</v>
      </c>
      <c r="B1" s="204"/>
    </row>
    <row r="2">
      <c r="A2" s="145" t="s">
        <v>150</v>
      </c>
      <c r="B2" s="205"/>
    </row>
    <row r="3">
      <c r="A3" s="143" t="s">
        <v>170</v>
      </c>
      <c r="B3" s="204"/>
    </row>
    <row r="4">
      <c r="A4" s="145" t="s">
        <v>190</v>
      </c>
      <c r="B4" s="205"/>
    </row>
    <row r="5">
      <c r="A5" s="143" t="s">
        <v>210</v>
      </c>
      <c r="B5" s="204"/>
    </row>
    <row r="6">
      <c r="A6" s="145" t="s">
        <v>229</v>
      </c>
      <c r="B6" s="206" t="s">
        <v>1594</v>
      </c>
    </row>
    <row r="7">
      <c r="A7" s="143" t="s">
        <v>249</v>
      </c>
      <c r="B7" s="206" t="s">
        <v>1594</v>
      </c>
    </row>
    <row r="8">
      <c r="A8" s="145" t="s">
        <v>269</v>
      </c>
      <c r="B8" s="206" t="s">
        <v>1594</v>
      </c>
    </row>
    <row r="9">
      <c r="A9" s="143" t="s">
        <v>289</v>
      </c>
      <c r="B9" s="206" t="s">
        <v>1594</v>
      </c>
    </row>
    <row r="10">
      <c r="A10" s="145" t="s">
        <v>309</v>
      </c>
      <c r="B10" s="206" t="s">
        <v>1594</v>
      </c>
    </row>
    <row r="11">
      <c r="A11" s="143" t="s">
        <v>329</v>
      </c>
      <c r="B11" s="206" t="s">
        <v>1594</v>
      </c>
    </row>
    <row r="12">
      <c r="A12" s="145" t="s">
        <v>349</v>
      </c>
      <c r="B12" s="206" t="s">
        <v>1594</v>
      </c>
    </row>
    <row r="13">
      <c r="A13" s="143" t="s">
        <v>372</v>
      </c>
      <c r="B13" s="206" t="s">
        <v>1594</v>
      </c>
    </row>
    <row r="14">
      <c r="A14" s="145" t="s">
        <v>394</v>
      </c>
      <c r="B14" s="206" t="s">
        <v>1594</v>
      </c>
    </row>
    <row r="15">
      <c r="A15" s="143" t="s">
        <v>404</v>
      </c>
      <c r="B15" s="206" t="s">
        <v>1594</v>
      </c>
    </row>
    <row r="16">
      <c r="A16" s="145" t="s">
        <v>410</v>
      </c>
      <c r="B16" s="206" t="s">
        <v>1594</v>
      </c>
    </row>
    <row r="17">
      <c r="A17" s="143" t="s">
        <v>415</v>
      </c>
      <c r="B17" s="206" t="s">
        <v>1594</v>
      </c>
    </row>
    <row r="18">
      <c r="A18" s="145" t="s">
        <v>421</v>
      </c>
      <c r="B18" s="206" t="s">
        <v>1594</v>
      </c>
    </row>
    <row r="19">
      <c r="A19" s="143" t="s">
        <v>426</v>
      </c>
      <c r="B19" s="206" t="s">
        <v>1594</v>
      </c>
    </row>
    <row r="20">
      <c r="A20" s="145" t="s">
        <v>430</v>
      </c>
      <c r="B20" s="206" t="s">
        <v>1594</v>
      </c>
    </row>
    <row r="21">
      <c r="A21" s="143" t="s">
        <v>435</v>
      </c>
      <c r="B21" s="206" t="s">
        <v>1594</v>
      </c>
    </row>
    <row r="22">
      <c r="A22" s="145" t="s">
        <v>439</v>
      </c>
      <c r="B22" s="206" t="s">
        <v>1594</v>
      </c>
    </row>
    <row r="23">
      <c r="A23" s="143" t="s">
        <v>443</v>
      </c>
      <c r="B23" s="206" t="s">
        <v>1594</v>
      </c>
    </row>
    <row r="24">
      <c r="A24" s="145" t="s">
        <v>447</v>
      </c>
      <c r="B24" s="206" t="s">
        <v>1594</v>
      </c>
    </row>
    <row r="25">
      <c r="A25" s="143" t="s">
        <v>451</v>
      </c>
      <c r="B25" s="206" t="s">
        <v>1594</v>
      </c>
    </row>
    <row r="26">
      <c r="A26" s="145" t="s">
        <v>455</v>
      </c>
      <c r="B26" s="206" t="s">
        <v>1594</v>
      </c>
    </row>
    <row r="27">
      <c r="A27" s="143" t="s">
        <v>459</v>
      </c>
      <c r="B27" s="206" t="s">
        <v>1594</v>
      </c>
    </row>
    <row r="28">
      <c r="A28" s="145" t="s">
        <v>464</v>
      </c>
      <c r="B28" s="206" t="s">
        <v>1594</v>
      </c>
    </row>
    <row r="29">
      <c r="A29" s="143" t="s">
        <v>468</v>
      </c>
      <c r="B29" s="206" t="s">
        <v>1594</v>
      </c>
    </row>
    <row r="30">
      <c r="A30" s="145" t="s">
        <v>472</v>
      </c>
      <c r="B30" s="206" t="s">
        <v>1594</v>
      </c>
    </row>
    <row r="31">
      <c r="A31" s="143" t="s">
        <v>477</v>
      </c>
      <c r="B31" s="206" t="s">
        <v>1594</v>
      </c>
    </row>
    <row r="32">
      <c r="A32" s="145" t="s">
        <v>481</v>
      </c>
      <c r="B32" s="206" t="s">
        <v>1594</v>
      </c>
    </row>
    <row r="33">
      <c r="A33" s="143" t="s">
        <v>486</v>
      </c>
      <c r="B33" s="206" t="s">
        <v>1594</v>
      </c>
    </row>
    <row r="34">
      <c r="A34" s="145" t="s">
        <v>492</v>
      </c>
      <c r="B34" s="206" t="s">
        <v>1594</v>
      </c>
    </row>
    <row r="35">
      <c r="A35" s="143" t="s">
        <v>496</v>
      </c>
      <c r="B35" s="206" t="s">
        <v>1594</v>
      </c>
    </row>
    <row r="36">
      <c r="A36" s="145" t="s">
        <v>499</v>
      </c>
      <c r="B36" s="206" t="s">
        <v>1594</v>
      </c>
    </row>
    <row r="37">
      <c r="A37" s="143" t="s">
        <v>503</v>
      </c>
      <c r="B37" s="206" t="s">
        <v>1594</v>
      </c>
    </row>
    <row r="38">
      <c r="A38" s="145" t="s">
        <v>511</v>
      </c>
      <c r="B38" s="206" t="s">
        <v>1594</v>
      </c>
    </row>
    <row r="39">
      <c r="A39" s="143" t="s">
        <v>516</v>
      </c>
      <c r="B39" s="206" t="s">
        <v>1594</v>
      </c>
    </row>
    <row r="40">
      <c r="A40" s="145"/>
      <c r="B40" s="205"/>
    </row>
    <row r="41">
      <c r="A41" s="143"/>
      <c r="B41" s="204"/>
    </row>
    <row r="42">
      <c r="A42" s="145"/>
      <c r="B42" s="205"/>
    </row>
    <row r="43">
      <c r="A43" s="143"/>
      <c r="B43" s="204"/>
    </row>
    <row r="44">
      <c r="A44" s="145"/>
      <c r="B44" s="205"/>
    </row>
    <row r="45">
      <c r="A45" s="143"/>
      <c r="B45" s="204"/>
    </row>
    <row r="46">
      <c r="A46" s="145"/>
      <c r="B46" s="205"/>
    </row>
    <row r="47">
      <c r="A47" s="143"/>
      <c r="B47" s="204"/>
    </row>
    <row r="48">
      <c r="A48" s="145"/>
      <c r="B48" s="205"/>
    </row>
    <row r="49">
      <c r="A49" s="143"/>
      <c r="B49" s="204"/>
    </row>
    <row r="50">
      <c r="A50" s="184"/>
      <c r="B50" s="205"/>
    </row>
    <row r="51">
      <c r="A51" s="171" t="str">
        <f t="array" ref="A51:A100">'Up Names'!B2:B51</f>
        <v>All Powdered Up</v>
      </c>
      <c r="B51" s="208" t="s">
        <v>1611</v>
      </c>
    </row>
    <row r="52">
      <c r="A52" s="145" t="s">
        <v>151</v>
      </c>
      <c r="B52" s="205"/>
    </row>
    <row r="53">
      <c r="A53" s="143" t="s">
        <v>171</v>
      </c>
      <c r="B53" s="204"/>
    </row>
    <row r="54">
      <c r="A54" s="145" t="s">
        <v>191</v>
      </c>
      <c r="B54" s="205"/>
    </row>
    <row r="55">
      <c r="A55" s="143" t="s">
        <v>211</v>
      </c>
      <c r="B55" s="206" t="s">
        <v>1594</v>
      </c>
    </row>
    <row r="56">
      <c r="A56" s="145" t="s">
        <v>230</v>
      </c>
      <c r="B56" s="206" t="s">
        <v>1594</v>
      </c>
    </row>
    <row r="57">
      <c r="A57" s="143" t="s">
        <v>250</v>
      </c>
      <c r="B57" s="206" t="s">
        <v>1594</v>
      </c>
    </row>
    <row r="58">
      <c r="A58" s="145" t="s">
        <v>270</v>
      </c>
      <c r="B58" s="206" t="s">
        <v>1594</v>
      </c>
    </row>
    <row r="59">
      <c r="A59" s="143" t="s">
        <v>290</v>
      </c>
      <c r="B59" s="206" t="s">
        <v>1594</v>
      </c>
    </row>
    <row r="60">
      <c r="A60" s="145" t="s">
        <v>310</v>
      </c>
      <c r="B60" s="206" t="s">
        <v>1594</v>
      </c>
    </row>
    <row r="61">
      <c r="A61" s="143" t="s">
        <v>330</v>
      </c>
      <c r="B61" s="206" t="s">
        <v>1594</v>
      </c>
    </row>
    <row r="62">
      <c r="A62" s="145" t="s">
        <v>350</v>
      </c>
      <c r="B62" s="206" t="s">
        <v>1594</v>
      </c>
    </row>
    <row r="63">
      <c r="A63" s="143" t="s">
        <v>373</v>
      </c>
      <c r="B63" s="206" t="s">
        <v>1594</v>
      </c>
    </row>
    <row r="64">
      <c r="A64" s="145" t="s">
        <v>395</v>
      </c>
      <c r="B64" s="206" t="s">
        <v>1594</v>
      </c>
    </row>
    <row r="65">
      <c r="A65" s="143" t="s">
        <v>424</v>
      </c>
      <c r="B65" s="206" t="s">
        <v>1594</v>
      </c>
    </row>
    <row r="66">
      <c r="A66" s="145" t="s">
        <v>452</v>
      </c>
      <c r="B66" s="206" t="s">
        <v>1594</v>
      </c>
    </row>
    <row r="67">
      <c r="A67" s="143" t="s">
        <v>480</v>
      </c>
      <c r="B67" s="206" t="s">
        <v>1594</v>
      </c>
    </row>
    <row r="68">
      <c r="A68" s="145" t="s">
        <v>507</v>
      </c>
      <c r="B68" s="206" t="s">
        <v>1594</v>
      </c>
    </row>
    <row r="69">
      <c r="A69" s="143" t="s">
        <v>528</v>
      </c>
      <c r="B69" s="206" t="s">
        <v>1594</v>
      </c>
    </row>
    <row r="70">
      <c r="A70" s="145" t="s">
        <v>547</v>
      </c>
      <c r="B70" s="206" t="s">
        <v>1594</v>
      </c>
    </row>
    <row r="71">
      <c r="A71" s="143" t="s">
        <v>570</v>
      </c>
      <c r="B71" s="206" t="s">
        <v>1594</v>
      </c>
    </row>
    <row r="72">
      <c r="A72" s="145" t="s">
        <v>592</v>
      </c>
      <c r="B72" s="206" t="s">
        <v>1594</v>
      </c>
    </row>
    <row r="73">
      <c r="A73" s="143" t="s">
        <v>613</v>
      </c>
      <c r="B73" s="206" t="s">
        <v>1594</v>
      </c>
    </row>
    <row r="74">
      <c r="A74" s="145" t="s">
        <v>628</v>
      </c>
      <c r="B74" s="206" t="s">
        <v>1594</v>
      </c>
    </row>
    <row r="75">
      <c r="A75" s="143" t="s">
        <v>630</v>
      </c>
      <c r="B75" s="206" t="s">
        <v>1594</v>
      </c>
    </row>
    <row r="76">
      <c r="A76" s="145" t="s">
        <v>635</v>
      </c>
      <c r="B76" s="206" t="s">
        <v>1594</v>
      </c>
    </row>
    <row r="77">
      <c r="A77" s="143" t="s">
        <v>638</v>
      </c>
      <c r="B77" s="206" t="s">
        <v>1594</v>
      </c>
    </row>
    <row r="78">
      <c r="A78" s="145" t="s">
        <v>642</v>
      </c>
      <c r="B78" s="206" t="s">
        <v>1594</v>
      </c>
    </row>
    <row r="79">
      <c r="A79" s="143" t="s">
        <v>646</v>
      </c>
      <c r="B79" s="206" t="s">
        <v>1594</v>
      </c>
    </row>
    <row r="80">
      <c r="A80" s="145" t="s">
        <v>650</v>
      </c>
      <c r="B80" s="206" t="s">
        <v>1594</v>
      </c>
    </row>
    <row r="81">
      <c r="A81" s="143" t="s">
        <v>503</v>
      </c>
      <c r="B81" s="206" t="s">
        <v>1594</v>
      </c>
    </row>
    <row r="82">
      <c r="A82" s="145" t="s">
        <v>511</v>
      </c>
      <c r="B82" s="206" t="s">
        <v>1594</v>
      </c>
    </row>
    <row r="83">
      <c r="A83" s="143" t="s">
        <v>516</v>
      </c>
      <c r="B83" s="206" t="s">
        <v>1594</v>
      </c>
    </row>
    <row r="84">
      <c r="A84" s="145"/>
      <c r="B84" s="205"/>
    </row>
    <row r="85">
      <c r="A85" s="143"/>
      <c r="B85" s="204"/>
    </row>
    <row r="86">
      <c r="A86" s="145"/>
      <c r="B86" s="205"/>
    </row>
    <row r="87">
      <c r="A87" s="143"/>
      <c r="B87" s="204"/>
    </row>
    <row r="88">
      <c r="A88" s="145"/>
      <c r="B88" s="205"/>
    </row>
    <row r="89">
      <c r="A89" s="143"/>
      <c r="B89" s="204"/>
    </row>
    <row r="90">
      <c r="A90" s="145"/>
      <c r="B90" s="205"/>
    </row>
    <row r="91">
      <c r="A91" s="143"/>
      <c r="B91" s="204"/>
    </row>
    <row r="92">
      <c r="A92" s="145"/>
      <c r="B92" s="205"/>
    </row>
    <row r="93">
      <c r="A93" s="143"/>
      <c r="B93" s="204"/>
    </row>
    <row r="94">
      <c r="A94" s="145"/>
      <c r="B94" s="205"/>
    </row>
    <row r="95">
      <c r="A95" s="143"/>
      <c r="B95" s="204"/>
    </row>
    <row r="96">
      <c r="A96" s="145"/>
      <c r="B96" s="205"/>
    </row>
    <row r="97">
      <c r="A97" s="143"/>
      <c r="B97" s="204"/>
    </row>
    <row r="98">
      <c r="A98" s="145"/>
      <c r="B98" s="205"/>
    </row>
    <row r="99">
      <c r="A99" s="143"/>
      <c r="B99" s="204"/>
    </row>
    <row r="100">
      <c r="A100" s="184"/>
      <c r="B100" s="205"/>
    </row>
    <row r="101">
      <c r="A101" s="171" t="str">
        <f t="array" ref="A101:A150">'Up Names'!C2:C51</f>
        <v>Breeding Season</v>
      </c>
      <c r="B101" s="208" t="s">
        <v>1611</v>
      </c>
    </row>
    <row r="102">
      <c r="A102" s="145" t="s">
        <v>152</v>
      </c>
      <c r="B102" s="205"/>
    </row>
    <row r="103">
      <c r="A103" s="143" t="s">
        <v>172</v>
      </c>
      <c r="B103" s="204"/>
    </row>
    <row r="104">
      <c r="A104" s="145" t="s">
        <v>192</v>
      </c>
      <c r="B104" s="205"/>
    </row>
    <row r="105">
      <c r="A105" s="143" t="s">
        <v>212</v>
      </c>
      <c r="B105" s="206" t="s">
        <v>1594</v>
      </c>
    </row>
    <row r="106">
      <c r="A106" s="145" t="s">
        <v>231</v>
      </c>
      <c r="B106" s="206" t="s">
        <v>1594</v>
      </c>
    </row>
    <row r="107">
      <c r="A107" s="143" t="s">
        <v>251</v>
      </c>
      <c r="B107" s="206" t="s">
        <v>1594</v>
      </c>
    </row>
    <row r="108">
      <c r="A108" s="145" t="s">
        <v>271</v>
      </c>
      <c r="B108" s="206" t="s">
        <v>1594</v>
      </c>
    </row>
    <row r="109">
      <c r="A109" s="143" t="s">
        <v>291</v>
      </c>
      <c r="B109" s="206" t="s">
        <v>1594</v>
      </c>
    </row>
    <row r="110">
      <c r="A110" s="145" t="s">
        <v>311</v>
      </c>
      <c r="B110" s="206" t="s">
        <v>1594</v>
      </c>
    </row>
    <row r="111">
      <c r="A111" s="143" t="s">
        <v>331</v>
      </c>
      <c r="B111" s="206" t="s">
        <v>1594</v>
      </c>
    </row>
    <row r="112">
      <c r="A112" s="145" t="s">
        <v>351</v>
      </c>
      <c r="B112" s="206" t="s">
        <v>1594</v>
      </c>
    </row>
    <row r="113">
      <c r="A113" s="143" t="s">
        <v>374</v>
      </c>
      <c r="B113" s="206" t="s">
        <v>1594</v>
      </c>
    </row>
    <row r="114">
      <c r="A114" s="145" t="s">
        <v>396</v>
      </c>
      <c r="B114" s="206" t="s">
        <v>1594</v>
      </c>
    </row>
    <row r="115">
      <c r="A115" s="143" t="s">
        <v>425</v>
      </c>
      <c r="B115" s="206" t="s">
        <v>1594</v>
      </c>
    </row>
    <row r="116">
      <c r="A116" s="145" t="s">
        <v>453</v>
      </c>
      <c r="B116" s="206" t="s">
        <v>1594</v>
      </c>
    </row>
    <row r="117">
      <c r="A117" s="143" t="s">
        <v>482</v>
      </c>
      <c r="B117" s="206" t="s">
        <v>1594</v>
      </c>
    </row>
    <row r="118">
      <c r="A118" s="145" t="s">
        <v>508</v>
      </c>
      <c r="B118" s="206" t="s">
        <v>1594</v>
      </c>
    </row>
    <row r="119">
      <c r="A119" s="143" t="s">
        <v>529</v>
      </c>
      <c r="B119" s="206" t="s">
        <v>1594</v>
      </c>
    </row>
    <row r="120">
      <c r="A120" s="145" t="s">
        <v>548</v>
      </c>
      <c r="B120" s="206" t="s">
        <v>1594</v>
      </c>
    </row>
    <row r="121">
      <c r="A121" s="143" t="s">
        <v>571</v>
      </c>
      <c r="B121" s="206" t="s">
        <v>1594</v>
      </c>
    </row>
    <row r="122">
      <c r="A122" s="145" t="s">
        <v>594</v>
      </c>
      <c r="B122" s="206" t="s">
        <v>1594</v>
      </c>
    </row>
    <row r="123">
      <c r="A123" s="143" t="s">
        <v>615</v>
      </c>
      <c r="B123" s="206" t="s">
        <v>1594</v>
      </c>
    </row>
    <row r="124">
      <c r="A124" s="145" t="s">
        <v>640</v>
      </c>
      <c r="B124" s="206" t="s">
        <v>1594</v>
      </c>
    </row>
    <row r="125">
      <c r="A125" s="143" t="s">
        <v>659</v>
      </c>
      <c r="B125" s="206" t="s">
        <v>1594</v>
      </c>
    </row>
    <row r="126">
      <c r="A126" s="145" t="s">
        <v>674</v>
      </c>
      <c r="B126" s="206" t="s">
        <v>1594</v>
      </c>
    </row>
    <row r="127">
      <c r="A127" s="143" t="s">
        <v>688</v>
      </c>
      <c r="B127" s="206" t="s">
        <v>1594</v>
      </c>
    </row>
    <row r="128">
      <c r="A128" s="145" t="s">
        <v>705</v>
      </c>
      <c r="B128" s="206" t="s">
        <v>1594</v>
      </c>
    </row>
    <row r="129">
      <c r="A129" s="143" t="s">
        <v>724</v>
      </c>
      <c r="B129" s="206" t="s">
        <v>1594</v>
      </c>
    </row>
    <row r="130">
      <c r="A130" s="145" t="s">
        <v>742</v>
      </c>
      <c r="B130" s="206" t="s">
        <v>1594</v>
      </c>
    </row>
    <row r="131">
      <c r="A131" s="143" t="s">
        <v>503</v>
      </c>
      <c r="B131" s="206" t="s">
        <v>1594</v>
      </c>
    </row>
    <row r="132">
      <c r="A132" s="145" t="s">
        <v>511</v>
      </c>
      <c r="B132" s="206" t="s">
        <v>1594</v>
      </c>
    </row>
    <row r="133">
      <c r="A133" s="143" t="s">
        <v>516</v>
      </c>
      <c r="B133" s="206" t="s">
        <v>1594</v>
      </c>
    </row>
    <row r="134">
      <c r="A134" s="145"/>
      <c r="B134" s="205"/>
    </row>
    <row r="135">
      <c r="A135" s="143"/>
      <c r="B135" s="204"/>
    </row>
    <row r="136">
      <c r="A136" s="145"/>
      <c r="B136" s="205"/>
    </row>
    <row r="137">
      <c r="A137" s="143"/>
      <c r="B137" s="204"/>
    </row>
    <row r="138">
      <c r="A138" s="145"/>
      <c r="B138" s="205"/>
    </row>
    <row r="139">
      <c r="A139" s="143"/>
      <c r="B139" s="204"/>
    </row>
    <row r="140">
      <c r="A140" s="145"/>
      <c r="B140" s="205"/>
    </row>
    <row r="141">
      <c r="A141" s="143"/>
      <c r="B141" s="204"/>
    </row>
    <row r="142">
      <c r="A142" s="145"/>
      <c r="B142" s="205"/>
    </row>
    <row r="143">
      <c r="A143" s="143"/>
      <c r="B143" s="204"/>
    </row>
    <row r="144">
      <c r="A144" s="145"/>
      <c r="B144" s="205"/>
    </row>
    <row r="145">
      <c r="A145" s="143"/>
      <c r="B145" s="204"/>
    </row>
    <row r="146">
      <c r="A146" s="145"/>
      <c r="B146" s="205"/>
    </row>
    <row r="147">
      <c r="A147" s="143"/>
      <c r="B147" s="204"/>
    </row>
    <row r="148">
      <c r="A148" s="145"/>
      <c r="B148" s="205"/>
    </row>
    <row r="149">
      <c r="A149" s="143"/>
      <c r="B149" s="204"/>
    </row>
    <row r="150">
      <c r="A150" s="184"/>
      <c r="B150" s="205"/>
    </row>
    <row r="151">
      <c r="A151" s="171" t="str">
        <f t="array" ref="A151:A200">'Up Names'!D2:D51</f>
        <v>Arc Lightning</v>
      </c>
      <c r="B151" s="204"/>
    </row>
    <row r="152">
      <c r="A152" s="145" t="s">
        <v>153</v>
      </c>
      <c r="B152" s="205"/>
    </row>
    <row r="153">
      <c r="A153" s="143" t="s">
        <v>173</v>
      </c>
      <c r="B153" s="204"/>
    </row>
    <row r="154">
      <c r="A154" s="145" t="s">
        <v>193</v>
      </c>
      <c r="B154" s="205"/>
    </row>
    <row r="155">
      <c r="A155" s="143" t="s">
        <v>213</v>
      </c>
      <c r="B155" s="206" t="s">
        <v>1594</v>
      </c>
    </row>
    <row r="156">
      <c r="A156" s="145" t="s">
        <v>232</v>
      </c>
      <c r="B156" s="206" t="s">
        <v>1594</v>
      </c>
    </row>
    <row r="157">
      <c r="A157" s="143" t="s">
        <v>252</v>
      </c>
      <c r="B157" s="206" t="s">
        <v>1594</v>
      </c>
    </row>
    <row r="158">
      <c r="A158" s="145" t="s">
        <v>272</v>
      </c>
      <c r="B158" s="206" t="s">
        <v>1594</v>
      </c>
    </row>
    <row r="159">
      <c r="A159" s="143" t="s">
        <v>292</v>
      </c>
      <c r="B159" s="206" t="s">
        <v>1594</v>
      </c>
    </row>
    <row r="160">
      <c r="A160" s="145" t="s">
        <v>312</v>
      </c>
      <c r="B160" s="206" t="s">
        <v>1594</v>
      </c>
    </row>
    <row r="161">
      <c r="A161" s="143" t="s">
        <v>332</v>
      </c>
      <c r="B161" s="206" t="s">
        <v>1594</v>
      </c>
    </row>
    <row r="162">
      <c r="A162" s="145" t="s">
        <v>352</v>
      </c>
      <c r="B162" s="206" t="s">
        <v>1594</v>
      </c>
    </row>
    <row r="163">
      <c r="A163" s="143" t="s">
        <v>375</v>
      </c>
      <c r="B163" s="206" t="s">
        <v>1594</v>
      </c>
    </row>
    <row r="164">
      <c r="A164" s="145" t="s">
        <v>398</v>
      </c>
      <c r="B164" s="206" t="s">
        <v>1594</v>
      </c>
    </row>
    <row r="165">
      <c r="A165" s="143" t="s">
        <v>427</v>
      </c>
      <c r="B165" s="206" t="s">
        <v>1594</v>
      </c>
    </row>
    <row r="166">
      <c r="A166" s="145" t="s">
        <v>454</v>
      </c>
      <c r="B166" s="206" t="s">
        <v>1594</v>
      </c>
    </row>
    <row r="167">
      <c r="A167" s="143" t="s">
        <v>484</v>
      </c>
      <c r="B167" s="206" t="s">
        <v>1594</v>
      </c>
    </row>
    <row r="168">
      <c r="A168" s="145" t="s">
        <v>509</v>
      </c>
      <c r="B168" s="206" t="s">
        <v>1594</v>
      </c>
    </row>
    <row r="169">
      <c r="A169" s="143" t="s">
        <v>530</v>
      </c>
      <c r="B169" s="206" t="s">
        <v>1594</v>
      </c>
    </row>
    <row r="170">
      <c r="A170" s="145" t="s">
        <v>549</v>
      </c>
      <c r="B170" s="206" t="s">
        <v>1594</v>
      </c>
    </row>
    <row r="171">
      <c r="A171" s="143" t="s">
        <v>572</v>
      </c>
      <c r="B171" s="206" t="s">
        <v>1594</v>
      </c>
    </row>
    <row r="172">
      <c r="A172" s="145" t="s">
        <v>595</v>
      </c>
      <c r="B172" s="206" t="s">
        <v>1594</v>
      </c>
    </row>
    <row r="173">
      <c r="A173" s="143" t="s">
        <v>616</v>
      </c>
      <c r="B173" s="206" t="s">
        <v>1594</v>
      </c>
    </row>
    <row r="174">
      <c r="A174" s="145" t="s">
        <v>641</v>
      </c>
      <c r="B174" s="206" t="s">
        <v>1594</v>
      </c>
    </row>
    <row r="175">
      <c r="A175" s="143" t="s">
        <v>660</v>
      </c>
      <c r="B175" s="206" t="s">
        <v>1594</v>
      </c>
    </row>
    <row r="176">
      <c r="A176" s="145" t="s">
        <v>675</v>
      </c>
      <c r="B176" s="206" t="s">
        <v>1594</v>
      </c>
    </row>
    <row r="177">
      <c r="A177" s="143" t="s">
        <v>689</v>
      </c>
      <c r="B177" s="206" t="s">
        <v>1594</v>
      </c>
    </row>
    <row r="178">
      <c r="A178" s="145" t="s">
        <v>707</v>
      </c>
      <c r="B178" s="206" t="s">
        <v>1594</v>
      </c>
    </row>
    <row r="179">
      <c r="A179" s="143" t="s">
        <v>725</v>
      </c>
      <c r="B179" s="206" t="s">
        <v>1594</v>
      </c>
    </row>
    <row r="180">
      <c r="A180" s="145" t="s">
        <v>743</v>
      </c>
      <c r="B180" s="206" t="s">
        <v>1594</v>
      </c>
    </row>
    <row r="181">
      <c r="A181" s="143" t="s">
        <v>760</v>
      </c>
      <c r="B181" s="206" t="s">
        <v>1594</v>
      </c>
    </row>
    <row r="182">
      <c r="A182" s="145" t="s">
        <v>773</v>
      </c>
      <c r="B182" s="206" t="s">
        <v>1594</v>
      </c>
    </row>
    <row r="183">
      <c r="A183" s="143" t="s">
        <v>779</v>
      </c>
      <c r="B183" s="206" t="s">
        <v>1594</v>
      </c>
    </row>
    <row r="184">
      <c r="A184" s="145" t="s">
        <v>503</v>
      </c>
      <c r="B184" s="206" t="s">
        <v>1594</v>
      </c>
    </row>
    <row r="185">
      <c r="A185" s="143" t="s">
        <v>511</v>
      </c>
      <c r="B185" s="206" t="s">
        <v>1594</v>
      </c>
    </row>
    <row r="186">
      <c r="A186" s="145" t="s">
        <v>516</v>
      </c>
      <c r="B186" s="206" t="s">
        <v>1594</v>
      </c>
    </row>
    <row r="187">
      <c r="A187" s="143"/>
      <c r="B187" s="204"/>
    </row>
    <row r="188">
      <c r="A188" s="145"/>
      <c r="B188" s="205"/>
    </row>
    <row r="189">
      <c r="A189" s="143"/>
      <c r="B189" s="204"/>
    </row>
    <row r="190">
      <c r="A190" s="145"/>
      <c r="B190" s="205"/>
    </row>
    <row r="191">
      <c r="A191" s="143"/>
      <c r="B191" s="204"/>
    </row>
    <row r="192">
      <c r="A192" s="145"/>
      <c r="B192" s="205"/>
    </row>
    <row r="193">
      <c r="A193" s="143"/>
      <c r="B193" s="204"/>
    </row>
    <row r="194">
      <c r="A194" s="145"/>
      <c r="B194" s="205"/>
    </row>
    <row r="195">
      <c r="A195" s="143"/>
      <c r="B195" s="204"/>
    </row>
    <row r="196">
      <c r="A196" s="145"/>
      <c r="B196" s="205"/>
    </row>
    <row r="197">
      <c r="A197" s="143"/>
      <c r="B197" s="204"/>
    </row>
    <row r="198">
      <c r="A198" s="145"/>
      <c r="B198" s="205"/>
    </row>
    <row r="199">
      <c r="A199" s="143"/>
      <c r="B199" s="204"/>
    </row>
    <row r="200">
      <c r="A200" s="184"/>
      <c r="B200" s="205"/>
    </row>
    <row r="201">
      <c r="A201" s="171" t="str">
        <f t="array" ref="A201:A250">'Up Names'!E2:E51</f>
        <v>Big Fat Doobie</v>
      </c>
      <c r="B201" s="213" t="s">
        <v>1713</v>
      </c>
    </row>
    <row r="202">
      <c r="A202" s="145" t="s">
        <v>154</v>
      </c>
      <c r="B202" s="214" t="s">
        <v>1718</v>
      </c>
    </row>
    <row r="203">
      <c r="A203" s="143" t="s">
        <v>174</v>
      </c>
      <c r="B203" s="213" t="s">
        <v>1720</v>
      </c>
    </row>
    <row r="204">
      <c r="A204" s="145" t="s">
        <v>194</v>
      </c>
      <c r="B204" s="214" t="s">
        <v>1723</v>
      </c>
    </row>
    <row r="205">
      <c r="A205" s="143" t="s">
        <v>214</v>
      </c>
      <c r="B205" s="206" t="s">
        <v>1594</v>
      </c>
    </row>
    <row r="206">
      <c r="A206" s="145" t="s">
        <v>233</v>
      </c>
      <c r="B206" s="206" t="s">
        <v>1594</v>
      </c>
    </row>
    <row r="207">
      <c r="A207" s="143" t="s">
        <v>253</v>
      </c>
      <c r="B207" s="206" t="s">
        <v>1594</v>
      </c>
    </row>
    <row r="208">
      <c r="A208" s="145" t="s">
        <v>273</v>
      </c>
      <c r="B208" s="206" t="s">
        <v>1594</v>
      </c>
    </row>
    <row r="209">
      <c r="A209" s="143" t="s">
        <v>293</v>
      </c>
      <c r="B209" s="206" t="s">
        <v>1594</v>
      </c>
    </row>
    <row r="210">
      <c r="A210" s="145" t="s">
        <v>313</v>
      </c>
      <c r="B210" s="206" t="s">
        <v>1594</v>
      </c>
    </row>
    <row r="211">
      <c r="A211" s="143" t="s">
        <v>333</v>
      </c>
      <c r="B211" s="206" t="s">
        <v>1594</v>
      </c>
    </row>
    <row r="212">
      <c r="A212" s="145" t="s">
        <v>353</v>
      </c>
      <c r="B212" s="206" t="s">
        <v>1594</v>
      </c>
    </row>
    <row r="213">
      <c r="A213" s="143" t="s">
        <v>376</v>
      </c>
      <c r="B213" s="206" t="s">
        <v>1594</v>
      </c>
    </row>
    <row r="214">
      <c r="A214" s="145" t="s">
        <v>399</v>
      </c>
      <c r="B214" s="206" t="s">
        <v>1594</v>
      </c>
    </row>
    <row r="215">
      <c r="A215" s="143" t="s">
        <v>428</v>
      </c>
      <c r="B215" s="206" t="s">
        <v>1594</v>
      </c>
    </row>
    <row r="216">
      <c r="A216" s="145" t="s">
        <v>456</v>
      </c>
      <c r="B216" s="206" t="s">
        <v>1594</v>
      </c>
    </row>
    <row r="217">
      <c r="A217" s="143" t="s">
        <v>485</v>
      </c>
      <c r="B217" s="206" t="s">
        <v>1594</v>
      </c>
    </row>
    <row r="218">
      <c r="A218" s="145" t="s">
        <v>510</v>
      </c>
      <c r="B218" s="206" t="s">
        <v>1594</v>
      </c>
    </row>
    <row r="219">
      <c r="A219" s="143" t="s">
        <v>531</v>
      </c>
      <c r="B219" s="206" t="s">
        <v>1594</v>
      </c>
    </row>
    <row r="220">
      <c r="A220" s="145" t="s">
        <v>550</v>
      </c>
      <c r="B220" s="206" t="s">
        <v>1594</v>
      </c>
    </row>
    <row r="221">
      <c r="A221" s="143" t="s">
        <v>574</v>
      </c>
      <c r="B221" s="206" t="s">
        <v>1594</v>
      </c>
    </row>
    <row r="222">
      <c r="A222" s="145" t="s">
        <v>596</v>
      </c>
      <c r="B222" s="206" t="s">
        <v>1594</v>
      </c>
    </row>
    <row r="223">
      <c r="A223" s="143" t="s">
        <v>617</v>
      </c>
      <c r="B223" s="206" t="s">
        <v>1594</v>
      </c>
    </row>
    <row r="224">
      <c r="A224" s="145" t="s">
        <v>643</v>
      </c>
      <c r="B224" s="206" t="s">
        <v>1594</v>
      </c>
    </row>
    <row r="225">
      <c r="A225" s="143" t="s">
        <v>661</v>
      </c>
      <c r="B225" s="206" t="s">
        <v>1594</v>
      </c>
    </row>
    <row r="226">
      <c r="A226" s="145" t="s">
        <v>676</v>
      </c>
      <c r="B226" s="206" t="s">
        <v>1594</v>
      </c>
    </row>
    <row r="227">
      <c r="A227" s="143" t="s">
        <v>690</v>
      </c>
      <c r="B227" s="206" t="s">
        <v>1594</v>
      </c>
    </row>
    <row r="228">
      <c r="A228" s="145" t="s">
        <v>708</v>
      </c>
      <c r="B228" s="206" t="s">
        <v>1594</v>
      </c>
    </row>
    <row r="229">
      <c r="A229" s="143" t="s">
        <v>727</v>
      </c>
      <c r="B229" s="206" t="s">
        <v>1594</v>
      </c>
    </row>
    <row r="230">
      <c r="A230" s="145" t="s">
        <v>744</v>
      </c>
      <c r="B230" s="206" t="s">
        <v>1594</v>
      </c>
    </row>
    <row r="231">
      <c r="A231" s="143" t="s">
        <v>761</v>
      </c>
      <c r="B231" s="206" t="s">
        <v>1594</v>
      </c>
    </row>
    <row r="232">
      <c r="A232" s="145" t="s">
        <v>503</v>
      </c>
      <c r="B232" s="206" t="s">
        <v>1594</v>
      </c>
    </row>
    <row r="233">
      <c r="A233" s="143" t="s">
        <v>511</v>
      </c>
      <c r="B233" s="206" t="s">
        <v>1594</v>
      </c>
    </row>
    <row r="234">
      <c r="A234" s="145" t="s">
        <v>516</v>
      </c>
      <c r="B234" s="206" t="s">
        <v>1594</v>
      </c>
    </row>
    <row r="235">
      <c r="A235" s="143"/>
      <c r="B235" s="204"/>
    </row>
    <row r="236">
      <c r="A236" s="145"/>
      <c r="B236" s="205"/>
    </row>
    <row r="237">
      <c r="A237" s="143"/>
      <c r="B237" s="204"/>
    </row>
    <row r="238">
      <c r="A238" s="145"/>
      <c r="B238" s="205"/>
    </row>
    <row r="239">
      <c r="A239" s="143"/>
      <c r="B239" s="204"/>
    </row>
    <row r="240">
      <c r="A240" s="145"/>
      <c r="B240" s="205"/>
    </row>
    <row r="241">
      <c r="A241" s="143"/>
      <c r="B241" s="204"/>
    </row>
    <row r="242">
      <c r="A242" s="163"/>
      <c r="B242" s="205"/>
    </row>
    <row r="243">
      <c r="A243" s="143"/>
      <c r="B243" s="204"/>
    </row>
    <row r="244">
      <c r="A244" s="145"/>
      <c r="B244" s="205"/>
    </row>
    <row r="245">
      <c r="A245" s="143"/>
      <c r="B245" s="204"/>
    </row>
    <row r="246">
      <c r="A246" s="145"/>
      <c r="B246" s="205"/>
    </row>
    <row r="247">
      <c r="A247" s="143"/>
      <c r="B247" s="204"/>
    </row>
    <row r="248">
      <c r="A248" s="145"/>
      <c r="B248" s="205"/>
    </row>
    <row r="249">
      <c r="A249" s="143"/>
      <c r="B249" s="204"/>
    </row>
    <row r="250">
      <c r="A250" s="184"/>
      <c r="B250" s="205"/>
    </row>
    <row r="251">
      <c r="A251" s="171" t="str">
        <f t="array" ref="A251:A300">'Up Names'!F2:F51</f>
        <v>Return to Receiver</v>
      </c>
      <c r="B251" s="206" t="s">
        <v>1594</v>
      </c>
    </row>
    <row r="252">
      <c r="A252" s="145" t="s">
        <v>155</v>
      </c>
      <c r="B252" s="216" t="s">
        <v>1773</v>
      </c>
    </row>
    <row r="253">
      <c r="A253" s="143" t="s">
        <v>175</v>
      </c>
      <c r="B253" s="217" t="s">
        <v>1777</v>
      </c>
    </row>
    <row r="254">
      <c r="A254" s="145" t="s">
        <v>195</v>
      </c>
      <c r="B254" s="216" t="s">
        <v>1780</v>
      </c>
    </row>
    <row r="255">
      <c r="A255" s="143" t="s">
        <v>215</v>
      </c>
      <c r="B255" s="217" t="s">
        <v>1784</v>
      </c>
    </row>
    <row r="256">
      <c r="A256" s="145" t="s">
        <v>234</v>
      </c>
      <c r="B256" s="206" t="s">
        <v>1594</v>
      </c>
    </row>
    <row r="257">
      <c r="A257" s="143" t="s">
        <v>254</v>
      </c>
      <c r="B257" s="206" t="s">
        <v>1594</v>
      </c>
    </row>
    <row r="258">
      <c r="A258" s="145" t="s">
        <v>274</v>
      </c>
      <c r="B258" s="206" t="s">
        <v>1594</v>
      </c>
    </row>
    <row r="259">
      <c r="A259" s="143" t="s">
        <v>294</v>
      </c>
      <c r="B259" s="206" t="s">
        <v>1594</v>
      </c>
    </row>
    <row r="260">
      <c r="A260" s="145" t="s">
        <v>314</v>
      </c>
      <c r="B260" s="206" t="s">
        <v>1594</v>
      </c>
    </row>
    <row r="261">
      <c r="A261" s="143" t="s">
        <v>334</v>
      </c>
      <c r="B261" s="206" t="s">
        <v>1594</v>
      </c>
    </row>
    <row r="262">
      <c r="A262" s="145" t="s">
        <v>354</v>
      </c>
      <c r="B262" s="206" t="s">
        <v>1594</v>
      </c>
    </row>
    <row r="263">
      <c r="A263" s="143" t="s">
        <v>378</v>
      </c>
      <c r="B263" s="206" t="s">
        <v>1594</v>
      </c>
    </row>
    <row r="264">
      <c r="A264" s="145" t="s">
        <v>400</v>
      </c>
      <c r="B264" s="206" t="s">
        <v>1594</v>
      </c>
    </row>
    <row r="265">
      <c r="A265" s="143" t="s">
        <v>429</v>
      </c>
      <c r="B265" s="206" t="s">
        <v>1594</v>
      </c>
    </row>
    <row r="266">
      <c r="A266" s="145" t="s">
        <v>457</v>
      </c>
      <c r="B266" s="206" t="s">
        <v>1594</v>
      </c>
    </row>
    <row r="267">
      <c r="A267" s="143" t="s">
        <v>487</v>
      </c>
      <c r="B267" s="206" t="s">
        <v>1594</v>
      </c>
    </row>
    <row r="268">
      <c r="A268" s="145" t="s">
        <v>512</v>
      </c>
      <c r="B268" s="206" t="s">
        <v>1594</v>
      </c>
    </row>
    <row r="269">
      <c r="A269" s="143" t="s">
        <v>532</v>
      </c>
      <c r="B269" s="206" t="s">
        <v>1594</v>
      </c>
    </row>
    <row r="270">
      <c r="A270" s="145" t="s">
        <v>551</v>
      </c>
      <c r="B270" s="206" t="s">
        <v>1594</v>
      </c>
    </row>
    <row r="271">
      <c r="A271" s="143" t="s">
        <v>575</v>
      </c>
      <c r="B271" s="206" t="s">
        <v>1594</v>
      </c>
    </row>
    <row r="272">
      <c r="A272" s="145" t="s">
        <v>598</v>
      </c>
      <c r="B272" s="206" t="s">
        <v>1594</v>
      </c>
    </row>
    <row r="273">
      <c r="A273" s="143" t="s">
        <v>619</v>
      </c>
      <c r="B273" s="206" t="s">
        <v>1594</v>
      </c>
    </row>
    <row r="274">
      <c r="A274" s="145" t="s">
        <v>644</v>
      </c>
      <c r="B274" s="206" t="s">
        <v>1594</v>
      </c>
    </row>
    <row r="275">
      <c r="A275" s="143" t="s">
        <v>662</v>
      </c>
      <c r="B275" s="206" t="s">
        <v>1594</v>
      </c>
    </row>
    <row r="276">
      <c r="A276" s="145" t="s">
        <v>677</v>
      </c>
      <c r="B276" s="206" t="s">
        <v>1594</v>
      </c>
    </row>
    <row r="277">
      <c r="A277" s="143" t="s">
        <v>691</v>
      </c>
      <c r="B277" s="206" t="s">
        <v>1594</v>
      </c>
    </row>
    <row r="278">
      <c r="A278" s="145" t="s">
        <v>709</v>
      </c>
      <c r="B278" s="206" t="s">
        <v>1594</v>
      </c>
    </row>
    <row r="279">
      <c r="A279" s="143" t="s">
        <v>728</v>
      </c>
      <c r="B279" s="206" t="s">
        <v>1594</v>
      </c>
    </row>
    <row r="280">
      <c r="A280" s="145" t="s">
        <v>746</v>
      </c>
      <c r="B280" s="206" t="s">
        <v>1594</v>
      </c>
    </row>
    <row r="281">
      <c r="A281" s="143" t="s">
        <v>503</v>
      </c>
      <c r="B281" s="206" t="s">
        <v>1594</v>
      </c>
    </row>
    <row r="282">
      <c r="A282" s="145" t="s">
        <v>511</v>
      </c>
      <c r="B282" s="206" t="s">
        <v>1594</v>
      </c>
    </row>
    <row r="283">
      <c r="A283" s="143" t="s">
        <v>516</v>
      </c>
      <c r="B283" s="206" t="s">
        <v>1594</v>
      </c>
    </row>
    <row r="284">
      <c r="A284" s="145"/>
      <c r="B284" s="205"/>
    </row>
    <row r="285">
      <c r="A285" s="143"/>
      <c r="B285" s="204"/>
    </row>
    <row r="286">
      <c r="A286" s="145"/>
      <c r="B286" s="205"/>
    </row>
    <row r="287">
      <c r="A287" s="143"/>
      <c r="B287" s="204"/>
    </row>
    <row r="288">
      <c r="A288" s="145"/>
      <c r="B288" s="205"/>
    </row>
    <row r="289">
      <c r="A289" s="143"/>
      <c r="B289" s="204"/>
    </row>
    <row r="290">
      <c r="A290" s="145"/>
      <c r="B290" s="205"/>
    </row>
    <row r="291">
      <c r="A291" s="143"/>
      <c r="B291" s="204"/>
    </row>
    <row r="292">
      <c r="A292" s="145"/>
      <c r="B292" s="205"/>
    </row>
    <row r="293">
      <c r="A293" s="143"/>
      <c r="B293" s="204"/>
    </row>
    <row r="294">
      <c r="A294" s="145"/>
      <c r="B294" s="205"/>
    </row>
    <row r="295">
      <c r="A295" s="143"/>
      <c r="B295" s="204"/>
    </row>
    <row r="296">
      <c r="A296" s="145"/>
      <c r="B296" s="205"/>
    </row>
    <row r="297">
      <c r="A297" s="143"/>
      <c r="B297" s="204"/>
    </row>
    <row r="298">
      <c r="A298" s="145"/>
      <c r="B298" s="205"/>
    </row>
    <row r="299">
      <c r="A299" s="143"/>
      <c r="B299" s="204"/>
    </row>
    <row r="300">
      <c r="A300" s="184"/>
      <c r="B300" s="205"/>
    </row>
    <row r="301">
      <c r="A301" s="171" t="str">
        <f t="array" ref="A301:A350">'Up Names'!G2:G51</f>
        <v>Yellow Prism</v>
      </c>
      <c r="B301" s="204"/>
    </row>
    <row r="302">
      <c r="A302" s="145" t="s">
        <v>156</v>
      </c>
      <c r="B302" s="205"/>
    </row>
    <row r="303">
      <c r="A303" s="143" t="s">
        <v>176</v>
      </c>
      <c r="B303" s="208" t="s">
        <v>1611</v>
      </c>
    </row>
    <row r="304">
      <c r="A304" s="145" t="s">
        <v>196</v>
      </c>
      <c r="B304" s="205"/>
    </row>
    <row r="305">
      <c r="A305" s="143" t="s">
        <v>216</v>
      </c>
      <c r="B305" s="204"/>
    </row>
    <row r="306">
      <c r="A306" s="145" t="s">
        <v>235</v>
      </c>
      <c r="B306" s="206" t="s">
        <v>1594</v>
      </c>
    </row>
    <row r="307">
      <c r="A307" s="143" t="s">
        <v>255</v>
      </c>
      <c r="B307" s="206" t="s">
        <v>1594</v>
      </c>
    </row>
    <row r="308">
      <c r="A308" s="145" t="s">
        <v>275</v>
      </c>
      <c r="B308" s="206" t="s">
        <v>1594</v>
      </c>
    </row>
    <row r="309">
      <c r="A309" s="143" t="s">
        <v>295</v>
      </c>
      <c r="B309" s="206" t="s">
        <v>1594</v>
      </c>
    </row>
    <row r="310">
      <c r="A310" s="145" t="s">
        <v>315</v>
      </c>
      <c r="B310" s="206" t="s">
        <v>1594</v>
      </c>
    </row>
    <row r="311">
      <c r="A311" s="143" t="s">
        <v>335</v>
      </c>
      <c r="B311" s="206" t="s">
        <v>1594</v>
      </c>
    </row>
    <row r="312">
      <c r="A312" s="145" t="s">
        <v>355</v>
      </c>
      <c r="B312" s="206" t="s">
        <v>1594</v>
      </c>
    </row>
    <row r="313">
      <c r="A313" s="143" t="s">
        <v>379</v>
      </c>
      <c r="B313" s="206" t="s">
        <v>1594</v>
      </c>
    </row>
    <row r="314">
      <c r="A314" s="145" t="s">
        <v>402</v>
      </c>
      <c r="B314" s="206" t="s">
        <v>1594</v>
      </c>
    </row>
    <row r="315">
      <c r="A315" s="143" t="s">
        <v>431</v>
      </c>
      <c r="B315" s="206" t="s">
        <v>1594</v>
      </c>
    </row>
    <row r="316">
      <c r="A316" s="145" t="s">
        <v>458</v>
      </c>
      <c r="B316" s="206" t="s">
        <v>1594</v>
      </c>
    </row>
    <row r="317">
      <c r="A317" s="143" t="s">
        <v>489</v>
      </c>
      <c r="B317" s="206" t="s">
        <v>1594</v>
      </c>
    </row>
    <row r="318">
      <c r="A318" s="145" t="s">
        <v>513</v>
      </c>
      <c r="B318" s="206" t="s">
        <v>1594</v>
      </c>
    </row>
    <row r="319">
      <c r="A319" s="143" t="s">
        <v>533</v>
      </c>
      <c r="B319" s="206" t="s">
        <v>1594</v>
      </c>
    </row>
    <row r="320">
      <c r="A320" s="145" t="s">
        <v>552</v>
      </c>
      <c r="B320" s="206" t="s">
        <v>1594</v>
      </c>
    </row>
    <row r="321">
      <c r="A321" s="143" t="s">
        <v>576</v>
      </c>
      <c r="B321" s="206" t="s">
        <v>1594</v>
      </c>
    </row>
    <row r="322">
      <c r="A322" s="145" t="s">
        <v>599</v>
      </c>
      <c r="B322" s="206" t="s">
        <v>1594</v>
      </c>
    </row>
    <row r="323">
      <c r="A323" s="143" t="s">
        <v>620</v>
      </c>
      <c r="B323" s="206" t="s">
        <v>1594</v>
      </c>
    </row>
    <row r="324">
      <c r="A324" s="145" t="s">
        <v>645</v>
      </c>
      <c r="B324" s="206" t="s">
        <v>1594</v>
      </c>
    </row>
    <row r="325">
      <c r="A325" s="143" t="s">
        <v>663</v>
      </c>
      <c r="B325" s="206" t="s">
        <v>1594</v>
      </c>
    </row>
    <row r="326">
      <c r="A326" s="145" t="s">
        <v>678</v>
      </c>
      <c r="B326" s="206" t="s">
        <v>1594</v>
      </c>
    </row>
    <row r="327">
      <c r="A327" s="143" t="s">
        <v>692</v>
      </c>
      <c r="B327" s="206" t="s">
        <v>1594</v>
      </c>
    </row>
    <row r="328">
      <c r="A328" s="145" t="s">
        <v>711</v>
      </c>
      <c r="B328" s="206" t="s">
        <v>1594</v>
      </c>
    </row>
    <row r="329">
      <c r="A329" s="143" t="s">
        <v>729</v>
      </c>
      <c r="B329" s="206" t="s">
        <v>1594</v>
      </c>
    </row>
    <row r="330">
      <c r="A330" s="145" t="s">
        <v>747</v>
      </c>
      <c r="B330" s="206" t="s">
        <v>1594</v>
      </c>
    </row>
    <row r="331">
      <c r="A331" s="143" t="s">
        <v>503</v>
      </c>
      <c r="B331" s="206" t="s">
        <v>1594</v>
      </c>
    </row>
    <row r="332">
      <c r="A332" s="145" t="s">
        <v>511</v>
      </c>
      <c r="B332" s="206" t="s">
        <v>1594</v>
      </c>
    </row>
    <row r="333">
      <c r="A333" s="143" t="s">
        <v>516</v>
      </c>
      <c r="B333" s="206" t="s">
        <v>1594</v>
      </c>
    </row>
    <row r="334">
      <c r="A334" s="145"/>
      <c r="B334" s="205"/>
    </row>
    <row r="335">
      <c r="A335" s="143"/>
      <c r="B335" s="204"/>
    </row>
    <row r="336">
      <c r="A336" s="145"/>
      <c r="B336" s="205"/>
    </row>
    <row r="337">
      <c r="A337" s="143"/>
      <c r="B337" s="204"/>
    </row>
    <row r="338">
      <c r="A338" s="145"/>
      <c r="B338" s="205"/>
    </row>
    <row r="339">
      <c r="A339" s="143"/>
      <c r="B339" s="204"/>
    </row>
    <row r="340">
      <c r="A340" s="145"/>
      <c r="B340" s="205"/>
    </row>
    <row r="341">
      <c r="A341" s="143"/>
      <c r="B341" s="204"/>
    </row>
    <row r="342">
      <c r="A342" s="145"/>
      <c r="B342" s="205"/>
    </row>
    <row r="343">
      <c r="A343" s="143"/>
      <c r="B343" s="204"/>
    </row>
    <row r="344">
      <c r="A344" s="145"/>
      <c r="B344" s="205"/>
    </row>
    <row r="345">
      <c r="A345" s="143"/>
      <c r="B345" s="204"/>
    </row>
    <row r="346">
      <c r="A346" s="145"/>
      <c r="B346" s="205"/>
    </row>
    <row r="347">
      <c r="A347" s="143"/>
      <c r="B347" s="204"/>
    </row>
    <row r="348">
      <c r="A348" s="145"/>
      <c r="B348" s="205"/>
    </row>
    <row r="349">
      <c r="A349" s="143"/>
      <c r="B349" s="204"/>
    </row>
    <row r="350">
      <c r="A350" s="184"/>
      <c r="B350" s="205"/>
    </row>
    <row r="351">
      <c r="A351" s="171" t="str">
        <f t="array" ref="A351:A400">'Up Names'!H2:H51</f>
        <v>Bailing Water</v>
      </c>
      <c r="B351" s="217" t="s">
        <v>1902</v>
      </c>
    </row>
    <row r="352">
      <c r="A352" s="145" t="s">
        <v>157</v>
      </c>
      <c r="B352" s="216" t="s">
        <v>1905</v>
      </c>
    </row>
    <row r="353">
      <c r="A353" s="143" t="s">
        <v>177</v>
      </c>
      <c r="B353" s="217" t="s">
        <v>1906</v>
      </c>
    </row>
    <row r="354">
      <c r="A354" s="145" t="s">
        <v>197</v>
      </c>
      <c r="B354" s="216" t="s">
        <v>1909</v>
      </c>
    </row>
    <row r="355">
      <c r="A355" s="143" t="s">
        <v>217</v>
      </c>
      <c r="B355" s="206" t="s">
        <v>1594</v>
      </c>
    </row>
    <row r="356">
      <c r="A356" s="145" t="s">
        <v>236</v>
      </c>
      <c r="B356" s="206" t="s">
        <v>1594</v>
      </c>
    </row>
    <row r="357">
      <c r="A357" s="143" t="s">
        <v>256</v>
      </c>
      <c r="B357" s="206" t="s">
        <v>1594</v>
      </c>
    </row>
    <row r="358">
      <c r="A358" s="145" t="s">
        <v>276</v>
      </c>
      <c r="B358" s="206" t="s">
        <v>1594</v>
      </c>
    </row>
    <row r="359">
      <c r="A359" s="143" t="s">
        <v>296</v>
      </c>
      <c r="B359" s="206" t="s">
        <v>1594</v>
      </c>
    </row>
    <row r="360">
      <c r="A360" s="145" t="s">
        <v>316</v>
      </c>
      <c r="B360" s="206" t="s">
        <v>1594</v>
      </c>
    </row>
    <row r="361">
      <c r="A361" s="143" t="s">
        <v>336</v>
      </c>
      <c r="B361" s="206" t="s">
        <v>1594</v>
      </c>
    </row>
    <row r="362">
      <c r="A362" s="145" t="s">
        <v>356</v>
      </c>
      <c r="B362" s="206" t="s">
        <v>1594</v>
      </c>
    </row>
    <row r="363">
      <c r="A363" s="143" t="s">
        <v>380</v>
      </c>
      <c r="B363" s="206" t="s">
        <v>1594</v>
      </c>
    </row>
    <row r="364">
      <c r="A364" s="145" t="s">
        <v>403</v>
      </c>
      <c r="B364" s="206" t="s">
        <v>1594</v>
      </c>
    </row>
    <row r="365">
      <c r="A365" s="143" t="s">
        <v>432</v>
      </c>
      <c r="B365" s="206" t="s">
        <v>1594</v>
      </c>
    </row>
    <row r="366">
      <c r="A366" s="145" t="s">
        <v>460</v>
      </c>
      <c r="B366" s="206" t="s">
        <v>1594</v>
      </c>
    </row>
    <row r="367">
      <c r="A367" s="143" t="s">
        <v>490</v>
      </c>
      <c r="B367" s="206" t="s">
        <v>1594</v>
      </c>
    </row>
    <row r="368">
      <c r="A368" s="145" t="s">
        <v>514</v>
      </c>
      <c r="B368" s="206" t="s">
        <v>1594</v>
      </c>
    </row>
    <row r="369">
      <c r="A369" s="143" t="s">
        <v>534</v>
      </c>
      <c r="B369" s="206" t="s">
        <v>1594</v>
      </c>
    </row>
    <row r="370">
      <c r="A370" s="145" t="s">
        <v>553</v>
      </c>
      <c r="B370" s="206" t="s">
        <v>1594</v>
      </c>
    </row>
    <row r="371">
      <c r="A371" s="143" t="s">
        <v>577</v>
      </c>
      <c r="B371" s="206" t="s">
        <v>1594</v>
      </c>
    </row>
    <row r="372">
      <c r="A372" s="145" t="s">
        <v>601</v>
      </c>
      <c r="B372" s="206" t="s">
        <v>1594</v>
      </c>
    </row>
    <row r="373">
      <c r="A373" s="143" t="s">
        <v>621</v>
      </c>
      <c r="B373" s="206" t="s">
        <v>1594</v>
      </c>
    </row>
    <row r="374">
      <c r="A374" s="145" t="s">
        <v>647</v>
      </c>
      <c r="B374" s="206" t="s">
        <v>1594</v>
      </c>
    </row>
    <row r="375">
      <c r="A375" s="143" t="s">
        <v>664</v>
      </c>
      <c r="B375" s="206" t="s">
        <v>1594</v>
      </c>
    </row>
    <row r="376">
      <c r="A376" s="145" t="s">
        <v>679</v>
      </c>
      <c r="B376" s="206" t="s">
        <v>1594</v>
      </c>
    </row>
    <row r="377">
      <c r="A377" s="143" t="s">
        <v>693</v>
      </c>
      <c r="B377" s="206" t="s">
        <v>1594</v>
      </c>
    </row>
    <row r="378">
      <c r="A378" s="145" t="s">
        <v>712</v>
      </c>
      <c r="B378" s="206" t="s">
        <v>1594</v>
      </c>
    </row>
    <row r="379">
      <c r="A379" s="143" t="s">
        <v>731</v>
      </c>
      <c r="B379" s="206" t="s">
        <v>1594</v>
      </c>
    </row>
    <row r="380">
      <c r="A380" s="145" t="s">
        <v>748</v>
      </c>
      <c r="B380" s="206" t="s">
        <v>1594</v>
      </c>
    </row>
    <row r="381">
      <c r="A381" s="143" t="s">
        <v>503</v>
      </c>
      <c r="B381" s="206" t="s">
        <v>1594</v>
      </c>
    </row>
    <row r="382">
      <c r="A382" s="145" t="s">
        <v>511</v>
      </c>
      <c r="B382" s="206" t="s">
        <v>1594</v>
      </c>
    </row>
    <row r="383">
      <c r="A383" s="143" t="s">
        <v>516</v>
      </c>
      <c r="B383" s="206" t="s">
        <v>1594</v>
      </c>
    </row>
    <row r="384">
      <c r="A384" s="145"/>
      <c r="B384" s="205"/>
    </row>
    <row r="385">
      <c r="A385" s="143"/>
      <c r="B385" s="204"/>
    </row>
    <row r="386">
      <c r="A386" s="145"/>
      <c r="B386" s="205"/>
    </row>
    <row r="387">
      <c r="A387" s="143"/>
      <c r="B387" s="204"/>
    </row>
    <row r="388">
      <c r="A388" s="145"/>
      <c r="B388" s="205"/>
    </row>
    <row r="389">
      <c r="A389" s="143"/>
      <c r="B389" s="204"/>
    </row>
    <row r="390">
      <c r="A390" s="145"/>
      <c r="B390" s="205"/>
    </row>
    <row r="391">
      <c r="A391" s="143"/>
      <c r="B391" s="204"/>
    </row>
    <row r="392">
      <c r="A392" s="145"/>
      <c r="B392" s="205"/>
    </row>
    <row r="393">
      <c r="A393" s="143"/>
      <c r="B393" s="204"/>
    </row>
    <row r="394">
      <c r="A394" s="145"/>
      <c r="B394" s="205"/>
    </row>
    <row r="395">
      <c r="A395" s="143"/>
      <c r="B395" s="204"/>
    </row>
    <row r="396">
      <c r="A396" s="145"/>
      <c r="B396" s="205"/>
    </row>
    <row r="397">
      <c r="A397" s="143"/>
      <c r="B397" s="204"/>
    </row>
    <row r="398">
      <c r="A398" s="145"/>
      <c r="B398" s="205"/>
    </row>
    <row r="399">
      <c r="A399" s="143"/>
      <c r="B399" s="204"/>
    </row>
    <row r="400">
      <c r="A400" s="184"/>
      <c r="B400" s="205"/>
    </row>
    <row r="401">
      <c r="A401" s="171" t="str">
        <f t="array" ref="A401:A450">'Up Names'!I2:I51</f>
        <v>Flood</v>
      </c>
      <c r="B401" s="204"/>
    </row>
    <row r="402">
      <c r="A402" s="145" t="s">
        <v>158</v>
      </c>
      <c r="B402" s="205"/>
    </row>
    <row r="403">
      <c r="A403" s="143" t="s">
        <v>178</v>
      </c>
      <c r="B403" s="204"/>
    </row>
    <row r="404">
      <c r="A404" s="145" t="s">
        <v>198</v>
      </c>
      <c r="B404" s="205"/>
    </row>
    <row r="405">
      <c r="A405" s="143" t="s">
        <v>218</v>
      </c>
      <c r="B405" s="206" t="s">
        <v>1594</v>
      </c>
    </row>
    <row r="406">
      <c r="A406" s="145" t="s">
        <v>237</v>
      </c>
      <c r="B406" s="206" t="s">
        <v>1594</v>
      </c>
    </row>
    <row r="407">
      <c r="A407" s="143" t="s">
        <v>257</v>
      </c>
      <c r="B407" s="206" t="s">
        <v>1594</v>
      </c>
    </row>
    <row r="408">
      <c r="A408" s="145" t="s">
        <v>277</v>
      </c>
      <c r="B408" s="206" t="s">
        <v>1594</v>
      </c>
    </row>
    <row r="409">
      <c r="A409" s="143" t="s">
        <v>297</v>
      </c>
      <c r="B409" s="206" t="s">
        <v>1594</v>
      </c>
    </row>
    <row r="410">
      <c r="A410" s="145" t="s">
        <v>317</v>
      </c>
      <c r="B410" s="206" t="s">
        <v>1594</v>
      </c>
    </row>
    <row r="411">
      <c r="A411" s="143" t="s">
        <v>337</v>
      </c>
      <c r="B411" s="206" t="s">
        <v>1594</v>
      </c>
    </row>
    <row r="412">
      <c r="A412" s="145" t="s">
        <v>357</v>
      </c>
      <c r="B412" s="206" t="s">
        <v>1594</v>
      </c>
    </row>
    <row r="413">
      <c r="A413" s="143" t="s">
        <v>381</v>
      </c>
      <c r="B413" s="206" t="s">
        <v>1594</v>
      </c>
    </row>
    <row r="414">
      <c r="A414" s="145" t="s">
        <v>405</v>
      </c>
      <c r="B414" s="206" t="s">
        <v>1594</v>
      </c>
    </row>
    <row r="415">
      <c r="A415" s="143" t="s">
        <v>433</v>
      </c>
      <c r="B415" s="206" t="s">
        <v>1594</v>
      </c>
    </row>
    <row r="416">
      <c r="A416" s="145" t="s">
        <v>462</v>
      </c>
      <c r="B416" s="206" t="s">
        <v>1594</v>
      </c>
    </row>
    <row r="417">
      <c r="A417" s="143" t="s">
        <v>491</v>
      </c>
      <c r="B417" s="206" t="s">
        <v>1594</v>
      </c>
    </row>
    <row r="418">
      <c r="A418" s="145" t="s">
        <v>515</v>
      </c>
      <c r="B418" s="206" t="s">
        <v>1594</v>
      </c>
    </row>
    <row r="419">
      <c r="A419" s="143" t="s">
        <v>535</v>
      </c>
      <c r="B419" s="206" t="s">
        <v>1594</v>
      </c>
    </row>
    <row r="420">
      <c r="A420" s="145" t="s">
        <v>554</v>
      </c>
      <c r="B420" s="206" t="s">
        <v>1594</v>
      </c>
    </row>
    <row r="421">
      <c r="A421" s="143" t="s">
        <v>578</v>
      </c>
      <c r="B421" s="206" t="s">
        <v>1594</v>
      </c>
    </row>
    <row r="422">
      <c r="A422" s="145" t="s">
        <v>602</v>
      </c>
      <c r="B422" s="206" t="s">
        <v>1594</v>
      </c>
    </row>
    <row r="423">
      <c r="A423" s="143" t="s">
        <v>623</v>
      </c>
      <c r="B423" s="206" t="s">
        <v>1594</v>
      </c>
    </row>
    <row r="424">
      <c r="A424" s="145" t="s">
        <v>648</v>
      </c>
      <c r="B424" s="206" t="s">
        <v>1594</v>
      </c>
    </row>
    <row r="425">
      <c r="A425" s="143" t="s">
        <v>665</v>
      </c>
      <c r="B425" s="206" t="s">
        <v>1594</v>
      </c>
    </row>
    <row r="426">
      <c r="A426" s="145" t="s">
        <v>503</v>
      </c>
      <c r="B426" s="206" t="s">
        <v>1594</v>
      </c>
    </row>
    <row r="427">
      <c r="A427" s="143" t="s">
        <v>511</v>
      </c>
      <c r="B427" s="206" t="s">
        <v>1594</v>
      </c>
    </row>
    <row r="428">
      <c r="A428" s="145" t="s">
        <v>516</v>
      </c>
      <c r="B428" s="206" t="s">
        <v>1594</v>
      </c>
    </row>
    <row r="429">
      <c r="A429" s="143"/>
      <c r="B429" s="204"/>
    </row>
    <row r="430">
      <c r="A430" s="145"/>
      <c r="B430" s="205"/>
    </row>
    <row r="431">
      <c r="A431" s="143"/>
      <c r="B431" s="204"/>
    </row>
    <row r="432">
      <c r="A432" s="145"/>
      <c r="B432" s="205"/>
    </row>
    <row r="433">
      <c r="A433" s="143"/>
      <c r="B433" s="204"/>
    </row>
    <row r="434">
      <c r="A434" s="145"/>
      <c r="B434" s="205"/>
    </row>
    <row r="435">
      <c r="A435" s="143"/>
      <c r="B435" s="204"/>
    </row>
    <row r="436">
      <c r="A436" s="145"/>
      <c r="B436" s="205"/>
    </row>
    <row r="437">
      <c r="A437" s="143"/>
      <c r="B437" s="204"/>
    </row>
    <row r="438">
      <c r="A438" s="145"/>
      <c r="B438" s="205"/>
    </row>
    <row r="439">
      <c r="A439" s="143"/>
      <c r="B439" s="204"/>
    </row>
    <row r="440">
      <c r="A440" s="145"/>
      <c r="B440" s="205"/>
    </row>
    <row r="441">
      <c r="A441" s="143"/>
      <c r="B441" s="204"/>
    </row>
    <row r="442">
      <c r="A442" s="145"/>
      <c r="B442" s="205"/>
    </row>
    <row r="443">
      <c r="A443" s="143"/>
      <c r="B443" s="204"/>
    </row>
    <row r="444">
      <c r="A444" s="145"/>
      <c r="B444" s="205"/>
    </row>
    <row r="445">
      <c r="A445" s="143"/>
      <c r="B445" s="204"/>
    </row>
    <row r="446">
      <c r="A446" s="145"/>
      <c r="B446" s="205"/>
    </row>
    <row r="447">
      <c r="A447" s="143"/>
      <c r="B447" s="204"/>
    </row>
    <row r="448">
      <c r="A448" s="145"/>
      <c r="B448" s="205"/>
    </row>
    <row r="449">
      <c r="A449" s="143"/>
      <c r="B449" s="204"/>
    </row>
    <row r="450">
      <c r="A450" s="184"/>
      <c r="B450" s="205"/>
    </row>
    <row r="451">
      <c r="A451" s="171" t="str">
        <f t="array" ref="A451:A500">'Up Names'!J2:J51</f>
        <v>Deflector</v>
      </c>
      <c r="B451" s="204"/>
    </row>
    <row r="452">
      <c r="A452" s="145" t="s">
        <v>159</v>
      </c>
      <c r="B452" s="205"/>
    </row>
    <row r="453">
      <c r="A453" s="143" t="s">
        <v>179</v>
      </c>
      <c r="B453" s="204"/>
    </row>
    <row r="454">
      <c r="A454" s="145" t="s">
        <v>199</v>
      </c>
      <c r="B454" s="205"/>
    </row>
    <row r="455">
      <c r="A455" s="143" t="s">
        <v>219</v>
      </c>
      <c r="B455" s="206" t="s">
        <v>1594</v>
      </c>
    </row>
    <row r="456">
      <c r="A456" s="145" t="s">
        <v>238</v>
      </c>
      <c r="B456" s="206" t="s">
        <v>1594</v>
      </c>
    </row>
    <row r="457">
      <c r="A457" s="143" t="s">
        <v>258</v>
      </c>
      <c r="B457" s="206" t="s">
        <v>1594</v>
      </c>
    </row>
    <row r="458">
      <c r="A458" s="145" t="s">
        <v>278</v>
      </c>
      <c r="B458" s="206" t="s">
        <v>1594</v>
      </c>
    </row>
    <row r="459">
      <c r="A459" s="143" t="s">
        <v>298</v>
      </c>
      <c r="B459" s="206" t="s">
        <v>1594</v>
      </c>
    </row>
    <row r="460">
      <c r="A460" s="145" t="s">
        <v>318</v>
      </c>
      <c r="B460" s="206" t="s">
        <v>1594</v>
      </c>
    </row>
    <row r="461">
      <c r="A461" s="143" t="s">
        <v>338</v>
      </c>
      <c r="B461" s="206" t="s">
        <v>1594</v>
      </c>
    </row>
    <row r="462">
      <c r="A462" s="145" t="s">
        <v>358</v>
      </c>
      <c r="B462" s="206" t="s">
        <v>1594</v>
      </c>
    </row>
    <row r="463">
      <c r="A463" s="143" t="s">
        <v>382</v>
      </c>
      <c r="B463" s="206" t="s">
        <v>1594</v>
      </c>
    </row>
    <row r="464">
      <c r="A464" s="145" t="s">
        <v>407</v>
      </c>
      <c r="B464" s="206" t="s">
        <v>1594</v>
      </c>
    </row>
    <row r="465">
      <c r="A465" s="143" t="s">
        <v>434</v>
      </c>
      <c r="B465" s="206" t="s">
        <v>1594</v>
      </c>
    </row>
    <row r="466">
      <c r="A466" s="145" t="s">
        <v>463</v>
      </c>
      <c r="B466" s="206" t="s">
        <v>1594</v>
      </c>
    </row>
    <row r="467">
      <c r="A467" s="143" t="s">
        <v>493</v>
      </c>
      <c r="B467" s="206" t="s">
        <v>1594</v>
      </c>
    </row>
    <row r="468">
      <c r="A468" s="145" t="s">
        <v>517</v>
      </c>
      <c r="B468" s="206" t="s">
        <v>1594</v>
      </c>
    </row>
    <row r="469">
      <c r="A469" s="143" t="s">
        <v>536</v>
      </c>
      <c r="B469" s="206" t="s">
        <v>1594</v>
      </c>
    </row>
    <row r="470">
      <c r="A470" s="145" t="s">
        <v>555</v>
      </c>
      <c r="B470" s="206" t="s">
        <v>1594</v>
      </c>
    </row>
    <row r="471">
      <c r="A471" s="143" t="s">
        <v>579</v>
      </c>
      <c r="B471" s="206" t="s">
        <v>1594</v>
      </c>
    </row>
    <row r="472">
      <c r="A472" s="145" t="s">
        <v>603</v>
      </c>
      <c r="B472" s="206" t="s">
        <v>1594</v>
      </c>
    </row>
    <row r="473">
      <c r="A473" s="143" t="s">
        <v>624</v>
      </c>
      <c r="B473" s="206" t="s">
        <v>1594</v>
      </c>
    </row>
    <row r="474">
      <c r="A474" s="145" t="s">
        <v>649</v>
      </c>
      <c r="B474" s="206" t="s">
        <v>1594</v>
      </c>
    </row>
    <row r="475">
      <c r="A475" s="143" t="s">
        <v>666</v>
      </c>
      <c r="B475" s="206" t="s">
        <v>1594</v>
      </c>
    </row>
    <row r="476">
      <c r="A476" s="145" t="s">
        <v>680</v>
      </c>
      <c r="B476" s="206" t="s">
        <v>1594</v>
      </c>
    </row>
    <row r="477">
      <c r="A477" s="143" t="s">
        <v>694</v>
      </c>
      <c r="B477" s="206" t="s">
        <v>1594</v>
      </c>
    </row>
    <row r="478">
      <c r="A478" s="145" t="s">
        <v>503</v>
      </c>
      <c r="B478" s="206" t="s">
        <v>1594</v>
      </c>
    </row>
    <row r="479">
      <c r="A479" s="143" t="s">
        <v>511</v>
      </c>
      <c r="B479" s="206" t="s">
        <v>1594</v>
      </c>
    </row>
    <row r="480">
      <c r="A480" s="145" t="s">
        <v>516</v>
      </c>
      <c r="B480" s="206" t="s">
        <v>1594</v>
      </c>
    </row>
    <row r="481">
      <c r="A481" s="143"/>
      <c r="B481" s="204"/>
    </row>
    <row r="482">
      <c r="A482" s="145"/>
      <c r="B482" s="205"/>
    </row>
    <row r="483">
      <c r="A483" s="143"/>
      <c r="B483" s="204"/>
    </row>
    <row r="484">
      <c r="A484" s="145"/>
      <c r="B484" s="205"/>
    </row>
    <row r="485">
      <c r="A485" s="143"/>
      <c r="B485" s="204"/>
    </row>
    <row r="486">
      <c r="A486" s="145"/>
      <c r="B486" s="205"/>
    </row>
    <row r="487">
      <c r="A487" s="143"/>
      <c r="B487" s="204"/>
    </row>
    <row r="488">
      <c r="A488" s="145"/>
      <c r="B488" s="205"/>
    </row>
    <row r="489">
      <c r="A489" s="143"/>
      <c r="B489" s="204"/>
    </row>
    <row r="490">
      <c r="A490" s="145"/>
      <c r="B490" s="205"/>
    </row>
    <row r="491">
      <c r="A491" s="143"/>
      <c r="B491" s="204"/>
    </row>
    <row r="492">
      <c r="A492" s="145"/>
      <c r="B492" s="205"/>
    </row>
    <row r="493">
      <c r="A493" s="143"/>
      <c r="B493" s="204"/>
    </row>
    <row r="494">
      <c r="A494" s="145"/>
      <c r="B494" s="205"/>
    </row>
    <row r="495">
      <c r="A495" s="143"/>
      <c r="B495" s="204"/>
    </row>
    <row r="496">
      <c r="A496" s="145"/>
      <c r="B496" s="205"/>
    </row>
    <row r="497">
      <c r="A497" s="143"/>
      <c r="B497" s="204"/>
    </row>
    <row r="498">
      <c r="A498" s="145"/>
      <c r="B498" s="205"/>
    </row>
    <row r="499">
      <c r="A499" s="143"/>
      <c r="B499" s="204"/>
    </row>
    <row r="500">
      <c r="A500" s="184"/>
      <c r="B500" s="205"/>
    </row>
    <row r="501">
      <c r="A501" s="145" t="str">
        <f t="array" ref="A501:A550">'Up Names'!K2:K51</f>
        <v>Auger Subroutine</v>
      </c>
      <c r="B501" s="205"/>
    </row>
    <row r="502">
      <c r="A502" s="145" t="s">
        <v>160</v>
      </c>
      <c r="B502" s="205"/>
    </row>
    <row r="503">
      <c r="A503" s="145" t="s">
        <v>180</v>
      </c>
      <c r="B503" s="205"/>
    </row>
    <row r="504">
      <c r="A504" s="145" t="s">
        <v>200</v>
      </c>
      <c r="B504" s="205"/>
    </row>
    <row r="505">
      <c r="A505" s="145" t="s">
        <v>220</v>
      </c>
      <c r="B505" s="206" t="s">
        <v>1594</v>
      </c>
    </row>
    <row r="506">
      <c r="A506" s="145" t="s">
        <v>239</v>
      </c>
      <c r="B506" s="206" t="s">
        <v>1594</v>
      </c>
    </row>
    <row r="507">
      <c r="A507" s="145" t="s">
        <v>259</v>
      </c>
      <c r="B507" s="206" t="s">
        <v>1594</v>
      </c>
    </row>
    <row r="508">
      <c r="A508" s="145" t="s">
        <v>279</v>
      </c>
      <c r="B508" s="206" t="s">
        <v>1594</v>
      </c>
    </row>
    <row r="509">
      <c r="A509" s="145" t="s">
        <v>299</v>
      </c>
      <c r="B509" s="206" t="s">
        <v>1594</v>
      </c>
    </row>
    <row r="510">
      <c r="A510" s="145" t="s">
        <v>319</v>
      </c>
      <c r="B510" s="206" t="s">
        <v>1594</v>
      </c>
    </row>
    <row r="511">
      <c r="A511" s="145" t="s">
        <v>339</v>
      </c>
      <c r="B511" s="206" t="s">
        <v>1594</v>
      </c>
    </row>
    <row r="512">
      <c r="A512" s="145" t="s">
        <v>359</v>
      </c>
      <c r="B512" s="206" t="s">
        <v>1594</v>
      </c>
    </row>
    <row r="513">
      <c r="A513" s="145" t="s">
        <v>383</v>
      </c>
      <c r="B513" s="206" t="s">
        <v>1594</v>
      </c>
    </row>
    <row r="514">
      <c r="A514" s="145" t="s">
        <v>408</v>
      </c>
      <c r="B514" s="206" t="s">
        <v>1594</v>
      </c>
    </row>
    <row r="515">
      <c r="A515" s="145" t="s">
        <v>436</v>
      </c>
      <c r="B515" s="206" t="s">
        <v>1594</v>
      </c>
    </row>
    <row r="516">
      <c r="A516" s="145" t="s">
        <v>465</v>
      </c>
      <c r="B516" s="206" t="s">
        <v>1594</v>
      </c>
    </row>
    <row r="517">
      <c r="A517" s="145" t="s">
        <v>494</v>
      </c>
      <c r="B517" s="206" t="s">
        <v>1594</v>
      </c>
    </row>
    <row r="518">
      <c r="A518" s="145" t="s">
        <v>518</v>
      </c>
      <c r="B518" s="206" t="s">
        <v>1594</v>
      </c>
    </row>
    <row r="519">
      <c r="A519" s="145" t="s">
        <v>537</v>
      </c>
      <c r="B519" s="206" t="s">
        <v>1594</v>
      </c>
    </row>
    <row r="520">
      <c r="A520" s="145" t="s">
        <v>557</v>
      </c>
      <c r="B520" s="206" t="s">
        <v>1594</v>
      </c>
    </row>
    <row r="521">
      <c r="A521" s="145" t="s">
        <v>580</v>
      </c>
      <c r="B521" s="206" t="s">
        <v>1594</v>
      </c>
    </row>
    <row r="522">
      <c r="A522" s="145" t="s">
        <v>604</v>
      </c>
      <c r="B522" s="206" t="s">
        <v>1594</v>
      </c>
    </row>
    <row r="523">
      <c r="A523" s="145" t="s">
        <v>625</v>
      </c>
      <c r="B523" s="206" t="s">
        <v>1594</v>
      </c>
    </row>
    <row r="524">
      <c r="A524" s="145" t="s">
        <v>651</v>
      </c>
      <c r="B524" s="206" t="s">
        <v>1594</v>
      </c>
    </row>
    <row r="525">
      <c r="A525" s="145" t="s">
        <v>667</v>
      </c>
      <c r="B525" s="206" t="s">
        <v>1594</v>
      </c>
    </row>
    <row r="526">
      <c r="A526" s="145" t="s">
        <v>681</v>
      </c>
      <c r="B526" s="206" t="s">
        <v>1594</v>
      </c>
    </row>
    <row r="527">
      <c r="A527" s="145" t="s">
        <v>695</v>
      </c>
      <c r="B527" s="206" t="s">
        <v>1594</v>
      </c>
    </row>
    <row r="528">
      <c r="A528" s="145" t="s">
        <v>714</v>
      </c>
      <c r="B528" s="206" t="s">
        <v>1594</v>
      </c>
    </row>
    <row r="529">
      <c r="A529" s="145" t="s">
        <v>732</v>
      </c>
      <c r="B529" s="206" t="s">
        <v>1594</v>
      </c>
    </row>
    <row r="530">
      <c r="A530" s="145" t="s">
        <v>750</v>
      </c>
      <c r="B530" s="206" t="s">
        <v>1594</v>
      </c>
    </row>
    <row r="531">
      <c r="A531" s="145" t="s">
        <v>763</v>
      </c>
      <c r="B531" s="206" t="s">
        <v>1594</v>
      </c>
    </row>
    <row r="532">
      <c r="A532" s="145" t="s">
        <v>503</v>
      </c>
      <c r="B532" s="206" t="s">
        <v>1594</v>
      </c>
    </row>
    <row r="533">
      <c r="A533" s="145" t="s">
        <v>511</v>
      </c>
      <c r="B533" s="206" t="s">
        <v>1594</v>
      </c>
    </row>
    <row r="534">
      <c r="A534" s="145" t="s">
        <v>516</v>
      </c>
      <c r="B534" s="206" t="s">
        <v>1594</v>
      </c>
    </row>
    <row r="535">
      <c r="A535" s="145"/>
      <c r="B535" s="205"/>
    </row>
    <row r="536">
      <c r="A536" s="145"/>
      <c r="B536" s="205"/>
    </row>
    <row r="537">
      <c r="A537" s="145"/>
      <c r="B537" s="205"/>
    </row>
    <row r="538">
      <c r="A538" s="145"/>
      <c r="B538" s="205"/>
    </row>
    <row r="539">
      <c r="A539" s="145"/>
      <c r="B539" s="205"/>
    </row>
    <row r="540">
      <c r="A540" s="145"/>
      <c r="B540" s="205"/>
    </row>
    <row r="541">
      <c r="A541" s="145"/>
      <c r="B541" s="205"/>
    </row>
    <row r="542">
      <c r="A542" s="145"/>
      <c r="B542" s="205"/>
    </row>
    <row r="543">
      <c r="A543" s="145"/>
      <c r="B543" s="205"/>
    </row>
    <row r="544">
      <c r="A544" s="145"/>
      <c r="B544" s="205"/>
    </row>
    <row r="545">
      <c r="A545" s="145"/>
      <c r="B545" s="205"/>
    </row>
    <row r="546">
      <c r="A546" s="145"/>
      <c r="B546" s="205"/>
    </row>
    <row r="547">
      <c r="A547" s="145"/>
      <c r="B547" s="205"/>
    </row>
    <row r="548">
      <c r="A548" s="145"/>
      <c r="B548" s="205"/>
    </row>
    <row r="549">
      <c r="A549" s="145"/>
      <c r="B549" s="205"/>
    </row>
    <row r="550">
      <c r="A550" s="145"/>
      <c r="B550" s="205"/>
    </row>
    <row r="551">
      <c r="A551" s="198" t="str">
        <f t="array" ref="A551:A600">'Up Names'!L2:L51</f>
        <v>Explosive Bullets</v>
      </c>
      <c r="B551" s="230"/>
    </row>
    <row r="552">
      <c r="A552" s="146" t="s">
        <v>161</v>
      </c>
      <c r="B552" s="231"/>
    </row>
    <row r="553">
      <c r="A553" s="144" t="s">
        <v>181</v>
      </c>
      <c r="B553" s="230"/>
    </row>
    <row r="554">
      <c r="A554" s="146" t="s">
        <v>201</v>
      </c>
      <c r="B554" s="231"/>
    </row>
    <row r="555">
      <c r="A555" s="144" t="s">
        <v>221</v>
      </c>
      <c r="B555" s="206" t="s">
        <v>1594</v>
      </c>
    </row>
    <row r="556">
      <c r="A556" s="146" t="s">
        <v>240</v>
      </c>
      <c r="B556" s="206" t="s">
        <v>1594</v>
      </c>
    </row>
    <row r="557">
      <c r="A557" s="144" t="s">
        <v>260</v>
      </c>
      <c r="B557" s="206" t="s">
        <v>1594</v>
      </c>
    </row>
    <row r="558">
      <c r="A558" s="146" t="s">
        <v>280</v>
      </c>
      <c r="B558" s="206" t="s">
        <v>1594</v>
      </c>
    </row>
    <row r="559">
      <c r="A559" s="144" t="s">
        <v>300</v>
      </c>
      <c r="B559" s="206" t="s">
        <v>1594</v>
      </c>
    </row>
    <row r="560">
      <c r="A560" s="146" t="s">
        <v>320</v>
      </c>
      <c r="B560" s="206" t="s">
        <v>1594</v>
      </c>
    </row>
    <row r="561">
      <c r="A561" s="144" t="s">
        <v>340</v>
      </c>
      <c r="B561" s="206" t="s">
        <v>1594</v>
      </c>
    </row>
    <row r="562">
      <c r="A562" s="146" t="s">
        <v>360</v>
      </c>
      <c r="B562" s="206" t="s">
        <v>1594</v>
      </c>
    </row>
    <row r="563">
      <c r="A563" s="144" t="s">
        <v>384</v>
      </c>
      <c r="B563" s="206" t="s">
        <v>1594</v>
      </c>
    </row>
    <row r="564">
      <c r="A564" s="146" t="s">
        <v>409</v>
      </c>
      <c r="B564" s="206" t="s">
        <v>1594</v>
      </c>
    </row>
    <row r="565">
      <c r="A565" s="144" t="s">
        <v>438</v>
      </c>
      <c r="B565" s="206" t="s">
        <v>1594</v>
      </c>
    </row>
    <row r="566">
      <c r="A566" s="146" t="s">
        <v>466</v>
      </c>
      <c r="B566" s="206" t="s">
        <v>1594</v>
      </c>
    </row>
    <row r="567">
      <c r="A567" s="144" t="s">
        <v>495</v>
      </c>
      <c r="B567" s="206" t="s">
        <v>1594</v>
      </c>
    </row>
    <row r="568">
      <c r="A568" s="146" t="s">
        <v>519</v>
      </c>
      <c r="B568" s="206" t="s">
        <v>1594</v>
      </c>
    </row>
    <row r="569">
      <c r="A569" s="144" t="s">
        <v>538</v>
      </c>
      <c r="B569" s="206" t="s">
        <v>1594</v>
      </c>
    </row>
    <row r="570">
      <c r="A570" s="146" t="s">
        <v>558</v>
      </c>
      <c r="B570" s="206" t="s">
        <v>1594</v>
      </c>
    </row>
    <row r="571">
      <c r="A571" s="144" t="s">
        <v>582</v>
      </c>
      <c r="B571" s="206" t="s">
        <v>1594</v>
      </c>
    </row>
    <row r="572">
      <c r="A572" s="146" t="s">
        <v>606</v>
      </c>
      <c r="B572" s="206" t="s">
        <v>1594</v>
      </c>
    </row>
    <row r="573">
      <c r="A573" s="144" t="s">
        <v>626</v>
      </c>
      <c r="B573" s="206" t="s">
        <v>1594</v>
      </c>
    </row>
    <row r="574">
      <c r="A574" s="146" t="s">
        <v>652</v>
      </c>
      <c r="B574" s="206" t="s">
        <v>1594</v>
      </c>
    </row>
    <row r="575">
      <c r="A575" s="144" t="s">
        <v>668</v>
      </c>
      <c r="B575" s="206" t="s">
        <v>1594</v>
      </c>
    </row>
    <row r="576">
      <c r="A576" s="146" t="s">
        <v>682</v>
      </c>
      <c r="B576" s="206" t="s">
        <v>1594</v>
      </c>
    </row>
    <row r="577">
      <c r="A577" s="144" t="s">
        <v>696</v>
      </c>
      <c r="B577" s="206" t="s">
        <v>1594</v>
      </c>
    </row>
    <row r="578">
      <c r="A578" s="146" t="s">
        <v>715</v>
      </c>
      <c r="B578" s="206" t="s">
        <v>1594</v>
      </c>
    </row>
    <row r="579">
      <c r="A579" s="144" t="s">
        <v>734</v>
      </c>
      <c r="B579" s="206" t="s">
        <v>1594</v>
      </c>
    </row>
    <row r="580">
      <c r="A580" s="146" t="s">
        <v>751</v>
      </c>
      <c r="B580" s="206" t="s">
        <v>1594</v>
      </c>
    </row>
    <row r="581">
      <c r="A581" s="144" t="s">
        <v>764</v>
      </c>
      <c r="B581" s="206" t="s">
        <v>1594</v>
      </c>
    </row>
    <row r="582">
      <c r="A582" s="232" t="s">
        <v>503</v>
      </c>
      <c r="B582" s="206" t="s">
        <v>1594</v>
      </c>
    </row>
    <row r="583">
      <c r="A583" s="153" t="s">
        <v>511</v>
      </c>
      <c r="B583" s="206" t="s">
        <v>1594</v>
      </c>
    </row>
    <row r="584">
      <c r="A584" s="153" t="s">
        <v>516</v>
      </c>
      <c r="B584" s="206" t="s">
        <v>1594</v>
      </c>
    </row>
    <row r="585">
      <c r="A585" s="153"/>
      <c r="B585" s="161"/>
    </row>
    <row r="586">
      <c r="A586" s="153"/>
      <c r="B586" s="161"/>
    </row>
    <row r="587">
      <c r="A587" s="153"/>
      <c r="B587" s="161"/>
    </row>
    <row r="588">
      <c r="A588" s="153"/>
      <c r="B588" s="161"/>
    </row>
    <row r="589">
      <c r="A589" s="153"/>
      <c r="B589" s="161"/>
    </row>
    <row r="590">
      <c r="A590" s="153"/>
      <c r="B590" s="161"/>
    </row>
    <row r="591">
      <c r="A591" s="153"/>
      <c r="B591" s="161"/>
    </row>
    <row r="592">
      <c r="A592" s="153"/>
      <c r="B592" s="161"/>
    </row>
    <row r="593">
      <c r="A593" s="153"/>
      <c r="B593" s="161"/>
    </row>
    <row r="594">
      <c r="A594" s="153"/>
      <c r="B594" s="161"/>
    </row>
    <row r="595">
      <c r="A595" s="153"/>
      <c r="B595" s="161"/>
    </row>
    <row r="596">
      <c r="A596" s="153"/>
      <c r="B596" s="161"/>
    </row>
    <row r="597">
      <c r="A597" s="153"/>
      <c r="B597" s="161"/>
    </row>
    <row r="598">
      <c r="A598" s="153"/>
      <c r="B598" s="161"/>
    </row>
    <row r="599">
      <c r="A599" s="153"/>
      <c r="B599" s="161"/>
    </row>
    <row r="600">
      <c r="A600" s="153"/>
      <c r="B600" s="161"/>
    </row>
    <row r="601">
      <c r="A601" s="171" t="str">
        <f t="array" ref="A601:A650">'Up Names'!M2:M51</f>
        <v>Cluster Bomb</v>
      </c>
      <c r="B601" s="204"/>
    </row>
    <row r="602">
      <c r="A602" s="145" t="s">
        <v>162</v>
      </c>
      <c r="B602" s="205"/>
    </row>
    <row r="603">
      <c r="A603" s="143" t="s">
        <v>182</v>
      </c>
      <c r="B603" s="204"/>
    </row>
    <row r="604">
      <c r="A604" s="145" t="s">
        <v>202</v>
      </c>
      <c r="B604" s="206" t="s">
        <v>1594</v>
      </c>
    </row>
    <row r="605">
      <c r="A605" s="143" t="s">
        <v>222</v>
      </c>
      <c r="B605" s="206" t="s">
        <v>1594</v>
      </c>
    </row>
    <row r="606">
      <c r="A606" s="145" t="s">
        <v>241</v>
      </c>
      <c r="B606" s="206" t="s">
        <v>1594</v>
      </c>
    </row>
    <row r="607">
      <c r="A607" s="143" t="s">
        <v>261</v>
      </c>
      <c r="B607" s="206" t="s">
        <v>1594</v>
      </c>
    </row>
    <row r="608">
      <c r="A608" s="145" t="s">
        <v>281</v>
      </c>
      <c r="B608" s="206" t="s">
        <v>1594</v>
      </c>
    </row>
    <row r="609">
      <c r="A609" s="143" t="s">
        <v>301</v>
      </c>
      <c r="B609" s="206" t="s">
        <v>1594</v>
      </c>
    </row>
    <row r="610">
      <c r="A610" s="145" t="s">
        <v>321</v>
      </c>
      <c r="B610" s="206" t="s">
        <v>1594</v>
      </c>
    </row>
    <row r="611">
      <c r="A611" s="143" t="s">
        <v>341</v>
      </c>
      <c r="B611" s="206" t="s">
        <v>1594</v>
      </c>
    </row>
    <row r="612">
      <c r="A612" s="145" t="s">
        <v>361</v>
      </c>
      <c r="B612" s="206" t="s">
        <v>1594</v>
      </c>
    </row>
    <row r="613">
      <c r="A613" s="143" t="s">
        <v>385</v>
      </c>
      <c r="B613" s="206" t="s">
        <v>1594</v>
      </c>
    </row>
    <row r="614">
      <c r="A614" s="145" t="s">
        <v>412</v>
      </c>
      <c r="B614" s="206" t="s">
        <v>1594</v>
      </c>
    </row>
    <row r="615">
      <c r="A615" s="143" t="s">
        <v>440</v>
      </c>
      <c r="B615" s="206" t="s">
        <v>1594</v>
      </c>
    </row>
    <row r="616">
      <c r="A616" s="145" t="s">
        <v>467</v>
      </c>
      <c r="B616" s="206" t="s">
        <v>1594</v>
      </c>
    </row>
    <row r="617">
      <c r="A617" s="143" t="s">
        <v>497</v>
      </c>
      <c r="B617" s="206" t="s">
        <v>1594</v>
      </c>
    </row>
    <row r="618">
      <c r="A618" s="145" t="s">
        <v>520</v>
      </c>
      <c r="B618" s="206" t="s">
        <v>1594</v>
      </c>
    </row>
    <row r="619">
      <c r="A619" s="143" t="s">
        <v>539</v>
      </c>
      <c r="B619" s="206" t="s">
        <v>1594</v>
      </c>
    </row>
    <row r="620">
      <c r="A620" s="145" t="s">
        <v>559</v>
      </c>
      <c r="B620" s="206" t="s">
        <v>1594</v>
      </c>
    </row>
    <row r="621">
      <c r="A621" s="143" t="s">
        <v>583</v>
      </c>
      <c r="B621" s="206" t="s">
        <v>1594</v>
      </c>
    </row>
    <row r="622">
      <c r="A622" s="145" t="s">
        <v>607</v>
      </c>
      <c r="B622" s="205"/>
    </row>
    <row r="623">
      <c r="A623" s="143" t="s">
        <v>627</v>
      </c>
      <c r="B623" s="204"/>
    </row>
    <row r="624">
      <c r="A624" s="145" t="s">
        <v>653</v>
      </c>
      <c r="B624" s="206" t="s">
        <v>1594</v>
      </c>
    </row>
    <row r="625">
      <c r="A625" s="143" t="s">
        <v>503</v>
      </c>
      <c r="B625" s="206" t="s">
        <v>1594</v>
      </c>
    </row>
    <row r="626">
      <c r="A626" s="145" t="s">
        <v>511</v>
      </c>
      <c r="B626" s="206" t="s">
        <v>1594</v>
      </c>
    </row>
    <row r="627">
      <c r="A627" s="143" t="s">
        <v>516</v>
      </c>
      <c r="B627" s="206" t="s">
        <v>1594</v>
      </c>
    </row>
    <row r="628">
      <c r="A628" s="145"/>
      <c r="B628" s="205"/>
    </row>
    <row r="629">
      <c r="A629" s="143"/>
      <c r="B629" s="204"/>
    </row>
    <row r="630">
      <c r="A630" s="145"/>
      <c r="B630" s="205"/>
    </row>
    <row r="631">
      <c r="A631" s="143"/>
      <c r="B631" s="204"/>
    </row>
    <row r="632">
      <c r="A632" s="145"/>
      <c r="B632" s="205"/>
    </row>
    <row r="633">
      <c r="A633" s="143"/>
      <c r="B633" s="204"/>
    </row>
    <row r="634">
      <c r="A634" s="145"/>
      <c r="B634" s="205"/>
    </row>
    <row r="635">
      <c r="A635" s="143"/>
      <c r="B635" s="204"/>
    </row>
    <row r="636">
      <c r="A636" s="145"/>
      <c r="B636" s="205"/>
    </row>
    <row r="637">
      <c r="A637" s="143"/>
      <c r="B637" s="204"/>
    </row>
    <row r="638">
      <c r="A638" s="145"/>
      <c r="B638" s="205"/>
    </row>
    <row r="639">
      <c r="A639" s="143"/>
      <c r="B639" s="204"/>
    </row>
    <row r="640">
      <c r="A640" s="145"/>
      <c r="B640" s="205"/>
    </row>
    <row r="641">
      <c r="A641" s="143"/>
      <c r="B641" s="204"/>
    </row>
    <row r="642">
      <c r="A642" s="145"/>
      <c r="B642" s="205"/>
    </row>
    <row r="643">
      <c r="A643" s="143"/>
      <c r="B643" s="204"/>
    </row>
    <row r="644">
      <c r="A644" s="145"/>
      <c r="B644" s="205"/>
    </row>
    <row r="645">
      <c r="A645" s="143"/>
      <c r="B645" s="204"/>
    </row>
    <row r="646">
      <c r="A646" s="145"/>
      <c r="B646" s="205"/>
    </row>
    <row r="647">
      <c r="A647" s="143"/>
      <c r="B647" s="204"/>
    </row>
    <row r="648">
      <c r="A648" s="145"/>
      <c r="B648" s="205"/>
    </row>
    <row r="649">
      <c r="A649" s="143"/>
      <c r="B649" s="204"/>
    </row>
    <row r="650">
      <c r="A650" s="184"/>
      <c r="B650" s="205"/>
    </row>
    <row r="651">
      <c r="A651" s="171" t="str">
        <f t="array" ref="A651:A700">'Up Names'!N2:N51</f>
        <v>Flash Storm</v>
      </c>
      <c r="B651" s="204"/>
    </row>
    <row r="652">
      <c r="A652" s="145" t="s">
        <v>163</v>
      </c>
      <c r="B652" s="205"/>
    </row>
    <row r="653">
      <c r="A653" s="143" t="s">
        <v>183</v>
      </c>
      <c r="B653" s="204"/>
    </row>
    <row r="654">
      <c r="A654" s="145" t="s">
        <v>203</v>
      </c>
      <c r="B654" s="206" t="s">
        <v>1594</v>
      </c>
    </row>
    <row r="655">
      <c r="A655" s="143" t="s">
        <v>223</v>
      </c>
      <c r="B655" s="206" t="s">
        <v>1594</v>
      </c>
    </row>
    <row r="656">
      <c r="A656" s="145" t="s">
        <v>242</v>
      </c>
      <c r="B656" s="206" t="s">
        <v>1594</v>
      </c>
    </row>
    <row r="657">
      <c r="A657" s="143" t="s">
        <v>262</v>
      </c>
      <c r="B657" s="206" t="s">
        <v>1594</v>
      </c>
    </row>
    <row r="658">
      <c r="A658" s="145" t="s">
        <v>282</v>
      </c>
      <c r="B658" s="206" t="s">
        <v>1594</v>
      </c>
    </row>
    <row r="659">
      <c r="A659" s="143" t="s">
        <v>302</v>
      </c>
      <c r="B659" s="206" t="s">
        <v>1594</v>
      </c>
    </row>
    <row r="660">
      <c r="A660" s="145" t="s">
        <v>322</v>
      </c>
      <c r="B660" s="206" t="s">
        <v>1594</v>
      </c>
    </row>
    <row r="661">
      <c r="A661" s="143" t="s">
        <v>342</v>
      </c>
      <c r="B661" s="206" t="s">
        <v>1594</v>
      </c>
    </row>
    <row r="662">
      <c r="A662" s="145" t="s">
        <v>362</v>
      </c>
      <c r="B662" s="206" t="s">
        <v>1594</v>
      </c>
    </row>
    <row r="663">
      <c r="A663" s="143" t="s">
        <v>387</v>
      </c>
      <c r="B663" s="206" t="s">
        <v>1594</v>
      </c>
    </row>
    <row r="664">
      <c r="A664" s="145" t="s">
        <v>413</v>
      </c>
      <c r="B664" s="206" t="s">
        <v>1594</v>
      </c>
    </row>
    <row r="665">
      <c r="A665" s="143" t="s">
        <v>441</v>
      </c>
      <c r="B665" s="206" t="s">
        <v>1594</v>
      </c>
    </row>
    <row r="666">
      <c r="A666" s="145" t="s">
        <v>469</v>
      </c>
      <c r="B666" s="206" t="s">
        <v>1594</v>
      </c>
    </row>
    <row r="667">
      <c r="A667" s="143" t="s">
        <v>498</v>
      </c>
      <c r="B667" s="206" t="s">
        <v>1594</v>
      </c>
    </row>
    <row r="668">
      <c r="A668" s="145" t="s">
        <v>521</v>
      </c>
      <c r="B668" s="206" t="s">
        <v>1594</v>
      </c>
    </row>
    <row r="669">
      <c r="A669" s="143" t="s">
        <v>540</v>
      </c>
      <c r="B669" s="206" t="s">
        <v>1594</v>
      </c>
    </row>
    <row r="670">
      <c r="A670" s="145" t="s">
        <v>560</v>
      </c>
      <c r="B670" s="206" t="s">
        <v>1594</v>
      </c>
    </row>
    <row r="671">
      <c r="A671" s="143" t="s">
        <v>583</v>
      </c>
      <c r="B671" s="206" t="s">
        <v>1594</v>
      </c>
    </row>
    <row r="672">
      <c r="A672" s="145" t="s">
        <v>607</v>
      </c>
      <c r="B672" s="205"/>
    </row>
    <row r="673">
      <c r="A673" s="143" t="s">
        <v>627</v>
      </c>
      <c r="B673" s="204"/>
    </row>
    <row r="674">
      <c r="A674" s="145" t="s">
        <v>653</v>
      </c>
      <c r="B674" s="206" t="s">
        <v>1594</v>
      </c>
    </row>
    <row r="675">
      <c r="A675" s="143" t="s">
        <v>503</v>
      </c>
      <c r="B675" s="206" t="s">
        <v>1594</v>
      </c>
    </row>
    <row r="676">
      <c r="A676" s="145" t="s">
        <v>511</v>
      </c>
      <c r="B676" s="206" t="s">
        <v>1594</v>
      </c>
    </row>
    <row r="677">
      <c r="A677" s="143" t="s">
        <v>516</v>
      </c>
      <c r="B677" s="206" t="s">
        <v>1594</v>
      </c>
    </row>
    <row r="678">
      <c r="A678" s="145"/>
      <c r="B678" s="205"/>
    </row>
    <row r="679">
      <c r="A679" s="143"/>
      <c r="B679" s="204"/>
    </row>
    <row r="680">
      <c r="A680" s="145"/>
      <c r="B680" s="205"/>
    </row>
    <row r="681">
      <c r="A681" s="143"/>
      <c r="B681" s="204"/>
    </row>
    <row r="682">
      <c r="A682" s="145"/>
      <c r="B682" s="205"/>
    </row>
    <row r="683">
      <c r="A683" s="143"/>
      <c r="B683" s="204"/>
    </row>
    <row r="684">
      <c r="A684" s="145"/>
      <c r="B684" s="205"/>
    </row>
    <row r="685">
      <c r="A685" s="143"/>
      <c r="B685" s="204"/>
    </row>
    <row r="686">
      <c r="A686" s="145"/>
      <c r="B686" s="205"/>
    </row>
    <row r="687">
      <c r="A687" s="143"/>
      <c r="B687" s="204"/>
    </row>
    <row r="688">
      <c r="A688" s="145"/>
      <c r="B688" s="205"/>
    </row>
    <row r="689">
      <c r="A689" s="143"/>
      <c r="B689" s="204"/>
    </row>
    <row r="690">
      <c r="A690" s="145"/>
      <c r="B690" s="205"/>
    </row>
    <row r="691">
      <c r="A691" s="143"/>
      <c r="B691" s="204"/>
    </row>
    <row r="692">
      <c r="A692" s="145"/>
      <c r="B692" s="205"/>
    </row>
    <row r="693">
      <c r="A693" s="143"/>
      <c r="B693" s="204"/>
    </row>
    <row r="694">
      <c r="A694" s="145"/>
      <c r="B694" s="205"/>
    </row>
    <row r="695">
      <c r="A695" s="143"/>
      <c r="B695" s="204"/>
    </row>
    <row r="696">
      <c r="A696" s="145"/>
      <c r="B696" s="205"/>
    </row>
    <row r="697">
      <c r="A697" s="143"/>
      <c r="B697" s="204"/>
    </row>
    <row r="698">
      <c r="A698" s="145"/>
      <c r="B698" s="205"/>
    </row>
    <row r="699">
      <c r="A699" s="143"/>
      <c r="B699" s="204"/>
    </row>
    <row r="700">
      <c r="A700" s="184"/>
      <c r="B700" s="205"/>
    </row>
    <row r="701">
      <c r="A701" s="171" t="str">
        <f t="array" ref="A701:A750">'Up Names'!O2:O51</f>
        <v>Connected Systems</v>
      </c>
      <c r="B701" s="204"/>
    </row>
    <row r="702">
      <c r="A702" s="145" t="s">
        <v>164</v>
      </c>
      <c r="B702" s="205"/>
    </row>
    <row r="703">
      <c r="A703" s="143" t="s">
        <v>184</v>
      </c>
      <c r="B703" s="204"/>
    </row>
    <row r="704">
      <c r="A704" s="145" t="s">
        <v>204</v>
      </c>
      <c r="B704" s="206" t="s">
        <v>1594</v>
      </c>
    </row>
    <row r="705">
      <c r="A705" s="143" t="s">
        <v>224</v>
      </c>
      <c r="B705" s="206" t="s">
        <v>1594</v>
      </c>
    </row>
    <row r="706">
      <c r="A706" s="145" t="s">
        <v>243</v>
      </c>
      <c r="B706" s="206" t="s">
        <v>1594</v>
      </c>
    </row>
    <row r="707">
      <c r="A707" s="143" t="s">
        <v>263</v>
      </c>
      <c r="B707" s="206" t="s">
        <v>1594</v>
      </c>
    </row>
    <row r="708">
      <c r="A708" s="145" t="s">
        <v>283</v>
      </c>
      <c r="B708" s="206" t="s">
        <v>1594</v>
      </c>
    </row>
    <row r="709">
      <c r="A709" s="143" t="s">
        <v>303</v>
      </c>
      <c r="B709" s="206" t="s">
        <v>1594</v>
      </c>
    </row>
    <row r="710">
      <c r="A710" s="145" t="s">
        <v>323</v>
      </c>
      <c r="B710" s="206" t="s">
        <v>1594</v>
      </c>
    </row>
    <row r="711">
      <c r="A711" s="143" t="s">
        <v>343</v>
      </c>
      <c r="B711" s="206" t="s">
        <v>1594</v>
      </c>
    </row>
    <row r="712">
      <c r="A712" s="145" t="s">
        <v>363</v>
      </c>
      <c r="B712" s="206" t="s">
        <v>1594</v>
      </c>
    </row>
    <row r="713">
      <c r="A713" s="143" t="s">
        <v>388</v>
      </c>
      <c r="B713" s="206" t="s">
        <v>1594</v>
      </c>
    </row>
    <row r="714">
      <c r="A714" s="145" t="s">
        <v>414</v>
      </c>
      <c r="B714" s="206" t="s">
        <v>1594</v>
      </c>
    </row>
    <row r="715">
      <c r="A715" s="143" t="s">
        <v>442</v>
      </c>
      <c r="B715" s="206" t="s">
        <v>1594</v>
      </c>
    </row>
    <row r="716">
      <c r="A716" s="145" t="s">
        <v>470</v>
      </c>
      <c r="B716" s="206" t="s">
        <v>1594</v>
      </c>
    </row>
    <row r="717">
      <c r="A717" s="143" t="s">
        <v>500</v>
      </c>
      <c r="B717" s="206" t="s">
        <v>1594</v>
      </c>
    </row>
    <row r="718">
      <c r="A718" s="145" t="s">
        <v>522</v>
      </c>
      <c r="B718" s="206" t="s">
        <v>1594</v>
      </c>
    </row>
    <row r="719">
      <c r="A719" s="143" t="s">
        <v>541</v>
      </c>
      <c r="B719" s="206" t="s">
        <v>1594</v>
      </c>
    </row>
    <row r="720">
      <c r="A720" s="145" t="s">
        <v>561</v>
      </c>
      <c r="B720" s="206" t="s">
        <v>1594</v>
      </c>
    </row>
    <row r="721">
      <c r="A721" s="143" t="s">
        <v>583</v>
      </c>
      <c r="B721" s="206" t="s">
        <v>1594</v>
      </c>
    </row>
    <row r="722">
      <c r="A722" s="145" t="s">
        <v>607</v>
      </c>
      <c r="B722" s="205"/>
    </row>
    <row r="723">
      <c r="A723" s="143" t="s">
        <v>627</v>
      </c>
      <c r="B723" s="204"/>
    </row>
    <row r="724">
      <c r="A724" s="145" t="s">
        <v>653</v>
      </c>
      <c r="B724" s="206" t="s">
        <v>1594</v>
      </c>
    </row>
    <row r="725">
      <c r="A725" s="143" t="s">
        <v>503</v>
      </c>
      <c r="B725" s="206" t="s">
        <v>1594</v>
      </c>
    </row>
    <row r="726">
      <c r="A726" s="145" t="s">
        <v>511</v>
      </c>
      <c r="B726" s="206" t="s">
        <v>1594</v>
      </c>
    </row>
    <row r="727">
      <c r="A727" s="143" t="s">
        <v>516</v>
      </c>
      <c r="B727" s="206" t="s">
        <v>1594</v>
      </c>
    </row>
    <row r="728">
      <c r="A728" s="145"/>
      <c r="B728" s="205"/>
    </row>
    <row r="729">
      <c r="A729" s="143"/>
      <c r="B729" s="204"/>
    </row>
    <row r="730">
      <c r="A730" s="145"/>
      <c r="B730" s="205"/>
    </row>
    <row r="731">
      <c r="A731" s="143"/>
      <c r="B731" s="204"/>
    </row>
    <row r="732">
      <c r="A732" s="145"/>
      <c r="B732" s="205"/>
    </row>
    <row r="733">
      <c r="A733" s="143"/>
      <c r="B733" s="204"/>
    </row>
    <row r="734">
      <c r="A734" s="145"/>
      <c r="B734" s="205"/>
    </row>
    <row r="735">
      <c r="A735" s="143"/>
      <c r="B735" s="204"/>
    </row>
    <row r="736">
      <c r="A736" s="145"/>
      <c r="B736" s="205"/>
    </row>
    <row r="737">
      <c r="A737" s="143"/>
      <c r="B737" s="204"/>
    </row>
    <row r="738">
      <c r="A738" s="145"/>
      <c r="B738" s="205"/>
    </row>
    <row r="739">
      <c r="A739" s="143"/>
      <c r="B739" s="204"/>
    </row>
    <row r="740">
      <c r="A740" s="145"/>
      <c r="B740" s="205"/>
    </row>
    <row r="741">
      <c r="A741" s="143"/>
      <c r="B741" s="204"/>
    </row>
    <row r="742">
      <c r="A742" s="145"/>
      <c r="B742" s="205"/>
    </row>
    <row r="743">
      <c r="A743" s="143"/>
      <c r="B743" s="204"/>
    </row>
    <row r="744">
      <c r="A744" s="145"/>
      <c r="B744" s="205"/>
    </row>
    <row r="745">
      <c r="A745" s="143"/>
      <c r="B745" s="204"/>
    </row>
    <row r="746">
      <c r="A746" s="145"/>
      <c r="B746" s="205"/>
    </row>
    <row r="747">
      <c r="A747" s="143"/>
      <c r="B747" s="204"/>
    </row>
    <row r="748">
      <c r="A748" s="145"/>
      <c r="B748" s="205"/>
    </row>
    <row r="749">
      <c r="A749" s="143"/>
      <c r="B749" s="204"/>
    </row>
    <row r="750">
      <c r="A750" s="184"/>
      <c r="B750" s="205"/>
    </row>
    <row r="751">
      <c r="A751" s="171" t="str">
        <f t="array" ref="A751:A800">'Up Names'!P2:P51</f>
        <v>Magboots</v>
      </c>
      <c r="B751" s="217" t="s">
        <v>1988</v>
      </c>
    </row>
    <row r="752">
      <c r="A752" s="145" t="s">
        <v>165</v>
      </c>
      <c r="B752" s="206" t="s">
        <v>1594</v>
      </c>
    </row>
    <row r="753">
      <c r="A753" s="143" t="s">
        <v>185</v>
      </c>
      <c r="B753" s="206" t="s">
        <v>1594</v>
      </c>
    </row>
    <row r="754">
      <c r="A754" s="145" t="s">
        <v>205</v>
      </c>
      <c r="B754" s="206" t="s">
        <v>1594</v>
      </c>
    </row>
    <row r="755">
      <c r="A755" s="143" t="s">
        <v>39</v>
      </c>
      <c r="B755" s="206" t="s">
        <v>1594</v>
      </c>
    </row>
    <row r="756">
      <c r="A756" s="145" t="s">
        <v>244</v>
      </c>
      <c r="B756" s="206" t="s">
        <v>1594</v>
      </c>
    </row>
    <row r="757">
      <c r="A757" s="143" t="s">
        <v>264</v>
      </c>
      <c r="B757" s="206" t="s">
        <v>1594</v>
      </c>
    </row>
    <row r="758">
      <c r="A758" s="145" t="s">
        <v>284</v>
      </c>
      <c r="B758" s="206" t="s">
        <v>1594</v>
      </c>
    </row>
    <row r="759">
      <c r="A759" s="143" t="s">
        <v>304</v>
      </c>
      <c r="B759" s="206" t="s">
        <v>1594</v>
      </c>
    </row>
    <row r="760">
      <c r="A760" s="145" t="s">
        <v>324</v>
      </c>
      <c r="B760" s="206" t="s">
        <v>1594</v>
      </c>
    </row>
    <row r="761">
      <c r="A761" s="143" t="s">
        <v>344</v>
      </c>
      <c r="B761" s="206" t="s">
        <v>1594</v>
      </c>
    </row>
    <row r="762">
      <c r="A762" s="145" t="s">
        <v>364</v>
      </c>
      <c r="B762" s="206" t="s">
        <v>1594</v>
      </c>
    </row>
    <row r="763">
      <c r="A763" s="143" t="s">
        <v>389</v>
      </c>
      <c r="B763" s="206" t="s">
        <v>1594</v>
      </c>
    </row>
    <row r="764">
      <c r="A764" s="145" t="s">
        <v>417</v>
      </c>
      <c r="B764" s="206" t="s">
        <v>1594</v>
      </c>
    </row>
    <row r="765">
      <c r="A765" s="143" t="s">
        <v>444</v>
      </c>
      <c r="B765" s="206" t="s">
        <v>1594</v>
      </c>
    </row>
    <row r="766">
      <c r="A766" s="145" t="s">
        <v>471</v>
      </c>
      <c r="B766" s="206" t="s">
        <v>1594</v>
      </c>
    </row>
    <row r="767">
      <c r="A767" s="143" t="s">
        <v>501</v>
      </c>
      <c r="B767" s="206" t="s">
        <v>1594</v>
      </c>
    </row>
    <row r="768">
      <c r="A768" s="145" t="s">
        <v>523</v>
      </c>
      <c r="B768" s="206" t="s">
        <v>1594</v>
      </c>
    </row>
    <row r="769">
      <c r="A769" s="143" t="s">
        <v>542</v>
      </c>
      <c r="B769" s="206" t="s">
        <v>1594</v>
      </c>
    </row>
    <row r="770">
      <c r="A770" s="145" t="s">
        <v>562</v>
      </c>
      <c r="B770" s="206" t="s">
        <v>1594</v>
      </c>
    </row>
    <row r="771">
      <c r="A771" s="143" t="s">
        <v>585</v>
      </c>
      <c r="B771" s="206" t="s">
        <v>1594</v>
      </c>
    </row>
    <row r="772">
      <c r="A772" s="145" t="s">
        <v>608</v>
      </c>
      <c r="B772" s="206" t="s">
        <v>1594</v>
      </c>
    </row>
    <row r="773">
      <c r="A773" s="143" t="s">
        <v>629</v>
      </c>
      <c r="B773" s="206" t="s">
        <v>1594</v>
      </c>
    </row>
    <row r="774">
      <c r="A774" s="145" t="s">
        <v>654</v>
      </c>
      <c r="B774" s="206" t="s">
        <v>1594</v>
      </c>
    </row>
    <row r="775">
      <c r="A775" s="143" t="s">
        <v>669</v>
      </c>
      <c r="B775" s="206" t="s">
        <v>1594</v>
      </c>
    </row>
    <row r="776">
      <c r="A776" s="145" t="s">
        <v>683</v>
      </c>
      <c r="B776" s="206" t="s">
        <v>1594</v>
      </c>
    </row>
    <row r="777">
      <c r="A777" s="143" t="s">
        <v>698</v>
      </c>
      <c r="B777" s="206" t="s">
        <v>1594</v>
      </c>
    </row>
    <row r="778">
      <c r="A778" s="145" t="s">
        <v>717</v>
      </c>
      <c r="B778" s="206" t="s">
        <v>1594</v>
      </c>
    </row>
    <row r="779">
      <c r="A779" s="143" t="s">
        <v>735</v>
      </c>
      <c r="B779" s="206" t="s">
        <v>1594</v>
      </c>
    </row>
    <row r="780">
      <c r="A780" s="145" t="s">
        <v>753</v>
      </c>
      <c r="B780" s="206" t="s">
        <v>1594</v>
      </c>
    </row>
    <row r="781">
      <c r="A781" s="143" t="s">
        <v>765</v>
      </c>
      <c r="B781" s="206" t="s">
        <v>1594</v>
      </c>
    </row>
    <row r="782">
      <c r="A782" s="145" t="s">
        <v>774</v>
      </c>
      <c r="B782" s="206" t="s">
        <v>1594</v>
      </c>
    </row>
    <row r="783">
      <c r="A783" s="143" t="s">
        <v>780</v>
      </c>
      <c r="B783" s="206" t="s">
        <v>1594</v>
      </c>
    </row>
    <row r="784">
      <c r="A784" s="145" t="s">
        <v>785</v>
      </c>
      <c r="B784" s="206" t="s">
        <v>1594</v>
      </c>
    </row>
    <row r="785">
      <c r="A785" s="143" t="s">
        <v>790</v>
      </c>
      <c r="B785" s="206" t="s">
        <v>1594</v>
      </c>
    </row>
    <row r="786">
      <c r="A786" s="145" t="s">
        <v>503</v>
      </c>
      <c r="B786" s="206" t="s">
        <v>1594</v>
      </c>
    </row>
    <row r="787">
      <c r="A787" s="143" t="s">
        <v>511</v>
      </c>
      <c r="B787" s="206" t="s">
        <v>1594</v>
      </c>
    </row>
    <row r="788">
      <c r="A788" s="145" t="s">
        <v>516</v>
      </c>
      <c r="B788" s="206" t="s">
        <v>1594</v>
      </c>
    </row>
    <row r="789">
      <c r="A789" s="143"/>
      <c r="B789" s="204"/>
    </row>
    <row r="790">
      <c r="A790" s="145"/>
      <c r="B790" s="205"/>
    </row>
    <row r="791">
      <c r="A791" s="143"/>
      <c r="B791" s="204"/>
    </row>
    <row r="792">
      <c r="A792" s="145"/>
      <c r="B792" s="205"/>
    </row>
    <row r="793">
      <c r="A793" s="143"/>
      <c r="B793" s="204"/>
    </row>
    <row r="794">
      <c r="A794" s="145"/>
      <c r="B794" s="205"/>
    </row>
    <row r="795">
      <c r="A795" s="143"/>
      <c r="B795" s="204"/>
    </row>
    <row r="796">
      <c r="A796" s="145"/>
      <c r="B796" s="205"/>
    </row>
    <row r="797">
      <c r="A797" s="143"/>
      <c r="B797" s="204"/>
    </row>
    <row r="798">
      <c r="A798" s="145"/>
      <c r="B798" s="205"/>
    </row>
    <row r="799">
      <c r="A799" s="143"/>
      <c r="B799" s="204"/>
    </row>
    <row r="800">
      <c r="A800" s="184"/>
      <c r="B800" s="205"/>
    </row>
    <row r="801">
      <c r="A801" s="171" t="str">
        <f t="array" ref="A801:A850">'Up Names'!Q2:Q51</f>
        <v>Switcheroo</v>
      </c>
      <c r="B801" s="206" t="s">
        <v>1594</v>
      </c>
    </row>
    <row r="802">
      <c r="A802" s="145" t="s">
        <v>166</v>
      </c>
      <c r="B802" s="217" t="s">
        <v>1992</v>
      </c>
    </row>
    <row r="803">
      <c r="A803" s="143" t="s">
        <v>186</v>
      </c>
      <c r="B803" s="216" t="s">
        <v>1994</v>
      </c>
    </row>
    <row r="804">
      <c r="A804" s="145" t="s">
        <v>206</v>
      </c>
      <c r="B804" s="217" t="s">
        <v>1995</v>
      </c>
    </row>
    <row r="805">
      <c r="A805" s="143" t="s">
        <v>225</v>
      </c>
      <c r="B805" s="216" t="s">
        <v>1996</v>
      </c>
    </row>
    <row r="806">
      <c r="A806" s="145" t="s">
        <v>245</v>
      </c>
      <c r="B806" s="217" t="s">
        <v>1997</v>
      </c>
    </row>
    <row r="807">
      <c r="A807" s="143" t="s">
        <v>265</v>
      </c>
      <c r="B807" s="206" t="s">
        <v>1594</v>
      </c>
    </row>
    <row r="808">
      <c r="A808" s="145" t="s">
        <v>285</v>
      </c>
      <c r="B808" s="206" t="s">
        <v>1594</v>
      </c>
    </row>
    <row r="809">
      <c r="A809" s="143" t="s">
        <v>305</v>
      </c>
      <c r="B809" s="206" t="s">
        <v>1594</v>
      </c>
    </row>
    <row r="810">
      <c r="A810" s="145" t="s">
        <v>325</v>
      </c>
      <c r="B810" s="206" t="s">
        <v>1594</v>
      </c>
    </row>
    <row r="811">
      <c r="A811" s="143" t="s">
        <v>345</v>
      </c>
      <c r="B811" s="206" t="s">
        <v>1594</v>
      </c>
    </row>
    <row r="812">
      <c r="A812" s="145" t="s">
        <v>365</v>
      </c>
      <c r="B812" s="206" t="s">
        <v>1594</v>
      </c>
    </row>
    <row r="813">
      <c r="A813" s="143" t="s">
        <v>390</v>
      </c>
      <c r="B813" s="206" t="s">
        <v>1594</v>
      </c>
    </row>
    <row r="814">
      <c r="A814" s="145" t="s">
        <v>418</v>
      </c>
      <c r="B814" s="206" t="s">
        <v>1594</v>
      </c>
    </row>
    <row r="815">
      <c r="A815" s="143" t="s">
        <v>445</v>
      </c>
      <c r="B815" s="206" t="s">
        <v>1594</v>
      </c>
    </row>
    <row r="816">
      <c r="A816" s="145" t="s">
        <v>473</v>
      </c>
      <c r="B816" s="206" t="s">
        <v>1594</v>
      </c>
    </row>
    <row r="817">
      <c r="A817" s="143" t="s">
        <v>502</v>
      </c>
      <c r="B817" s="206" t="s">
        <v>1594</v>
      </c>
    </row>
    <row r="818">
      <c r="A818" s="145" t="s">
        <v>524</v>
      </c>
      <c r="B818" s="206" t="s">
        <v>1594</v>
      </c>
    </row>
    <row r="819">
      <c r="A819" s="143" t="s">
        <v>543</v>
      </c>
      <c r="B819" s="206" t="s">
        <v>1594</v>
      </c>
    </row>
    <row r="820">
      <c r="A820" s="145" t="s">
        <v>564</v>
      </c>
      <c r="B820" s="206" t="s">
        <v>1594</v>
      </c>
    </row>
    <row r="821">
      <c r="A821" s="143" t="s">
        <v>586</v>
      </c>
      <c r="B821" s="206" t="s">
        <v>1594</v>
      </c>
    </row>
    <row r="822">
      <c r="A822" s="145" t="s">
        <v>609</v>
      </c>
      <c r="B822" s="206" t="s">
        <v>1594</v>
      </c>
    </row>
    <row r="823">
      <c r="A823" s="143" t="s">
        <v>631</v>
      </c>
      <c r="B823" s="206" t="s">
        <v>1594</v>
      </c>
    </row>
    <row r="824">
      <c r="A824" s="145" t="s">
        <v>655</v>
      </c>
      <c r="B824" s="206" t="s">
        <v>1594</v>
      </c>
    </row>
    <row r="825">
      <c r="A825" s="143" t="s">
        <v>670</v>
      </c>
      <c r="B825" s="206" t="s">
        <v>1594</v>
      </c>
    </row>
    <row r="826">
      <c r="A826" s="145" t="s">
        <v>684</v>
      </c>
      <c r="B826" s="206" t="s">
        <v>1594</v>
      </c>
    </row>
    <row r="827">
      <c r="A827" s="143" t="s">
        <v>699</v>
      </c>
      <c r="B827" s="206" t="s">
        <v>1594</v>
      </c>
    </row>
    <row r="828">
      <c r="A828" s="145" t="s">
        <v>719</v>
      </c>
      <c r="B828" s="206" t="s">
        <v>1594</v>
      </c>
    </row>
    <row r="829">
      <c r="A829" s="143" t="s">
        <v>737</v>
      </c>
      <c r="B829" s="206" t="s">
        <v>1594</v>
      </c>
    </row>
    <row r="830">
      <c r="A830" s="145" t="s">
        <v>754</v>
      </c>
      <c r="B830" s="206" t="s">
        <v>1594</v>
      </c>
    </row>
    <row r="831">
      <c r="A831" s="143" t="s">
        <v>766</v>
      </c>
      <c r="B831" s="206" t="s">
        <v>1594</v>
      </c>
    </row>
    <row r="832">
      <c r="A832" s="145" t="s">
        <v>775</v>
      </c>
      <c r="B832" s="206" t="s">
        <v>1594</v>
      </c>
    </row>
    <row r="833">
      <c r="A833" s="143" t="s">
        <v>781</v>
      </c>
      <c r="B833" s="206" t="s">
        <v>1594</v>
      </c>
    </row>
    <row r="834">
      <c r="A834" s="145" t="s">
        <v>786</v>
      </c>
      <c r="B834" s="206" t="s">
        <v>1594</v>
      </c>
    </row>
    <row r="835">
      <c r="A835" s="143" t="s">
        <v>791</v>
      </c>
      <c r="B835" s="204"/>
    </row>
    <row r="836">
      <c r="A836" s="145" t="s">
        <v>797</v>
      </c>
      <c r="B836" s="206" t="s">
        <v>1594</v>
      </c>
    </row>
    <row r="837">
      <c r="A837" s="143"/>
      <c r="B837" s="204"/>
    </row>
    <row r="838">
      <c r="A838" s="145"/>
      <c r="B838" s="205"/>
    </row>
    <row r="839">
      <c r="A839" s="143"/>
      <c r="B839" s="204"/>
    </row>
    <row r="840">
      <c r="A840" s="145"/>
      <c r="B840" s="205"/>
    </row>
    <row r="841">
      <c r="A841" s="143"/>
      <c r="B841" s="204"/>
    </row>
    <row r="842">
      <c r="A842" s="145"/>
      <c r="B842" s="205"/>
    </row>
    <row r="843">
      <c r="A843" s="143"/>
      <c r="B843" s="204"/>
    </row>
    <row r="844">
      <c r="A844" s="145"/>
      <c r="B844" s="205"/>
    </row>
    <row r="845">
      <c r="A845" s="143"/>
      <c r="B845" s="204"/>
    </row>
    <row r="846">
      <c r="A846" s="145"/>
      <c r="B846" s="205"/>
    </row>
    <row r="847">
      <c r="A847" s="143"/>
      <c r="B847" s="204"/>
    </row>
    <row r="848">
      <c r="A848" s="145"/>
      <c r="B848" s="205"/>
    </row>
    <row r="849">
      <c r="A849" s="143"/>
      <c r="B849" s="204"/>
    </row>
    <row r="850">
      <c r="A850" s="184"/>
      <c r="B850" s="205"/>
    </row>
    <row r="851">
      <c r="A851" s="171" t="str">
        <f t="array" ref="A851:A900">'Up Names'!R2:R51</f>
        <v>Modular Construction</v>
      </c>
      <c r="B851" s="206" t="s">
        <v>1594</v>
      </c>
    </row>
    <row r="852">
      <c r="A852" s="145" t="s">
        <v>167</v>
      </c>
      <c r="B852" s="216" t="s">
        <v>2005</v>
      </c>
    </row>
    <row r="853">
      <c r="A853" s="143" t="s">
        <v>187</v>
      </c>
      <c r="B853" s="217" t="s">
        <v>2006</v>
      </c>
    </row>
    <row r="854">
      <c r="A854" s="145" t="s">
        <v>207</v>
      </c>
      <c r="B854" s="216" t="s">
        <v>2007</v>
      </c>
    </row>
    <row r="855">
      <c r="A855" s="143" t="s">
        <v>226</v>
      </c>
      <c r="B855" s="217" t="s">
        <v>2008</v>
      </c>
    </row>
    <row r="856">
      <c r="A856" s="145" t="s">
        <v>246</v>
      </c>
      <c r="B856" s="216" t="s">
        <v>2009</v>
      </c>
    </row>
    <row r="857">
      <c r="A857" s="143" t="s">
        <v>266</v>
      </c>
      <c r="B857" s="206" t="s">
        <v>1594</v>
      </c>
    </row>
    <row r="858">
      <c r="A858" s="145" t="s">
        <v>286</v>
      </c>
      <c r="B858" s="206" t="s">
        <v>1594</v>
      </c>
    </row>
    <row r="859">
      <c r="A859" s="143" t="s">
        <v>306</v>
      </c>
      <c r="B859" s="206" t="s">
        <v>1594</v>
      </c>
    </row>
    <row r="860">
      <c r="A860" s="145" t="s">
        <v>326</v>
      </c>
      <c r="B860" s="206" t="s">
        <v>1594</v>
      </c>
    </row>
    <row r="861">
      <c r="A861" s="143" t="s">
        <v>346</v>
      </c>
      <c r="B861" s="206" t="s">
        <v>1594</v>
      </c>
    </row>
    <row r="862">
      <c r="A862" s="145" t="s">
        <v>366</v>
      </c>
      <c r="B862" s="206" t="s">
        <v>1594</v>
      </c>
    </row>
    <row r="863">
      <c r="A863" s="143" t="s">
        <v>391</v>
      </c>
      <c r="B863" s="206" t="s">
        <v>1594</v>
      </c>
    </row>
    <row r="864">
      <c r="A864" s="145" t="s">
        <v>419</v>
      </c>
      <c r="B864" s="206" t="s">
        <v>1594</v>
      </c>
    </row>
    <row r="865">
      <c r="A865" s="143" t="s">
        <v>446</v>
      </c>
      <c r="B865" s="206" t="s">
        <v>1594</v>
      </c>
    </row>
    <row r="866">
      <c r="A866" s="145" t="s">
        <v>475</v>
      </c>
      <c r="B866" s="206" t="s">
        <v>1594</v>
      </c>
    </row>
    <row r="867">
      <c r="A867" s="143" t="s">
        <v>504</v>
      </c>
      <c r="B867" s="206" t="s">
        <v>1594</v>
      </c>
    </row>
    <row r="868">
      <c r="A868" s="145" t="s">
        <v>525</v>
      </c>
      <c r="B868" s="206" t="s">
        <v>1594</v>
      </c>
    </row>
    <row r="869">
      <c r="A869" s="143" t="s">
        <v>544</v>
      </c>
      <c r="B869" s="206" t="s">
        <v>1594</v>
      </c>
    </row>
    <row r="870">
      <c r="A870" s="145" t="s">
        <v>565</v>
      </c>
      <c r="B870" s="206" t="s">
        <v>1594</v>
      </c>
    </row>
    <row r="871">
      <c r="A871" s="143" t="s">
        <v>588</v>
      </c>
      <c r="B871" s="206" t="s">
        <v>1594</v>
      </c>
    </row>
    <row r="872">
      <c r="A872" s="145" t="s">
        <v>610</v>
      </c>
      <c r="B872" s="206" t="s">
        <v>1594</v>
      </c>
    </row>
    <row r="873">
      <c r="A873" s="143" t="s">
        <v>633</v>
      </c>
      <c r="B873" s="206" t="s">
        <v>1594</v>
      </c>
    </row>
    <row r="874">
      <c r="A874" s="145" t="s">
        <v>656</v>
      </c>
      <c r="B874" s="206" t="s">
        <v>1594</v>
      </c>
    </row>
    <row r="875">
      <c r="A875" s="143" t="s">
        <v>671</v>
      </c>
      <c r="B875" s="206" t="s">
        <v>1594</v>
      </c>
    </row>
    <row r="876">
      <c r="A876" s="145" t="s">
        <v>685</v>
      </c>
      <c r="B876" s="206" t="s">
        <v>1594</v>
      </c>
    </row>
    <row r="877">
      <c r="A877" s="143" t="s">
        <v>701</v>
      </c>
      <c r="B877" s="206" t="s">
        <v>1594</v>
      </c>
    </row>
    <row r="878">
      <c r="A878" s="145" t="s">
        <v>720</v>
      </c>
      <c r="B878" s="206" t="s">
        <v>1594</v>
      </c>
    </row>
    <row r="879">
      <c r="A879" s="143" t="s">
        <v>738</v>
      </c>
      <c r="B879" s="206" t="s">
        <v>1594</v>
      </c>
    </row>
    <row r="880">
      <c r="A880" s="145" t="s">
        <v>755</v>
      </c>
      <c r="B880" s="206" t="s">
        <v>1594</v>
      </c>
    </row>
    <row r="881">
      <c r="A881" s="143" t="s">
        <v>768</v>
      </c>
      <c r="B881" s="206" t="s">
        <v>1594</v>
      </c>
    </row>
    <row r="882">
      <c r="A882" s="145" t="s">
        <v>776</v>
      </c>
      <c r="B882" s="206" t="s">
        <v>1594</v>
      </c>
    </row>
    <row r="883">
      <c r="A883" s="143" t="s">
        <v>782</v>
      </c>
      <c r="B883" s="206" t="s">
        <v>1594</v>
      </c>
    </row>
    <row r="884">
      <c r="A884" s="145" t="s">
        <v>787</v>
      </c>
      <c r="B884" s="205"/>
    </row>
    <row r="885">
      <c r="A885" s="143" t="s">
        <v>792</v>
      </c>
      <c r="B885" s="206" t="s">
        <v>1594</v>
      </c>
    </row>
    <row r="886">
      <c r="A886" s="145"/>
      <c r="B886" s="205"/>
    </row>
    <row r="887">
      <c r="A887" s="143"/>
      <c r="B887" s="204"/>
    </row>
    <row r="888">
      <c r="A888" s="145"/>
      <c r="B888" s="205"/>
    </row>
    <row r="889">
      <c r="A889" s="143"/>
      <c r="B889" s="204"/>
    </row>
    <row r="890">
      <c r="A890" s="145"/>
      <c r="B890" s="205"/>
    </row>
    <row r="891">
      <c r="A891" s="143"/>
      <c r="B891" s="204"/>
    </row>
    <row r="892">
      <c r="A892" s="145"/>
      <c r="B892" s="205"/>
    </row>
    <row r="893">
      <c r="A893" s="143"/>
      <c r="B893" s="204"/>
    </row>
    <row r="894">
      <c r="A894" s="145"/>
      <c r="B894" s="205"/>
    </row>
    <row r="895">
      <c r="A895" s="143"/>
      <c r="B895" s="204"/>
    </row>
    <row r="896">
      <c r="A896" s="145"/>
      <c r="B896" s="205"/>
    </row>
    <row r="897">
      <c r="A897" s="143"/>
      <c r="B897" s="204"/>
    </row>
    <row r="898">
      <c r="A898" s="145"/>
      <c r="B898" s="205"/>
    </row>
    <row r="899">
      <c r="A899" s="143"/>
      <c r="B899" s="204"/>
    </row>
    <row r="900">
      <c r="A900" s="184"/>
      <c r="B900" s="205"/>
    </row>
    <row r="901">
      <c r="A901" s="171" t="str">
        <f t="array" ref="A901:A950">'Up Names'!S2:S51</f>
        <v>Upside Down</v>
      </c>
      <c r="B901" s="206" t="s">
        <v>1594</v>
      </c>
    </row>
    <row r="902">
      <c r="A902" s="145" t="s">
        <v>168</v>
      </c>
      <c r="B902" s="216" t="s">
        <v>2016</v>
      </c>
    </row>
    <row r="903">
      <c r="A903" s="143" t="s">
        <v>188</v>
      </c>
      <c r="B903" s="217" t="s">
        <v>2017</v>
      </c>
    </row>
    <row r="904">
      <c r="A904" s="145" t="s">
        <v>208</v>
      </c>
      <c r="B904" s="216" t="s">
        <v>2018</v>
      </c>
    </row>
    <row r="905">
      <c r="A905" s="143" t="s">
        <v>227</v>
      </c>
      <c r="B905" s="217" t="s">
        <v>2019</v>
      </c>
    </row>
    <row r="906">
      <c r="A906" s="145" t="s">
        <v>247</v>
      </c>
      <c r="B906" s="216" t="s">
        <v>2020</v>
      </c>
    </row>
    <row r="907">
      <c r="A907" s="143" t="s">
        <v>267</v>
      </c>
      <c r="B907" s="206" t="s">
        <v>1594</v>
      </c>
    </row>
    <row r="908">
      <c r="A908" s="145" t="s">
        <v>287</v>
      </c>
      <c r="B908" s="206" t="s">
        <v>1594</v>
      </c>
    </row>
    <row r="909">
      <c r="A909" s="143" t="s">
        <v>307</v>
      </c>
      <c r="B909" s="206" t="s">
        <v>1594</v>
      </c>
    </row>
    <row r="910">
      <c r="A910" s="145" t="s">
        <v>327</v>
      </c>
      <c r="B910" s="206" t="s">
        <v>1594</v>
      </c>
    </row>
    <row r="911">
      <c r="A911" s="143" t="s">
        <v>347</v>
      </c>
      <c r="B911" s="206" t="s">
        <v>1594</v>
      </c>
    </row>
    <row r="912">
      <c r="A912" s="145" t="s">
        <v>367</v>
      </c>
      <c r="B912" s="206" t="s">
        <v>1594</v>
      </c>
    </row>
    <row r="913">
      <c r="A913" s="143" t="s">
        <v>392</v>
      </c>
      <c r="B913" s="206" t="s">
        <v>1594</v>
      </c>
    </row>
    <row r="914">
      <c r="A914" s="145" t="s">
        <v>420</v>
      </c>
      <c r="B914" s="206" t="s">
        <v>1594</v>
      </c>
    </row>
    <row r="915">
      <c r="A915" s="143" t="s">
        <v>448</v>
      </c>
      <c r="B915" s="206" t="s">
        <v>1594</v>
      </c>
    </row>
    <row r="916">
      <c r="A916" s="145" t="s">
        <v>476</v>
      </c>
      <c r="B916" s="206" t="s">
        <v>1594</v>
      </c>
    </row>
    <row r="917">
      <c r="A917" s="143" t="s">
        <v>505</v>
      </c>
      <c r="B917" s="206" t="s">
        <v>1594</v>
      </c>
    </row>
    <row r="918">
      <c r="A918" s="145" t="s">
        <v>526</v>
      </c>
      <c r="B918" s="206" t="s">
        <v>1594</v>
      </c>
    </row>
    <row r="919">
      <c r="A919" s="143" t="s">
        <v>545</v>
      </c>
      <c r="B919" s="206" t="s">
        <v>1594</v>
      </c>
    </row>
    <row r="920">
      <c r="A920" s="145" t="s">
        <v>566</v>
      </c>
      <c r="B920" s="206" t="s">
        <v>1594</v>
      </c>
    </row>
    <row r="921">
      <c r="A921" s="143" t="s">
        <v>589</v>
      </c>
      <c r="B921" s="206" t="s">
        <v>1594</v>
      </c>
    </row>
    <row r="922">
      <c r="A922" s="145" t="s">
        <v>611</v>
      </c>
      <c r="B922" s="206" t="s">
        <v>1594</v>
      </c>
    </row>
    <row r="923">
      <c r="A923" s="143" t="s">
        <v>634</v>
      </c>
      <c r="B923" s="206" t="s">
        <v>1594</v>
      </c>
    </row>
    <row r="924">
      <c r="A924" s="145" t="s">
        <v>657</v>
      </c>
      <c r="B924" s="206" t="s">
        <v>1594</v>
      </c>
    </row>
    <row r="925">
      <c r="A925" s="143" t="s">
        <v>672</v>
      </c>
      <c r="B925" s="206" t="s">
        <v>1594</v>
      </c>
    </row>
    <row r="926">
      <c r="A926" s="145" t="s">
        <v>686</v>
      </c>
      <c r="B926" s="206" t="s">
        <v>1594</v>
      </c>
    </row>
    <row r="927">
      <c r="A927" s="143" t="s">
        <v>702</v>
      </c>
      <c r="B927" s="206" t="s">
        <v>1594</v>
      </c>
    </row>
    <row r="928">
      <c r="A928" s="145" t="s">
        <v>721</v>
      </c>
      <c r="B928" s="206" t="s">
        <v>1594</v>
      </c>
    </row>
    <row r="929">
      <c r="A929" s="143" t="s">
        <v>739</v>
      </c>
      <c r="B929" s="206" t="s">
        <v>1594</v>
      </c>
    </row>
    <row r="930">
      <c r="A930" s="145" t="s">
        <v>757</v>
      </c>
      <c r="B930" s="206" t="s">
        <v>1594</v>
      </c>
    </row>
    <row r="931">
      <c r="A931" s="143" t="s">
        <v>769</v>
      </c>
      <c r="B931" s="206" t="s">
        <v>1594</v>
      </c>
    </row>
    <row r="932">
      <c r="A932" s="145" t="s">
        <v>777</v>
      </c>
      <c r="B932" s="206" t="s">
        <v>1594</v>
      </c>
    </row>
    <row r="933">
      <c r="A933" s="143" t="s">
        <v>783</v>
      </c>
      <c r="B933" s="206" t="s">
        <v>1594</v>
      </c>
    </row>
    <row r="934">
      <c r="A934" s="145" t="s">
        <v>788</v>
      </c>
      <c r="B934" s="205"/>
    </row>
    <row r="935">
      <c r="A935" s="143" t="s">
        <v>793</v>
      </c>
      <c r="B935" s="206" t="s">
        <v>1594</v>
      </c>
    </row>
    <row r="936">
      <c r="A936" s="145"/>
      <c r="B936" s="205"/>
    </row>
    <row r="937">
      <c r="A937" s="143"/>
      <c r="B937" s="204"/>
    </row>
    <row r="938">
      <c r="A938" s="145"/>
      <c r="B938" s="205"/>
    </row>
    <row r="939">
      <c r="A939" s="143"/>
      <c r="B939" s="204"/>
    </row>
    <row r="940">
      <c r="A940" s="145"/>
      <c r="B940" s="205"/>
    </row>
    <row r="941">
      <c r="A941" s="143"/>
      <c r="B941" s="204"/>
    </row>
    <row r="942">
      <c r="A942" s="145"/>
      <c r="B942" s="205"/>
    </row>
    <row r="943">
      <c r="A943" s="143"/>
      <c r="B943" s="204"/>
    </row>
    <row r="944">
      <c r="A944" s="145"/>
      <c r="B944" s="205"/>
    </row>
    <row r="945">
      <c r="A945" s="143"/>
      <c r="B945" s="204"/>
    </row>
    <row r="946">
      <c r="A946" s="145"/>
      <c r="B946" s="205"/>
    </row>
    <row r="947">
      <c r="A947" s="143"/>
      <c r="B947" s="204"/>
    </row>
    <row r="948">
      <c r="A948" s="145"/>
      <c r="B948" s="205"/>
    </row>
    <row r="949">
      <c r="A949" s="143"/>
      <c r="B949" s="204"/>
    </row>
    <row r="950">
      <c r="A950" s="184"/>
      <c r="B950" s="205"/>
    </row>
    <row r="951">
      <c r="A951" s="171" t="str">
        <f t="array" ref="A951:A1000">'Up Names'!T2:T51</f>
        <v>Attrition Supply</v>
      </c>
      <c r="B951" s="217" t="s">
        <v>2026</v>
      </c>
    </row>
    <row r="952">
      <c r="A952" s="145" t="s">
        <v>169</v>
      </c>
      <c r="B952" s="216" t="s">
        <v>2027</v>
      </c>
    </row>
    <row r="953">
      <c r="A953" s="143" t="s">
        <v>189</v>
      </c>
      <c r="B953" s="217" t="s">
        <v>2028</v>
      </c>
    </row>
    <row r="954">
      <c r="A954" s="145" t="s">
        <v>209</v>
      </c>
      <c r="B954" s="216" t="s">
        <v>2029</v>
      </c>
    </row>
    <row r="955">
      <c r="A955" s="143" t="s">
        <v>228</v>
      </c>
      <c r="B955" s="217" t="s">
        <v>2030</v>
      </c>
    </row>
    <row r="956">
      <c r="A956" s="145" t="s">
        <v>248</v>
      </c>
      <c r="B956" s="206" t="s">
        <v>1594</v>
      </c>
    </row>
    <row r="957">
      <c r="A957" s="143" t="s">
        <v>268</v>
      </c>
      <c r="B957" s="206" t="s">
        <v>1594</v>
      </c>
    </row>
    <row r="958">
      <c r="A958" s="145" t="s">
        <v>288</v>
      </c>
      <c r="B958" s="206" t="s">
        <v>1594</v>
      </c>
    </row>
    <row r="959">
      <c r="A959" s="143" t="s">
        <v>308</v>
      </c>
      <c r="B959" s="206" t="s">
        <v>1594</v>
      </c>
    </row>
    <row r="960">
      <c r="A960" s="145" t="s">
        <v>328</v>
      </c>
      <c r="B960" s="206" t="s">
        <v>1594</v>
      </c>
    </row>
    <row r="961">
      <c r="A961" s="143" t="s">
        <v>348</v>
      </c>
      <c r="B961" s="206" t="s">
        <v>1594</v>
      </c>
    </row>
    <row r="962">
      <c r="A962" s="145" t="s">
        <v>368</v>
      </c>
      <c r="B962" s="206" t="s">
        <v>1594</v>
      </c>
    </row>
    <row r="963">
      <c r="A963" s="143" t="s">
        <v>393</v>
      </c>
      <c r="B963" s="206" t="s">
        <v>1594</v>
      </c>
    </row>
    <row r="964">
      <c r="A964" s="145" t="s">
        <v>422</v>
      </c>
      <c r="B964" s="206" t="s">
        <v>1594</v>
      </c>
    </row>
    <row r="965">
      <c r="A965" s="143" t="s">
        <v>450</v>
      </c>
      <c r="B965" s="206" t="s">
        <v>1594</v>
      </c>
    </row>
    <row r="966">
      <c r="A966" s="145" t="s">
        <v>478</v>
      </c>
      <c r="B966" s="206" t="s">
        <v>1594</v>
      </c>
    </row>
    <row r="967">
      <c r="A967" s="143" t="s">
        <v>506</v>
      </c>
      <c r="B967" s="206" t="s">
        <v>1594</v>
      </c>
    </row>
    <row r="968">
      <c r="A968" s="145" t="s">
        <v>527</v>
      </c>
      <c r="B968" s="206" t="s">
        <v>1594</v>
      </c>
    </row>
    <row r="969">
      <c r="A969" s="143" t="s">
        <v>546</v>
      </c>
      <c r="B969" s="206" t="s">
        <v>1594</v>
      </c>
    </row>
    <row r="970">
      <c r="A970" s="145" t="s">
        <v>568</v>
      </c>
      <c r="B970" s="206" t="s">
        <v>1594</v>
      </c>
    </row>
    <row r="971">
      <c r="A971" s="143" t="s">
        <v>590</v>
      </c>
      <c r="B971" s="206" t="s">
        <v>1594</v>
      </c>
    </row>
    <row r="972">
      <c r="A972" s="145" t="s">
        <v>612</v>
      </c>
      <c r="B972" s="206" t="s">
        <v>1594</v>
      </c>
    </row>
    <row r="973">
      <c r="A973" s="143" t="s">
        <v>636</v>
      </c>
      <c r="B973" s="206" t="s">
        <v>1594</v>
      </c>
    </row>
    <row r="974">
      <c r="A974" s="145" t="s">
        <v>658</v>
      </c>
      <c r="B974" s="206" t="s">
        <v>1594</v>
      </c>
    </row>
    <row r="975">
      <c r="A975" s="143" t="s">
        <v>673</v>
      </c>
      <c r="B975" s="206" t="s">
        <v>1594</v>
      </c>
    </row>
    <row r="976">
      <c r="A976" s="145" t="s">
        <v>687</v>
      </c>
      <c r="B976" s="206" t="s">
        <v>1594</v>
      </c>
    </row>
    <row r="977">
      <c r="A977" s="143" t="s">
        <v>703</v>
      </c>
      <c r="B977" s="206" t="s">
        <v>1594</v>
      </c>
    </row>
    <row r="978">
      <c r="A978" s="145" t="s">
        <v>722</v>
      </c>
      <c r="B978" s="206" t="s">
        <v>1594</v>
      </c>
    </row>
    <row r="979">
      <c r="A979" s="143" t="s">
        <v>741</v>
      </c>
      <c r="B979" s="206" t="s">
        <v>1594</v>
      </c>
    </row>
    <row r="980">
      <c r="A980" s="145" t="s">
        <v>758</v>
      </c>
      <c r="B980" s="206" t="s">
        <v>1594</v>
      </c>
    </row>
    <row r="981">
      <c r="A981" s="143" t="s">
        <v>771</v>
      </c>
      <c r="B981" s="206" t="s">
        <v>1594</v>
      </c>
    </row>
    <row r="982">
      <c r="A982" s="145" t="s">
        <v>778</v>
      </c>
      <c r="B982" s="206" t="s">
        <v>1594</v>
      </c>
    </row>
    <row r="983">
      <c r="A983" s="143" t="s">
        <v>784</v>
      </c>
      <c r="B983" s="206" t="s">
        <v>1594</v>
      </c>
    </row>
    <row r="984">
      <c r="A984" s="145" t="s">
        <v>789</v>
      </c>
      <c r="B984" s="205"/>
    </row>
    <row r="985">
      <c r="A985" s="143" t="s">
        <v>794</v>
      </c>
      <c r="B985" s="206" t="s">
        <v>1594</v>
      </c>
    </row>
    <row r="986">
      <c r="A986" s="145"/>
      <c r="B986" s="205"/>
    </row>
    <row r="987">
      <c r="A987" s="143"/>
      <c r="B987" s="204"/>
    </row>
    <row r="988">
      <c r="A988" s="145"/>
      <c r="B988" s="205"/>
    </row>
    <row r="989">
      <c r="A989" s="143"/>
      <c r="B989" s="204"/>
    </row>
    <row r="990">
      <c r="A990" s="145"/>
      <c r="B990" s="205"/>
    </row>
    <row r="991">
      <c r="A991" s="143"/>
      <c r="B991" s="204"/>
    </row>
    <row r="992">
      <c r="A992" s="145"/>
      <c r="B992" s="205"/>
    </row>
    <row r="993">
      <c r="A993" s="143"/>
      <c r="B993" s="204"/>
    </row>
    <row r="994">
      <c r="A994" s="145"/>
      <c r="B994" s="205"/>
    </row>
    <row r="995">
      <c r="A995" s="143"/>
      <c r="B995" s="204"/>
    </row>
    <row r="996">
      <c r="A996" s="145"/>
      <c r="B996" s="205"/>
    </row>
    <row r="997">
      <c r="A997" s="143"/>
      <c r="B997" s="204"/>
    </row>
    <row r="998">
      <c r="A998" s="145"/>
      <c r="B998" s="205"/>
    </row>
    <row r="999">
      <c r="A999" s="143"/>
      <c r="B999" s="204"/>
    </row>
    <row r="1000">
      <c r="A1000" s="184"/>
      <c r="B1000" s="205"/>
    </row>
  </sheetData>
  <drawing r:id="rId1"/>
  <tableParts count="1">
    <tablePart r:id="rId3"/>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1" t="str">
        <f t="array" ref="A1:A50">'Up Names'!A2:A51</f>
        <v>Corrode Siphon</v>
      </c>
      <c r="B1" s="218" t="s">
        <v>1926</v>
      </c>
    </row>
    <row r="2">
      <c r="A2" s="145" t="s">
        <v>150</v>
      </c>
      <c r="B2" s="219" t="s">
        <v>1926</v>
      </c>
    </row>
    <row r="3">
      <c r="A3" s="143" t="s">
        <v>170</v>
      </c>
      <c r="B3" s="218" t="s">
        <v>1926</v>
      </c>
    </row>
    <row r="4">
      <c r="A4" s="145" t="s">
        <v>190</v>
      </c>
      <c r="B4" s="219" t="s">
        <v>1926</v>
      </c>
    </row>
    <row r="5">
      <c r="A5" s="143" t="s">
        <v>210</v>
      </c>
      <c r="B5" s="218" t="s">
        <v>1926</v>
      </c>
    </row>
    <row r="6">
      <c r="A6" s="145" t="s">
        <v>229</v>
      </c>
      <c r="B6" s="220" t="s">
        <v>1928</v>
      </c>
    </row>
    <row r="7">
      <c r="A7" s="143" t="s">
        <v>249</v>
      </c>
      <c r="B7" s="221" t="s">
        <v>1928</v>
      </c>
    </row>
    <row r="8">
      <c r="A8" s="145" t="s">
        <v>269</v>
      </c>
      <c r="B8" s="220" t="s">
        <v>1928</v>
      </c>
    </row>
    <row r="9">
      <c r="A9" s="143" t="s">
        <v>289</v>
      </c>
      <c r="B9" s="221" t="s">
        <v>1928</v>
      </c>
    </row>
    <row r="10">
      <c r="A10" s="145" t="s">
        <v>309</v>
      </c>
      <c r="B10" s="220" t="s">
        <v>1928</v>
      </c>
    </row>
    <row r="11">
      <c r="A11" s="143" t="s">
        <v>329</v>
      </c>
      <c r="B11" s="221" t="s">
        <v>1928</v>
      </c>
    </row>
    <row r="12">
      <c r="A12" s="145" t="s">
        <v>349</v>
      </c>
      <c r="B12" s="220" t="s">
        <v>1928</v>
      </c>
    </row>
    <row r="13">
      <c r="A13" s="143" t="s">
        <v>372</v>
      </c>
      <c r="B13" s="221" t="s">
        <v>1928</v>
      </c>
    </row>
    <row r="14">
      <c r="A14" s="145" t="s">
        <v>394</v>
      </c>
      <c r="B14" s="220" t="s">
        <v>1928</v>
      </c>
    </row>
    <row r="15">
      <c r="A15" s="143" t="s">
        <v>404</v>
      </c>
      <c r="B15" s="222" t="s">
        <v>1930</v>
      </c>
    </row>
    <row r="16">
      <c r="A16" s="145" t="s">
        <v>410</v>
      </c>
      <c r="B16" s="223" t="s">
        <v>1930</v>
      </c>
    </row>
    <row r="17">
      <c r="A17" s="143" t="s">
        <v>415</v>
      </c>
      <c r="B17" s="222" t="s">
        <v>1930</v>
      </c>
    </row>
    <row r="18">
      <c r="A18" s="145" t="s">
        <v>421</v>
      </c>
      <c r="B18" s="223" t="s">
        <v>1930</v>
      </c>
    </row>
    <row r="19">
      <c r="A19" s="143" t="s">
        <v>426</v>
      </c>
      <c r="B19" s="222" t="s">
        <v>1930</v>
      </c>
    </row>
    <row r="20">
      <c r="A20" s="145" t="s">
        <v>430</v>
      </c>
      <c r="B20" s="223" t="s">
        <v>1930</v>
      </c>
    </row>
    <row r="21">
      <c r="A21" s="143" t="s">
        <v>435</v>
      </c>
      <c r="B21" s="222" t="s">
        <v>1930</v>
      </c>
    </row>
    <row r="22">
      <c r="A22" s="145" t="s">
        <v>439</v>
      </c>
      <c r="B22" s="223" t="s">
        <v>1930</v>
      </c>
    </row>
    <row r="23">
      <c r="A23" s="143" t="s">
        <v>443</v>
      </c>
      <c r="B23" s="222" t="s">
        <v>1930</v>
      </c>
    </row>
    <row r="24">
      <c r="A24" s="145" t="s">
        <v>447</v>
      </c>
      <c r="B24" s="223" t="s">
        <v>1930</v>
      </c>
    </row>
    <row r="25">
      <c r="A25" s="143" t="s">
        <v>451</v>
      </c>
      <c r="B25" s="222" t="s">
        <v>1930</v>
      </c>
    </row>
    <row r="26">
      <c r="A26" s="145" t="s">
        <v>455</v>
      </c>
      <c r="B26" s="223" t="s">
        <v>1930</v>
      </c>
    </row>
    <row r="27">
      <c r="A27" s="143" t="s">
        <v>459</v>
      </c>
      <c r="B27" s="222" t="s">
        <v>1930</v>
      </c>
    </row>
    <row r="28">
      <c r="A28" s="145" t="s">
        <v>464</v>
      </c>
      <c r="B28" s="224" t="s">
        <v>1932</v>
      </c>
    </row>
    <row r="29">
      <c r="A29" s="143" t="s">
        <v>468</v>
      </c>
      <c r="B29" s="225" t="s">
        <v>1932</v>
      </c>
    </row>
    <row r="30">
      <c r="A30" s="145" t="s">
        <v>472</v>
      </c>
      <c r="B30" s="224" t="s">
        <v>1932</v>
      </c>
    </row>
    <row r="31">
      <c r="A31" s="143" t="s">
        <v>477</v>
      </c>
      <c r="B31" s="225" t="s">
        <v>1932</v>
      </c>
    </row>
    <row r="32">
      <c r="A32" s="145" t="s">
        <v>481</v>
      </c>
      <c r="B32" s="224" t="s">
        <v>1932</v>
      </c>
    </row>
    <row r="33">
      <c r="A33" s="143" t="s">
        <v>486</v>
      </c>
      <c r="B33" s="225" t="s">
        <v>1932</v>
      </c>
    </row>
    <row r="34">
      <c r="A34" s="145" t="s">
        <v>492</v>
      </c>
      <c r="B34" s="224" t="s">
        <v>1932</v>
      </c>
    </row>
    <row r="35">
      <c r="A35" s="143" t="s">
        <v>496</v>
      </c>
      <c r="B35" s="225" t="s">
        <v>1932</v>
      </c>
    </row>
    <row r="36">
      <c r="A36" s="145" t="s">
        <v>499</v>
      </c>
      <c r="B36" s="224" t="s">
        <v>1932</v>
      </c>
    </row>
    <row r="37">
      <c r="A37" s="143" t="s">
        <v>503</v>
      </c>
      <c r="B37" s="226" t="s">
        <v>1934</v>
      </c>
    </row>
    <row r="38">
      <c r="A38" s="145" t="s">
        <v>511</v>
      </c>
      <c r="B38" s="226" t="s">
        <v>1934</v>
      </c>
    </row>
    <row r="39">
      <c r="A39" s="143" t="s">
        <v>516</v>
      </c>
      <c r="B39" s="226" t="s">
        <v>1936</v>
      </c>
    </row>
    <row r="40">
      <c r="A40" s="145"/>
      <c r="B40" s="227"/>
    </row>
    <row r="41">
      <c r="A41" s="143"/>
      <c r="B41" s="228"/>
    </row>
    <row r="42">
      <c r="A42" s="145"/>
      <c r="B42" s="227"/>
    </row>
    <row r="43">
      <c r="A43" s="143"/>
      <c r="B43" s="228"/>
    </row>
    <row r="44">
      <c r="A44" s="145"/>
      <c r="B44" s="227"/>
    </row>
    <row r="45">
      <c r="A45" s="143"/>
      <c r="B45" s="228"/>
    </row>
    <row r="46">
      <c r="A46" s="145"/>
      <c r="B46" s="227"/>
    </row>
    <row r="47">
      <c r="A47" s="143"/>
      <c r="B47" s="228"/>
    </row>
    <row r="48">
      <c r="A48" s="145"/>
      <c r="B48" s="227"/>
    </row>
    <row r="49">
      <c r="A49" s="143"/>
      <c r="B49" s="228"/>
    </row>
    <row r="50">
      <c r="A50" s="184"/>
      <c r="B50" s="227"/>
    </row>
    <row r="51">
      <c r="A51" s="171" t="str">
        <f t="array" ref="A51:A100">'Up Names'!B2:B51</f>
        <v>All Powdered Up</v>
      </c>
      <c r="B51" s="218" t="s">
        <v>1926</v>
      </c>
    </row>
    <row r="52">
      <c r="A52" s="145" t="s">
        <v>151</v>
      </c>
      <c r="B52" s="219" t="s">
        <v>1926</v>
      </c>
    </row>
    <row r="53">
      <c r="A53" s="143" t="s">
        <v>171</v>
      </c>
      <c r="B53" s="218" t="s">
        <v>1926</v>
      </c>
    </row>
    <row r="54">
      <c r="A54" s="145" t="s">
        <v>191</v>
      </c>
      <c r="B54" s="219" t="s">
        <v>1926</v>
      </c>
    </row>
    <row r="55">
      <c r="A55" s="143" t="s">
        <v>211</v>
      </c>
      <c r="B55" s="221" t="s">
        <v>1928</v>
      </c>
    </row>
    <row r="56">
      <c r="A56" s="145" t="s">
        <v>230</v>
      </c>
      <c r="B56" s="220" t="s">
        <v>1928</v>
      </c>
    </row>
    <row r="57">
      <c r="A57" s="143" t="s">
        <v>250</v>
      </c>
      <c r="B57" s="221" t="s">
        <v>1928</v>
      </c>
    </row>
    <row r="58">
      <c r="A58" s="145" t="s">
        <v>270</v>
      </c>
      <c r="B58" s="220" t="s">
        <v>1928</v>
      </c>
    </row>
    <row r="59">
      <c r="A59" s="143" t="s">
        <v>290</v>
      </c>
      <c r="B59" s="221" t="s">
        <v>1928</v>
      </c>
    </row>
    <row r="60">
      <c r="A60" s="145" t="s">
        <v>310</v>
      </c>
      <c r="B60" s="220" t="s">
        <v>1928</v>
      </c>
    </row>
    <row r="61">
      <c r="A61" s="143" t="s">
        <v>330</v>
      </c>
      <c r="B61" s="221" t="s">
        <v>1928</v>
      </c>
    </row>
    <row r="62">
      <c r="A62" s="145" t="s">
        <v>350</v>
      </c>
      <c r="B62" s="220" t="s">
        <v>1928</v>
      </c>
    </row>
    <row r="63">
      <c r="A63" s="143" t="s">
        <v>373</v>
      </c>
      <c r="B63" s="221" t="s">
        <v>1928</v>
      </c>
    </row>
    <row r="64">
      <c r="A64" s="145" t="s">
        <v>395</v>
      </c>
      <c r="B64" s="223" t="s">
        <v>1930</v>
      </c>
    </row>
    <row r="65">
      <c r="A65" s="143" t="s">
        <v>424</v>
      </c>
      <c r="B65" s="222" t="s">
        <v>1930</v>
      </c>
    </row>
    <row r="66">
      <c r="A66" s="145" t="s">
        <v>452</v>
      </c>
      <c r="B66" s="223" t="s">
        <v>1930</v>
      </c>
    </row>
    <row r="67">
      <c r="A67" s="143" t="s">
        <v>480</v>
      </c>
      <c r="B67" s="229" t="s">
        <v>1928</v>
      </c>
    </row>
    <row r="68">
      <c r="A68" s="145" t="s">
        <v>507</v>
      </c>
      <c r="B68" s="223" t="s">
        <v>1930</v>
      </c>
    </row>
    <row r="69">
      <c r="A69" s="143" t="s">
        <v>528</v>
      </c>
      <c r="B69" s="222" t="s">
        <v>1930</v>
      </c>
    </row>
    <row r="70">
      <c r="A70" s="145" t="s">
        <v>547</v>
      </c>
      <c r="B70" s="223" t="s">
        <v>1930</v>
      </c>
    </row>
    <row r="71">
      <c r="A71" s="143" t="s">
        <v>570</v>
      </c>
      <c r="B71" s="222" t="s">
        <v>1930</v>
      </c>
    </row>
    <row r="72">
      <c r="A72" s="145" t="s">
        <v>592</v>
      </c>
      <c r="B72" s="223" t="s">
        <v>1930</v>
      </c>
    </row>
    <row r="73">
      <c r="A73" s="143" t="s">
        <v>613</v>
      </c>
      <c r="B73" s="222" t="s">
        <v>1930</v>
      </c>
    </row>
    <row r="74">
      <c r="A74" s="145" t="s">
        <v>628</v>
      </c>
      <c r="B74" s="223" t="s">
        <v>1930</v>
      </c>
    </row>
    <row r="75">
      <c r="A75" s="143" t="s">
        <v>630</v>
      </c>
      <c r="B75" s="225" t="s">
        <v>1932</v>
      </c>
    </row>
    <row r="76">
      <c r="A76" s="145" t="s">
        <v>635</v>
      </c>
      <c r="B76" s="224" t="s">
        <v>1932</v>
      </c>
    </row>
    <row r="77">
      <c r="A77" s="143" t="s">
        <v>638</v>
      </c>
      <c r="B77" s="225" t="s">
        <v>1932</v>
      </c>
    </row>
    <row r="78">
      <c r="A78" s="145" t="s">
        <v>642</v>
      </c>
      <c r="B78" s="224" t="s">
        <v>1932</v>
      </c>
    </row>
    <row r="79">
      <c r="A79" s="143" t="s">
        <v>646</v>
      </c>
      <c r="B79" s="225" t="s">
        <v>1932</v>
      </c>
    </row>
    <row r="80">
      <c r="A80" s="145" t="s">
        <v>650</v>
      </c>
      <c r="B80" s="224" t="s">
        <v>1932</v>
      </c>
    </row>
    <row r="81">
      <c r="A81" s="143" t="s">
        <v>503</v>
      </c>
      <c r="B81" s="226" t="s">
        <v>1934</v>
      </c>
    </row>
    <row r="82">
      <c r="A82" s="145" t="s">
        <v>511</v>
      </c>
      <c r="B82" s="226" t="s">
        <v>1934</v>
      </c>
    </row>
    <row r="83">
      <c r="A83" s="143" t="s">
        <v>516</v>
      </c>
      <c r="B83" s="226" t="s">
        <v>1936</v>
      </c>
    </row>
    <row r="84">
      <c r="A84" s="145"/>
      <c r="B84" s="227"/>
    </row>
    <row r="85">
      <c r="A85" s="143"/>
      <c r="B85" s="228"/>
    </row>
    <row r="86">
      <c r="A86" s="145"/>
      <c r="B86" s="227"/>
    </row>
    <row r="87">
      <c r="A87" s="143"/>
      <c r="B87" s="228"/>
    </row>
    <row r="88">
      <c r="A88" s="145"/>
      <c r="B88" s="227"/>
    </row>
    <row r="89">
      <c r="A89" s="143"/>
      <c r="B89" s="228"/>
    </row>
    <row r="90">
      <c r="A90" s="145"/>
      <c r="B90" s="227"/>
    </row>
    <row r="91">
      <c r="A91" s="143"/>
      <c r="B91" s="228"/>
    </row>
    <row r="92">
      <c r="A92" s="145"/>
      <c r="B92" s="227"/>
    </row>
    <row r="93">
      <c r="A93" s="143"/>
      <c r="B93" s="228"/>
    </row>
    <row r="94">
      <c r="A94" s="145"/>
      <c r="B94" s="227"/>
    </row>
    <row r="95">
      <c r="A95" s="143"/>
      <c r="B95" s="228"/>
    </row>
    <row r="96">
      <c r="A96" s="145"/>
      <c r="B96" s="227"/>
    </row>
    <row r="97">
      <c r="A97" s="143"/>
      <c r="B97" s="228"/>
    </row>
    <row r="98">
      <c r="A98" s="145"/>
      <c r="B98" s="227"/>
    </row>
    <row r="99">
      <c r="A99" s="143"/>
      <c r="B99" s="228"/>
    </row>
    <row r="100">
      <c r="A100" s="184"/>
      <c r="B100" s="227"/>
    </row>
    <row r="101">
      <c r="A101" s="171" t="str">
        <f t="array" ref="A101:A150">'Up Names'!C2:C51</f>
        <v>Breeding Season</v>
      </c>
      <c r="B101" s="218" t="s">
        <v>1926</v>
      </c>
    </row>
    <row r="102">
      <c r="A102" s="145" t="s">
        <v>152</v>
      </c>
      <c r="B102" s="219" t="s">
        <v>1926</v>
      </c>
    </row>
    <row r="103">
      <c r="A103" s="143" t="s">
        <v>172</v>
      </c>
      <c r="B103" s="218" t="s">
        <v>1926</v>
      </c>
    </row>
    <row r="104">
      <c r="A104" s="145" t="s">
        <v>192</v>
      </c>
      <c r="B104" s="219" t="s">
        <v>1926</v>
      </c>
    </row>
    <row r="105">
      <c r="A105" s="143" t="s">
        <v>212</v>
      </c>
      <c r="B105" s="221" t="s">
        <v>1928</v>
      </c>
    </row>
    <row r="106">
      <c r="A106" s="145" t="s">
        <v>231</v>
      </c>
      <c r="B106" s="220" t="s">
        <v>1928</v>
      </c>
    </row>
    <row r="107">
      <c r="A107" s="143" t="s">
        <v>251</v>
      </c>
      <c r="B107" s="221" t="s">
        <v>1928</v>
      </c>
    </row>
    <row r="108">
      <c r="A108" s="145" t="s">
        <v>271</v>
      </c>
      <c r="B108" s="220" t="s">
        <v>1928</v>
      </c>
    </row>
    <row r="109">
      <c r="A109" s="143" t="s">
        <v>291</v>
      </c>
      <c r="B109" s="221" t="s">
        <v>1928</v>
      </c>
    </row>
    <row r="110">
      <c r="A110" s="145" t="s">
        <v>311</v>
      </c>
      <c r="B110" s="220" t="s">
        <v>1928</v>
      </c>
    </row>
    <row r="111">
      <c r="A111" s="143" t="s">
        <v>331</v>
      </c>
      <c r="B111" s="221" t="s">
        <v>1928</v>
      </c>
    </row>
    <row r="112">
      <c r="A112" s="145" t="s">
        <v>351</v>
      </c>
      <c r="B112" s="220" t="s">
        <v>1928</v>
      </c>
    </row>
    <row r="113">
      <c r="A113" s="143" t="s">
        <v>374</v>
      </c>
      <c r="B113" s="221" t="s">
        <v>1928</v>
      </c>
    </row>
    <row r="114">
      <c r="A114" s="145" t="s">
        <v>396</v>
      </c>
      <c r="B114" s="220" t="s">
        <v>1928</v>
      </c>
    </row>
    <row r="115">
      <c r="A115" s="143" t="s">
        <v>425</v>
      </c>
      <c r="B115" s="222" t="s">
        <v>1930</v>
      </c>
    </row>
    <row r="116">
      <c r="A116" s="145" t="s">
        <v>453</v>
      </c>
      <c r="B116" s="223" t="s">
        <v>1930</v>
      </c>
    </row>
    <row r="117">
      <c r="A117" s="143" t="s">
        <v>482</v>
      </c>
      <c r="B117" s="222" t="s">
        <v>1930</v>
      </c>
    </row>
    <row r="118">
      <c r="A118" s="145" t="s">
        <v>508</v>
      </c>
      <c r="B118" s="223" t="s">
        <v>1930</v>
      </c>
    </row>
    <row r="119">
      <c r="A119" s="143" t="s">
        <v>529</v>
      </c>
      <c r="B119" s="222" t="s">
        <v>1930</v>
      </c>
    </row>
    <row r="120">
      <c r="A120" s="145" t="s">
        <v>548</v>
      </c>
      <c r="B120" s="223" t="s">
        <v>1930</v>
      </c>
    </row>
    <row r="121">
      <c r="A121" s="143" t="s">
        <v>571</v>
      </c>
      <c r="B121" s="222" t="s">
        <v>1930</v>
      </c>
    </row>
    <row r="122">
      <c r="A122" s="145" t="s">
        <v>594</v>
      </c>
      <c r="B122" s="223" t="s">
        <v>1930</v>
      </c>
    </row>
    <row r="123">
      <c r="A123" s="143" t="s">
        <v>615</v>
      </c>
      <c r="B123" s="222" t="s">
        <v>1930</v>
      </c>
    </row>
    <row r="124">
      <c r="A124" s="145" t="s">
        <v>640</v>
      </c>
      <c r="B124" s="223" t="s">
        <v>1930</v>
      </c>
    </row>
    <row r="125">
      <c r="A125" s="143" t="s">
        <v>659</v>
      </c>
      <c r="B125" s="222" t="s">
        <v>1930</v>
      </c>
    </row>
    <row r="126">
      <c r="A126" s="145" t="s">
        <v>674</v>
      </c>
      <c r="B126" s="224" t="s">
        <v>1932</v>
      </c>
    </row>
    <row r="127">
      <c r="A127" s="143" t="s">
        <v>688</v>
      </c>
      <c r="B127" s="225" t="s">
        <v>1932</v>
      </c>
    </row>
    <row r="128">
      <c r="A128" s="145" t="s">
        <v>705</v>
      </c>
      <c r="B128" s="224" t="s">
        <v>1932</v>
      </c>
    </row>
    <row r="129">
      <c r="A129" s="143" t="s">
        <v>724</v>
      </c>
      <c r="B129" s="225" t="s">
        <v>1932</v>
      </c>
    </row>
    <row r="130">
      <c r="A130" s="145" t="s">
        <v>742</v>
      </c>
      <c r="B130" s="224" t="s">
        <v>1932</v>
      </c>
    </row>
    <row r="131">
      <c r="A131" s="143" t="s">
        <v>503</v>
      </c>
      <c r="B131" s="226" t="s">
        <v>1934</v>
      </c>
    </row>
    <row r="132">
      <c r="A132" s="145" t="s">
        <v>511</v>
      </c>
      <c r="B132" s="226" t="s">
        <v>1934</v>
      </c>
    </row>
    <row r="133">
      <c r="A133" s="143" t="s">
        <v>516</v>
      </c>
      <c r="B133" s="226" t="s">
        <v>1936</v>
      </c>
    </row>
    <row r="134">
      <c r="A134" s="145"/>
      <c r="B134" s="227"/>
    </row>
    <row r="135">
      <c r="A135" s="143"/>
      <c r="B135" s="228"/>
    </row>
    <row r="136">
      <c r="A136" s="145"/>
      <c r="B136" s="227"/>
    </row>
    <row r="137">
      <c r="A137" s="143"/>
      <c r="B137" s="228"/>
    </row>
    <row r="138">
      <c r="A138" s="145"/>
      <c r="B138" s="227"/>
    </row>
    <row r="139">
      <c r="A139" s="143"/>
      <c r="B139" s="228"/>
    </row>
    <row r="140">
      <c r="A140" s="145"/>
      <c r="B140" s="227"/>
    </row>
    <row r="141">
      <c r="A141" s="143"/>
      <c r="B141" s="228"/>
    </row>
    <row r="142">
      <c r="A142" s="145"/>
      <c r="B142" s="227"/>
    </row>
    <row r="143">
      <c r="A143" s="143"/>
      <c r="B143" s="228"/>
    </row>
    <row r="144">
      <c r="A144" s="145"/>
      <c r="B144" s="227"/>
    </row>
    <row r="145">
      <c r="A145" s="143"/>
      <c r="B145" s="228"/>
    </row>
    <row r="146">
      <c r="A146" s="145"/>
      <c r="B146" s="227"/>
    </row>
    <row r="147">
      <c r="A147" s="143"/>
      <c r="B147" s="228"/>
    </row>
    <row r="148">
      <c r="A148" s="145"/>
      <c r="B148" s="227"/>
    </row>
    <row r="149">
      <c r="A149" s="143"/>
      <c r="B149" s="228"/>
    </row>
    <row r="150">
      <c r="A150" s="184"/>
      <c r="B150" s="227"/>
    </row>
    <row r="151">
      <c r="A151" s="171" t="str">
        <f t="array" ref="A151:A200">'Up Names'!D2:D51</f>
        <v>Arc Lightning</v>
      </c>
      <c r="B151" s="218" t="s">
        <v>1926</v>
      </c>
    </row>
    <row r="152">
      <c r="A152" s="145" t="s">
        <v>153</v>
      </c>
      <c r="B152" s="219" t="s">
        <v>1926</v>
      </c>
    </row>
    <row r="153">
      <c r="A153" s="143" t="s">
        <v>173</v>
      </c>
      <c r="B153" s="218" t="s">
        <v>1926</v>
      </c>
    </row>
    <row r="154">
      <c r="A154" s="145" t="s">
        <v>193</v>
      </c>
      <c r="B154" s="219" t="s">
        <v>1926</v>
      </c>
    </row>
    <row r="155">
      <c r="A155" s="143" t="s">
        <v>213</v>
      </c>
      <c r="B155" s="221" t="s">
        <v>1928</v>
      </c>
    </row>
    <row r="156">
      <c r="A156" s="145" t="s">
        <v>232</v>
      </c>
      <c r="B156" s="220" t="s">
        <v>1928</v>
      </c>
    </row>
    <row r="157">
      <c r="A157" s="143" t="s">
        <v>252</v>
      </c>
      <c r="B157" s="221" t="s">
        <v>1928</v>
      </c>
    </row>
    <row r="158">
      <c r="A158" s="145" t="s">
        <v>272</v>
      </c>
      <c r="B158" s="220" t="s">
        <v>1928</v>
      </c>
    </row>
    <row r="159">
      <c r="A159" s="143" t="s">
        <v>292</v>
      </c>
      <c r="B159" s="221" t="s">
        <v>1928</v>
      </c>
    </row>
    <row r="160">
      <c r="A160" s="145" t="s">
        <v>312</v>
      </c>
      <c r="B160" s="220" t="s">
        <v>1928</v>
      </c>
    </row>
    <row r="161">
      <c r="A161" s="143" t="s">
        <v>332</v>
      </c>
      <c r="B161" s="222" t="s">
        <v>1930</v>
      </c>
    </row>
    <row r="162">
      <c r="A162" s="145" t="s">
        <v>352</v>
      </c>
      <c r="B162" s="223" t="s">
        <v>1930</v>
      </c>
    </row>
    <row r="163">
      <c r="A163" s="143" t="s">
        <v>375</v>
      </c>
      <c r="B163" s="222" t="s">
        <v>1930</v>
      </c>
    </row>
    <row r="164">
      <c r="A164" s="145" t="s">
        <v>398</v>
      </c>
      <c r="B164" s="223" t="s">
        <v>1930</v>
      </c>
    </row>
    <row r="165">
      <c r="A165" s="143" t="s">
        <v>427</v>
      </c>
      <c r="B165" s="222" t="s">
        <v>1930</v>
      </c>
    </row>
    <row r="166">
      <c r="A166" s="145" t="s">
        <v>454</v>
      </c>
      <c r="B166" s="223" t="s">
        <v>1930</v>
      </c>
    </row>
    <row r="167">
      <c r="A167" s="143" t="s">
        <v>484</v>
      </c>
      <c r="B167" s="222" t="s">
        <v>1930</v>
      </c>
    </row>
    <row r="168">
      <c r="A168" s="145" t="s">
        <v>509</v>
      </c>
      <c r="B168" s="223" t="s">
        <v>1930</v>
      </c>
    </row>
    <row r="169">
      <c r="A169" s="143" t="s">
        <v>530</v>
      </c>
      <c r="B169" s="222" t="s">
        <v>1930</v>
      </c>
    </row>
    <row r="170">
      <c r="A170" s="145" t="s">
        <v>549</v>
      </c>
      <c r="B170" s="223" t="s">
        <v>1930</v>
      </c>
    </row>
    <row r="171">
      <c r="A171" s="143" t="s">
        <v>572</v>
      </c>
      <c r="B171" s="222" t="s">
        <v>1930</v>
      </c>
    </row>
    <row r="172">
      <c r="A172" s="145" t="s">
        <v>595</v>
      </c>
      <c r="B172" s="223" t="s">
        <v>1930</v>
      </c>
    </row>
    <row r="173">
      <c r="A173" s="143" t="s">
        <v>616</v>
      </c>
      <c r="B173" s="222" t="s">
        <v>1930</v>
      </c>
    </row>
    <row r="174">
      <c r="A174" s="145" t="s">
        <v>641</v>
      </c>
      <c r="B174" s="223" t="s">
        <v>1930</v>
      </c>
    </row>
    <row r="175">
      <c r="A175" s="143" t="s">
        <v>660</v>
      </c>
      <c r="B175" s="222" t="s">
        <v>1930</v>
      </c>
    </row>
    <row r="176">
      <c r="A176" s="145" t="s">
        <v>675</v>
      </c>
      <c r="B176" s="224" t="s">
        <v>1932</v>
      </c>
    </row>
    <row r="177">
      <c r="A177" s="143" t="s">
        <v>689</v>
      </c>
      <c r="B177" s="225" t="s">
        <v>1932</v>
      </c>
    </row>
    <row r="178">
      <c r="A178" s="145" t="s">
        <v>707</v>
      </c>
      <c r="B178" s="224" t="s">
        <v>1932</v>
      </c>
    </row>
    <row r="179">
      <c r="A179" s="143" t="s">
        <v>725</v>
      </c>
      <c r="B179" s="225" t="s">
        <v>1932</v>
      </c>
    </row>
    <row r="180">
      <c r="A180" s="145" t="s">
        <v>743</v>
      </c>
      <c r="B180" s="224" t="s">
        <v>1932</v>
      </c>
    </row>
    <row r="181">
      <c r="A181" s="143" t="s">
        <v>760</v>
      </c>
      <c r="B181" s="228" t="s">
        <v>1930</v>
      </c>
    </row>
    <row r="182">
      <c r="A182" s="145" t="s">
        <v>773</v>
      </c>
      <c r="B182" s="227" t="s">
        <v>1932</v>
      </c>
    </row>
    <row r="183">
      <c r="A183" s="143" t="s">
        <v>779</v>
      </c>
      <c r="B183" s="226" t="s">
        <v>1930</v>
      </c>
    </row>
    <row r="184">
      <c r="A184" s="145" t="s">
        <v>503</v>
      </c>
      <c r="B184" s="226" t="s">
        <v>1934</v>
      </c>
    </row>
    <row r="185">
      <c r="A185" s="143" t="s">
        <v>511</v>
      </c>
      <c r="B185" s="226" t="s">
        <v>1934</v>
      </c>
    </row>
    <row r="186">
      <c r="A186" s="145" t="s">
        <v>516</v>
      </c>
      <c r="B186" s="226" t="s">
        <v>1936</v>
      </c>
    </row>
    <row r="187">
      <c r="A187" s="143"/>
      <c r="B187" s="228"/>
    </row>
    <row r="188">
      <c r="A188" s="145"/>
      <c r="B188" s="227"/>
    </row>
    <row r="189">
      <c r="A189" s="143"/>
      <c r="B189" s="228"/>
    </row>
    <row r="190">
      <c r="A190" s="145"/>
      <c r="B190" s="227"/>
    </row>
    <row r="191">
      <c r="A191" s="143"/>
      <c r="B191" s="228"/>
    </row>
    <row r="192">
      <c r="A192" s="145"/>
      <c r="B192" s="227"/>
    </row>
    <row r="193">
      <c r="A193" s="143"/>
      <c r="B193" s="228"/>
    </row>
    <row r="194">
      <c r="A194" s="145"/>
      <c r="B194" s="227"/>
    </row>
    <row r="195">
      <c r="A195" s="143"/>
      <c r="B195" s="228"/>
    </row>
    <row r="196">
      <c r="A196" s="145"/>
      <c r="B196" s="227"/>
    </row>
    <row r="197">
      <c r="A197" s="143"/>
      <c r="B197" s="228"/>
    </row>
    <row r="198">
      <c r="A198" s="145"/>
      <c r="B198" s="227"/>
    </row>
    <row r="199">
      <c r="A199" s="143"/>
      <c r="B199" s="228"/>
    </row>
    <row r="200">
      <c r="A200" s="184"/>
      <c r="B200" s="227"/>
    </row>
    <row r="201">
      <c r="A201" s="171" t="str">
        <f t="array" ref="A201:A250">'Up Names'!E2:E51</f>
        <v>Big Fat Doobie</v>
      </c>
      <c r="B201" s="218" t="s">
        <v>1926</v>
      </c>
    </row>
    <row r="202">
      <c r="A202" s="145" t="s">
        <v>154</v>
      </c>
      <c r="B202" s="219" t="s">
        <v>1926</v>
      </c>
    </row>
    <row r="203">
      <c r="A203" s="143" t="s">
        <v>174</v>
      </c>
      <c r="B203" s="218" t="s">
        <v>1926</v>
      </c>
    </row>
    <row r="204">
      <c r="A204" s="145" t="s">
        <v>194</v>
      </c>
      <c r="B204" s="219" t="s">
        <v>1926</v>
      </c>
    </row>
    <row r="205">
      <c r="A205" s="143" t="s">
        <v>214</v>
      </c>
      <c r="B205" s="221" t="s">
        <v>1928</v>
      </c>
    </row>
    <row r="206">
      <c r="A206" s="145" t="s">
        <v>233</v>
      </c>
      <c r="B206" s="220" t="s">
        <v>1928</v>
      </c>
    </row>
    <row r="207">
      <c r="A207" s="143" t="s">
        <v>253</v>
      </c>
      <c r="B207" s="221" t="s">
        <v>1928</v>
      </c>
    </row>
    <row r="208">
      <c r="A208" s="145" t="s">
        <v>273</v>
      </c>
      <c r="B208" s="220" t="s">
        <v>1928</v>
      </c>
    </row>
    <row r="209">
      <c r="A209" s="143" t="s">
        <v>293</v>
      </c>
      <c r="B209" s="221" t="s">
        <v>1928</v>
      </c>
    </row>
    <row r="210">
      <c r="A210" s="145" t="s">
        <v>313</v>
      </c>
      <c r="B210" s="220" t="s">
        <v>1928</v>
      </c>
    </row>
    <row r="211">
      <c r="A211" s="143" t="s">
        <v>333</v>
      </c>
      <c r="B211" s="221" t="s">
        <v>1928</v>
      </c>
    </row>
    <row r="212">
      <c r="A212" s="145" t="s">
        <v>353</v>
      </c>
      <c r="B212" s="220" t="s">
        <v>1928</v>
      </c>
    </row>
    <row r="213">
      <c r="A213" s="143" t="s">
        <v>376</v>
      </c>
      <c r="B213" s="221" t="s">
        <v>1928</v>
      </c>
    </row>
    <row r="214">
      <c r="A214" s="145" t="s">
        <v>399</v>
      </c>
      <c r="B214" s="223" t="s">
        <v>1930</v>
      </c>
    </row>
    <row r="215">
      <c r="A215" s="143" t="s">
        <v>428</v>
      </c>
      <c r="B215" s="222" t="s">
        <v>1930</v>
      </c>
    </row>
    <row r="216">
      <c r="A216" s="145" t="s">
        <v>456</v>
      </c>
      <c r="B216" s="223" t="s">
        <v>1930</v>
      </c>
    </row>
    <row r="217">
      <c r="A217" s="143" t="s">
        <v>485</v>
      </c>
      <c r="B217" s="222" t="s">
        <v>1930</v>
      </c>
    </row>
    <row r="218">
      <c r="A218" s="145" t="s">
        <v>510</v>
      </c>
      <c r="B218" s="223" t="s">
        <v>1930</v>
      </c>
    </row>
    <row r="219">
      <c r="A219" s="143" t="s">
        <v>531</v>
      </c>
      <c r="B219" s="222" t="s">
        <v>1930</v>
      </c>
    </row>
    <row r="220">
      <c r="A220" s="145" t="s">
        <v>550</v>
      </c>
      <c r="B220" s="223" t="s">
        <v>1930</v>
      </c>
    </row>
    <row r="221">
      <c r="A221" s="143" t="s">
        <v>574</v>
      </c>
      <c r="B221" s="222" t="s">
        <v>1930</v>
      </c>
    </row>
    <row r="222">
      <c r="A222" s="145" t="s">
        <v>596</v>
      </c>
      <c r="B222" s="223" t="s">
        <v>1930</v>
      </c>
    </row>
    <row r="223">
      <c r="A223" s="143" t="s">
        <v>617</v>
      </c>
      <c r="B223" s="222" t="s">
        <v>1930</v>
      </c>
    </row>
    <row r="224">
      <c r="A224" s="145" t="s">
        <v>643</v>
      </c>
      <c r="B224" s="223" t="s">
        <v>1930</v>
      </c>
    </row>
    <row r="225">
      <c r="A225" s="143" t="s">
        <v>661</v>
      </c>
      <c r="B225" s="222" t="s">
        <v>1930</v>
      </c>
    </row>
    <row r="226">
      <c r="A226" s="145" t="s">
        <v>676</v>
      </c>
      <c r="B226" s="223" t="s">
        <v>1930</v>
      </c>
    </row>
    <row r="227">
      <c r="A227" s="143" t="s">
        <v>690</v>
      </c>
      <c r="B227" s="222" t="s">
        <v>1930</v>
      </c>
    </row>
    <row r="228">
      <c r="A228" s="145" t="s">
        <v>708</v>
      </c>
      <c r="B228" s="224" t="s">
        <v>1932</v>
      </c>
    </row>
    <row r="229">
      <c r="A229" s="143" t="s">
        <v>727</v>
      </c>
      <c r="B229" s="225" t="s">
        <v>1932</v>
      </c>
    </row>
    <row r="230">
      <c r="A230" s="145" t="s">
        <v>744</v>
      </c>
      <c r="B230" s="224" t="s">
        <v>1932</v>
      </c>
    </row>
    <row r="231">
      <c r="A231" s="143" t="s">
        <v>761</v>
      </c>
      <c r="B231" s="225" t="s">
        <v>1932</v>
      </c>
    </row>
    <row r="232">
      <c r="A232" s="145" t="s">
        <v>503</v>
      </c>
      <c r="B232" s="226" t="s">
        <v>1934</v>
      </c>
    </row>
    <row r="233">
      <c r="A233" s="143" t="s">
        <v>511</v>
      </c>
      <c r="B233" s="226" t="s">
        <v>1934</v>
      </c>
    </row>
    <row r="234">
      <c r="A234" s="145" t="s">
        <v>516</v>
      </c>
      <c r="B234" s="226" t="s">
        <v>1936</v>
      </c>
    </row>
    <row r="235">
      <c r="A235" s="143"/>
      <c r="B235" s="228"/>
    </row>
    <row r="236">
      <c r="A236" s="145"/>
      <c r="B236" s="227"/>
    </row>
    <row r="237">
      <c r="A237" s="143"/>
      <c r="B237" s="228"/>
    </row>
    <row r="238">
      <c r="A238" s="145"/>
      <c r="B238" s="227"/>
    </row>
    <row r="239">
      <c r="A239" s="143"/>
      <c r="B239" s="228"/>
    </row>
    <row r="240">
      <c r="A240" s="145"/>
      <c r="B240" s="227"/>
    </row>
    <row r="241">
      <c r="A241" s="143"/>
      <c r="B241" s="228"/>
    </row>
    <row r="242">
      <c r="A242" s="163"/>
      <c r="B242" s="227"/>
    </row>
    <row r="243">
      <c r="A243" s="143"/>
      <c r="B243" s="228"/>
    </row>
    <row r="244">
      <c r="A244" s="145"/>
      <c r="B244" s="227"/>
    </row>
    <row r="245">
      <c r="A245" s="143"/>
      <c r="B245" s="228"/>
    </row>
    <row r="246">
      <c r="A246" s="145"/>
      <c r="B246" s="227"/>
    </row>
    <row r="247">
      <c r="A247" s="143"/>
      <c r="B247" s="228"/>
    </row>
    <row r="248">
      <c r="A248" s="145"/>
      <c r="B248" s="227"/>
    </row>
    <row r="249">
      <c r="A249" s="143"/>
      <c r="B249" s="228"/>
    </row>
    <row r="250">
      <c r="A250" s="184"/>
      <c r="B250" s="227"/>
    </row>
    <row r="251">
      <c r="A251" s="171" t="str">
        <f t="array" ref="A251:A300">'Up Names'!F2:F51</f>
        <v>Return to Receiver</v>
      </c>
      <c r="B251" s="233" t="s">
        <v>1936</v>
      </c>
    </row>
    <row r="252">
      <c r="A252" s="145" t="s">
        <v>155</v>
      </c>
      <c r="B252" s="219" t="s">
        <v>1926</v>
      </c>
    </row>
    <row r="253">
      <c r="A253" s="143" t="s">
        <v>175</v>
      </c>
      <c r="B253" s="218" t="s">
        <v>1926</v>
      </c>
    </row>
    <row r="254">
      <c r="A254" s="145" t="s">
        <v>195</v>
      </c>
      <c r="B254" s="219" t="s">
        <v>1926</v>
      </c>
    </row>
    <row r="255">
      <c r="A255" s="143" t="s">
        <v>215</v>
      </c>
      <c r="B255" s="218" t="s">
        <v>1926</v>
      </c>
    </row>
    <row r="256">
      <c r="A256" s="145" t="s">
        <v>234</v>
      </c>
      <c r="B256" s="220" t="s">
        <v>1928</v>
      </c>
    </row>
    <row r="257">
      <c r="A257" s="143" t="s">
        <v>254</v>
      </c>
      <c r="B257" s="221" t="s">
        <v>1928</v>
      </c>
    </row>
    <row r="258">
      <c r="A258" s="145" t="s">
        <v>274</v>
      </c>
      <c r="B258" s="220" t="s">
        <v>1928</v>
      </c>
    </row>
    <row r="259">
      <c r="A259" s="143" t="s">
        <v>294</v>
      </c>
      <c r="B259" s="221" t="s">
        <v>1928</v>
      </c>
    </row>
    <row r="260">
      <c r="A260" s="145" t="s">
        <v>314</v>
      </c>
      <c r="B260" s="220" t="s">
        <v>1928</v>
      </c>
    </row>
    <row r="261">
      <c r="A261" s="143" t="s">
        <v>334</v>
      </c>
      <c r="B261" s="221" t="s">
        <v>1928</v>
      </c>
    </row>
    <row r="262">
      <c r="A262" s="145" t="s">
        <v>354</v>
      </c>
      <c r="B262" s="220" t="s">
        <v>1928</v>
      </c>
    </row>
    <row r="263">
      <c r="A263" s="143" t="s">
        <v>378</v>
      </c>
      <c r="B263" s="221" t="s">
        <v>1928</v>
      </c>
    </row>
    <row r="264">
      <c r="A264" s="145" t="s">
        <v>400</v>
      </c>
      <c r="B264" s="220" t="s">
        <v>1928</v>
      </c>
    </row>
    <row r="265">
      <c r="A265" s="143" t="s">
        <v>429</v>
      </c>
      <c r="B265" s="222" t="s">
        <v>1930</v>
      </c>
    </row>
    <row r="266">
      <c r="A266" s="145" t="s">
        <v>457</v>
      </c>
      <c r="B266" s="223" t="s">
        <v>1930</v>
      </c>
    </row>
    <row r="267">
      <c r="A267" s="143" t="s">
        <v>487</v>
      </c>
      <c r="B267" s="222" t="s">
        <v>1930</v>
      </c>
    </row>
    <row r="268">
      <c r="A268" s="145" t="s">
        <v>512</v>
      </c>
      <c r="B268" s="223" t="s">
        <v>1930</v>
      </c>
    </row>
    <row r="269">
      <c r="A269" s="143" t="s">
        <v>532</v>
      </c>
      <c r="B269" s="222" t="s">
        <v>1930</v>
      </c>
    </row>
    <row r="270">
      <c r="A270" s="145" t="s">
        <v>551</v>
      </c>
      <c r="B270" s="223" t="s">
        <v>1930</v>
      </c>
    </row>
    <row r="271">
      <c r="A271" s="143" t="s">
        <v>575</v>
      </c>
      <c r="B271" s="222" t="s">
        <v>1930</v>
      </c>
    </row>
    <row r="272">
      <c r="A272" s="145" t="s">
        <v>598</v>
      </c>
      <c r="B272" s="223" t="s">
        <v>1930</v>
      </c>
    </row>
    <row r="273">
      <c r="A273" s="143" t="s">
        <v>619</v>
      </c>
      <c r="B273" s="222" t="s">
        <v>1930</v>
      </c>
    </row>
    <row r="274">
      <c r="A274" s="145" t="s">
        <v>644</v>
      </c>
      <c r="B274" s="223" t="s">
        <v>1930</v>
      </c>
    </row>
    <row r="275">
      <c r="A275" s="143" t="s">
        <v>662</v>
      </c>
      <c r="B275" s="222" t="s">
        <v>1930</v>
      </c>
    </row>
    <row r="276">
      <c r="A276" s="145" t="s">
        <v>677</v>
      </c>
      <c r="B276" s="223" t="s">
        <v>1930</v>
      </c>
    </row>
    <row r="277">
      <c r="A277" s="143" t="s">
        <v>691</v>
      </c>
      <c r="B277" s="222" t="s">
        <v>1930</v>
      </c>
    </row>
    <row r="278">
      <c r="A278" s="145" t="s">
        <v>709</v>
      </c>
      <c r="B278" s="223" t="s">
        <v>1930</v>
      </c>
    </row>
    <row r="279">
      <c r="A279" s="143" t="s">
        <v>728</v>
      </c>
      <c r="B279" s="225" t="s">
        <v>1932</v>
      </c>
    </row>
    <row r="280">
      <c r="A280" s="145" t="s">
        <v>746</v>
      </c>
      <c r="B280" s="224" t="s">
        <v>1932</v>
      </c>
    </row>
    <row r="281">
      <c r="A281" s="143" t="s">
        <v>503</v>
      </c>
      <c r="B281" s="226" t="s">
        <v>1934</v>
      </c>
    </row>
    <row r="282">
      <c r="A282" s="145" t="s">
        <v>511</v>
      </c>
      <c r="B282" s="226" t="s">
        <v>1934</v>
      </c>
    </row>
    <row r="283">
      <c r="A283" s="143" t="s">
        <v>516</v>
      </c>
      <c r="B283" s="226" t="s">
        <v>1936</v>
      </c>
    </row>
    <row r="284">
      <c r="A284" s="145"/>
      <c r="B284" s="227"/>
    </row>
    <row r="285">
      <c r="A285" s="143"/>
      <c r="B285" s="228"/>
    </row>
    <row r="286">
      <c r="A286" s="145"/>
      <c r="B286" s="227"/>
    </row>
    <row r="287">
      <c r="A287" s="143"/>
      <c r="B287" s="228"/>
    </row>
    <row r="288">
      <c r="A288" s="145"/>
      <c r="B288" s="227"/>
    </row>
    <row r="289">
      <c r="A289" s="143"/>
      <c r="B289" s="228"/>
    </row>
    <row r="290">
      <c r="A290" s="145"/>
      <c r="B290" s="227"/>
    </row>
    <row r="291">
      <c r="A291" s="143"/>
      <c r="B291" s="228"/>
    </row>
    <row r="292">
      <c r="A292" s="145"/>
      <c r="B292" s="227"/>
    </row>
    <row r="293">
      <c r="A293" s="143"/>
      <c r="B293" s="228"/>
    </row>
    <row r="294">
      <c r="A294" s="145"/>
      <c r="B294" s="227"/>
    </row>
    <row r="295">
      <c r="A295" s="143"/>
      <c r="B295" s="228"/>
    </row>
    <row r="296">
      <c r="A296" s="145"/>
      <c r="B296" s="227"/>
    </row>
    <row r="297">
      <c r="A297" s="143"/>
      <c r="B297" s="228"/>
    </row>
    <row r="298">
      <c r="A298" s="145"/>
      <c r="B298" s="227"/>
    </row>
    <row r="299">
      <c r="A299" s="143"/>
      <c r="B299" s="228"/>
    </row>
    <row r="300">
      <c r="A300" s="184"/>
      <c r="B300" s="227"/>
    </row>
    <row r="301">
      <c r="A301" s="171" t="str">
        <f t="array" ref="A301:A350">'Up Names'!G2:G51</f>
        <v>Yellow Prism</v>
      </c>
      <c r="B301" s="218" t="s">
        <v>1926</v>
      </c>
    </row>
    <row r="302">
      <c r="A302" s="145" t="s">
        <v>156</v>
      </c>
      <c r="B302" s="219" t="s">
        <v>1926</v>
      </c>
    </row>
    <row r="303">
      <c r="A303" s="143" t="s">
        <v>176</v>
      </c>
      <c r="B303" s="218" t="s">
        <v>1926</v>
      </c>
    </row>
    <row r="304">
      <c r="A304" s="145" t="s">
        <v>196</v>
      </c>
      <c r="B304" s="219" t="s">
        <v>1926</v>
      </c>
    </row>
    <row r="305">
      <c r="A305" s="143" t="s">
        <v>216</v>
      </c>
      <c r="B305" s="218" t="s">
        <v>1926</v>
      </c>
    </row>
    <row r="306">
      <c r="A306" s="145" t="s">
        <v>235</v>
      </c>
      <c r="B306" s="220" t="s">
        <v>1928</v>
      </c>
    </row>
    <row r="307">
      <c r="A307" s="143" t="s">
        <v>255</v>
      </c>
      <c r="B307" s="221" t="s">
        <v>1928</v>
      </c>
    </row>
    <row r="308">
      <c r="A308" s="145" t="s">
        <v>275</v>
      </c>
      <c r="B308" s="220" t="s">
        <v>1928</v>
      </c>
    </row>
    <row r="309">
      <c r="A309" s="143" t="s">
        <v>295</v>
      </c>
      <c r="B309" s="221" t="s">
        <v>1928</v>
      </c>
    </row>
    <row r="310">
      <c r="A310" s="145" t="s">
        <v>315</v>
      </c>
      <c r="B310" s="220" t="s">
        <v>1928</v>
      </c>
    </row>
    <row r="311">
      <c r="A311" s="143" t="s">
        <v>335</v>
      </c>
      <c r="B311" s="221" t="s">
        <v>1928</v>
      </c>
    </row>
    <row r="312">
      <c r="A312" s="145" t="s">
        <v>355</v>
      </c>
      <c r="B312" s="220" t="s">
        <v>1928</v>
      </c>
    </row>
    <row r="313">
      <c r="A313" s="143" t="s">
        <v>379</v>
      </c>
      <c r="B313" s="221" t="s">
        <v>1928</v>
      </c>
    </row>
    <row r="314">
      <c r="A314" s="145" t="s">
        <v>402</v>
      </c>
      <c r="B314" s="220" t="s">
        <v>1928</v>
      </c>
    </row>
    <row r="315">
      <c r="A315" s="143" t="s">
        <v>431</v>
      </c>
      <c r="B315" s="221" t="s">
        <v>1928</v>
      </c>
    </row>
    <row r="316">
      <c r="A316" s="145" t="s">
        <v>458</v>
      </c>
      <c r="B316" s="223" t="s">
        <v>1930</v>
      </c>
    </row>
    <row r="317">
      <c r="A317" s="143" t="s">
        <v>489</v>
      </c>
      <c r="B317" s="222" t="s">
        <v>1930</v>
      </c>
    </row>
    <row r="318">
      <c r="A318" s="145" t="s">
        <v>513</v>
      </c>
      <c r="B318" s="223" t="s">
        <v>1930</v>
      </c>
    </row>
    <row r="319">
      <c r="A319" s="143" t="s">
        <v>533</v>
      </c>
      <c r="B319" s="222" t="s">
        <v>1930</v>
      </c>
    </row>
    <row r="320">
      <c r="A320" s="145" t="s">
        <v>552</v>
      </c>
      <c r="B320" s="223" t="s">
        <v>1930</v>
      </c>
    </row>
    <row r="321">
      <c r="A321" s="143" t="s">
        <v>576</v>
      </c>
      <c r="B321" s="222" t="s">
        <v>1930</v>
      </c>
    </row>
    <row r="322">
      <c r="A322" s="145" t="s">
        <v>599</v>
      </c>
      <c r="B322" s="223" t="s">
        <v>1930</v>
      </c>
    </row>
    <row r="323">
      <c r="A323" s="143" t="s">
        <v>620</v>
      </c>
      <c r="B323" s="222" t="s">
        <v>1930</v>
      </c>
    </row>
    <row r="324">
      <c r="A324" s="145" t="s">
        <v>645</v>
      </c>
      <c r="B324" s="223" t="s">
        <v>1930</v>
      </c>
    </row>
    <row r="325">
      <c r="A325" s="143" t="s">
        <v>663</v>
      </c>
      <c r="B325" s="225" t="s">
        <v>1932</v>
      </c>
    </row>
    <row r="326">
      <c r="A326" s="145" t="s">
        <v>678</v>
      </c>
      <c r="B326" s="224" t="s">
        <v>1932</v>
      </c>
    </row>
    <row r="327">
      <c r="A327" s="143" t="s">
        <v>692</v>
      </c>
      <c r="B327" s="225" t="s">
        <v>1932</v>
      </c>
    </row>
    <row r="328">
      <c r="A328" s="145" t="s">
        <v>711</v>
      </c>
      <c r="B328" s="224" t="s">
        <v>1932</v>
      </c>
    </row>
    <row r="329">
      <c r="A329" s="143" t="s">
        <v>729</v>
      </c>
      <c r="B329" s="225" t="s">
        <v>1932</v>
      </c>
    </row>
    <row r="330">
      <c r="A330" s="145" t="s">
        <v>747</v>
      </c>
      <c r="B330" s="224" t="s">
        <v>1932</v>
      </c>
    </row>
    <row r="331">
      <c r="A331" s="143" t="s">
        <v>503</v>
      </c>
      <c r="B331" s="226" t="s">
        <v>1934</v>
      </c>
    </row>
    <row r="332">
      <c r="A332" s="145" t="s">
        <v>511</v>
      </c>
      <c r="B332" s="226" t="s">
        <v>1934</v>
      </c>
    </row>
    <row r="333">
      <c r="A333" s="143" t="s">
        <v>516</v>
      </c>
      <c r="B333" s="226" t="s">
        <v>1936</v>
      </c>
    </row>
    <row r="334">
      <c r="A334" s="145"/>
      <c r="B334" s="227"/>
    </row>
    <row r="335">
      <c r="A335" s="143"/>
      <c r="B335" s="228"/>
    </row>
    <row r="336">
      <c r="A336" s="145"/>
      <c r="B336" s="227"/>
    </row>
    <row r="337">
      <c r="A337" s="143"/>
      <c r="B337" s="228"/>
    </row>
    <row r="338">
      <c r="A338" s="145"/>
      <c r="B338" s="227"/>
    </row>
    <row r="339">
      <c r="A339" s="143"/>
      <c r="B339" s="228"/>
    </row>
    <row r="340">
      <c r="A340" s="145"/>
      <c r="B340" s="227"/>
    </row>
    <row r="341">
      <c r="A341" s="143"/>
      <c r="B341" s="228"/>
    </row>
    <row r="342">
      <c r="A342" s="145"/>
      <c r="B342" s="227"/>
    </row>
    <row r="343">
      <c r="A343" s="143"/>
      <c r="B343" s="228"/>
    </row>
    <row r="344">
      <c r="A344" s="145"/>
      <c r="B344" s="227"/>
    </row>
    <row r="345">
      <c r="A345" s="143"/>
      <c r="B345" s="228"/>
    </row>
    <row r="346">
      <c r="A346" s="145"/>
      <c r="B346" s="227"/>
    </row>
    <row r="347">
      <c r="A347" s="143"/>
      <c r="B347" s="228"/>
    </row>
    <row r="348">
      <c r="A348" s="145"/>
      <c r="B348" s="227"/>
    </row>
    <row r="349">
      <c r="A349" s="143"/>
      <c r="B349" s="228"/>
    </row>
    <row r="350">
      <c r="A350" s="184"/>
      <c r="B350" s="227"/>
    </row>
    <row r="351">
      <c r="A351" s="171" t="str">
        <f t="array" ref="A351:A400">'Up Names'!H2:H51</f>
        <v>Bailing Water</v>
      </c>
      <c r="B351" s="218" t="s">
        <v>1926</v>
      </c>
    </row>
    <row r="352">
      <c r="A352" s="145" t="s">
        <v>157</v>
      </c>
      <c r="B352" s="219" t="s">
        <v>1926</v>
      </c>
    </row>
    <row r="353">
      <c r="A353" s="143" t="s">
        <v>177</v>
      </c>
      <c r="B353" s="218" t="s">
        <v>1926</v>
      </c>
    </row>
    <row r="354">
      <c r="A354" s="145" t="s">
        <v>197</v>
      </c>
      <c r="B354" s="219" t="s">
        <v>1926</v>
      </c>
    </row>
    <row r="355">
      <c r="A355" s="143" t="s">
        <v>217</v>
      </c>
      <c r="B355" s="221" t="s">
        <v>1928</v>
      </c>
    </row>
    <row r="356">
      <c r="A356" s="145" t="s">
        <v>236</v>
      </c>
      <c r="B356" s="220" t="s">
        <v>1928</v>
      </c>
    </row>
    <row r="357">
      <c r="A357" s="143" t="s">
        <v>256</v>
      </c>
      <c r="B357" s="221" t="s">
        <v>1928</v>
      </c>
    </row>
    <row r="358">
      <c r="A358" s="145" t="s">
        <v>276</v>
      </c>
      <c r="B358" s="220" t="s">
        <v>1928</v>
      </c>
    </row>
    <row r="359">
      <c r="A359" s="143" t="s">
        <v>296</v>
      </c>
      <c r="B359" s="221" t="s">
        <v>1928</v>
      </c>
    </row>
    <row r="360">
      <c r="A360" s="145" t="s">
        <v>316</v>
      </c>
      <c r="B360" s="220" t="s">
        <v>1928</v>
      </c>
    </row>
    <row r="361">
      <c r="A361" s="143" t="s">
        <v>336</v>
      </c>
      <c r="B361" s="221" t="s">
        <v>1928</v>
      </c>
    </row>
    <row r="362">
      <c r="A362" s="145" t="s">
        <v>356</v>
      </c>
      <c r="B362" s="220" t="s">
        <v>1928</v>
      </c>
    </row>
    <row r="363">
      <c r="A363" s="143" t="s">
        <v>380</v>
      </c>
      <c r="B363" s="221" t="s">
        <v>1928</v>
      </c>
    </row>
    <row r="364">
      <c r="A364" s="145" t="s">
        <v>403</v>
      </c>
      <c r="B364" s="220" t="s">
        <v>1928</v>
      </c>
    </row>
    <row r="365">
      <c r="A365" s="143" t="s">
        <v>432</v>
      </c>
      <c r="B365" s="222" t="s">
        <v>1930</v>
      </c>
    </row>
    <row r="366">
      <c r="A366" s="145" t="s">
        <v>460</v>
      </c>
      <c r="B366" s="223" t="s">
        <v>1930</v>
      </c>
    </row>
    <row r="367">
      <c r="A367" s="143" t="s">
        <v>490</v>
      </c>
      <c r="B367" s="222" t="s">
        <v>1930</v>
      </c>
    </row>
    <row r="368">
      <c r="A368" s="145" t="s">
        <v>514</v>
      </c>
      <c r="B368" s="223" t="s">
        <v>1930</v>
      </c>
    </row>
    <row r="369">
      <c r="A369" s="143" t="s">
        <v>534</v>
      </c>
      <c r="B369" s="222" t="s">
        <v>1930</v>
      </c>
    </row>
    <row r="370">
      <c r="A370" s="145" t="s">
        <v>553</v>
      </c>
      <c r="B370" s="223" t="s">
        <v>1930</v>
      </c>
    </row>
    <row r="371">
      <c r="A371" s="143" t="s">
        <v>577</v>
      </c>
      <c r="B371" s="222" t="s">
        <v>1930</v>
      </c>
    </row>
    <row r="372">
      <c r="A372" s="145" t="s">
        <v>601</v>
      </c>
      <c r="B372" s="223" t="s">
        <v>1930</v>
      </c>
    </row>
    <row r="373">
      <c r="A373" s="143" t="s">
        <v>621</v>
      </c>
      <c r="B373" s="222" t="s">
        <v>1930</v>
      </c>
    </row>
    <row r="374">
      <c r="A374" s="145" t="s">
        <v>647</v>
      </c>
      <c r="B374" s="223" t="s">
        <v>1930</v>
      </c>
    </row>
    <row r="375">
      <c r="A375" s="143" t="s">
        <v>664</v>
      </c>
      <c r="B375" s="222" t="s">
        <v>1930</v>
      </c>
    </row>
    <row r="376">
      <c r="A376" s="145" t="s">
        <v>679</v>
      </c>
      <c r="B376" s="223" t="s">
        <v>1930</v>
      </c>
    </row>
    <row r="377">
      <c r="A377" s="143" t="s">
        <v>693</v>
      </c>
      <c r="B377" s="225" t="s">
        <v>1932</v>
      </c>
    </row>
    <row r="378">
      <c r="A378" s="145" t="s">
        <v>712</v>
      </c>
      <c r="B378" s="224" t="s">
        <v>1932</v>
      </c>
    </row>
    <row r="379">
      <c r="A379" s="143" t="s">
        <v>731</v>
      </c>
      <c r="B379" s="225" t="s">
        <v>1932</v>
      </c>
    </row>
    <row r="380">
      <c r="A380" s="145" t="s">
        <v>748</v>
      </c>
      <c r="B380" s="224" t="s">
        <v>1932</v>
      </c>
    </row>
    <row r="381">
      <c r="A381" s="143" t="s">
        <v>503</v>
      </c>
      <c r="B381" s="226" t="s">
        <v>1934</v>
      </c>
    </row>
    <row r="382">
      <c r="A382" s="145" t="s">
        <v>511</v>
      </c>
      <c r="B382" s="226" t="s">
        <v>1934</v>
      </c>
    </row>
    <row r="383">
      <c r="A383" s="143" t="s">
        <v>516</v>
      </c>
      <c r="B383" s="226" t="s">
        <v>1936</v>
      </c>
    </row>
    <row r="384">
      <c r="A384" s="145"/>
      <c r="B384" s="227"/>
    </row>
    <row r="385">
      <c r="A385" s="143"/>
      <c r="B385" s="228"/>
    </row>
    <row r="386">
      <c r="A386" s="145"/>
      <c r="B386" s="227"/>
    </row>
    <row r="387">
      <c r="A387" s="143"/>
      <c r="B387" s="228"/>
    </row>
    <row r="388">
      <c r="A388" s="145"/>
      <c r="B388" s="227"/>
    </row>
    <row r="389">
      <c r="A389" s="143"/>
      <c r="B389" s="228"/>
    </row>
    <row r="390">
      <c r="A390" s="145"/>
      <c r="B390" s="227"/>
    </row>
    <row r="391">
      <c r="A391" s="143"/>
      <c r="B391" s="228"/>
    </row>
    <row r="392">
      <c r="A392" s="145"/>
      <c r="B392" s="227"/>
    </row>
    <row r="393">
      <c r="A393" s="143"/>
      <c r="B393" s="228"/>
    </row>
    <row r="394">
      <c r="A394" s="145"/>
      <c r="B394" s="227"/>
    </row>
    <row r="395">
      <c r="A395" s="143"/>
      <c r="B395" s="228"/>
    </row>
    <row r="396">
      <c r="A396" s="145"/>
      <c r="B396" s="227"/>
    </row>
    <row r="397">
      <c r="A397" s="143"/>
      <c r="B397" s="228"/>
    </row>
    <row r="398">
      <c r="A398" s="145"/>
      <c r="B398" s="227"/>
    </row>
    <row r="399">
      <c r="A399" s="143"/>
      <c r="B399" s="228"/>
    </row>
    <row r="400">
      <c r="A400" s="184"/>
      <c r="B400" s="227"/>
    </row>
    <row r="401">
      <c r="A401" s="171" t="str">
        <f t="array" ref="A401:A450">'Up Names'!I2:I51</f>
        <v>Flood</v>
      </c>
      <c r="B401" s="218" t="s">
        <v>1926</v>
      </c>
    </row>
    <row r="402">
      <c r="A402" s="145" t="s">
        <v>158</v>
      </c>
      <c r="B402" s="219" t="s">
        <v>1926</v>
      </c>
    </row>
    <row r="403">
      <c r="A403" s="143" t="s">
        <v>178</v>
      </c>
      <c r="B403" s="218" t="s">
        <v>1926</v>
      </c>
    </row>
    <row r="404">
      <c r="A404" s="145" t="s">
        <v>198</v>
      </c>
      <c r="B404" s="219" t="s">
        <v>1926</v>
      </c>
    </row>
    <row r="405">
      <c r="A405" s="143" t="s">
        <v>218</v>
      </c>
      <c r="B405" s="221" t="s">
        <v>1928</v>
      </c>
    </row>
    <row r="406">
      <c r="A406" s="145" t="s">
        <v>237</v>
      </c>
      <c r="B406" s="220" t="s">
        <v>1928</v>
      </c>
    </row>
    <row r="407">
      <c r="A407" s="143" t="s">
        <v>257</v>
      </c>
      <c r="B407" s="221" t="s">
        <v>1928</v>
      </c>
    </row>
    <row r="408">
      <c r="A408" s="145" t="s">
        <v>277</v>
      </c>
      <c r="B408" s="220" t="s">
        <v>1928</v>
      </c>
    </row>
    <row r="409">
      <c r="A409" s="143" t="s">
        <v>297</v>
      </c>
      <c r="B409" s="221" t="s">
        <v>1928</v>
      </c>
    </row>
    <row r="410">
      <c r="A410" s="145" t="s">
        <v>317</v>
      </c>
      <c r="B410" s="220" t="s">
        <v>1928</v>
      </c>
    </row>
    <row r="411">
      <c r="A411" s="143" t="s">
        <v>337</v>
      </c>
      <c r="B411" s="222" t="s">
        <v>1930</v>
      </c>
    </row>
    <row r="412">
      <c r="A412" s="145" t="s">
        <v>357</v>
      </c>
      <c r="B412" s="223" t="s">
        <v>1930</v>
      </c>
    </row>
    <row r="413">
      <c r="A413" s="143" t="s">
        <v>381</v>
      </c>
      <c r="B413" s="222" t="s">
        <v>1930</v>
      </c>
    </row>
    <row r="414">
      <c r="A414" s="145" t="s">
        <v>405</v>
      </c>
      <c r="B414" s="223" t="s">
        <v>1930</v>
      </c>
    </row>
    <row r="415">
      <c r="A415" s="143" t="s">
        <v>433</v>
      </c>
      <c r="B415" s="222" t="s">
        <v>1930</v>
      </c>
    </row>
    <row r="416">
      <c r="A416" s="145" t="s">
        <v>462</v>
      </c>
      <c r="B416" s="223" t="s">
        <v>1930</v>
      </c>
    </row>
    <row r="417">
      <c r="A417" s="143" t="s">
        <v>491</v>
      </c>
      <c r="B417" s="222" t="s">
        <v>1930</v>
      </c>
    </row>
    <row r="418">
      <c r="A418" s="145" t="s">
        <v>515</v>
      </c>
      <c r="B418" s="223" t="s">
        <v>1930</v>
      </c>
    </row>
    <row r="419">
      <c r="A419" s="143" t="s">
        <v>535</v>
      </c>
      <c r="B419" s="222" t="s">
        <v>1930</v>
      </c>
    </row>
    <row r="420">
      <c r="A420" s="145" t="s">
        <v>554</v>
      </c>
      <c r="B420" s="223" t="s">
        <v>1930</v>
      </c>
    </row>
    <row r="421">
      <c r="A421" s="143" t="s">
        <v>578</v>
      </c>
      <c r="B421" s="222" t="s">
        <v>1930</v>
      </c>
    </row>
    <row r="422">
      <c r="A422" s="145" t="s">
        <v>602</v>
      </c>
      <c r="B422" s="223" t="s">
        <v>1930</v>
      </c>
    </row>
    <row r="423">
      <c r="A423" s="143" t="s">
        <v>623</v>
      </c>
      <c r="B423" s="225" t="s">
        <v>1932</v>
      </c>
    </row>
    <row r="424">
      <c r="A424" s="145" t="s">
        <v>648</v>
      </c>
      <c r="B424" s="224" t="s">
        <v>1932</v>
      </c>
    </row>
    <row r="425">
      <c r="A425" s="143" t="s">
        <v>665</v>
      </c>
      <c r="B425" s="225" t="s">
        <v>1932</v>
      </c>
    </row>
    <row r="426">
      <c r="A426" s="145" t="s">
        <v>503</v>
      </c>
      <c r="B426" s="226" t="s">
        <v>1934</v>
      </c>
    </row>
    <row r="427">
      <c r="A427" s="143" t="s">
        <v>511</v>
      </c>
      <c r="B427" s="226" t="s">
        <v>1934</v>
      </c>
    </row>
    <row r="428">
      <c r="A428" s="145" t="s">
        <v>516</v>
      </c>
      <c r="B428" s="226" t="s">
        <v>1936</v>
      </c>
    </row>
    <row r="429">
      <c r="A429" s="143"/>
      <c r="B429" s="228"/>
    </row>
    <row r="430">
      <c r="A430" s="145"/>
      <c r="B430" s="227"/>
    </row>
    <row r="431">
      <c r="A431" s="143"/>
      <c r="B431" s="228"/>
    </row>
    <row r="432">
      <c r="A432" s="145"/>
      <c r="B432" s="227"/>
    </row>
    <row r="433">
      <c r="A433" s="143"/>
      <c r="B433" s="228"/>
    </row>
    <row r="434">
      <c r="A434" s="145"/>
      <c r="B434" s="227"/>
    </row>
    <row r="435">
      <c r="A435" s="143"/>
      <c r="B435" s="228"/>
    </row>
    <row r="436">
      <c r="A436" s="145"/>
      <c r="B436" s="227"/>
    </row>
    <row r="437">
      <c r="A437" s="143"/>
      <c r="B437" s="228"/>
    </row>
    <row r="438">
      <c r="A438" s="145"/>
      <c r="B438" s="227"/>
    </row>
    <row r="439">
      <c r="A439" s="143"/>
      <c r="B439" s="228"/>
    </row>
    <row r="440">
      <c r="A440" s="145"/>
      <c r="B440" s="227"/>
    </row>
    <row r="441">
      <c r="A441" s="143"/>
      <c r="B441" s="228"/>
    </row>
    <row r="442">
      <c r="A442" s="145"/>
      <c r="B442" s="227"/>
    </row>
    <row r="443">
      <c r="A443" s="143"/>
      <c r="B443" s="228"/>
    </row>
    <row r="444">
      <c r="A444" s="145"/>
      <c r="B444" s="227"/>
    </row>
    <row r="445">
      <c r="A445" s="143"/>
      <c r="B445" s="228"/>
    </row>
    <row r="446">
      <c r="A446" s="145"/>
      <c r="B446" s="227"/>
    </row>
    <row r="447">
      <c r="A447" s="143"/>
      <c r="B447" s="228"/>
    </row>
    <row r="448">
      <c r="A448" s="145"/>
      <c r="B448" s="227"/>
    </row>
    <row r="449">
      <c r="A449" s="143"/>
      <c r="B449" s="228"/>
    </row>
    <row r="450">
      <c r="A450" s="184"/>
      <c r="B450" s="227"/>
    </row>
    <row r="451">
      <c r="A451" s="171" t="str">
        <f t="array" ref="A451:A500">'Up Names'!J2:J51</f>
        <v>Deflector</v>
      </c>
      <c r="B451" s="218" t="s">
        <v>1926</v>
      </c>
    </row>
    <row r="452">
      <c r="A452" s="145" t="s">
        <v>159</v>
      </c>
      <c r="B452" s="219" t="s">
        <v>1926</v>
      </c>
    </row>
    <row r="453">
      <c r="A453" s="143" t="s">
        <v>179</v>
      </c>
      <c r="B453" s="218" t="s">
        <v>1926</v>
      </c>
    </row>
    <row r="454">
      <c r="A454" s="145" t="s">
        <v>199</v>
      </c>
      <c r="B454" s="219" t="s">
        <v>1926</v>
      </c>
    </row>
    <row r="455">
      <c r="A455" s="143" t="s">
        <v>219</v>
      </c>
      <c r="B455" s="221" t="s">
        <v>1928</v>
      </c>
    </row>
    <row r="456">
      <c r="A456" s="145" t="s">
        <v>238</v>
      </c>
      <c r="B456" s="220" t="s">
        <v>1928</v>
      </c>
    </row>
    <row r="457">
      <c r="A457" s="143" t="s">
        <v>258</v>
      </c>
      <c r="B457" s="221" t="s">
        <v>1928</v>
      </c>
    </row>
    <row r="458">
      <c r="A458" s="145" t="s">
        <v>278</v>
      </c>
      <c r="B458" s="220" t="s">
        <v>1928</v>
      </c>
    </row>
    <row r="459">
      <c r="A459" s="143" t="s">
        <v>298</v>
      </c>
      <c r="B459" s="221" t="s">
        <v>1928</v>
      </c>
    </row>
    <row r="460">
      <c r="A460" s="145" t="s">
        <v>318</v>
      </c>
      <c r="B460" s="220" t="s">
        <v>1928</v>
      </c>
    </row>
    <row r="461">
      <c r="A461" s="143" t="s">
        <v>338</v>
      </c>
      <c r="B461" s="221" t="s">
        <v>1928</v>
      </c>
    </row>
    <row r="462">
      <c r="A462" s="145" t="s">
        <v>358</v>
      </c>
      <c r="B462" s="220" t="s">
        <v>1928</v>
      </c>
    </row>
    <row r="463">
      <c r="A463" s="143" t="s">
        <v>382</v>
      </c>
      <c r="B463" s="221" t="s">
        <v>1928</v>
      </c>
    </row>
    <row r="464">
      <c r="A464" s="145" t="s">
        <v>407</v>
      </c>
      <c r="B464" s="223" t="s">
        <v>1930</v>
      </c>
    </row>
    <row r="465">
      <c r="A465" s="143" t="s">
        <v>434</v>
      </c>
      <c r="B465" s="222" t="s">
        <v>1930</v>
      </c>
    </row>
    <row r="466">
      <c r="A466" s="145" t="s">
        <v>463</v>
      </c>
      <c r="B466" s="223" t="s">
        <v>1930</v>
      </c>
    </row>
    <row r="467">
      <c r="A467" s="143" t="s">
        <v>493</v>
      </c>
      <c r="B467" s="222" t="s">
        <v>1930</v>
      </c>
    </row>
    <row r="468">
      <c r="A468" s="145" t="s">
        <v>517</v>
      </c>
      <c r="B468" s="223" t="s">
        <v>1930</v>
      </c>
    </row>
    <row r="469">
      <c r="A469" s="143" t="s">
        <v>536</v>
      </c>
      <c r="B469" s="222" t="s">
        <v>1930</v>
      </c>
    </row>
    <row r="470">
      <c r="A470" s="145" t="s">
        <v>555</v>
      </c>
      <c r="B470" s="223" t="s">
        <v>1930</v>
      </c>
    </row>
    <row r="471">
      <c r="A471" s="143" t="s">
        <v>579</v>
      </c>
      <c r="B471" s="225" t="s">
        <v>1932</v>
      </c>
    </row>
    <row r="472">
      <c r="A472" s="145" t="s">
        <v>603</v>
      </c>
      <c r="B472" s="224" t="s">
        <v>1932</v>
      </c>
    </row>
    <row r="473">
      <c r="A473" s="143" t="s">
        <v>624</v>
      </c>
      <c r="B473" s="225" t="s">
        <v>1932</v>
      </c>
    </row>
    <row r="474">
      <c r="A474" s="145" t="s">
        <v>649</v>
      </c>
      <c r="B474" s="224" t="s">
        <v>1932</v>
      </c>
    </row>
    <row r="475">
      <c r="A475" s="143" t="s">
        <v>666</v>
      </c>
      <c r="B475" s="225" t="s">
        <v>1932</v>
      </c>
    </row>
    <row r="476">
      <c r="A476" s="145" t="s">
        <v>680</v>
      </c>
      <c r="B476" s="227" t="s">
        <v>1930</v>
      </c>
    </row>
    <row r="477">
      <c r="A477" s="143" t="s">
        <v>694</v>
      </c>
      <c r="B477" s="228" t="s">
        <v>1930</v>
      </c>
    </row>
    <row r="478">
      <c r="A478" s="145" t="s">
        <v>503</v>
      </c>
      <c r="B478" s="226" t="s">
        <v>1934</v>
      </c>
    </row>
    <row r="479">
      <c r="A479" s="143" t="s">
        <v>511</v>
      </c>
      <c r="B479" s="226" t="s">
        <v>1934</v>
      </c>
    </row>
    <row r="480">
      <c r="A480" s="145" t="s">
        <v>516</v>
      </c>
      <c r="B480" s="226" t="s">
        <v>1936</v>
      </c>
    </row>
    <row r="481">
      <c r="A481" s="143"/>
      <c r="B481" s="228"/>
    </row>
    <row r="482">
      <c r="A482" s="145"/>
      <c r="B482" s="227"/>
    </row>
    <row r="483">
      <c r="A483" s="143"/>
      <c r="B483" s="228"/>
    </row>
    <row r="484">
      <c r="A484" s="145"/>
      <c r="B484" s="227"/>
    </row>
    <row r="485">
      <c r="A485" s="143"/>
      <c r="B485" s="228"/>
    </row>
    <row r="486">
      <c r="A486" s="145"/>
      <c r="B486" s="227"/>
    </row>
    <row r="487">
      <c r="A487" s="143"/>
      <c r="B487" s="228"/>
    </row>
    <row r="488">
      <c r="A488" s="145"/>
      <c r="B488" s="227"/>
    </row>
    <row r="489">
      <c r="A489" s="143"/>
      <c r="B489" s="228"/>
    </row>
    <row r="490">
      <c r="A490" s="145"/>
      <c r="B490" s="227"/>
    </row>
    <row r="491">
      <c r="A491" s="143"/>
      <c r="B491" s="228"/>
    </row>
    <row r="492">
      <c r="A492" s="145"/>
      <c r="B492" s="227"/>
    </row>
    <row r="493">
      <c r="A493" s="143"/>
      <c r="B493" s="228"/>
    </row>
    <row r="494">
      <c r="A494" s="145"/>
      <c r="B494" s="227"/>
    </row>
    <row r="495">
      <c r="A495" s="143"/>
      <c r="B495" s="228"/>
    </row>
    <row r="496">
      <c r="A496" s="145"/>
      <c r="B496" s="227"/>
    </row>
    <row r="497">
      <c r="A497" s="143"/>
      <c r="B497" s="228"/>
    </row>
    <row r="498">
      <c r="A498" s="145"/>
      <c r="B498" s="227"/>
    </row>
    <row r="499">
      <c r="A499" s="143"/>
      <c r="B499" s="228"/>
    </row>
    <row r="500">
      <c r="A500" s="184"/>
      <c r="B500" s="227"/>
    </row>
    <row r="501">
      <c r="A501" s="145" t="str">
        <f t="array" ref="A501:A550">'Up Names'!K2:K51</f>
        <v>Auger Subroutine</v>
      </c>
      <c r="B501" s="234" t="s">
        <v>1926</v>
      </c>
    </row>
    <row r="502">
      <c r="A502" s="145" t="s">
        <v>160</v>
      </c>
      <c r="B502" s="234" t="s">
        <v>1926</v>
      </c>
    </row>
    <row r="503">
      <c r="A503" s="145" t="s">
        <v>180</v>
      </c>
      <c r="B503" s="234" t="s">
        <v>1926</v>
      </c>
    </row>
    <row r="504">
      <c r="A504" s="145" t="s">
        <v>200</v>
      </c>
      <c r="B504" s="234" t="s">
        <v>1926</v>
      </c>
    </row>
    <row r="505">
      <c r="A505" s="145" t="s">
        <v>220</v>
      </c>
      <c r="B505" s="234" t="s">
        <v>1928</v>
      </c>
    </row>
    <row r="506">
      <c r="A506" s="145" t="s">
        <v>239</v>
      </c>
      <c r="B506" s="234" t="s">
        <v>1928</v>
      </c>
    </row>
    <row r="507">
      <c r="A507" s="145" t="s">
        <v>259</v>
      </c>
      <c r="B507" s="234" t="s">
        <v>1928</v>
      </c>
    </row>
    <row r="508">
      <c r="A508" s="145" t="s">
        <v>279</v>
      </c>
      <c r="B508" s="234" t="s">
        <v>1928</v>
      </c>
    </row>
    <row r="509">
      <c r="A509" s="145" t="s">
        <v>299</v>
      </c>
      <c r="B509" s="234" t="s">
        <v>1928</v>
      </c>
    </row>
    <row r="510">
      <c r="A510" s="145" t="s">
        <v>319</v>
      </c>
      <c r="B510" s="234" t="s">
        <v>1928</v>
      </c>
    </row>
    <row r="511">
      <c r="A511" s="145" t="s">
        <v>339</v>
      </c>
      <c r="B511" s="234" t="s">
        <v>1928</v>
      </c>
    </row>
    <row r="512">
      <c r="A512" s="145" t="s">
        <v>359</v>
      </c>
      <c r="B512" s="234" t="s">
        <v>1928</v>
      </c>
    </row>
    <row r="513">
      <c r="A513" s="145" t="s">
        <v>383</v>
      </c>
      <c r="B513" s="234" t="s">
        <v>1928</v>
      </c>
    </row>
    <row r="514">
      <c r="A514" s="145" t="s">
        <v>408</v>
      </c>
      <c r="B514" s="234" t="s">
        <v>1930</v>
      </c>
    </row>
    <row r="515">
      <c r="A515" s="145" t="s">
        <v>436</v>
      </c>
      <c r="B515" s="235" t="s">
        <v>1930</v>
      </c>
    </row>
    <row r="516">
      <c r="A516" s="145" t="s">
        <v>465</v>
      </c>
      <c r="B516" s="235" t="s">
        <v>1930</v>
      </c>
    </row>
    <row r="517">
      <c r="A517" s="145" t="s">
        <v>494</v>
      </c>
      <c r="B517" s="235" t="s">
        <v>1930</v>
      </c>
    </row>
    <row r="518">
      <c r="A518" s="145" t="s">
        <v>518</v>
      </c>
      <c r="B518" s="235" t="s">
        <v>1930</v>
      </c>
    </row>
    <row r="519">
      <c r="A519" s="145" t="s">
        <v>537</v>
      </c>
      <c r="B519" s="235" t="s">
        <v>1930</v>
      </c>
    </row>
    <row r="520">
      <c r="A520" s="145" t="s">
        <v>557</v>
      </c>
      <c r="B520" s="235" t="s">
        <v>1930</v>
      </c>
    </row>
    <row r="521">
      <c r="A521" s="145" t="s">
        <v>580</v>
      </c>
      <c r="B521" s="235" t="s">
        <v>1930</v>
      </c>
    </row>
    <row r="522">
      <c r="A522" s="145" t="s">
        <v>604</v>
      </c>
      <c r="B522" s="235" t="s">
        <v>1930</v>
      </c>
    </row>
    <row r="523">
      <c r="A523" s="145" t="s">
        <v>625</v>
      </c>
      <c r="B523" s="234" t="s">
        <v>1930</v>
      </c>
    </row>
    <row r="524">
      <c r="A524" s="145" t="s">
        <v>651</v>
      </c>
      <c r="B524" s="234" t="s">
        <v>1930</v>
      </c>
    </row>
    <row r="525">
      <c r="A525" s="145" t="s">
        <v>667</v>
      </c>
      <c r="B525" s="234" t="s">
        <v>1930</v>
      </c>
    </row>
    <row r="526">
      <c r="A526" s="145" t="s">
        <v>681</v>
      </c>
      <c r="B526" s="234" t="s">
        <v>1932</v>
      </c>
    </row>
    <row r="527">
      <c r="A527" s="145" t="s">
        <v>695</v>
      </c>
      <c r="B527" s="234" t="s">
        <v>1932</v>
      </c>
    </row>
    <row r="528">
      <c r="A528" s="145" t="s">
        <v>714</v>
      </c>
      <c r="B528" s="234" t="s">
        <v>1932</v>
      </c>
    </row>
    <row r="529">
      <c r="A529" s="145" t="s">
        <v>732</v>
      </c>
      <c r="B529" s="234" t="s">
        <v>1932</v>
      </c>
    </row>
    <row r="530">
      <c r="A530" s="145" t="s">
        <v>750</v>
      </c>
      <c r="B530" s="234" t="s">
        <v>1932</v>
      </c>
    </row>
    <row r="531">
      <c r="A531" s="145" t="s">
        <v>763</v>
      </c>
      <c r="B531" s="234" t="s">
        <v>1932</v>
      </c>
    </row>
    <row r="532">
      <c r="A532" s="145" t="s">
        <v>503</v>
      </c>
      <c r="B532" s="226" t="s">
        <v>1934</v>
      </c>
    </row>
    <row r="533">
      <c r="A533" s="145" t="s">
        <v>511</v>
      </c>
      <c r="B533" s="226" t="s">
        <v>1934</v>
      </c>
    </row>
    <row r="534">
      <c r="A534" s="145" t="s">
        <v>516</v>
      </c>
      <c r="B534" s="226" t="s">
        <v>1936</v>
      </c>
    </row>
    <row r="535">
      <c r="A535" s="145"/>
      <c r="B535" s="227"/>
    </row>
    <row r="536">
      <c r="A536" s="145"/>
      <c r="B536" s="227"/>
    </row>
    <row r="537">
      <c r="A537" s="145"/>
      <c r="B537" s="227"/>
    </row>
    <row r="538">
      <c r="A538" s="145"/>
      <c r="B538" s="227"/>
    </row>
    <row r="539">
      <c r="A539" s="145"/>
      <c r="B539" s="227"/>
    </row>
    <row r="540">
      <c r="A540" s="145"/>
      <c r="B540" s="227"/>
    </row>
    <row r="541">
      <c r="A541" s="145"/>
      <c r="B541" s="227"/>
    </row>
    <row r="542">
      <c r="A542" s="145"/>
      <c r="B542" s="227"/>
    </row>
    <row r="543">
      <c r="A543" s="145"/>
      <c r="B543" s="227"/>
    </row>
    <row r="544">
      <c r="A544" s="145"/>
      <c r="B544" s="227"/>
    </row>
    <row r="545">
      <c r="A545" s="145"/>
      <c r="B545" s="227"/>
    </row>
    <row r="546">
      <c r="A546" s="145"/>
      <c r="B546" s="227"/>
    </row>
    <row r="547">
      <c r="A547" s="145"/>
      <c r="B547" s="227"/>
    </row>
    <row r="548">
      <c r="A548" s="145"/>
      <c r="B548" s="227"/>
    </row>
    <row r="549">
      <c r="A549" s="145"/>
      <c r="B549" s="227"/>
    </row>
    <row r="550">
      <c r="A550" s="145"/>
      <c r="B550" s="227"/>
    </row>
    <row r="551">
      <c r="A551" s="198" t="str">
        <f t="array" ref="A551:A600">'Up Names'!L2:L51</f>
        <v>Explosive Bullets</v>
      </c>
      <c r="B551" s="234" t="s">
        <v>1926</v>
      </c>
    </row>
    <row r="552">
      <c r="A552" s="146" t="s">
        <v>161</v>
      </c>
      <c r="B552" s="234" t="s">
        <v>1926</v>
      </c>
    </row>
    <row r="553">
      <c r="A553" s="144" t="s">
        <v>181</v>
      </c>
      <c r="B553" s="234" t="s">
        <v>1926</v>
      </c>
    </row>
    <row r="554">
      <c r="A554" s="146" t="s">
        <v>201</v>
      </c>
      <c r="B554" s="234" t="s">
        <v>1926</v>
      </c>
    </row>
    <row r="555">
      <c r="A555" s="144" t="s">
        <v>221</v>
      </c>
      <c r="B555" s="234" t="s">
        <v>1928</v>
      </c>
    </row>
    <row r="556">
      <c r="A556" s="146" t="s">
        <v>240</v>
      </c>
      <c r="B556" s="234" t="s">
        <v>1928</v>
      </c>
    </row>
    <row r="557">
      <c r="A557" s="144" t="s">
        <v>260</v>
      </c>
      <c r="B557" s="234" t="s">
        <v>1928</v>
      </c>
    </row>
    <row r="558">
      <c r="A558" s="146" t="s">
        <v>280</v>
      </c>
      <c r="B558" s="234" t="s">
        <v>1928</v>
      </c>
    </row>
    <row r="559">
      <c r="A559" s="144" t="s">
        <v>300</v>
      </c>
      <c r="B559" s="234" t="s">
        <v>1928</v>
      </c>
    </row>
    <row r="560">
      <c r="A560" s="146" t="s">
        <v>320</v>
      </c>
      <c r="B560" s="234" t="s">
        <v>1928</v>
      </c>
    </row>
    <row r="561">
      <c r="A561" s="144" t="s">
        <v>340</v>
      </c>
      <c r="B561" s="234" t="s">
        <v>1928</v>
      </c>
    </row>
    <row r="562">
      <c r="A562" s="146" t="s">
        <v>360</v>
      </c>
      <c r="B562" s="234" t="s">
        <v>1928</v>
      </c>
    </row>
    <row r="563">
      <c r="A563" s="144" t="s">
        <v>384</v>
      </c>
      <c r="B563" s="234" t="s">
        <v>1928</v>
      </c>
    </row>
    <row r="564">
      <c r="A564" s="146" t="s">
        <v>409</v>
      </c>
      <c r="B564" s="234" t="s">
        <v>1928</v>
      </c>
    </row>
    <row r="565">
      <c r="A565" s="144" t="s">
        <v>438</v>
      </c>
      <c r="B565" s="234" t="s">
        <v>1930</v>
      </c>
    </row>
    <row r="566">
      <c r="A566" s="146" t="s">
        <v>466</v>
      </c>
      <c r="B566" s="234" t="s">
        <v>1930</v>
      </c>
    </row>
    <row r="567">
      <c r="A567" s="144" t="s">
        <v>495</v>
      </c>
      <c r="B567" s="234" t="s">
        <v>1930</v>
      </c>
    </row>
    <row r="568">
      <c r="A568" s="146" t="s">
        <v>519</v>
      </c>
      <c r="B568" s="234" t="s">
        <v>1930</v>
      </c>
    </row>
    <row r="569">
      <c r="A569" s="144" t="s">
        <v>538</v>
      </c>
      <c r="B569" s="234" t="s">
        <v>1930</v>
      </c>
    </row>
    <row r="570">
      <c r="A570" s="146" t="s">
        <v>558</v>
      </c>
      <c r="B570" s="234" t="s">
        <v>1930</v>
      </c>
    </row>
    <row r="571">
      <c r="A571" s="144" t="s">
        <v>582</v>
      </c>
      <c r="B571" s="234" t="s">
        <v>1930</v>
      </c>
    </row>
    <row r="572">
      <c r="A572" s="146" t="s">
        <v>606</v>
      </c>
      <c r="B572" s="234" t="s">
        <v>1930</v>
      </c>
    </row>
    <row r="573">
      <c r="A573" s="144" t="s">
        <v>626</v>
      </c>
      <c r="B573" s="234" t="s">
        <v>1930</v>
      </c>
    </row>
    <row r="574">
      <c r="A574" s="146" t="s">
        <v>652</v>
      </c>
      <c r="B574" s="234" t="s">
        <v>1930</v>
      </c>
    </row>
    <row r="575">
      <c r="A575" s="144" t="s">
        <v>668</v>
      </c>
      <c r="B575" s="234" t="s">
        <v>1930</v>
      </c>
    </row>
    <row r="576">
      <c r="A576" s="146" t="s">
        <v>682</v>
      </c>
      <c r="B576" s="234" t="s">
        <v>1930</v>
      </c>
    </row>
    <row r="577">
      <c r="A577" s="144" t="s">
        <v>696</v>
      </c>
      <c r="B577" s="234" t="s">
        <v>1932</v>
      </c>
    </row>
    <row r="578">
      <c r="A578" s="146" t="s">
        <v>715</v>
      </c>
      <c r="B578" s="234" t="s">
        <v>1932</v>
      </c>
    </row>
    <row r="579">
      <c r="A579" s="144" t="s">
        <v>734</v>
      </c>
      <c r="B579" s="234" t="s">
        <v>1932</v>
      </c>
    </row>
    <row r="580">
      <c r="A580" s="146" t="s">
        <v>751</v>
      </c>
      <c r="B580" s="234" t="s">
        <v>1932</v>
      </c>
    </row>
    <row r="581">
      <c r="A581" s="144" t="s">
        <v>764</v>
      </c>
      <c r="B581" s="234" t="s">
        <v>1932</v>
      </c>
    </row>
    <row r="582">
      <c r="A582" s="145" t="s">
        <v>503</v>
      </c>
      <c r="B582" s="226" t="s">
        <v>1934</v>
      </c>
    </row>
    <row r="583">
      <c r="A583" s="145" t="s">
        <v>511</v>
      </c>
      <c r="B583" s="226" t="s">
        <v>1934</v>
      </c>
    </row>
    <row r="584">
      <c r="A584" s="145" t="s">
        <v>516</v>
      </c>
      <c r="B584" s="226" t="s">
        <v>1936</v>
      </c>
    </row>
    <row r="585">
      <c r="A585" s="145"/>
      <c r="B585" s="227"/>
    </row>
    <row r="586">
      <c r="A586" s="145"/>
      <c r="B586" s="227"/>
    </row>
    <row r="587">
      <c r="A587" s="145"/>
      <c r="B587" s="227"/>
    </row>
    <row r="588">
      <c r="A588" s="145"/>
      <c r="B588" s="227"/>
    </row>
    <row r="589">
      <c r="A589" s="145"/>
      <c r="B589" s="227"/>
    </row>
    <row r="590">
      <c r="A590" s="145"/>
      <c r="B590" s="227"/>
    </row>
    <row r="591">
      <c r="A591" s="145"/>
      <c r="B591" s="227"/>
    </row>
    <row r="592">
      <c r="A592" s="145"/>
      <c r="B592" s="227"/>
    </row>
    <row r="593">
      <c r="A593" s="145"/>
      <c r="B593" s="227"/>
    </row>
    <row r="594">
      <c r="A594" s="145"/>
      <c r="B594" s="227"/>
    </row>
    <row r="595">
      <c r="A595" s="145"/>
      <c r="B595" s="227"/>
    </row>
    <row r="596">
      <c r="A596" s="145"/>
      <c r="B596" s="227"/>
    </row>
    <row r="597">
      <c r="A597" s="145"/>
      <c r="B597" s="227"/>
    </row>
    <row r="598">
      <c r="A598" s="145"/>
      <c r="B598" s="227"/>
    </row>
    <row r="599">
      <c r="A599" s="145"/>
      <c r="B599" s="227"/>
    </row>
    <row r="600">
      <c r="A600" s="145"/>
      <c r="B600" s="227"/>
    </row>
    <row r="601">
      <c r="A601" s="171" t="str">
        <f t="array" ref="A601:A650">'Up Names'!M2:M51</f>
        <v>Cluster Bomb</v>
      </c>
      <c r="B601" s="218" t="s">
        <v>1926</v>
      </c>
    </row>
    <row r="602">
      <c r="A602" s="145" t="s">
        <v>162</v>
      </c>
      <c r="B602" s="219" t="s">
        <v>1926</v>
      </c>
    </row>
    <row r="603">
      <c r="A603" s="143" t="s">
        <v>182</v>
      </c>
      <c r="B603" s="218" t="s">
        <v>1926</v>
      </c>
    </row>
    <row r="604">
      <c r="A604" s="145" t="s">
        <v>202</v>
      </c>
      <c r="B604" s="220" t="s">
        <v>1928</v>
      </c>
    </row>
    <row r="605">
      <c r="A605" s="143" t="s">
        <v>222</v>
      </c>
      <c r="B605" s="221" t="s">
        <v>1928</v>
      </c>
    </row>
    <row r="606">
      <c r="A606" s="145" t="s">
        <v>241</v>
      </c>
      <c r="B606" s="220" t="s">
        <v>1928</v>
      </c>
    </row>
    <row r="607">
      <c r="A607" s="143" t="s">
        <v>261</v>
      </c>
      <c r="B607" s="221" t="s">
        <v>1928</v>
      </c>
    </row>
    <row r="608">
      <c r="A608" s="145" t="s">
        <v>281</v>
      </c>
      <c r="B608" s="220" t="s">
        <v>1928</v>
      </c>
    </row>
    <row r="609">
      <c r="A609" s="143" t="s">
        <v>301</v>
      </c>
      <c r="B609" s="221" t="s">
        <v>1928</v>
      </c>
    </row>
    <row r="610">
      <c r="A610" s="145" t="s">
        <v>321</v>
      </c>
      <c r="B610" s="220" t="s">
        <v>1928</v>
      </c>
    </row>
    <row r="611">
      <c r="A611" s="143" t="s">
        <v>341</v>
      </c>
      <c r="B611" s="222" t="s">
        <v>1930</v>
      </c>
    </row>
    <row r="612">
      <c r="A612" s="145" t="s">
        <v>361</v>
      </c>
      <c r="B612" s="223" t="s">
        <v>1930</v>
      </c>
    </row>
    <row r="613">
      <c r="A613" s="143" t="s">
        <v>385</v>
      </c>
      <c r="B613" s="222" t="s">
        <v>1930</v>
      </c>
    </row>
    <row r="614">
      <c r="A614" s="145" t="s">
        <v>412</v>
      </c>
      <c r="B614" s="223" t="s">
        <v>1930</v>
      </c>
    </row>
    <row r="615">
      <c r="A615" s="143" t="s">
        <v>440</v>
      </c>
      <c r="B615" s="222" t="s">
        <v>1930</v>
      </c>
    </row>
    <row r="616">
      <c r="A616" s="145" t="s">
        <v>467</v>
      </c>
      <c r="B616" s="223" t="s">
        <v>1930</v>
      </c>
    </row>
    <row r="617">
      <c r="A617" s="143" t="s">
        <v>497</v>
      </c>
      <c r="B617" s="222" t="s">
        <v>1930</v>
      </c>
    </row>
    <row r="618">
      <c r="A618" s="145" t="s">
        <v>520</v>
      </c>
      <c r="B618" s="224" t="s">
        <v>1932</v>
      </c>
    </row>
    <row r="619">
      <c r="A619" s="143" t="s">
        <v>539</v>
      </c>
      <c r="B619" s="225" t="s">
        <v>1932</v>
      </c>
    </row>
    <row r="620">
      <c r="A620" s="145" t="s">
        <v>559</v>
      </c>
      <c r="B620" s="236" t="s">
        <v>1932</v>
      </c>
    </row>
    <row r="621">
      <c r="A621" s="143" t="s">
        <v>583</v>
      </c>
      <c r="B621" s="226" t="s">
        <v>1928</v>
      </c>
    </row>
    <row r="622">
      <c r="A622" s="145" t="s">
        <v>607</v>
      </c>
      <c r="B622" s="234" t="s">
        <v>1926</v>
      </c>
    </row>
    <row r="623">
      <c r="A623" s="143" t="s">
        <v>627</v>
      </c>
      <c r="B623" s="226" t="s">
        <v>1926</v>
      </c>
    </row>
    <row r="624">
      <c r="A624" s="145" t="s">
        <v>653</v>
      </c>
      <c r="B624" s="234" t="s">
        <v>1934</v>
      </c>
    </row>
    <row r="625">
      <c r="A625" s="143" t="s">
        <v>503</v>
      </c>
      <c r="B625" s="226" t="s">
        <v>1934</v>
      </c>
    </row>
    <row r="626">
      <c r="A626" s="145" t="s">
        <v>511</v>
      </c>
      <c r="B626" s="226" t="s">
        <v>1934</v>
      </c>
    </row>
    <row r="627">
      <c r="A627" s="143" t="s">
        <v>516</v>
      </c>
      <c r="B627" s="226" t="s">
        <v>1936</v>
      </c>
    </row>
    <row r="628">
      <c r="A628" s="145"/>
      <c r="B628" s="237"/>
    </row>
    <row r="629">
      <c r="A629" s="143"/>
      <c r="B629" s="238"/>
    </row>
    <row r="630">
      <c r="A630" s="145"/>
      <c r="B630" s="237"/>
    </row>
    <row r="631">
      <c r="A631" s="143"/>
      <c r="B631" s="238"/>
    </row>
    <row r="632">
      <c r="A632" s="145"/>
      <c r="B632" s="237"/>
    </row>
    <row r="633">
      <c r="A633" s="143"/>
      <c r="B633" s="238"/>
    </row>
    <row r="634">
      <c r="A634" s="145"/>
      <c r="B634" s="237"/>
    </row>
    <row r="635">
      <c r="A635" s="143"/>
      <c r="B635" s="238"/>
    </row>
    <row r="636">
      <c r="A636" s="145"/>
      <c r="B636" s="237"/>
    </row>
    <row r="637">
      <c r="A637" s="143"/>
      <c r="B637" s="238"/>
    </row>
    <row r="638">
      <c r="A638" s="145"/>
      <c r="B638" s="237"/>
    </row>
    <row r="639">
      <c r="A639" s="143"/>
      <c r="B639" s="238"/>
    </row>
    <row r="640">
      <c r="A640" s="145"/>
      <c r="B640" s="237"/>
    </row>
    <row r="641">
      <c r="A641" s="143"/>
      <c r="B641" s="238"/>
    </row>
    <row r="642">
      <c r="A642" s="145"/>
      <c r="B642" s="237"/>
    </row>
    <row r="643">
      <c r="A643" s="143"/>
      <c r="B643" s="238"/>
    </row>
    <row r="644">
      <c r="A644" s="145"/>
      <c r="B644" s="237"/>
    </row>
    <row r="645">
      <c r="A645" s="143"/>
      <c r="B645" s="238"/>
    </row>
    <row r="646">
      <c r="A646" s="145"/>
      <c r="B646" s="237"/>
    </row>
    <row r="647">
      <c r="A647" s="143"/>
      <c r="B647" s="238"/>
    </row>
    <row r="648">
      <c r="A648" s="145"/>
      <c r="B648" s="237"/>
    </row>
    <row r="649">
      <c r="A649" s="143"/>
      <c r="B649" s="238"/>
    </row>
    <row r="650">
      <c r="A650" s="184"/>
      <c r="B650" s="237"/>
    </row>
    <row r="651">
      <c r="A651" s="171" t="str">
        <f t="array" ref="A651:A700">'Up Names'!N2:N51</f>
        <v>Flash Storm</v>
      </c>
      <c r="B651" s="239" t="s">
        <v>1926</v>
      </c>
    </row>
    <row r="652">
      <c r="A652" s="145" t="s">
        <v>163</v>
      </c>
      <c r="B652" s="240" t="s">
        <v>1926</v>
      </c>
    </row>
    <row r="653">
      <c r="A653" s="143" t="s">
        <v>183</v>
      </c>
      <c r="B653" s="239" t="s">
        <v>1926</v>
      </c>
    </row>
    <row r="654">
      <c r="A654" s="145" t="s">
        <v>203</v>
      </c>
      <c r="B654" s="241" t="s">
        <v>1928</v>
      </c>
    </row>
    <row r="655">
      <c r="A655" s="143" t="s">
        <v>223</v>
      </c>
      <c r="B655" s="242" t="s">
        <v>1928</v>
      </c>
    </row>
    <row r="656">
      <c r="A656" s="145" t="s">
        <v>242</v>
      </c>
      <c r="B656" s="241" t="s">
        <v>1928</v>
      </c>
    </row>
    <row r="657">
      <c r="A657" s="143" t="s">
        <v>262</v>
      </c>
      <c r="B657" s="242" t="s">
        <v>1928</v>
      </c>
    </row>
    <row r="658">
      <c r="A658" s="145" t="s">
        <v>282</v>
      </c>
      <c r="B658" s="241" t="s">
        <v>1928</v>
      </c>
    </row>
    <row r="659">
      <c r="A659" s="143" t="s">
        <v>302</v>
      </c>
      <c r="B659" s="242" t="s">
        <v>1928</v>
      </c>
    </row>
    <row r="660">
      <c r="A660" s="145" t="s">
        <v>322</v>
      </c>
      <c r="B660" s="241" t="s">
        <v>1928</v>
      </c>
    </row>
    <row r="661">
      <c r="A661" s="143" t="s">
        <v>342</v>
      </c>
      <c r="B661" s="242" t="s">
        <v>1928</v>
      </c>
    </row>
    <row r="662">
      <c r="A662" s="145" t="s">
        <v>362</v>
      </c>
      <c r="B662" s="243" t="s">
        <v>1930</v>
      </c>
    </row>
    <row r="663">
      <c r="A663" s="143" t="s">
        <v>387</v>
      </c>
      <c r="B663" s="244" t="s">
        <v>1930</v>
      </c>
    </row>
    <row r="664">
      <c r="A664" s="145" t="s">
        <v>413</v>
      </c>
      <c r="B664" s="243" t="s">
        <v>1930</v>
      </c>
    </row>
    <row r="665">
      <c r="A665" s="143" t="s">
        <v>441</v>
      </c>
      <c r="B665" s="244" t="s">
        <v>1930</v>
      </c>
    </row>
    <row r="666">
      <c r="A666" s="145" t="s">
        <v>469</v>
      </c>
      <c r="B666" s="243" t="s">
        <v>1930</v>
      </c>
    </row>
    <row r="667">
      <c r="A667" s="143" t="s">
        <v>498</v>
      </c>
      <c r="B667" s="244" t="s">
        <v>1930</v>
      </c>
    </row>
    <row r="668">
      <c r="A668" s="145" t="s">
        <v>521</v>
      </c>
      <c r="B668" s="236" t="s">
        <v>1932</v>
      </c>
    </row>
    <row r="669">
      <c r="A669" s="143" t="s">
        <v>540</v>
      </c>
      <c r="B669" s="245" t="s">
        <v>1932</v>
      </c>
    </row>
    <row r="670">
      <c r="A670" s="145" t="s">
        <v>560</v>
      </c>
      <c r="B670" s="236" t="s">
        <v>1932</v>
      </c>
    </row>
    <row r="671">
      <c r="A671" s="143" t="s">
        <v>583</v>
      </c>
      <c r="B671" s="226" t="s">
        <v>1928</v>
      </c>
    </row>
    <row r="672">
      <c r="A672" s="145" t="s">
        <v>607</v>
      </c>
      <c r="B672" s="234" t="s">
        <v>1926</v>
      </c>
    </row>
    <row r="673">
      <c r="A673" s="143" t="s">
        <v>627</v>
      </c>
      <c r="B673" s="226" t="s">
        <v>1926</v>
      </c>
    </row>
    <row r="674">
      <c r="A674" s="145" t="s">
        <v>653</v>
      </c>
      <c r="B674" s="234" t="s">
        <v>1934</v>
      </c>
    </row>
    <row r="675">
      <c r="A675" s="143" t="s">
        <v>503</v>
      </c>
      <c r="B675" s="226" t="s">
        <v>1934</v>
      </c>
    </row>
    <row r="676">
      <c r="A676" s="145" t="s">
        <v>511</v>
      </c>
      <c r="B676" s="226" t="s">
        <v>1934</v>
      </c>
    </row>
    <row r="677">
      <c r="A677" s="143" t="s">
        <v>516</v>
      </c>
      <c r="B677" s="226" t="s">
        <v>1936</v>
      </c>
    </row>
    <row r="678">
      <c r="A678" s="145"/>
      <c r="B678" s="237"/>
    </row>
    <row r="679">
      <c r="A679" s="143"/>
      <c r="B679" s="238"/>
    </row>
    <row r="680">
      <c r="A680" s="145"/>
      <c r="B680" s="237"/>
    </row>
    <row r="681">
      <c r="A681" s="143"/>
      <c r="B681" s="238"/>
    </row>
    <row r="682">
      <c r="A682" s="145"/>
      <c r="B682" s="237"/>
    </row>
    <row r="683">
      <c r="A683" s="143"/>
      <c r="B683" s="238"/>
    </row>
    <row r="684">
      <c r="A684" s="145"/>
      <c r="B684" s="237"/>
    </row>
    <row r="685">
      <c r="A685" s="143"/>
      <c r="B685" s="238"/>
    </row>
    <row r="686">
      <c r="A686" s="145"/>
      <c r="B686" s="237"/>
    </row>
    <row r="687">
      <c r="A687" s="143"/>
      <c r="B687" s="238"/>
    </row>
    <row r="688">
      <c r="A688" s="145"/>
      <c r="B688" s="237"/>
    </row>
    <row r="689">
      <c r="A689" s="143"/>
      <c r="B689" s="238"/>
    </row>
    <row r="690">
      <c r="A690" s="145"/>
      <c r="B690" s="237"/>
    </row>
    <row r="691">
      <c r="A691" s="143"/>
      <c r="B691" s="238"/>
    </row>
    <row r="692">
      <c r="A692" s="145"/>
      <c r="B692" s="237"/>
    </row>
    <row r="693">
      <c r="A693" s="143"/>
      <c r="B693" s="238"/>
    </row>
    <row r="694">
      <c r="A694" s="145"/>
      <c r="B694" s="237"/>
    </row>
    <row r="695">
      <c r="A695" s="143"/>
      <c r="B695" s="238"/>
    </row>
    <row r="696">
      <c r="A696" s="145"/>
      <c r="B696" s="237"/>
    </row>
    <row r="697">
      <c r="A697" s="143"/>
      <c r="B697" s="238"/>
    </row>
    <row r="698">
      <c r="A698" s="145"/>
      <c r="B698" s="237"/>
    </row>
    <row r="699">
      <c r="A699" s="143"/>
      <c r="B699" s="238"/>
    </row>
    <row r="700">
      <c r="A700" s="184"/>
      <c r="B700" s="237"/>
    </row>
    <row r="701">
      <c r="A701" s="171" t="str">
        <f t="array" ref="A701:A750">'Up Names'!O2:O51</f>
        <v>Connected Systems</v>
      </c>
      <c r="B701" s="239" t="s">
        <v>1926</v>
      </c>
    </row>
    <row r="702">
      <c r="A702" s="145" t="s">
        <v>164</v>
      </c>
      <c r="B702" s="240" t="s">
        <v>1926</v>
      </c>
    </row>
    <row r="703">
      <c r="A703" s="143" t="s">
        <v>184</v>
      </c>
      <c r="B703" s="239" t="s">
        <v>1926</v>
      </c>
    </row>
    <row r="704">
      <c r="A704" s="145" t="s">
        <v>204</v>
      </c>
      <c r="B704" s="241" t="s">
        <v>1928</v>
      </c>
    </row>
    <row r="705">
      <c r="A705" s="143" t="s">
        <v>224</v>
      </c>
      <c r="B705" s="242" t="s">
        <v>1928</v>
      </c>
    </row>
    <row r="706">
      <c r="A706" s="145" t="s">
        <v>243</v>
      </c>
      <c r="B706" s="241" t="s">
        <v>1928</v>
      </c>
    </row>
    <row r="707">
      <c r="A707" s="143" t="s">
        <v>263</v>
      </c>
      <c r="B707" s="242" t="s">
        <v>1928</v>
      </c>
    </row>
    <row r="708">
      <c r="A708" s="145" t="s">
        <v>283</v>
      </c>
      <c r="B708" s="241" t="s">
        <v>1928</v>
      </c>
    </row>
    <row r="709">
      <c r="A709" s="143" t="s">
        <v>303</v>
      </c>
      <c r="B709" s="242" t="s">
        <v>1928</v>
      </c>
    </row>
    <row r="710">
      <c r="A710" s="145" t="s">
        <v>323</v>
      </c>
      <c r="B710" s="241" t="s">
        <v>1928</v>
      </c>
    </row>
    <row r="711">
      <c r="A711" s="143" t="s">
        <v>343</v>
      </c>
      <c r="B711" s="244" t="s">
        <v>1930</v>
      </c>
    </row>
    <row r="712">
      <c r="A712" s="145" t="s">
        <v>363</v>
      </c>
      <c r="B712" s="243" t="s">
        <v>1930</v>
      </c>
    </row>
    <row r="713">
      <c r="A713" s="143" t="s">
        <v>388</v>
      </c>
      <c r="B713" s="244" t="s">
        <v>1930</v>
      </c>
    </row>
    <row r="714">
      <c r="A714" s="145" t="s">
        <v>414</v>
      </c>
      <c r="B714" s="243" t="s">
        <v>1930</v>
      </c>
    </row>
    <row r="715">
      <c r="A715" s="143" t="s">
        <v>442</v>
      </c>
      <c r="B715" s="244" t="s">
        <v>1930</v>
      </c>
    </row>
    <row r="716">
      <c r="A716" s="145" t="s">
        <v>470</v>
      </c>
      <c r="B716" s="243" t="s">
        <v>1930</v>
      </c>
    </row>
    <row r="717">
      <c r="A717" s="143" t="s">
        <v>500</v>
      </c>
      <c r="B717" s="244" t="s">
        <v>1930</v>
      </c>
    </row>
    <row r="718">
      <c r="A718" s="145" t="s">
        <v>522</v>
      </c>
      <c r="B718" s="236" t="s">
        <v>1932</v>
      </c>
    </row>
    <row r="719">
      <c r="A719" s="143" t="s">
        <v>541</v>
      </c>
      <c r="B719" s="245" t="s">
        <v>1932</v>
      </c>
    </row>
    <row r="720">
      <c r="A720" s="145" t="s">
        <v>561</v>
      </c>
      <c r="B720" s="236" t="s">
        <v>1932</v>
      </c>
    </row>
    <row r="721">
      <c r="A721" s="143" t="s">
        <v>583</v>
      </c>
      <c r="B721" s="226" t="s">
        <v>1928</v>
      </c>
    </row>
    <row r="722">
      <c r="A722" s="145" t="s">
        <v>607</v>
      </c>
      <c r="B722" s="234" t="s">
        <v>1926</v>
      </c>
    </row>
    <row r="723">
      <c r="A723" s="143" t="s">
        <v>627</v>
      </c>
      <c r="B723" s="226" t="s">
        <v>1926</v>
      </c>
    </row>
    <row r="724">
      <c r="A724" s="145" t="s">
        <v>653</v>
      </c>
      <c r="B724" s="234" t="s">
        <v>1934</v>
      </c>
    </row>
    <row r="725">
      <c r="A725" s="143" t="s">
        <v>503</v>
      </c>
      <c r="B725" s="226" t="s">
        <v>1934</v>
      </c>
    </row>
    <row r="726">
      <c r="A726" s="145" t="s">
        <v>511</v>
      </c>
      <c r="B726" s="226" t="s">
        <v>1934</v>
      </c>
    </row>
    <row r="727">
      <c r="A727" s="143" t="s">
        <v>516</v>
      </c>
      <c r="B727" s="226" t="s">
        <v>1936</v>
      </c>
    </row>
    <row r="728">
      <c r="A728" s="145"/>
      <c r="B728" s="237"/>
    </row>
    <row r="729">
      <c r="A729" s="143"/>
      <c r="B729" s="238"/>
    </row>
    <row r="730">
      <c r="A730" s="145"/>
      <c r="B730" s="237"/>
    </row>
    <row r="731">
      <c r="A731" s="143"/>
      <c r="B731" s="238"/>
    </row>
    <row r="732">
      <c r="A732" s="145"/>
      <c r="B732" s="237"/>
    </row>
    <row r="733">
      <c r="A733" s="143"/>
      <c r="B733" s="238"/>
    </row>
    <row r="734">
      <c r="A734" s="145"/>
      <c r="B734" s="237"/>
    </row>
    <row r="735">
      <c r="A735" s="143"/>
      <c r="B735" s="238"/>
    </row>
    <row r="736">
      <c r="A736" s="145"/>
      <c r="B736" s="237"/>
    </row>
    <row r="737">
      <c r="A737" s="143"/>
      <c r="B737" s="238"/>
    </row>
    <row r="738">
      <c r="A738" s="145"/>
      <c r="B738" s="237"/>
    </row>
    <row r="739">
      <c r="A739" s="143"/>
      <c r="B739" s="238"/>
    </row>
    <row r="740">
      <c r="A740" s="145"/>
      <c r="B740" s="237"/>
    </row>
    <row r="741">
      <c r="A741" s="143"/>
      <c r="B741" s="238"/>
    </row>
    <row r="742">
      <c r="A742" s="145"/>
      <c r="B742" s="237"/>
    </row>
    <row r="743">
      <c r="A743" s="143"/>
      <c r="B743" s="238"/>
    </row>
    <row r="744">
      <c r="A744" s="145"/>
      <c r="B744" s="237"/>
    </row>
    <row r="745">
      <c r="A745" s="143"/>
      <c r="B745" s="238"/>
    </row>
    <row r="746">
      <c r="A746" s="145"/>
      <c r="B746" s="237"/>
    </row>
    <row r="747">
      <c r="A747" s="143"/>
      <c r="B747" s="238"/>
    </row>
    <row r="748">
      <c r="A748" s="145"/>
      <c r="B748" s="237"/>
    </row>
    <row r="749">
      <c r="A749" s="143"/>
      <c r="B749" s="238"/>
    </row>
    <row r="750">
      <c r="A750" s="184"/>
      <c r="B750" s="237"/>
    </row>
    <row r="751">
      <c r="A751" s="171" t="str">
        <f t="array" ref="A751:A800">'Up Names'!P2:P51</f>
        <v>Magboots</v>
      </c>
      <c r="B751" s="239" t="s">
        <v>1926</v>
      </c>
    </row>
    <row r="752">
      <c r="A752" s="145" t="s">
        <v>165</v>
      </c>
      <c r="B752" s="241" t="s">
        <v>1928</v>
      </c>
    </row>
    <row r="753">
      <c r="A753" s="143" t="s">
        <v>185</v>
      </c>
      <c r="B753" s="242" t="s">
        <v>1928</v>
      </c>
    </row>
    <row r="754">
      <c r="A754" s="145" t="s">
        <v>205</v>
      </c>
      <c r="B754" s="241" t="s">
        <v>1928</v>
      </c>
    </row>
    <row r="755">
      <c r="A755" s="143" t="s">
        <v>39</v>
      </c>
      <c r="B755" s="242" t="s">
        <v>1928</v>
      </c>
    </row>
    <row r="756">
      <c r="A756" s="145" t="s">
        <v>244</v>
      </c>
      <c r="B756" s="241" t="s">
        <v>1928</v>
      </c>
    </row>
    <row r="757">
      <c r="A757" s="143" t="s">
        <v>264</v>
      </c>
      <c r="B757" s="242" t="s">
        <v>1928</v>
      </c>
    </row>
    <row r="758">
      <c r="A758" s="145" t="s">
        <v>284</v>
      </c>
      <c r="B758" s="241" t="s">
        <v>1928</v>
      </c>
    </row>
    <row r="759">
      <c r="A759" s="143" t="s">
        <v>304</v>
      </c>
      <c r="B759" s="242" t="s">
        <v>1928</v>
      </c>
    </row>
    <row r="760">
      <c r="A760" s="145" t="s">
        <v>324</v>
      </c>
      <c r="B760" s="241" t="s">
        <v>1928</v>
      </c>
    </row>
    <row r="761">
      <c r="A761" s="143" t="s">
        <v>344</v>
      </c>
      <c r="B761" s="242" t="s">
        <v>1928</v>
      </c>
    </row>
    <row r="762">
      <c r="A762" s="145" t="s">
        <v>364</v>
      </c>
      <c r="B762" s="241" t="s">
        <v>1928</v>
      </c>
    </row>
    <row r="763">
      <c r="A763" s="143" t="s">
        <v>389</v>
      </c>
      <c r="B763" s="242" t="s">
        <v>1928</v>
      </c>
    </row>
    <row r="764">
      <c r="A764" s="145" t="s">
        <v>417</v>
      </c>
      <c r="B764" s="241" t="s">
        <v>1928</v>
      </c>
    </row>
    <row r="765">
      <c r="A765" s="143" t="s">
        <v>444</v>
      </c>
      <c r="B765" s="242" t="s">
        <v>1928</v>
      </c>
    </row>
    <row r="766">
      <c r="A766" s="145" t="s">
        <v>471</v>
      </c>
      <c r="B766" s="243" t="s">
        <v>1930</v>
      </c>
    </row>
    <row r="767">
      <c r="A767" s="143" t="s">
        <v>501</v>
      </c>
      <c r="B767" s="244" t="s">
        <v>1930</v>
      </c>
    </row>
    <row r="768">
      <c r="A768" s="145" t="s">
        <v>523</v>
      </c>
      <c r="B768" s="243" t="s">
        <v>1930</v>
      </c>
    </row>
    <row r="769">
      <c r="A769" s="143" t="s">
        <v>542</v>
      </c>
      <c r="B769" s="244" t="s">
        <v>1930</v>
      </c>
    </row>
    <row r="770">
      <c r="A770" s="145" t="s">
        <v>562</v>
      </c>
      <c r="B770" s="243" t="s">
        <v>1930</v>
      </c>
    </row>
    <row r="771">
      <c r="A771" s="143" t="s">
        <v>585</v>
      </c>
      <c r="B771" s="244" t="s">
        <v>1930</v>
      </c>
    </row>
    <row r="772">
      <c r="A772" s="145" t="s">
        <v>608</v>
      </c>
      <c r="B772" s="243" t="s">
        <v>1930</v>
      </c>
    </row>
    <row r="773">
      <c r="A773" s="143" t="s">
        <v>629</v>
      </c>
      <c r="B773" s="244" t="s">
        <v>1930</v>
      </c>
    </row>
    <row r="774">
      <c r="A774" s="145" t="s">
        <v>654</v>
      </c>
      <c r="B774" s="243" t="s">
        <v>1930</v>
      </c>
    </row>
    <row r="775">
      <c r="A775" s="143" t="s">
        <v>669</v>
      </c>
      <c r="B775" s="244" t="s">
        <v>1930</v>
      </c>
    </row>
    <row r="776">
      <c r="A776" s="145" t="s">
        <v>683</v>
      </c>
      <c r="B776" s="243" t="s">
        <v>1930</v>
      </c>
    </row>
    <row r="777">
      <c r="A777" s="143" t="s">
        <v>698</v>
      </c>
      <c r="B777" s="244" t="s">
        <v>1930</v>
      </c>
    </row>
    <row r="778">
      <c r="A778" s="145" t="s">
        <v>717</v>
      </c>
      <c r="B778" s="236" t="s">
        <v>1932</v>
      </c>
    </row>
    <row r="779">
      <c r="A779" s="143" t="s">
        <v>735</v>
      </c>
      <c r="B779" s="245" t="s">
        <v>1932</v>
      </c>
    </row>
    <row r="780">
      <c r="A780" s="145" t="s">
        <v>753</v>
      </c>
      <c r="B780" s="236" t="s">
        <v>1932</v>
      </c>
    </row>
    <row r="781">
      <c r="A781" s="143" t="s">
        <v>765</v>
      </c>
      <c r="B781" s="226" t="s">
        <v>1928</v>
      </c>
    </row>
    <row r="782">
      <c r="A782" s="145" t="s">
        <v>774</v>
      </c>
      <c r="B782" s="234" t="s">
        <v>1934</v>
      </c>
    </row>
    <row r="783">
      <c r="A783" s="143" t="s">
        <v>780</v>
      </c>
      <c r="B783" s="226" t="s">
        <v>1934</v>
      </c>
    </row>
    <row r="784">
      <c r="A784" s="145" t="s">
        <v>785</v>
      </c>
      <c r="B784" s="234" t="s">
        <v>1934</v>
      </c>
    </row>
    <row r="785">
      <c r="A785" s="143" t="s">
        <v>790</v>
      </c>
      <c r="B785" s="226" t="s">
        <v>1934</v>
      </c>
    </row>
    <row r="786">
      <c r="A786" s="145" t="s">
        <v>503</v>
      </c>
      <c r="B786" s="226" t="s">
        <v>1934</v>
      </c>
    </row>
    <row r="787">
      <c r="A787" s="143" t="s">
        <v>511</v>
      </c>
      <c r="B787" s="226" t="s">
        <v>1934</v>
      </c>
    </row>
    <row r="788">
      <c r="A788" s="145" t="s">
        <v>516</v>
      </c>
      <c r="B788" s="226" t="s">
        <v>1936</v>
      </c>
    </row>
    <row r="789">
      <c r="A789" s="143"/>
      <c r="B789" s="238"/>
    </row>
    <row r="790">
      <c r="A790" s="145"/>
      <c r="B790" s="237"/>
    </row>
    <row r="791">
      <c r="A791" s="143"/>
      <c r="B791" s="238"/>
    </row>
    <row r="792">
      <c r="A792" s="145"/>
      <c r="B792" s="237"/>
    </row>
    <row r="793">
      <c r="A793" s="143"/>
      <c r="B793" s="238"/>
    </row>
    <row r="794">
      <c r="A794" s="145"/>
      <c r="B794" s="237"/>
    </row>
    <row r="795">
      <c r="A795" s="143"/>
      <c r="B795" s="238"/>
    </row>
    <row r="796">
      <c r="A796" s="145"/>
      <c r="B796" s="237"/>
    </row>
    <row r="797">
      <c r="A797" s="143"/>
      <c r="B797" s="238"/>
    </row>
    <row r="798">
      <c r="A798" s="145"/>
      <c r="B798" s="237"/>
    </row>
    <row r="799">
      <c r="A799" s="143"/>
      <c r="B799" s="238"/>
    </row>
    <row r="800">
      <c r="A800" s="184"/>
      <c r="B800" s="237"/>
    </row>
    <row r="801">
      <c r="A801" s="171" t="str">
        <f t="array" ref="A801:A850">'Up Names'!Q2:Q51</f>
        <v>Switcheroo</v>
      </c>
      <c r="B801" s="246" t="s">
        <v>1936</v>
      </c>
    </row>
    <row r="802">
      <c r="A802" s="145" t="s">
        <v>166</v>
      </c>
      <c r="B802" s="239" t="s">
        <v>1926</v>
      </c>
    </row>
    <row r="803">
      <c r="A803" s="143" t="s">
        <v>186</v>
      </c>
      <c r="B803" s="240" t="s">
        <v>1926</v>
      </c>
    </row>
    <row r="804">
      <c r="A804" s="145" t="s">
        <v>206</v>
      </c>
      <c r="B804" s="239" t="s">
        <v>1926</v>
      </c>
    </row>
    <row r="805">
      <c r="A805" s="143" t="s">
        <v>225</v>
      </c>
      <c r="B805" s="240" t="s">
        <v>1926</v>
      </c>
    </row>
    <row r="806">
      <c r="A806" s="145" t="s">
        <v>245</v>
      </c>
      <c r="B806" s="239" t="s">
        <v>1926</v>
      </c>
    </row>
    <row r="807">
      <c r="A807" s="143" t="s">
        <v>265</v>
      </c>
      <c r="B807" s="241" t="s">
        <v>1928</v>
      </c>
    </row>
    <row r="808">
      <c r="A808" s="145" t="s">
        <v>285</v>
      </c>
      <c r="B808" s="242" t="s">
        <v>1928</v>
      </c>
    </row>
    <row r="809">
      <c r="A809" s="143" t="s">
        <v>305</v>
      </c>
      <c r="B809" s="241" t="s">
        <v>1928</v>
      </c>
    </row>
    <row r="810">
      <c r="A810" s="145" t="s">
        <v>325</v>
      </c>
      <c r="B810" s="242" t="s">
        <v>1928</v>
      </c>
    </row>
    <row r="811">
      <c r="A811" s="143" t="s">
        <v>345</v>
      </c>
      <c r="B811" s="241" t="s">
        <v>1928</v>
      </c>
    </row>
    <row r="812">
      <c r="A812" s="145" t="s">
        <v>365</v>
      </c>
      <c r="B812" s="242" t="s">
        <v>1928</v>
      </c>
    </row>
    <row r="813">
      <c r="A813" s="143" t="s">
        <v>390</v>
      </c>
      <c r="B813" s="241" t="s">
        <v>1928</v>
      </c>
    </row>
    <row r="814">
      <c r="A814" s="145" t="s">
        <v>418</v>
      </c>
      <c r="B814" s="242" t="s">
        <v>1928</v>
      </c>
    </row>
    <row r="815">
      <c r="A815" s="143" t="s">
        <v>445</v>
      </c>
      <c r="B815" s="241" t="s">
        <v>1928</v>
      </c>
    </row>
    <row r="816">
      <c r="A816" s="145" t="s">
        <v>473</v>
      </c>
      <c r="B816" s="242" t="s">
        <v>1928</v>
      </c>
    </row>
    <row r="817">
      <c r="A817" s="143" t="s">
        <v>502</v>
      </c>
      <c r="B817" s="243" t="s">
        <v>1930</v>
      </c>
    </row>
    <row r="818">
      <c r="A818" s="145" t="s">
        <v>524</v>
      </c>
      <c r="B818" s="244" t="s">
        <v>1930</v>
      </c>
    </row>
    <row r="819">
      <c r="A819" s="143" t="s">
        <v>543</v>
      </c>
      <c r="B819" s="243" t="s">
        <v>1930</v>
      </c>
    </row>
    <row r="820">
      <c r="A820" s="145" t="s">
        <v>564</v>
      </c>
      <c r="B820" s="244" t="s">
        <v>1930</v>
      </c>
    </row>
    <row r="821">
      <c r="A821" s="143" t="s">
        <v>586</v>
      </c>
      <c r="B821" s="243" t="s">
        <v>1930</v>
      </c>
    </row>
    <row r="822">
      <c r="A822" s="145" t="s">
        <v>609</v>
      </c>
      <c r="B822" s="244" t="s">
        <v>1930</v>
      </c>
    </row>
    <row r="823">
      <c r="A823" s="143" t="s">
        <v>631</v>
      </c>
      <c r="B823" s="243" t="s">
        <v>1930</v>
      </c>
    </row>
    <row r="824">
      <c r="A824" s="145" t="s">
        <v>655</v>
      </c>
      <c r="B824" s="244" t="s">
        <v>1930</v>
      </c>
    </row>
    <row r="825">
      <c r="A825" s="143" t="s">
        <v>670</v>
      </c>
      <c r="B825" s="243" t="s">
        <v>1930</v>
      </c>
    </row>
    <row r="826">
      <c r="A826" s="145" t="s">
        <v>684</v>
      </c>
      <c r="B826" s="244" t="s">
        <v>1930</v>
      </c>
    </row>
    <row r="827">
      <c r="A827" s="143" t="s">
        <v>699</v>
      </c>
      <c r="B827" s="243" t="s">
        <v>1930</v>
      </c>
    </row>
    <row r="828">
      <c r="A828" s="145" t="s">
        <v>719</v>
      </c>
      <c r="B828" s="244" t="s">
        <v>1930</v>
      </c>
    </row>
    <row r="829">
      <c r="A829" s="143" t="s">
        <v>737</v>
      </c>
      <c r="B829" s="236" t="s">
        <v>1932</v>
      </c>
    </row>
    <row r="830">
      <c r="A830" s="145" t="s">
        <v>754</v>
      </c>
      <c r="B830" s="245" t="s">
        <v>1932</v>
      </c>
    </row>
    <row r="831">
      <c r="A831" s="143" t="s">
        <v>766</v>
      </c>
      <c r="B831" s="236" t="s">
        <v>1932</v>
      </c>
    </row>
    <row r="832">
      <c r="A832" s="145" t="s">
        <v>775</v>
      </c>
      <c r="B832" s="245" t="s">
        <v>1932</v>
      </c>
    </row>
    <row r="833">
      <c r="A833" s="143" t="s">
        <v>781</v>
      </c>
      <c r="B833" s="236" t="s">
        <v>1932</v>
      </c>
    </row>
    <row r="834">
      <c r="A834" s="145" t="s">
        <v>786</v>
      </c>
      <c r="B834" s="245" t="s">
        <v>1932</v>
      </c>
    </row>
    <row r="835">
      <c r="A835" s="143" t="s">
        <v>791</v>
      </c>
      <c r="B835" s="234" t="s">
        <v>1926</v>
      </c>
    </row>
    <row r="836">
      <c r="A836" s="145" t="s">
        <v>797</v>
      </c>
      <c r="B836" s="234" t="s">
        <v>1928</v>
      </c>
    </row>
    <row r="837">
      <c r="A837" s="143"/>
      <c r="B837" s="238"/>
    </row>
    <row r="838">
      <c r="A838" s="145"/>
      <c r="B838" s="237"/>
    </row>
    <row r="839">
      <c r="A839" s="143"/>
      <c r="B839" s="238"/>
    </row>
    <row r="840">
      <c r="A840" s="145"/>
      <c r="B840" s="237"/>
    </row>
    <row r="841">
      <c r="A841" s="143"/>
      <c r="B841" s="238"/>
    </row>
    <row r="842">
      <c r="A842" s="145"/>
      <c r="B842" s="237"/>
    </row>
    <row r="843">
      <c r="A843" s="143"/>
      <c r="B843" s="238"/>
    </row>
    <row r="844">
      <c r="A844" s="145"/>
      <c r="B844" s="237"/>
    </row>
    <row r="845">
      <c r="A845" s="143"/>
      <c r="B845" s="238"/>
    </row>
    <row r="846">
      <c r="A846" s="145"/>
      <c r="B846" s="237"/>
    </row>
    <row r="847">
      <c r="A847" s="143"/>
      <c r="B847" s="238"/>
    </row>
    <row r="848">
      <c r="A848" s="145"/>
      <c r="B848" s="237"/>
    </row>
    <row r="849">
      <c r="A849" s="143"/>
      <c r="B849" s="238"/>
    </row>
    <row r="850">
      <c r="A850" s="184"/>
      <c r="B850" s="237"/>
    </row>
    <row r="851">
      <c r="A851" s="171" t="str">
        <f t="array" ref="A851:A900">'Up Names'!R2:R51</f>
        <v>Modular Construction</v>
      </c>
      <c r="B851" s="249" t="s">
        <v>1936</v>
      </c>
    </row>
    <row r="852">
      <c r="A852" s="145" t="s">
        <v>167</v>
      </c>
      <c r="B852" s="240" t="s">
        <v>1926</v>
      </c>
    </row>
    <row r="853">
      <c r="A853" s="143" t="s">
        <v>187</v>
      </c>
      <c r="B853" s="239" t="s">
        <v>1926</v>
      </c>
    </row>
    <row r="854">
      <c r="A854" s="145" t="s">
        <v>207</v>
      </c>
      <c r="B854" s="240" t="s">
        <v>1926</v>
      </c>
    </row>
    <row r="855">
      <c r="A855" s="143" t="s">
        <v>226</v>
      </c>
      <c r="B855" s="239" t="s">
        <v>1926</v>
      </c>
    </row>
    <row r="856">
      <c r="A856" s="145" t="s">
        <v>246</v>
      </c>
      <c r="B856" s="240" t="s">
        <v>1926</v>
      </c>
    </row>
    <row r="857">
      <c r="A857" s="143" t="s">
        <v>266</v>
      </c>
      <c r="B857" s="242" t="s">
        <v>1928</v>
      </c>
    </row>
    <row r="858">
      <c r="A858" s="145" t="s">
        <v>286</v>
      </c>
      <c r="B858" s="241" t="s">
        <v>1928</v>
      </c>
    </row>
    <row r="859">
      <c r="A859" s="143" t="s">
        <v>306</v>
      </c>
      <c r="B859" s="242" t="s">
        <v>1928</v>
      </c>
    </row>
    <row r="860">
      <c r="A860" s="145" t="s">
        <v>326</v>
      </c>
      <c r="B860" s="241" t="s">
        <v>1928</v>
      </c>
    </row>
    <row r="861">
      <c r="A861" s="143" t="s">
        <v>346</v>
      </c>
      <c r="B861" s="242" t="s">
        <v>1928</v>
      </c>
    </row>
    <row r="862">
      <c r="A862" s="145" t="s">
        <v>366</v>
      </c>
      <c r="B862" s="241" t="s">
        <v>1928</v>
      </c>
    </row>
    <row r="863">
      <c r="A863" s="143" t="s">
        <v>391</v>
      </c>
      <c r="B863" s="242" t="s">
        <v>1928</v>
      </c>
    </row>
    <row r="864">
      <c r="A864" s="145" t="s">
        <v>419</v>
      </c>
      <c r="B864" s="243" t="s">
        <v>1930</v>
      </c>
    </row>
    <row r="865">
      <c r="A865" s="143" t="s">
        <v>446</v>
      </c>
      <c r="B865" s="244" t="s">
        <v>1930</v>
      </c>
    </row>
    <row r="866">
      <c r="A866" s="145" t="s">
        <v>475</v>
      </c>
      <c r="B866" s="243" t="s">
        <v>1930</v>
      </c>
    </row>
    <row r="867">
      <c r="A867" s="143" t="s">
        <v>504</v>
      </c>
      <c r="B867" s="244" t="s">
        <v>1930</v>
      </c>
    </row>
    <row r="868">
      <c r="A868" s="145" t="s">
        <v>525</v>
      </c>
      <c r="B868" s="243" t="s">
        <v>1930</v>
      </c>
    </row>
    <row r="869">
      <c r="A869" s="143" t="s">
        <v>544</v>
      </c>
      <c r="B869" s="244" t="s">
        <v>1930</v>
      </c>
    </row>
    <row r="870">
      <c r="A870" s="145" t="s">
        <v>565</v>
      </c>
      <c r="B870" s="243" t="s">
        <v>1930</v>
      </c>
    </row>
    <row r="871">
      <c r="A871" s="143" t="s">
        <v>588</v>
      </c>
      <c r="B871" s="244" t="s">
        <v>1930</v>
      </c>
    </row>
    <row r="872">
      <c r="A872" s="145" t="s">
        <v>610</v>
      </c>
      <c r="B872" s="243" t="s">
        <v>1930</v>
      </c>
    </row>
    <row r="873">
      <c r="A873" s="143" t="s">
        <v>633</v>
      </c>
      <c r="B873" s="244" t="s">
        <v>1930</v>
      </c>
    </row>
    <row r="874">
      <c r="A874" s="145" t="s">
        <v>656</v>
      </c>
      <c r="B874" s="243" t="s">
        <v>1930</v>
      </c>
    </row>
    <row r="875">
      <c r="A875" s="143" t="s">
        <v>671</v>
      </c>
      <c r="B875" s="244" t="s">
        <v>1930</v>
      </c>
    </row>
    <row r="876">
      <c r="A876" s="145" t="s">
        <v>685</v>
      </c>
      <c r="B876" s="243" t="s">
        <v>1930</v>
      </c>
    </row>
    <row r="877">
      <c r="A877" s="143" t="s">
        <v>701</v>
      </c>
      <c r="B877" s="245" t="s">
        <v>1932</v>
      </c>
    </row>
    <row r="878">
      <c r="A878" s="145" t="s">
        <v>720</v>
      </c>
      <c r="B878" s="236" t="s">
        <v>1932</v>
      </c>
    </row>
    <row r="879">
      <c r="A879" s="143" t="s">
        <v>738</v>
      </c>
      <c r="B879" s="245" t="s">
        <v>1932</v>
      </c>
    </row>
    <row r="880">
      <c r="A880" s="145" t="s">
        <v>755</v>
      </c>
      <c r="B880" s="236" t="s">
        <v>1932</v>
      </c>
    </row>
    <row r="881">
      <c r="A881" s="143" t="s">
        <v>768</v>
      </c>
      <c r="B881" s="245" t="s">
        <v>1932</v>
      </c>
    </row>
    <row r="882">
      <c r="A882" s="145" t="s">
        <v>776</v>
      </c>
      <c r="B882" s="236" t="s">
        <v>1932</v>
      </c>
    </row>
    <row r="883">
      <c r="A883" s="143" t="s">
        <v>782</v>
      </c>
      <c r="B883" s="245" t="s">
        <v>1932</v>
      </c>
    </row>
    <row r="884">
      <c r="A884" s="145" t="s">
        <v>787</v>
      </c>
      <c r="B884" s="234" t="s">
        <v>1926</v>
      </c>
    </row>
    <row r="885">
      <c r="A885" s="143" t="s">
        <v>792</v>
      </c>
      <c r="B885" s="226" t="s">
        <v>1928</v>
      </c>
    </row>
    <row r="886">
      <c r="A886" s="145"/>
      <c r="B886" s="237"/>
    </row>
    <row r="887">
      <c r="A887" s="143"/>
      <c r="B887" s="238"/>
    </row>
    <row r="888">
      <c r="A888" s="145"/>
      <c r="B888" s="237"/>
    </row>
    <row r="889">
      <c r="A889" s="143"/>
      <c r="B889" s="238"/>
    </row>
    <row r="890">
      <c r="A890" s="145"/>
      <c r="B890" s="237"/>
    </row>
    <row r="891">
      <c r="A891" s="143"/>
      <c r="B891" s="238"/>
    </row>
    <row r="892">
      <c r="A892" s="145"/>
      <c r="B892" s="237"/>
    </row>
    <row r="893">
      <c r="A893" s="143"/>
      <c r="B893" s="238"/>
    </row>
    <row r="894">
      <c r="A894" s="145"/>
      <c r="B894" s="237"/>
    </row>
    <row r="895">
      <c r="A895" s="143"/>
      <c r="B895" s="238"/>
    </row>
    <row r="896">
      <c r="A896" s="145"/>
      <c r="B896" s="237"/>
    </row>
    <row r="897">
      <c r="A897" s="143"/>
      <c r="B897" s="238"/>
    </row>
    <row r="898">
      <c r="A898" s="145"/>
      <c r="B898" s="237"/>
    </row>
    <row r="899">
      <c r="A899" s="143"/>
      <c r="B899" s="238"/>
    </row>
    <row r="900">
      <c r="A900" s="184"/>
      <c r="B900" s="237"/>
    </row>
    <row r="901">
      <c r="A901" s="171" t="str">
        <f t="array" ref="A901:A950">'Up Names'!S2:S51</f>
        <v>Upside Down</v>
      </c>
      <c r="B901" s="249" t="s">
        <v>1936</v>
      </c>
    </row>
    <row r="902">
      <c r="A902" s="145" t="s">
        <v>168</v>
      </c>
      <c r="B902" s="240" t="s">
        <v>1926</v>
      </c>
    </row>
    <row r="903">
      <c r="A903" s="143" t="s">
        <v>188</v>
      </c>
      <c r="B903" s="239" t="s">
        <v>1926</v>
      </c>
    </row>
    <row r="904">
      <c r="A904" s="145" t="s">
        <v>208</v>
      </c>
      <c r="B904" s="240" t="s">
        <v>1926</v>
      </c>
    </row>
    <row r="905">
      <c r="A905" s="143" t="s">
        <v>227</v>
      </c>
      <c r="B905" s="239" t="s">
        <v>1926</v>
      </c>
    </row>
    <row r="906">
      <c r="A906" s="145" t="s">
        <v>247</v>
      </c>
      <c r="B906" s="240" t="s">
        <v>1926</v>
      </c>
    </row>
    <row r="907">
      <c r="A907" s="143" t="s">
        <v>267</v>
      </c>
      <c r="B907" s="242" t="s">
        <v>1928</v>
      </c>
    </row>
    <row r="908">
      <c r="A908" s="145" t="s">
        <v>287</v>
      </c>
      <c r="B908" s="241" t="s">
        <v>1928</v>
      </c>
    </row>
    <row r="909">
      <c r="A909" s="143" t="s">
        <v>307</v>
      </c>
      <c r="B909" s="242" t="s">
        <v>1928</v>
      </c>
    </row>
    <row r="910">
      <c r="A910" s="145" t="s">
        <v>327</v>
      </c>
      <c r="B910" s="241" t="s">
        <v>1928</v>
      </c>
    </row>
    <row r="911">
      <c r="A911" s="143" t="s">
        <v>347</v>
      </c>
      <c r="B911" s="242" t="s">
        <v>1928</v>
      </c>
    </row>
    <row r="912">
      <c r="A912" s="145" t="s">
        <v>367</v>
      </c>
      <c r="B912" s="241" t="s">
        <v>1928</v>
      </c>
    </row>
    <row r="913">
      <c r="A913" s="143" t="s">
        <v>392</v>
      </c>
      <c r="B913" s="242" t="s">
        <v>1928</v>
      </c>
    </row>
    <row r="914">
      <c r="A914" s="145" t="s">
        <v>420</v>
      </c>
      <c r="B914" s="241" t="s">
        <v>1928</v>
      </c>
    </row>
    <row r="915">
      <c r="A915" s="143" t="s">
        <v>448</v>
      </c>
      <c r="B915" s="242" t="s">
        <v>1928</v>
      </c>
    </row>
    <row r="916">
      <c r="A916" s="145" t="s">
        <v>476</v>
      </c>
      <c r="B916" s="241" t="s">
        <v>1928</v>
      </c>
    </row>
    <row r="917">
      <c r="A917" s="143" t="s">
        <v>505</v>
      </c>
      <c r="B917" s="244" t="s">
        <v>1930</v>
      </c>
    </row>
    <row r="918">
      <c r="A918" s="145" t="s">
        <v>526</v>
      </c>
      <c r="B918" s="243" t="s">
        <v>1930</v>
      </c>
    </row>
    <row r="919">
      <c r="A919" s="143" t="s">
        <v>545</v>
      </c>
      <c r="B919" s="244" t="s">
        <v>1930</v>
      </c>
    </row>
    <row r="920">
      <c r="A920" s="145" t="s">
        <v>566</v>
      </c>
      <c r="B920" s="243" t="s">
        <v>1930</v>
      </c>
    </row>
    <row r="921">
      <c r="A921" s="143" t="s">
        <v>589</v>
      </c>
      <c r="B921" s="244" t="s">
        <v>1930</v>
      </c>
    </row>
    <row r="922">
      <c r="A922" s="145" t="s">
        <v>611</v>
      </c>
      <c r="B922" s="243" t="s">
        <v>1930</v>
      </c>
    </row>
    <row r="923">
      <c r="A923" s="143" t="s">
        <v>634</v>
      </c>
      <c r="B923" s="244" t="s">
        <v>1930</v>
      </c>
    </row>
    <row r="924">
      <c r="A924" s="145" t="s">
        <v>657</v>
      </c>
      <c r="B924" s="243" t="s">
        <v>1930</v>
      </c>
    </row>
    <row r="925">
      <c r="A925" s="143" t="s">
        <v>672</v>
      </c>
      <c r="B925" s="244" t="s">
        <v>1930</v>
      </c>
    </row>
    <row r="926">
      <c r="A926" s="145" t="s">
        <v>686</v>
      </c>
      <c r="B926" s="243" t="s">
        <v>1930</v>
      </c>
    </row>
    <row r="927">
      <c r="A927" s="143" t="s">
        <v>702</v>
      </c>
      <c r="B927" s="244" t="s">
        <v>1930</v>
      </c>
    </row>
    <row r="928">
      <c r="A928" s="145" t="s">
        <v>721</v>
      </c>
      <c r="B928" s="243" t="s">
        <v>1930</v>
      </c>
    </row>
    <row r="929">
      <c r="A929" s="143" t="s">
        <v>739</v>
      </c>
      <c r="B929" s="245" t="s">
        <v>1932</v>
      </c>
    </row>
    <row r="930">
      <c r="A930" s="145" t="s">
        <v>757</v>
      </c>
      <c r="B930" s="236" t="s">
        <v>1932</v>
      </c>
    </row>
    <row r="931">
      <c r="A931" s="143" t="s">
        <v>769</v>
      </c>
      <c r="B931" s="245" t="s">
        <v>1932</v>
      </c>
    </row>
    <row r="932">
      <c r="A932" s="145" t="s">
        <v>777</v>
      </c>
      <c r="B932" s="236" t="s">
        <v>1932</v>
      </c>
    </row>
    <row r="933">
      <c r="A933" s="143" t="s">
        <v>783</v>
      </c>
      <c r="B933" s="245" t="s">
        <v>1932</v>
      </c>
    </row>
    <row r="934">
      <c r="A934" s="145" t="s">
        <v>788</v>
      </c>
      <c r="B934" s="234" t="s">
        <v>1926</v>
      </c>
    </row>
    <row r="935">
      <c r="A935" s="143" t="s">
        <v>793</v>
      </c>
      <c r="B935" s="226" t="s">
        <v>1928</v>
      </c>
    </row>
    <row r="936">
      <c r="A936" s="145"/>
      <c r="B936" s="237"/>
    </row>
    <row r="937">
      <c r="A937" s="143"/>
      <c r="B937" s="238"/>
    </row>
    <row r="938">
      <c r="A938" s="145"/>
      <c r="B938" s="237"/>
    </row>
    <row r="939">
      <c r="A939" s="143"/>
      <c r="B939" s="238"/>
    </row>
    <row r="940">
      <c r="A940" s="145"/>
      <c r="B940" s="237"/>
    </row>
    <row r="941">
      <c r="A941" s="143"/>
      <c r="B941" s="238"/>
    </row>
    <row r="942">
      <c r="A942" s="145"/>
      <c r="B942" s="237"/>
    </row>
    <row r="943">
      <c r="A943" s="143"/>
      <c r="B943" s="238"/>
    </row>
    <row r="944">
      <c r="A944" s="145"/>
      <c r="B944" s="237"/>
    </row>
    <row r="945">
      <c r="A945" s="143"/>
      <c r="B945" s="238"/>
    </row>
    <row r="946">
      <c r="A946" s="145"/>
      <c r="B946" s="237"/>
    </row>
    <row r="947">
      <c r="A947" s="143"/>
      <c r="B947" s="238"/>
    </row>
    <row r="948">
      <c r="A948" s="145"/>
      <c r="B948" s="237"/>
    </row>
    <row r="949">
      <c r="A949" s="143"/>
      <c r="B949" s="238"/>
    </row>
    <row r="950">
      <c r="A950" s="184"/>
      <c r="B950" s="237"/>
    </row>
    <row r="951">
      <c r="A951" s="171" t="str">
        <f t="array" ref="A951:A1000">'Up Names'!T2:T51</f>
        <v>Attrition Supply</v>
      </c>
      <c r="B951" s="239" t="s">
        <v>1926</v>
      </c>
    </row>
    <row r="952">
      <c r="A952" s="145" t="s">
        <v>169</v>
      </c>
      <c r="B952" s="240" t="s">
        <v>1926</v>
      </c>
    </row>
    <row r="953">
      <c r="A953" s="143" t="s">
        <v>189</v>
      </c>
      <c r="B953" s="239" t="s">
        <v>1926</v>
      </c>
    </row>
    <row r="954">
      <c r="A954" s="145" t="s">
        <v>209</v>
      </c>
      <c r="B954" s="240" t="s">
        <v>1926</v>
      </c>
    </row>
    <row r="955">
      <c r="A955" s="143" t="s">
        <v>228</v>
      </c>
      <c r="B955" s="239" t="s">
        <v>1926</v>
      </c>
    </row>
    <row r="956">
      <c r="A956" s="145" t="s">
        <v>248</v>
      </c>
      <c r="B956" s="241" t="s">
        <v>1928</v>
      </c>
    </row>
    <row r="957">
      <c r="A957" s="143" t="s">
        <v>268</v>
      </c>
      <c r="B957" s="242" t="s">
        <v>1928</v>
      </c>
    </row>
    <row r="958">
      <c r="A958" s="145" t="s">
        <v>288</v>
      </c>
      <c r="B958" s="241" t="s">
        <v>1928</v>
      </c>
    </row>
    <row r="959">
      <c r="A959" s="143" t="s">
        <v>308</v>
      </c>
      <c r="B959" s="242" t="s">
        <v>1928</v>
      </c>
    </row>
    <row r="960">
      <c r="A960" s="145" t="s">
        <v>328</v>
      </c>
      <c r="B960" s="241" t="s">
        <v>1928</v>
      </c>
    </row>
    <row r="961">
      <c r="A961" s="143" t="s">
        <v>348</v>
      </c>
      <c r="B961" s="242" t="s">
        <v>1928</v>
      </c>
    </row>
    <row r="962">
      <c r="A962" s="145" t="s">
        <v>368</v>
      </c>
      <c r="B962" s="241" t="s">
        <v>1928</v>
      </c>
    </row>
    <row r="963">
      <c r="A963" s="143" t="s">
        <v>393</v>
      </c>
      <c r="B963" s="242" t="s">
        <v>1928</v>
      </c>
    </row>
    <row r="964">
      <c r="A964" s="145" t="s">
        <v>422</v>
      </c>
      <c r="B964" s="241" t="s">
        <v>1928</v>
      </c>
    </row>
    <row r="965">
      <c r="A965" s="143" t="s">
        <v>450</v>
      </c>
      <c r="B965" s="242" t="s">
        <v>1928</v>
      </c>
    </row>
    <row r="966">
      <c r="A966" s="145" t="s">
        <v>478</v>
      </c>
      <c r="B966" s="241" t="s">
        <v>1928</v>
      </c>
    </row>
    <row r="967">
      <c r="A967" s="143" t="s">
        <v>506</v>
      </c>
      <c r="B967" s="244" t="s">
        <v>1930</v>
      </c>
    </row>
    <row r="968">
      <c r="A968" s="145" t="s">
        <v>527</v>
      </c>
      <c r="B968" s="243" t="s">
        <v>1930</v>
      </c>
    </row>
    <row r="969">
      <c r="A969" s="143" t="s">
        <v>546</v>
      </c>
      <c r="B969" s="244" t="s">
        <v>1930</v>
      </c>
    </row>
    <row r="970">
      <c r="A970" s="145" t="s">
        <v>568</v>
      </c>
      <c r="B970" s="243" t="s">
        <v>1930</v>
      </c>
    </row>
    <row r="971">
      <c r="A971" s="143" t="s">
        <v>590</v>
      </c>
      <c r="B971" s="244" t="s">
        <v>1930</v>
      </c>
    </row>
    <row r="972">
      <c r="A972" s="145" t="s">
        <v>612</v>
      </c>
      <c r="B972" s="243" t="s">
        <v>1930</v>
      </c>
    </row>
    <row r="973">
      <c r="A973" s="143" t="s">
        <v>636</v>
      </c>
      <c r="B973" s="244" t="s">
        <v>1930</v>
      </c>
    </row>
    <row r="974">
      <c r="A974" s="145" t="s">
        <v>658</v>
      </c>
      <c r="B974" s="243" t="s">
        <v>1930</v>
      </c>
    </row>
    <row r="975">
      <c r="A975" s="143" t="s">
        <v>673</v>
      </c>
      <c r="B975" s="244" t="s">
        <v>1930</v>
      </c>
    </row>
    <row r="976">
      <c r="A976" s="145" t="s">
        <v>687</v>
      </c>
      <c r="B976" s="243" t="s">
        <v>1930</v>
      </c>
    </row>
    <row r="977">
      <c r="A977" s="143" t="s">
        <v>703</v>
      </c>
      <c r="B977" s="244" t="s">
        <v>1930</v>
      </c>
    </row>
    <row r="978">
      <c r="A978" s="145" t="s">
        <v>722</v>
      </c>
      <c r="B978" s="243" t="s">
        <v>1930</v>
      </c>
    </row>
    <row r="979">
      <c r="A979" s="143" t="s">
        <v>741</v>
      </c>
      <c r="B979" s="245" t="s">
        <v>1932</v>
      </c>
    </row>
    <row r="980">
      <c r="A980" s="145" t="s">
        <v>758</v>
      </c>
      <c r="B980" s="236" t="s">
        <v>1932</v>
      </c>
    </row>
    <row r="981">
      <c r="A981" s="143" t="s">
        <v>771</v>
      </c>
      <c r="B981" s="245" t="s">
        <v>1932</v>
      </c>
    </row>
    <row r="982">
      <c r="A982" s="145" t="s">
        <v>778</v>
      </c>
      <c r="B982" s="236" t="s">
        <v>1932</v>
      </c>
    </row>
    <row r="983">
      <c r="A983" s="143" t="s">
        <v>784</v>
      </c>
      <c r="B983" s="245" t="s">
        <v>1932</v>
      </c>
    </row>
    <row r="984">
      <c r="A984" s="145" t="s">
        <v>789</v>
      </c>
      <c r="B984" s="234" t="s">
        <v>1926</v>
      </c>
    </row>
    <row r="985">
      <c r="A985" s="143" t="s">
        <v>794</v>
      </c>
      <c r="B985" s="226" t="s">
        <v>1928</v>
      </c>
    </row>
    <row r="986">
      <c r="A986" s="145"/>
      <c r="B986" s="237"/>
    </row>
    <row r="987">
      <c r="A987" s="143"/>
      <c r="B987" s="238"/>
    </row>
    <row r="988">
      <c r="A988" s="145"/>
      <c r="B988" s="237"/>
    </row>
    <row r="989">
      <c r="A989" s="143"/>
      <c r="B989" s="238"/>
    </row>
    <row r="990">
      <c r="A990" s="145"/>
      <c r="B990" s="237"/>
    </row>
    <row r="991">
      <c r="A991" s="143"/>
      <c r="B991" s="238"/>
    </row>
    <row r="992">
      <c r="A992" s="145"/>
      <c r="B992" s="237"/>
    </row>
    <row r="993">
      <c r="A993" s="143"/>
      <c r="B993" s="238"/>
    </row>
    <row r="994">
      <c r="A994" s="145"/>
      <c r="B994" s="237"/>
    </row>
    <row r="995">
      <c r="A995" s="143"/>
      <c r="B995" s="238"/>
    </row>
    <row r="996">
      <c r="A996" s="145"/>
      <c r="B996" s="237"/>
    </row>
    <row r="997">
      <c r="A997" s="143"/>
      <c r="B997" s="238"/>
    </row>
    <row r="998">
      <c r="A998" s="145"/>
      <c r="B998" s="237"/>
    </row>
    <row r="999">
      <c r="A999" s="143"/>
      <c r="B999" s="238"/>
    </row>
    <row r="1000">
      <c r="A1000" s="184"/>
      <c r="B1000" s="237"/>
    </row>
  </sheetData>
  <conditionalFormatting sqref="B1:B1000">
    <cfRule type="cellIs" dxfId="21" priority="1" operator="equal">
      <formula>"Oddity"</formula>
    </cfRule>
  </conditionalFormatting>
  <conditionalFormatting sqref="B1:B1000">
    <cfRule type="cellIs" dxfId="22" priority="2" operator="equal">
      <formula>"Exotic"</formula>
    </cfRule>
  </conditionalFormatting>
  <conditionalFormatting sqref="B1:B1000">
    <cfRule type="cellIs" dxfId="5" priority="3" operator="equal">
      <formula>"Epic"</formula>
    </cfRule>
  </conditionalFormatting>
  <conditionalFormatting sqref="B1:B1000">
    <cfRule type="cellIs" dxfId="23" priority="4" operator="equal">
      <formula>"Rare"</formula>
    </cfRule>
  </conditionalFormatting>
  <conditionalFormatting sqref="B1:B1000">
    <cfRule type="cellIs" dxfId="11" priority="5" operator="equal">
      <formula>"Standard"</formula>
    </cfRule>
  </conditionalFormatting>
  <conditionalFormatting sqref="B1:B1000">
    <cfRule type="cellIs" dxfId="8" priority="6" operator="equal">
      <formula>"Contraband"</formula>
    </cfRule>
  </conditionalFormatting>
  <drawing r:id="rId1"/>
  <tableParts count="1">
    <tablePart r:id="rId3"/>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0" t="str">
        <f t="array" ref="A1:A50">'Up Names'!A2:A51</f>
        <v>Corrode Siphon</v>
      </c>
      <c r="B1" s="151">
        <v>6.0</v>
      </c>
    </row>
    <row r="2">
      <c r="A2" s="153" t="s">
        <v>150</v>
      </c>
      <c r="B2" s="154">
        <v>10.0</v>
      </c>
    </row>
    <row r="3">
      <c r="A3" s="155" t="s">
        <v>170</v>
      </c>
      <c r="B3" s="151">
        <v>7.0</v>
      </c>
    </row>
    <row r="4">
      <c r="A4" s="153" t="s">
        <v>190</v>
      </c>
      <c r="B4" s="154">
        <v>7.0</v>
      </c>
    </row>
    <row r="5">
      <c r="A5" s="155" t="s">
        <v>210</v>
      </c>
      <c r="B5" s="151">
        <v>7.0</v>
      </c>
    </row>
    <row r="6">
      <c r="A6" s="153" t="s">
        <v>229</v>
      </c>
      <c r="B6" s="154">
        <v>6.0</v>
      </c>
    </row>
    <row r="7">
      <c r="A7" s="155" t="s">
        <v>249</v>
      </c>
      <c r="B7" s="151">
        <v>5.0</v>
      </c>
    </row>
    <row r="8">
      <c r="A8" s="153" t="s">
        <v>269</v>
      </c>
      <c r="B8" s="154">
        <v>4.0</v>
      </c>
    </row>
    <row r="9">
      <c r="A9" s="155" t="s">
        <v>289</v>
      </c>
      <c r="B9" s="151">
        <v>5.0</v>
      </c>
    </row>
    <row r="10">
      <c r="A10" s="153" t="s">
        <v>309</v>
      </c>
      <c r="B10" s="154">
        <v>5.0</v>
      </c>
    </row>
    <row r="11">
      <c r="A11" s="155" t="s">
        <v>329</v>
      </c>
      <c r="B11" s="151">
        <v>4.0</v>
      </c>
    </row>
    <row r="12">
      <c r="A12" s="153" t="s">
        <v>349</v>
      </c>
      <c r="B12" s="154">
        <v>4.0</v>
      </c>
    </row>
    <row r="13">
      <c r="A13" s="155" t="s">
        <v>372</v>
      </c>
      <c r="B13" s="151">
        <v>4.0</v>
      </c>
    </row>
    <row r="14">
      <c r="A14" s="153" t="s">
        <v>394</v>
      </c>
      <c r="B14" s="154">
        <v>5.0</v>
      </c>
    </row>
    <row r="15">
      <c r="A15" s="155" t="s">
        <v>404</v>
      </c>
      <c r="B15" s="151">
        <v>2.0</v>
      </c>
    </row>
    <row r="16">
      <c r="A16" s="153" t="s">
        <v>410</v>
      </c>
      <c r="B16" s="154">
        <v>3.0</v>
      </c>
    </row>
    <row r="17">
      <c r="A17" s="155" t="s">
        <v>415</v>
      </c>
      <c r="B17" s="151">
        <v>5.0</v>
      </c>
    </row>
    <row r="18">
      <c r="A18" s="153" t="s">
        <v>421</v>
      </c>
      <c r="B18" s="154">
        <v>3.0</v>
      </c>
    </row>
    <row r="19">
      <c r="A19" s="155" t="s">
        <v>426</v>
      </c>
      <c r="B19" s="151">
        <v>3.0</v>
      </c>
    </row>
    <row r="20">
      <c r="A20" s="153" t="s">
        <v>430</v>
      </c>
      <c r="B20" s="154">
        <v>5.0</v>
      </c>
    </row>
    <row r="21">
      <c r="A21" s="155" t="s">
        <v>435</v>
      </c>
      <c r="B21" s="151">
        <v>4.0</v>
      </c>
    </row>
    <row r="22">
      <c r="A22" s="153" t="s">
        <v>439</v>
      </c>
      <c r="B22" s="154">
        <v>4.0</v>
      </c>
    </row>
    <row r="23">
      <c r="A23" s="155" t="s">
        <v>443</v>
      </c>
      <c r="B23" s="151">
        <v>4.0</v>
      </c>
    </row>
    <row r="24">
      <c r="A24" s="153" t="s">
        <v>447</v>
      </c>
      <c r="B24" s="154">
        <v>3.0</v>
      </c>
    </row>
    <row r="25">
      <c r="A25" s="155" t="s">
        <v>451</v>
      </c>
      <c r="B25" s="151">
        <v>5.0</v>
      </c>
    </row>
    <row r="26">
      <c r="A26" s="153" t="s">
        <v>455</v>
      </c>
      <c r="B26" s="154">
        <v>4.0</v>
      </c>
    </row>
    <row r="27">
      <c r="A27" s="155" t="s">
        <v>459</v>
      </c>
      <c r="B27" s="151">
        <v>5.0</v>
      </c>
    </row>
    <row r="28">
      <c r="A28" s="153" t="s">
        <v>464</v>
      </c>
      <c r="B28" s="154">
        <v>4.0</v>
      </c>
    </row>
    <row r="29">
      <c r="A29" s="155" t="s">
        <v>468</v>
      </c>
      <c r="B29" s="151">
        <v>8.0</v>
      </c>
    </row>
    <row r="30">
      <c r="A30" s="153" t="s">
        <v>472</v>
      </c>
      <c r="B30" s="154">
        <v>3.0</v>
      </c>
    </row>
    <row r="31">
      <c r="A31" s="155" t="s">
        <v>477</v>
      </c>
      <c r="B31" s="151">
        <v>3.0</v>
      </c>
    </row>
    <row r="32">
      <c r="A32" s="153" t="s">
        <v>481</v>
      </c>
      <c r="B32" s="154">
        <v>3.0</v>
      </c>
    </row>
    <row r="33">
      <c r="A33" s="155" t="s">
        <v>486</v>
      </c>
      <c r="B33" s="151">
        <v>3.0</v>
      </c>
    </row>
    <row r="34">
      <c r="A34" s="153" t="s">
        <v>492</v>
      </c>
      <c r="B34" s="154">
        <v>3.0</v>
      </c>
    </row>
    <row r="35">
      <c r="A35" s="155" t="s">
        <v>496</v>
      </c>
      <c r="B35" s="151">
        <v>4.0</v>
      </c>
    </row>
    <row r="36">
      <c r="A36" s="153" t="s">
        <v>499</v>
      </c>
      <c r="B36" s="154">
        <v>3.0</v>
      </c>
    </row>
    <row r="37">
      <c r="A37" s="155" t="s">
        <v>503</v>
      </c>
      <c r="B37" s="247">
        <v>1.0</v>
      </c>
    </row>
    <row r="38">
      <c r="A38" s="153" t="s">
        <v>511</v>
      </c>
      <c r="B38" s="248">
        <v>1.0</v>
      </c>
    </row>
    <row r="39">
      <c r="A39" s="155" t="s">
        <v>516</v>
      </c>
      <c r="B39" s="247">
        <v>1.0</v>
      </c>
    </row>
    <row r="40">
      <c r="A40" s="153"/>
      <c r="B40" s="168"/>
    </row>
    <row r="41">
      <c r="A41" s="155"/>
      <c r="B41" s="156"/>
    </row>
    <row r="42">
      <c r="A42" s="153"/>
      <c r="B42" s="168"/>
    </row>
    <row r="43">
      <c r="A43" s="155"/>
      <c r="B43" s="156"/>
    </row>
    <row r="44">
      <c r="A44" s="153"/>
      <c r="B44" s="168"/>
    </row>
    <row r="45">
      <c r="A45" s="155"/>
      <c r="B45" s="156"/>
    </row>
    <row r="46">
      <c r="A46" s="153"/>
      <c r="B46" s="168"/>
    </row>
    <row r="47">
      <c r="A47" s="155"/>
      <c r="B47" s="156"/>
    </row>
    <row r="48">
      <c r="A48" s="153"/>
      <c r="B48" s="168"/>
    </row>
    <row r="49">
      <c r="A49" s="155"/>
      <c r="B49" s="156"/>
    </row>
    <row r="50">
      <c r="A50" s="162"/>
      <c r="B50" s="168"/>
    </row>
    <row r="51">
      <c r="A51" s="150" t="str">
        <f t="array" ref="A51:A100">'Up Names'!B2:B51</f>
        <v>All Powdered Up</v>
      </c>
      <c r="B51" s="151">
        <v>6.0</v>
      </c>
    </row>
    <row r="52">
      <c r="A52" s="153" t="s">
        <v>151</v>
      </c>
      <c r="B52" s="154">
        <v>8.0</v>
      </c>
    </row>
    <row r="53">
      <c r="A53" s="155" t="s">
        <v>171</v>
      </c>
      <c r="B53" s="151">
        <v>6.0</v>
      </c>
    </row>
    <row r="54">
      <c r="A54" s="153" t="s">
        <v>191</v>
      </c>
      <c r="B54" s="154">
        <v>5.0</v>
      </c>
    </row>
    <row r="55">
      <c r="A55" s="155" t="s">
        <v>211</v>
      </c>
      <c r="B55" s="151">
        <v>4.0</v>
      </c>
    </row>
    <row r="56">
      <c r="A56" s="153" t="s">
        <v>230</v>
      </c>
      <c r="B56" s="154">
        <v>4.0</v>
      </c>
    </row>
    <row r="57">
      <c r="A57" s="155" t="s">
        <v>250</v>
      </c>
      <c r="B57" s="151">
        <v>4.0</v>
      </c>
    </row>
    <row r="58">
      <c r="A58" s="153" t="s">
        <v>270</v>
      </c>
      <c r="B58" s="154">
        <v>5.0</v>
      </c>
    </row>
    <row r="59">
      <c r="A59" s="155" t="s">
        <v>290</v>
      </c>
      <c r="B59" s="151">
        <v>6.0</v>
      </c>
    </row>
    <row r="60">
      <c r="A60" s="153" t="s">
        <v>310</v>
      </c>
      <c r="B60" s="154">
        <v>5.0</v>
      </c>
    </row>
    <row r="61">
      <c r="A61" s="155" t="s">
        <v>330</v>
      </c>
      <c r="B61" s="151">
        <v>3.0</v>
      </c>
    </row>
    <row r="62">
      <c r="A62" s="153" t="s">
        <v>350</v>
      </c>
      <c r="B62" s="154">
        <v>3.0</v>
      </c>
    </row>
    <row r="63">
      <c r="A63" s="155" t="s">
        <v>373</v>
      </c>
      <c r="B63" s="151">
        <v>4.0</v>
      </c>
    </row>
    <row r="64">
      <c r="A64" s="153" t="s">
        <v>395</v>
      </c>
      <c r="B64" s="154">
        <v>3.0</v>
      </c>
    </row>
    <row r="65">
      <c r="A65" s="155" t="s">
        <v>424</v>
      </c>
      <c r="B65" s="151">
        <v>2.0</v>
      </c>
    </row>
    <row r="66">
      <c r="A66" s="153" t="s">
        <v>452</v>
      </c>
      <c r="B66" s="154">
        <v>4.0</v>
      </c>
    </row>
    <row r="67">
      <c r="A67" s="155" t="s">
        <v>480</v>
      </c>
      <c r="B67" s="151">
        <v>3.0</v>
      </c>
    </row>
    <row r="68">
      <c r="A68" s="153" t="s">
        <v>507</v>
      </c>
      <c r="B68" s="154">
        <v>4.0</v>
      </c>
    </row>
    <row r="69">
      <c r="A69" s="155" t="s">
        <v>528</v>
      </c>
      <c r="B69" s="151">
        <v>5.0</v>
      </c>
    </row>
    <row r="70">
      <c r="A70" s="153" t="s">
        <v>547</v>
      </c>
      <c r="B70" s="154">
        <v>4.0</v>
      </c>
    </row>
    <row r="71">
      <c r="A71" s="155" t="s">
        <v>570</v>
      </c>
      <c r="B71" s="151">
        <v>4.0</v>
      </c>
    </row>
    <row r="72">
      <c r="A72" s="153" t="s">
        <v>592</v>
      </c>
      <c r="B72" s="154">
        <v>6.0</v>
      </c>
    </row>
    <row r="73">
      <c r="A73" s="155" t="s">
        <v>613</v>
      </c>
      <c r="B73" s="151">
        <v>3.0</v>
      </c>
    </row>
    <row r="74">
      <c r="A74" s="153" t="s">
        <v>628</v>
      </c>
      <c r="B74" s="154">
        <v>7.0</v>
      </c>
    </row>
    <row r="75">
      <c r="A75" s="155" t="s">
        <v>630</v>
      </c>
      <c r="B75" s="151">
        <v>3.0</v>
      </c>
    </row>
    <row r="76">
      <c r="A76" s="153" t="s">
        <v>635</v>
      </c>
      <c r="B76" s="154">
        <v>4.0</v>
      </c>
    </row>
    <row r="77">
      <c r="A77" s="155" t="s">
        <v>638</v>
      </c>
      <c r="B77" s="151">
        <v>3.0</v>
      </c>
    </row>
    <row r="78">
      <c r="A78" s="153" t="s">
        <v>642</v>
      </c>
      <c r="B78" s="154">
        <v>3.0</v>
      </c>
    </row>
    <row r="79">
      <c r="A79" s="155" t="s">
        <v>646</v>
      </c>
      <c r="B79" s="151">
        <v>4.0</v>
      </c>
    </row>
    <row r="80">
      <c r="A80" s="153" t="s">
        <v>650</v>
      </c>
      <c r="B80" s="154">
        <v>3.0</v>
      </c>
    </row>
    <row r="81">
      <c r="A81" s="155" t="s">
        <v>503</v>
      </c>
      <c r="B81" s="247">
        <v>1.0</v>
      </c>
    </row>
    <row r="82">
      <c r="A82" s="153" t="s">
        <v>511</v>
      </c>
      <c r="B82" s="248">
        <v>1.0</v>
      </c>
    </row>
    <row r="83">
      <c r="A83" s="155" t="s">
        <v>516</v>
      </c>
      <c r="B83" s="247">
        <v>1.0</v>
      </c>
    </row>
    <row r="84">
      <c r="A84" s="153"/>
      <c r="B84" s="168"/>
    </row>
    <row r="85">
      <c r="A85" s="155"/>
      <c r="B85" s="156"/>
    </row>
    <row r="86">
      <c r="A86" s="153"/>
      <c r="B86" s="168"/>
    </row>
    <row r="87">
      <c r="A87" s="155"/>
      <c r="B87" s="156"/>
    </row>
    <row r="88">
      <c r="A88" s="153"/>
      <c r="B88" s="168"/>
    </row>
    <row r="89">
      <c r="A89" s="155"/>
      <c r="B89" s="156"/>
    </row>
    <row r="90">
      <c r="A90" s="153"/>
      <c r="B90" s="168"/>
    </row>
    <row r="91">
      <c r="A91" s="155"/>
      <c r="B91" s="156"/>
    </row>
    <row r="92">
      <c r="A92" s="153"/>
      <c r="B92" s="168"/>
    </row>
    <row r="93">
      <c r="A93" s="155"/>
      <c r="B93" s="156"/>
    </row>
    <row r="94">
      <c r="A94" s="153"/>
      <c r="B94" s="168"/>
    </row>
    <row r="95">
      <c r="A95" s="155"/>
      <c r="B95" s="156"/>
    </row>
    <row r="96">
      <c r="A96" s="153"/>
      <c r="B96" s="168"/>
    </row>
    <row r="97">
      <c r="A97" s="155"/>
      <c r="B97" s="156"/>
    </row>
    <row r="98">
      <c r="A98" s="153"/>
      <c r="B98" s="168"/>
    </row>
    <row r="99">
      <c r="A99" s="155"/>
      <c r="B99" s="156"/>
    </row>
    <row r="100">
      <c r="A100" s="162"/>
      <c r="B100" s="168"/>
    </row>
    <row r="101">
      <c r="A101" s="150" t="str">
        <f t="array" ref="A101:A150">'Up Names'!C2:C51</f>
        <v>Breeding Season</v>
      </c>
      <c r="B101" s="151">
        <v>6.0</v>
      </c>
    </row>
    <row r="102">
      <c r="A102" s="153" t="s">
        <v>152</v>
      </c>
      <c r="B102" s="154">
        <v>8.0</v>
      </c>
    </row>
    <row r="103">
      <c r="A103" s="155" t="s">
        <v>172</v>
      </c>
      <c r="B103" s="151">
        <v>5.0</v>
      </c>
    </row>
    <row r="104">
      <c r="A104" s="153" t="s">
        <v>192</v>
      </c>
      <c r="B104" s="154">
        <v>8.0</v>
      </c>
    </row>
    <row r="105">
      <c r="A105" s="155" t="s">
        <v>212</v>
      </c>
      <c r="B105" s="151">
        <v>5.0</v>
      </c>
    </row>
    <row r="106">
      <c r="A106" s="153" t="s">
        <v>231</v>
      </c>
      <c r="B106" s="154">
        <v>5.0</v>
      </c>
    </row>
    <row r="107">
      <c r="A107" s="155" t="s">
        <v>251</v>
      </c>
      <c r="B107" s="151">
        <v>5.0</v>
      </c>
    </row>
    <row r="108">
      <c r="A108" s="153" t="s">
        <v>271</v>
      </c>
      <c r="B108" s="154">
        <v>4.0</v>
      </c>
    </row>
    <row r="109">
      <c r="A109" s="155" t="s">
        <v>291</v>
      </c>
      <c r="B109" s="151">
        <v>6.0</v>
      </c>
    </row>
    <row r="110">
      <c r="A110" s="153" t="s">
        <v>311</v>
      </c>
      <c r="B110" s="154">
        <v>4.0</v>
      </c>
    </row>
    <row r="111">
      <c r="A111" s="155" t="s">
        <v>331</v>
      </c>
      <c r="B111" s="151">
        <v>5.0</v>
      </c>
    </row>
    <row r="112">
      <c r="A112" s="153" t="s">
        <v>351</v>
      </c>
      <c r="B112" s="154">
        <v>6.0</v>
      </c>
    </row>
    <row r="113">
      <c r="A113" s="155" t="s">
        <v>374</v>
      </c>
      <c r="B113" s="151">
        <v>3.0</v>
      </c>
    </row>
    <row r="114">
      <c r="A114" s="153" t="s">
        <v>396</v>
      </c>
      <c r="B114" s="154">
        <v>5.0</v>
      </c>
    </row>
    <row r="115">
      <c r="A115" s="155" t="s">
        <v>425</v>
      </c>
      <c r="B115" s="151">
        <v>5.0</v>
      </c>
    </row>
    <row r="116">
      <c r="A116" s="153" t="s">
        <v>453</v>
      </c>
      <c r="B116" s="154">
        <v>4.0</v>
      </c>
    </row>
    <row r="117">
      <c r="A117" s="155" t="s">
        <v>482</v>
      </c>
      <c r="B117" s="151">
        <v>4.0</v>
      </c>
    </row>
    <row r="118">
      <c r="A118" s="153" t="s">
        <v>508</v>
      </c>
      <c r="B118" s="154">
        <v>6.0</v>
      </c>
    </row>
    <row r="119">
      <c r="A119" s="155" t="s">
        <v>529</v>
      </c>
      <c r="B119" s="151">
        <v>5.0</v>
      </c>
    </row>
    <row r="120">
      <c r="A120" s="153" t="s">
        <v>548</v>
      </c>
      <c r="B120" s="154">
        <v>4.0</v>
      </c>
    </row>
    <row r="121">
      <c r="A121" s="155" t="s">
        <v>571</v>
      </c>
      <c r="B121" s="151">
        <v>4.0</v>
      </c>
    </row>
    <row r="122">
      <c r="A122" s="153" t="s">
        <v>594</v>
      </c>
      <c r="B122" s="154">
        <v>3.0</v>
      </c>
    </row>
    <row r="123">
      <c r="A123" s="155" t="s">
        <v>615</v>
      </c>
      <c r="B123" s="151">
        <v>4.0</v>
      </c>
    </row>
    <row r="124">
      <c r="A124" s="153" t="s">
        <v>640</v>
      </c>
      <c r="B124" s="154">
        <v>3.0</v>
      </c>
    </row>
    <row r="125">
      <c r="A125" s="155" t="s">
        <v>659</v>
      </c>
      <c r="B125" s="151">
        <v>4.0</v>
      </c>
    </row>
    <row r="126">
      <c r="A126" s="153" t="s">
        <v>674</v>
      </c>
      <c r="B126" s="154">
        <v>4.0</v>
      </c>
    </row>
    <row r="127">
      <c r="A127" s="155" t="s">
        <v>688</v>
      </c>
      <c r="B127" s="151">
        <v>3.0</v>
      </c>
    </row>
    <row r="128">
      <c r="A128" s="153" t="s">
        <v>705</v>
      </c>
      <c r="B128" s="154">
        <v>4.0</v>
      </c>
    </row>
    <row r="129">
      <c r="A129" s="155" t="s">
        <v>724</v>
      </c>
      <c r="B129" s="151">
        <v>4.0</v>
      </c>
    </row>
    <row r="130">
      <c r="A130" s="153" t="s">
        <v>742</v>
      </c>
      <c r="B130" s="154">
        <v>4.0</v>
      </c>
    </row>
    <row r="131">
      <c r="A131" s="155" t="s">
        <v>503</v>
      </c>
      <c r="B131" s="247">
        <v>1.0</v>
      </c>
    </row>
    <row r="132">
      <c r="A132" s="153" t="s">
        <v>511</v>
      </c>
      <c r="B132" s="248">
        <v>1.0</v>
      </c>
    </row>
    <row r="133">
      <c r="A133" s="155" t="s">
        <v>516</v>
      </c>
      <c r="B133" s="247">
        <v>1.0</v>
      </c>
    </row>
    <row r="134">
      <c r="A134" s="153"/>
      <c r="B134" s="168"/>
    </row>
    <row r="135">
      <c r="A135" s="155"/>
      <c r="B135" s="156"/>
    </row>
    <row r="136">
      <c r="A136" s="153"/>
      <c r="B136" s="168"/>
    </row>
    <row r="137">
      <c r="A137" s="155"/>
      <c r="B137" s="156"/>
    </row>
    <row r="138">
      <c r="A138" s="153"/>
      <c r="B138" s="168"/>
    </row>
    <row r="139">
      <c r="A139" s="155"/>
      <c r="B139" s="156"/>
    </row>
    <row r="140">
      <c r="A140" s="153"/>
      <c r="B140" s="168"/>
    </row>
    <row r="141">
      <c r="A141" s="155"/>
      <c r="B141" s="156"/>
    </row>
    <row r="142">
      <c r="A142" s="153"/>
      <c r="B142" s="168"/>
    </row>
    <row r="143">
      <c r="A143" s="155"/>
      <c r="B143" s="156"/>
    </row>
    <row r="144">
      <c r="A144" s="153"/>
      <c r="B144" s="168"/>
    </row>
    <row r="145">
      <c r="A145" s="155"/>
      <c r="B145" s="156"/>
    </row>
    <row r="146">
      <c r="A146" s="153"/>
      <c r="B146" s="168"/>
    </row>
    <row r="147">
      <c r="A147" s="155"/>
      <c r="B147" s="156"/>
    </row>
    <row r="148">
      <c r="A148" s="153"/>
      <c r="B148" s="168"/>
    </row>
    <row r="149">
      <c r="A149" s="155"/>
      <c r="B149" s="156"/>
    </row>
    <row r="150">
      <c r="A150" s="162"/>
      <c r="B150" s="168"/>
    </row>
    <row r="151">
      <c r="A151" s="150" t="str">
        <f t="array" ref="A151:A200">'Up Names'!D2:D51</f>
        <v>Arc Lightning</v>
      </c>
      <c r="B151" s="151">
        <v>5.0</v>
      </c>
    </row>
    <row r="152">
      <c r="A152" s="153" t="s">
        <v>153</v>
      </c>
      <c r="B152" s="154">
        <v>7.0</v>
      </c>
    </row>
    <row r="153">
      <c r="A153" s="155" t="s">
        <v>173</v>
      </c>
      <c r="B153" s="151">
        <v>6.0</v>
      </c>
    </row>
    <row r="154">
      <c r="A154" s="153" t="s">
        <v>193</v>
      </c>
      <c r="B154" s="154">
        <v>6.0</v>
      </c>
    </row>
    <row r="155">
      <c r="A155" s="155" t="s">
        <v>213</v>
      </c>
      <c r="B155" s="151">
        <v>3.0</v>
      </c>
    </row>
    <row r="156">
      <c r="A156" s="153" t="s">
        <v>232</v>
      </c>
      <c r="B156" s="154">
        <v>4.0</v>
      </c>
    </row>
    <row r="157">
      <c r="A157" s="155" t="s">
        <v>252</v>
      </c>
      <c r="B157" s="151">
        <v>5.0</v>
      </c>
    </row>
    <row r="158">
      <c r="A158" s="153" t="s">
        <v>272</v>
      </c>
      <c r="B158" s="154">
        <v>5.0</v>
      </c>
    </row>
    <row r="159">
      <c r="A159" s="155" t="s">
        <v>292</v>
      </c>
      <c r="B159" s="151">
        <v>4.0</v>
      </c>
    </row>
    <row r="160">
      <c r="A160" s="153" t="s">
        <v>312</v>
      </c>
      <c r="B160" s="154">
        <v>5.0</v>
      </c>
    </row>
    <row r="161">
      <c r="A161" s="155" t="s">
        <v>332</v>
      </c>
      <c r="B161" s="151">
        <v>3.0</v>
      </c>
    </row>
    <row r="162">
      <c r="A162" s="153" t="s">
        <v>352</v>
      </c>
      <c r="B162" s="154">
        <v>6.0</v>
      </c>
    </row>
    <row r="163">
      <c r="A163" s="155" t="s">
        <v>375</v>
      </c>
      <c r="B163" s="151">
        <v>4.0</v>
      </c>
    </row>
    <row r="164">
      <c r="A164" s="153" t="s">
        <v>398</v>
      </c>
      <c r="B164" s="154">
        <v>4.0</v>
      </c>
    </row>
    <row r="165">
      <c r="A165" s="155" t="s">
        <v>427</v>
      </c>
      <c r="B165" s="151">
        <v>3.0</v>
      </c>
    </row>
    <row r="166">
      <c r="A166" s="153" t="s">
        <v>454</v>
      </c>
      <c r="B166" s="154">
        <v>4.0</v>
      </c>
    </row>
    <row r="167">
      <c r="A167" s="155" t="s">
        <v>484</v>
      </c>
      <c r="B167" s="151">
        <v>3.0</v>
      </c>
    </row>
    <row r="168">
      <c r="A168" s="153" t="s">
        <v>509</v>
      </c>
      <c r="B168" s="154">
        <v>4.0</v>
      </c>
    </row>
    <row r="169">
      <c r="A169" s="155" t="s">
        <v>530</v>
      </c>
      <c r="B169" s="151">
        <v>4.0</v>
      </c>
    </row>
    <row r="170">
      <c r="A170" s="153" t="s">
        <v>549</v>
      </c>
      <c r="B170" s="154">
        <v>4.0</v>
      </c>
    </row>
    <row r="171">
      <c r="A171" s="155" t="s">
        <v>572</v>
      </c>
      <c r="B171" s="151">
        <v>5.0</v>
      </c>
    </row>
    <row r="172">
      <c r="A172" s="153" t="s">
        <v>595</v>
      </c>
      <c r="B172" s="154">
        <v>5.0</v>
      </c>
    </row>
    <row r="173">
      <c r="A173" s="155" t="s">
        <v>616</v>
      </c>
      <c r="B173" s="151">
        <v>4.0</v>
      </c>
    </row>
    <row r="174">
      <c r="A174" s="153" t="s">
        <v>641</v>
      </c>
      <c r="B174" s="154">
        <v>3.0</v>
      </c>
    </row>
    <row r="175">
      <c r="A175" s="155" t="s">
        <v>660</v>
      </c>
      <c r="B175" s="151">
        <v>3.0</v>
      </c>
    </row>
    <row r="176">
      <c r="A176" s="153" t="s">
        <v>675</v>
      </c>
      <c r="B176" s="154">
        <v>3.0</v>
      </c>
    </row>
    <row r="177">
      <c r="A177" s="155" t="s">
        <v>689</v>
      </c>
      <c r="B177" s="151">
        <v>3.0</v>
      </c>
    </row>
    <row r="178">
      <c r="A178" s="153" t="s">
        <v>707</v>
      </c>
      <c r="B178" s="154">
        <v>4.0</v>
      </c>
    </row>
    <row r="179">
      <c r="A179" s="155" t="s">
        <v>725</v>
      </c>
      <c r="B179" s="151">
        <v>3.0</v>
      </c>
    </row>
    <row r="180">
      <c r="A180" s="153" t="s">
        <v>743</v>
      </c>
      <c r="B180" s="154">
        <v>3.0</v>
      </c>
    </row>
    <row r="181">
      <c r="A181" s="155" t="s">
        <v>760</v>
      </c>
      <c r="B181" s="156">
        <v>4.0</v>
      </c>
    </row>
    <row r="182">
      <c r="A182" s="153" t="s">
        <v>773</v>
      </c>
      <c r="B182" s="168">
        <v>3.0</v>
      </c>
    </row>
    <row r="183">
      <c r="A183" s="155" t="s">
        <v>779</v>
      </c>
      <c r="B183" s="247">
        <v>5.0</v>
      </c>
    </row>
    <row r="184">
      <c r="A184" s="153" t="s">
        <v>503</v>
      </c>
      <c r="B184" s="247">
        <v>1.0</v>
      </c>
    </row>
    <row r="185">
      <c r="A185" s="155" t="s">
        <v>511</v>
      </c>
      <c r="B185" s="248">
        <v>1.0</v>
      </c>
    </row>
    <row r="186">
      <c r="A186" s="153" t="s">
        <v>516</v>
      </c>
      <c r="B186" s="247">
        <v>1.0</v>
      </c>
    </row>
    <row r="187">
      <c r="A187" s="155"/>
      <c r="B187" s="156"/>
    </row>
    <row r="188">
      <c r="A188" s="153"/>
      <c r="B188" s="168"/>
    </row>
    <row r="189">
      <c r="A189" s="155"/>
      <c r="B189" s="156"/>
    </row>
    <row r="190">
      <c r="A190" s="153"/>
      <c r="B190" s="168"/>
    </row>
    <row r="191">
      <c r="A191" s="155"/>
      <c r="B191" s="156"/>
    </row>
    <row r="192">
      <c r="A192" s="153"/>
      <c r="B192" s="168"/>
    </row>
    <row r="193">
      <c r="A193" s="155"/>
      <c r="B193" s="156"/>
    </row>
    <row r="194">
      <c r="A194" s="153"/>
      <c r="B194" s="168"/>
    </row>
    <row r="195">
      <c r="A195" s="155"/>
      <c r="B195" s="156"/>
    </row>
    <row r="196">
      <c r="A196" s="153"/>
      <c r="B196" s="168"/>
    </row>
    <row r="197">
      <c r="A197" s="155"/>
      <c r="B197" s="156"/>
    </row>
    <row r="198">
      <c r="A198" s="153"/>
      <c r="B198" s="168"/>
    </row>
    <row r="199">
      <c r="A199" s="155"/>
      <c r="B199" s="156"/>
    </row>
    <row r="200">
      <c r="A200" s="162"/>
      <c r="B200" s="168"/>
    </row>
    <row r="201">
      <c r="A201" s="150" t="str">
        <f t="array" ref="A201:A250">'Up Names'!E2:E51</f>
        <v>Big Fat Doobie</v>
      </c>
      <c r="B201" s="151">
        <v>4.0</v>
      </c>
    </row>
    <row r="202">
      <c r="A202" s="153" t="s">
        <v>154</v>
      </c>
      <c r="B202" s="154">
        <v>5.0</v>
      </c>
    </row>
    <row r="203">
      <c r="A203" s="155" t="s">
        <v>174</v>
      </c>
      <c r="B203" s="151">
        <v>6.0</v>
      </c>
    </row>
    <row r="204">
      <c r="A204" s="153" t="s">
        <v>194</v>
      </c>
      <c r="B204" s="154">
        <v>7.0</v>
      </c>
    </row>
    <row r="205">
      <c r="A205" s="155" t="s">
        <v>214</v>
      </c>
      <c r="B205" s="151">
        <v>4.0</v>
      </c>
    </row>
    <row r="206">
      <c r="A206" s="153" t="s">
        <v>233</v>
      </c>
      <c r="B206" s="154">
        <v>5.0</v>
      </c>
    </row>
    <row r="207">
      <c r="A207" s="155" t="s">
        <v>253</v>
      </c>
      <c r="B207" s="151">
        <v>5.0</v>
      </c>
    </row>
    <row r="208">
      <c r="A208" s="153" t="s">
        <v>273</v>
      </c>
      <c r="B208" s="154">
        <v>4.0</v>
      </c>
    </row>
    <row r="209">
      <c r="A209" s="155" t="s">
        <v>293</v>
      </c>
      <c r="B209" s="151">
        <v>6.0</v>
      </c>
    </row>
    <row r="210">
      <c r="A210" s="153" t="s">
        <v>313</v>
      </c>
      <c r="B210" s="154">
        <v>4.0</v>
      </c>
    </row>
    <row r="211">
      <c r="A211" s="155" t="s">
        <v>333</v>
      </c>
      <c r="B211" s="151">
        <v>5.0</v>
      </c>
    </row>
    <row r="212">
      <c r="A212" s="153" t="s">
        <v>353</v>
      </c>
      <c r="B212" s="154">
        <v>4.0</v>
      </c>
    </row>
    <row r="213">
      <c r="A213" s="155" t="s">
        <v>376</v>
      </c>
      <c r="B213" s="151">
        <v>4.0</v>
      </c>
    </row>
    <row r="214">
      <c r="A214" s="153" t="s">
        <v>399</v>
      </c>
      <c r="B214" s="154">
        <v>4.0</v>
      </c>
    </row>
    <row r="215">
      <c r="A215" s="155" t="s">
        <v>428</v>
      </c>
      <c r="B215" s="151">
        <v>3.0</v>
      </c>
    </row>
    <row r="216">
      <c r="A216" s="153" t="s">
        <v>456</v>
      </c>
      <c r="B216" s="154">
        <v>2.0</v>
      </c>
    </row>
    <row r="217">
      <c r="A217" s="155" t="s">
        <v>485</v>
      </c>
      <c r="B217" s="151">
        <v>4.0</v>
      </c>
    </row>
    <row r="218">
      <c r="A218" s="153" t="s">
        <v>510</v>
      </c>
      <c r="B218" s="154">
        <v>4.0</v>
      </c>
    </row>
    <row r="219">
      <c r="A219" s="155" t="s">
        <v>531</v>
      </c>
      <c r="B219" s="151">
        <v>6.0</v>
      </c>
    </row>
    <row r="220">
      <c r="A220" s="153" t="s">
        <v>550</v>
      </c>
      <c r="B220" s="154">
        <v>4.0</v>
      </c>
    </row>
    <row r="221">
      <c r="A221" s="155" t="s">
        <v>574</v>
      </c>
      <c r="B221" s="151">
        <v>3.0</v>
      </c>
    </row>
    <row r="222">
      <c r="A222" s="153" t="s">
        <v>596</v>
      </c>
      <c r="B222" s="154">
        <v>3.0</v>
      </c>
    </row>
    <row r="223">
      <c r="A223" s="155" t="s">
        <v>617</v>
      </c>
      <c r="B223" s="151">
        <v>4.0</v>
      </c>
    </row>
    <row r="224">
      <c r="A224" s="153" t="s">
        <v>643</v>
      </c>
      <c r="B224" s="154">
        <v>5.0</v>
      </c>
    </row>
    <row r="225">
      <c r="A225" s="155" t="s">
        <v>661</v>
      </c>
      <c r="B225" s="151">
        <v>4.0</v>
      </c>
    </row>
    <row r="226">
      <c r="A226" s="153" t="s">
        <v>676</v>
      </c>
      <c r="B226" s="154">
        <v>3.0</v>
      </c>
    </row>
    <row r="227">
      <c r="A227" s="155" t="s">
        <v>690</v>
      </c>
      <c r="B227" s="151">
        <v>3.0</v>
      </c>
    </row>
    <row r="228">
      <c r="A228" s="153" t="s">
        <v>708</v>
      </c>
      <c r="B228" s="154">
        <v>3.0</v>
      </c>
    </row>
    <row r="229">
      <c r="A229" s="155" t="s">
        <v>727</v>
      </c>
      <c r="B229" s="151">
        <v>3.0</v>
      </c>
    </row>
    <row r="230">
      <c r="A230" s="153" t="s">
        <v>744</v>
      </c>
      <c r="B230" s="154">
        <v>2.0</v>
      </c>
    </row>
    <row r="231">
      <c r="A231" s="155" t="s">
        <v>761</v>
      </c>
      <c r="B231" s="151">
        <v>3.0</v>
      </c>
    </row>
    <row r="232">
      <c r="A232" s="153" t="s">
        <v>503</v>
      </c>
      <c r="B232" s="247">
        <v>1.0</v>
      </c>
    </row>
    <row r="233">
      <c r="A233" s="155" t="s">
        <v>511</v>
      </c>
      <c r="B233" s="248">
        <v>1.0</v>
      </c>
    </row>
    <row r="234">
      <c r="A234" s="153" t="s">
        <v>516</v>
      </c>
      <c r="B234" s="247">
        <v>1.0</v>
      </c>
    </row>
    <row r="235">
      <c r="A235" s="155"/>
      <c r="B235" s="156"/>
    </row>
    <row r="236">
      <c r="A236" s="153"/>
      <c r="B236" s="168"/>
    </row>
    <row r="237">
      <c r="A237" s="155"/>
      <c r="B237" s="156"/>
    </row>
    <row r="238">
      <c r="A238" s="153"/>
      <c r="B238" s="168"/>
    </row>
    <row r="239">
      <c r="A239" s="155"/>
      <c r="B239" s="156"/>
    </row>
    <row r="240">
      <c r="A240" s="153"/>
      <c r="B240" s="168"/>
    </row>
    <row r="241">
      <c r="A241" s="155"/>
      <c r="B241" s="156"/>
    </row>
    <row r="242">
      <c r="A242" s="153"/>
      <c r="B242" s="168"/>
    </row>
    <row r="243">
      <c r="A243" s="155"/>
      <c r="B243" s="156"/>
    </row>
    <row r="244">
      <c r="A244" s="153"/>
      <c r="B244" s="168"/>
    </row>
    <row r="245">
      <c r="A245" s="155"/>
      <c r="B245" s="156"/>
    </row>
    <row r="246">
      <c r="A246" s="153"/>
      <c r="B246" s="168"/>
    </row>
    <row r="247">
      <c r="A247" s="155"/>
      <c r="B247" s="156"/>
    </row>
    <row r="248">
      <c r="A248" s="153"/>
      <c r="B248" s="168"/>
    </row>
    <row r="249">
      <c r="A249" s="155"/>
      <c r="B249" s="156"/>
    </row>
    <row r="250">
      <c r="A250" s="162"/>
      <c r="B250" s="168"/>
    </row>
    <row r="251">
      <c r="A251" s="150" t="str">
        <f t="array" ref="A251:A300">'Up Names'!F2:F51</f>
        <v>Return to Receiver</v>
      </c>
      <c r="B251" s="151">
        <v>5.0</v>
      </c>
    </row>
    <row r="252">
      <c r="A252" s="153" t="s">
        <v>155</v>
      </c>
      <c r="B252" s="154">
        <v>4.0</v>
      </c>
    </row>
    <row r="253">
      <c r="A253" s="155" t="s">
        <v>175</v>
      </c>
      <c r="B253" s="151">
        <v>6.0</v>
      </c>
    </row>
    <row r="254">
      <c r="A254" s="153" t="s">
        <v>195</v>
      </c>
      <c r="B254" s="154">
        <v>6.0</v>
      </c>
    </row>
    <row r="255">
      <c r="A255" s="155" t="s">
        <v>215</v>
      </c>
      <c r="B255" s="151">
        <v>5.0</v>
      </c>
    </row>
    <row r="256">
      <c r="A256" s="153" t="s">
        <v>234</v>
      </c>
      <c r="B256" s="154">
        <v>4.0</v>
      </c>
    </row>
    <row r="257">
      <c r="A257" s="155" t="s">
        <v>254</v>
      </c>
      <c r="B257" s="151">
        <v>6.0</v>
      </c>
    </row>
    <row r="258">
      <c r="A258" s="153" t="s">
        <v>274</v>
      </c>
      <c r="B258" s="154">
        <v>4.0</v>
      </c>
    </row>
    <row r="259">
      <c r="A259" s="155" t="s">
        <v>294</v>
      </c>
      <c r="B259" s="151">
        <v>5.0</v>
      </c>
    </row>
    <row r="260">
      <c r="A260" s="153" t="s">
        <v>314</v>
      </c>
      <c r="B260" s="154">
        <v>3.0</v>
      </c>
    </row>
    <row r="261">
      <c r="A261" s="155" t="s">
        <v>334</v>
      </c>
      <c r="B261" s="151">
        <v>3.0</v>
      </c>
    </row>
    <row r="262">
      <c r="A262" s="153" t="s">
        <v>354</v>
      </c>
      <c r="B262" s="154">
        <v>5.0</v>
      </c>
    </row>
    <row r="263">
      <c r="A263" s="155" t="s">
        <v>378</v>
      </c>
      <c r="B263" s="151">
        <v>5.0</v>
      </c>
    </row>
    <row r="264">
      <c r="A264" s="153" t="s">
        <v>400</v>
      </c>
      <c r="B264" s="154">
        <v>4.0</v>
      </c>
    </row>
    <row r="265">
      <c r="A265" s="155" t="s">
        <v>429</v>
      </c>
      <c r="B265" s="151">
        <v>4.0</v>
      </c>
    </row>
    <row r="266">
      <c r="A266" s="153" t="s">
        <v>457</v>
      </c>
      <c r="B266" s="154">
        <v>4.0</v>
      </c>
    </row>
    <row r="267">
      <c r="A267" s="155" t="s">
        <v>487</v>
      </c>
      <c r="B267" s="151">
        <v>5.0</v>
      </c>
    </row>
    <row r="268">
      <c r="A268" s="153" t="s">
        <v>512</v>
      </c>
      <c r="B268" s="154">
        <v>4.0</v>
      </c>
    </row>
    <row r="269">
      <c r="A269" s="155" t="s">
        <v>532</v>
      </c>
      <c r="B269" s="151">
        <v>4.0</v>
      </c>
    </row>
    <row r="270">
      <c r="A270" s="153" t="s">
        <v>551</v>
      </c>
      <c r="B270" s="154">
        <v>4.0</v>
      </c>
    </row>
    <row r="271">
      <c r="A271" s="155" t="s">
        <v>575</v>
      </c>
      <c r="B271" s="151">
        <v>3.0</v>
      </c>
    </row>
    <row r="272">
      <c r="A272" s="153" t="s">
        <v>598</v>
      </c>
      <c r="B272" s="154">
        <v>6.0</v>
      </c>
    </row>
    <row r="273">
      <c r="A273" s="155" t="s">
        <v>619</v>
      </c>
      <c r="B273" s="151">
        <v>4.0</v>
      </c>
    </row>
    <row r="274">
      <c r="A274" s="153" t="s">
        <v>644</v>
      </c>
      <c r="B274" s="154">
        <v>6.0</v>
      </c>
    </row>
    <row r="275">
      <c r="A275" s="155" t="s">
        <v>662</v>
      </c>
      <c r="B275" s="151">
        <v>4.0</v>
      </c>
    </row>
    <row r="276">
      <c r="A276" s="153" t="s">
        <v>677</v>
      </c>
      <c r="B276" s="154">
        <v>4.0</v>
      </c>
    </row>
    <row r="277">
      <c r="A277" s="155" t="s">
        <v>691</v>
      </c>
      <c r="B277" s="151">
        <v>4.0</v>
      </c>
    </row>
    <row r="278">
      <c r="A278" s="153" t="s">
        <v>709</v>
      </c>
      <c r="B278" s="154">
        <v>4.0</v>
      </c>
    </row>
    <row r="279">
      <c r="A279" s="155" t="s">
        <v>728</v>
      </c>
      <c r="B279" s="151">
        <v>3.0</v>
      </c>
    </row>
    <row r="280">
      <c r="A280" s="153" t="s">
        <v>746</v>
      </c>
      <c r="B280" s="154">
        <v>6.0</v>
      </c>
    </row>
    <row r="281">
      <c r="A281" s="155" t="s">
        <v>503</v>
      </c>
      <c r="B281" s="247">
        <v>1.0</v>
      </c>
    </row>
    <row r="282">
      <c r="A282" s="153" t="s">
        <v>511</v>
      </c>
      <c r="B282" s="248">
        <v>1.0</v>
      </c>
    </row>
    <row r="283">
      <c r="A283" s="155" t="s">
        <v>516</v>
      </c>
      <c r="B283" s="247">
        <v>1.0</v>
      </c>
    </row>
    <row r="284">
      <c r="A284" s="153"/>
      <c r="B284" s="168"/>
    </row>
    <row r="285">
      <c r="A285" s="155"/>
      <c r="B285" s="156"/>
    </row>
    <row r="286">
      <c r="A286" s="153"/>
      <c r="B286" s="168"/>
    </row>
    <row r="287">
      <c r="A287" s="155"/>
      <c r="B287" s="156"/>
    </row>
    <row r="288">
      <c r="A288" s="153"/>
      <c r="B288" s="168"/>
    </row>
    <row r="289">
      <c r="A289" s="155"/>
      <c r="B289" s="156"/>
    </row>
    <row r="290">
      <c r="A290" s="153"/>
      <c r="B290" s="168"/>
    </row>
    <row r="291">
      <c r="A291" s="155"/>
      <c r="B291" s="156"/>
    </row>
    <row r="292">
      <c r="A292" s="153"/>
      <c r="B292" s="168"/>
    </row>
    <row r="293">
      <c r="A293" s="155"/>
      <c r="B293" s="156"/>
    </row>
    <row r="294">
      <c r="A294" s="153"/>
      <c r="B294" s="168"/>
    </row>
    <row r="295">
      <c r="A295" s="155"/>
      <c r="B295" s="156"/>
    </row>
    <row r="296">
      <c r="A296" s="153"/>
      <c r="B296" s="168"/>
    </row>
    <row r="297">
      <c r="A297" s="155"/>
      <c r="B297" s="156"/>
    </row>
    <row r="298">
      <c r="A298" s="153"/>
      <c r="B298" s="168"/>
    </row>
    <row r="299">
      <c r="A299" s="155"/>
      <c r="B299" s="156"/>
    </row>
    <row r="300">
      <c r="A300" s="162"/>
      <c r="B300" s="168"/>
    </row>
    <row r="301">
      <c r="A301" s="150" t="str">
        <f t="array" ref="A301:A350">'Up Names'!G2:G51</f>
        <v>Yellow Prism</v>
      </c>
      <c r="B301" s="151">
        <v>3.0</v>
      </c>
    </row>
    <row r="302">
      <c r="A302" s="153" t="s">
        <v>156</v>
      </c>
      <c r="B302" s="154">
        <v>6.0</v>
      </c>
    </row>
    <row r="303">
      <c r="A303" s="155" t="s">
        <v>176</v>
      </c>
      <c r="B303" s="151">
        <v>5.0</v>
      </c>
    </row>
    <row r="304">
      <c r="A304" s="153" t="s">
        <v>196</v>
      </c>
      <c r="B304" s="154">
        <v>6.0</v>
      </c>
    </row>
    <row r="305">
      <c r="A305" s="155" t="s">
        <v>216</v>
      </c>
      <c r="B305" s="151">
        <v>6.0</v>
      </c>
    </row>
    <row r="306">
      <c r="A306" s="153" t="s">
        <v>235</v>
      </c>
      <c r="B306" s="154">
        <v>3.0</v>
      </c>
    </row>
    <row r="307">
      <c r="A307" s="155" t="s">
        <v>255</v>
      </c>
      <c r="B307" s="151">
        <v>8.0</v>
      </c>
    </row>
    <row r="308">
      <c r="A308" s="153" t="s">
        <v>275</v>
      </c>
      <c r="B308" s="154">
        <v>5.0</v>
      </c>
    </row>
    <row r="309">
      <c r="A309" s="155" t="s">
        <v>295</v>
      </c>
      <c r="B309" s="151">
        <v>6.0</v>
      </c>
    </row>
    <row r="310">
      <c r="A310" s="153" t="s">
        <v>315</v>
      </c>
      <c r="B310" s="154">
        <v>4.0</v>
      </c>
    </row>
    <row r="311">
      <c r="A311" s="155" t="s">
        <v>335</v>
      </c>
      <c r="B311" s="151">
        <v>5.0</v>
      </c>
    </row>
    <row r="312">
      <c r="A312" s="153" t="s">
        <v>355</v>
      </c>
      <c r="B312" s="154">
        <v>6.0</v>
      </c>
    </row>
    <row r="313">
      <c r="A313" s="155" t="s">
        <v>379</v>
      </c>
      <c r="B313" s="151">
        <v>5.0</v>
      </c>
    </row>
    <row r="314">
      <c r="A314" s="153" t="s">
        <v>402</v>
      </c>
      <c r="B314" s="154">
        <v>6.0</v>
      </c>
    </row>
    <row r="315">
      <c r="A315" s="155" t="s">
        <v>431</v>
      </c>
      <c r="B315" s="151">
        <v>4.0</v>
      </c>
    </row>
    <row r="316">
      <c r="A316" s="153" t="s">
        <v>458</v>
      </c>
      <c r="B316" s="154">
        <v>3.0</v>
      </c>
    </row>
    <row r="317">
      <c r="A317" s="155" t="s">
        <v>489</v>
      </c>
      <c r="B317" s="151">
        <v>4.0</v>
      </c>
    </row>
    <row r="318">
      <c r="A318" s="153" t="s">
        <v>513</v>
      </c>
      <c r="B318" s="154">
        <v>6.0</v>
      </c>
    </row>
    <row r="319">
      <c r="A319" s="155" t="s">
        <v>533</v>
      </c>
      <c r="B319" s="151">
        <v>8.0</v>
      </c>
    </row>
    <row r="320">
      <c r="A320" s="153" t="s">
        <v>552</v>
      </c>
      <c r="B320" s="154">
        <v>5.0</v>
      </c>
    </row>
    <row r="321">
      <c r="A321" s="155" t="s">
        <v>576</v>
      </c>
      <c r="B321" s="151">
        <v>6.0</v>
      </c>
    </row>
    <row r="322">
      <c r="A322" s="153" t="s">
        <v>599</v>
      </c>
      <c r="B322" s="154">
        <v>5.0</v>
      </c>
    </row>
    <row r="323">
      <c r="A323" s="155" t="s">
        <v>620</v>
      </c>
      <c r="B323" s="151">
        <v>5.0</v>
      </c>
    </row>
    <row r="324">
      <c r="A324" s="153" t="s">
        <v>645</v>
      </c>
      <c r="B324" s="154">
        <v>4.0</v>
      </c>
    </row>
    <row r="325">
      <c r="A325" s="155" t="s">
        <v>663</v>
      </c>
      <c r="B325" s="151">
        <v>3.0</v>
      </c>
    </row>
    <row r="326">
      <c r="A326" s="153" t="s">
        <v>678</v>
      </c>
      <c r="B326" s="154">
        <v>3.0</v>
      </c>
    </row>
    <row r="327">
      <c r="A327" s="155" t="s">
        <v>692</v>
      </c>
      <c r="B327" s="151">
        <v>4.0</v>
      </c>
    </row>
    <row r="328">
      <c r="A328" s="153" t="s">
        <v>711</v>
      </c>
      <c r="B328" s="154">
        <v>4.0</v>
      </c>
    </row>
    <row r="329">
      <c r="A329" s="155" t="s">
        <v>729</v>
      </c>
      <c r="B329" s="151">
        <v>3.0</v>
      </c>
    </row>
    <row r="330">
      <c r="A330" s="153" t="s">
        <v>747</v>
      </c>
      <c r="B330" s="154">
        <v>2.0</v>
      </c>
    </row>
    <row r="331">
      <c r="A331" s="155" t="s">
        <v>503</v>
      </c>
      <c r="B331" s="247">
        <v>1.0</v>
      </c>
    </row>
    <row r="332">
      <c r="A332" s="153" t="s">
        <v>511</v>
      </c>
      <c r="B332" s="248">
        <v>1.0</v>
      </c>
    </row>
    <row r="333">
      <c r="A333" s="155" t="s">
        <v>516</v>
      </c>
      <c r="B333" s="247">
        <v>1.0</v>
      </c>
    </row>
    <row r="334">
      <c r="A334" s="153"/>
      <c r="B334" s="168"/>
    </row>
    <row r="335">
      <c r="A335" s="155"/>
      <c r="B335" s="156"/>
    </row>
    <row r="336">
      <c r="A336" s="153"/>
      <c r="B336" s="168"/>
    </row>
    <row r="337">
      <c r="A337" s="155"/>
      <c r="B337" s="156"/>
    </row>
    <row r="338">
      <c r="A338" s="153"/>
      <c r="B338" s="168"/>
    </row>
    <row r="339">
      <c r="A339" s="155"/>
      <c r="B339" s="156"/>
    </row>
    <row r="340">
      <c r="A340" s="153"/>
      <c r="B340" s="168"/>
    </row>
    <row r="341">
      <c r="A341" s="155"/>
      <c r="B341" s="156"/>
    </row>
    <row r="342">
      <c r="A342" s="153"/>
      <c r="B342" s="168"/>
    </row>
    <row r="343">
      <c r="A343" s="155"/>
      <c r="B343" s="156"/>
    </row>
    <row r="344">
      <c r="A344" s="153"/>
      <c r="B344" s="168"/>
    </row>
    <row r="345">
      <c r="A345" s="155"/>
      <c r="B345" s="156"/>
    </row>
    <row r="346">
      <c r="A346" s="153"/>
      <c r="B346" s="168"/>
    </row>
    <row r="347">
      <c r="A347" s="155"/>
      <c r="B347" s="156"/>
    </row>
    <row r="348">
      <c r="A348" s="153"/>
      <c r="B348" s="168"/>
    </row>
    <row r="349">
      <c r="A349" s="155"/>
      <c r="B349" s="156"/>
    </row>
    <row r="350">
      <c r="A350" s="162"/>
      <c r="B350" s="168"/>
    </row>
    <row r="351">
      <c r="A351" s="150" t="str">
        <f t="array" ref="A351:A400">'Up Names'!H2:H51</f>
        <v>Bailing Water</v>
      </c>
      <c r="B351" s="151">
        <v>5.0</v>
      </c>
    </row>
    <row r="352">
      <c r="A352" s="153" t="s">
        <v>157</v>
      </c>
      <c r="B352" s="154">
        <v>5.0</v>
      </c>
    </row>
    <row r="353">
      <c r="A353" s="155" t="s">
        <v>177</v>
      </c>
      <c r="B353" s="151">
        <v>7.0</v>
      </c>
    </row>
    <row r="354">
      <c r="A354" s="153" t="s">
        <v>197</v>
      </c>
      <c r="B354" s="154">
        <v>5.0</v>
      </c>
    </row>
    <row r="355">
      <c r="A355" s="155" t="s">
        <v>217</v>
      </c>
      <c r="B355" s="151">
        <v>4.0</v>
      </c>
    </row>
    <row r="356">
      <c r="A356" s="153" t="s">
        <v>236</v>
      </c>
      <c r="B356" s="154">
        <v>5.0</v>
      </c>
    </row>
    <row r="357">
      <c r="A357" s="155" t="s">
        <v>256</v>
      </c>
      <c r="B357" s="151">
        <v>3.0</v>
      </c>
    </row>
    <row r="358">
      <c r="A358" s="153" t="s">
        <v>276</v>
      </c>
      <c r="B358" s="154">
        <v>4.0</v>
      </c>
    </row>
    <row r="359">
      <c r="A359" s="155" t="s">
        <v>296</v>
      </c>
      <c r="B359" s="151">
        <v>4.0</v>
      </c>
    </row>
    <row r="360">
      <c r="A360" s="153" t="s">
        <v>316</v>
      </c>
      <c r="B360" s="154">
        <v>2.0</v>
      </c>
    </row>
    <row r="361">
      <c r="A361" s="155" t="s">
        <v>336</v>
      </c>
      <c r="B361" s="151">
        <v>4.0</v>
      </c>
    </row>
    <row r="362">
      <c r="A362" s="153" t="s">
        <v>356</v>
      </c>
      <c r="B362" s="154">
        <v>4.0</v>
      </c>
    </row>
    <row r="363">
      <c r="A363" s="155" t="s">
        <v>380</v>
      </c>
      <c r="B363" s="151">
        <v>4.0</v>
      </c>
    </row>
    <row r="364">
      <c r="A364" s="153" t="s">
        <v>403</v>
      </c>
      <c r="B364" s="154">
        <v>2.0</v>
      </c>
    </row>
    <row r="365">
      <c r="A365" s="155" t="s">
        <v>432</v>
      </c>
      <c r="B365" s="151">
        <v>3.0</v>
      </c>
    </row>
    <row r="366">
      <c r="A366" s="153" t="s">
        <v>460</v>
      </c>
      <c r="B366" s="154">
        <v>4.0</v>
      </c>
    </row>
    <row r="367">
      <c r="A367" s="155" t="s">
        <v>490</v>
      </c>
      <c r="B367" s="151">
        <v>4.0</v>
      </c>
    </row>
    <row r="368">
      <c r="A368" s="153" t="s">
        <v>514</v>
      </c>
      <c r="B368" s="154">
        <v>3.0</v>
      </c>
    </row>
    <row r="369">
      <c r="A369" s="155" t="s">
        <v>534</v>
      </c>
      <c r="B369" s="151">
        <v>3.0</v>
      </c>
    </row>
    <row r="370">
      <c r="A370" s="153" t="s">
        <v>553</v>
      </c>
      <c r="B370" s="154">
        <v>4.0</v>
      </c>
    </row>
    <row r="371">
      <c r="A371" s="155" t="s">
        <v>577</v>
      </c>
      <c r="B371" s="151">
        <v>5.0</v>
      </c>
    </row>
    <row r="372">
      <c r="A372" s="153" t="s">
        <v>601</v>
      </c>
      <c r="B372" s="154">
        <v>4.0</v>
      </c>
    </row>
    <row r="373">
      <c r="A373" s="155" t="s">
        <v>621</v>
      </c>
      <c r="B373" s="151">
        <v>4.0</v>
      </c>
    </row>
    <row r="374">
      <c r="A374" s="153" t="s">
        <v>647</v>
      </c>
      <c r="B374" s="154">
        <v>4.0</v>
      </c>
    </row>
    <row r="375">
      <c r="A375" s="155" t="s">
        <v>664</v>
      </c>
      <c r="B375" s="151">
        <v>6.0</v>
      </c>
    </row>
    <row r="376">
      <c r="A376" s="153" t="s">
        <v>679</v>
      </c>
      <c r="B376" s="154">
        <v>5.0</v>
      </c>
    </row>
    <row r="377">
      <c r="A377" s="155" t="s">
        <v>693</v>
      </c>
      <c r="B377" s="151">
        <v>3.0</v>
      </c>
    </row>
    <row r="378">
      <c r="A378" s="153" t="s">
        <v>712</v>
      </c>
      <c r="B378" s="154">
        <v>3.0</v>
      </c>
    </row>
    <row r="379">
      <c r="A379" s="155" t="s">
        <v>731</v>
      </c>
      <c r="B379" s="151">
        <v>3.0</v>
      </c>
    </row>
    <row r="380">
      <c r="A380" s="153" t="s">
        <v>748</v>
      </c>
      <c r="B380" s="154">
        <v>3.0</v>
      </c>
    </row>
    <row r="381">
      <c r="A381" s="155" t="s">
        <v>503</v>
      </c>
      <c r="B381" s="247">
        <v>1.0</v>
      </c>
    </row>
    <row r="382">
      <c r="A382" s="153" t="s">
        <v>511</v>
      </c>
      <c r="B382" s="248">
        <v>1.0</v>
      </c>
    </row>
    <row r="383">
      <c r="A383" s="155" t="s">
        <v>516</v>
      </c>
      <c r="B383" s="247">
        <v>1.0</v>
      </c>
    </row>
    <row r="384">
      <c r="A384" s="153"/>
      <c r="B384" s="168"/>
    </row>
    <row r="385">
      <c r="A385" s="155"/>
      <c r="B385" s="156"/>
    </row>
    <row r="386">
      <c r="A386" s="153"/>
      <c r="B386" s="168"/>
    </row>
    <row r="387">
      <c r="A387" s="155"/>
      <c r="B387" s="156"/>
    </row>
    <row r="388">
      <c r="A388" s="153"/>
      <c r="B388" s="168"/>
    </row>
    <row r="389">
      <c r="A389" s="155"/>
      <c r="B389" s="156"/>
    </row>
    <row r="390">
      <c r="A390" s="153"/>
      <c r="B390" s="168"/>
    </row>
    <row r="391">
      <c r="A391" s="155"/>
      <c r="B391" s="156"/>
    </row>
    <row r="392">
      <c r="A392" s="153"/>
      <c r="B392" s="168"/>
    </row>
    <row r="393">
      <c r="A393" s="155"/>
      <c r="B393" s="156"/>
    </row>
    <row r="394">
      <c r="A394" s="153"/>
      <c r="B394" s="168"/>
    </row>
    <row r="395">
      <c r="A395" s="155"/>
      <c r="B395" s="156"/>
    </row>
    <row r="396">
      <c r="A396" s="153"/>
      <c r="B396" s="168"/>
    </row>
    <row r="397">
      <c r="A397" s="155"/>
      <c r="B397" s="156"/>
    </row>
    <row r="398">
      <c r="A398" s="153"/>
      <c r="B398" s="168"/>
    </row>
    <row r="399">
      <c r="A399" s="155"/>
      <c r="B399" s="156"/>
    </row>
    <row r="400">
      <c r="A400" s="162"/>
      <c r="B400" s="168"/>
    </row>
    <row r="401">
      <c r="A401" s="150" t="str">
        <f t="array" ref="A401:A450">'Up Names'!I2:I51</f>
        <v>Flood</v>
      </c>
      <c r="B401" s="151">
        <v>6.0</v>
      </c>
    </row>
    <row r="402">
      <c r="A402" s="153" t="s">
        <v>158</v>
      </c>
      <c r="B402" s="154">
        <v>7.0</v>
      </c>
    </row>
    <row r="403">
      <c r="A403" s="155" t="s">
        <v>178</v>
      </c>
      <c r="B403" s="151">
        <v>6.0</v>
      </c>
    </row>
    <row r="404">
      <c r="A404" s="153" t="s">
        <v>198</v>
      </c>
      <c r="B404" s="154">
        <v>5.0</v>
      </c>
    </row>
    <row r="405">
      <c r="A405" s="155" t="s">
        <v>218</v>
      </c>
      <c r="B405" s="151">
        <v>5.0</v>
      </c>
    </row>
    <row r="406">
      <c r="A406" s="153" t="s">
        <v>237</v>
      </c>
      <c r="B406" s="154">
        <v>7.0</v>
      </c>
    </row>
    <row r="407">
      <c r="A407" s="155" t="s">
        <v>257</v>
      </c>
      <c r="B407" s="151">
        <v>4.0</v>
      </c>
    </row>
    <row r="408">
      <c r="A408" s="153" t="s">
        <v>277</v>
      </c>
      <c r="B408" s="154">
        <v>3.0</v>
      </c>
    </row>
    <row r="409">
      <c r="A409" s="155" t="s">
        <v>297</v>
      </c>
      <c r="B409" s="151">
        <v>9.0</v>
      </c>
    </row>
    <row r="410">
      <c r="A410" s="153" t="s">
        <v>317</v>
      </c>
      <c r="B410" s="154">
        <v>4.0</v>
      </c>
    </row>
    <row r="411">
      <c r="A411" s="155" t="s">
        <v>337</v>
      </c>
      <c r="B411" s="151">
        <v>3.0</v>
      </c>
    </row>
    <row r="412">
      <c r="A412" s="153" t="s">
        <v>357</v>
      </c>
      <c r="B412" s="154">
        <v>4.0</v>
      </c>
    </row>
    <row r="413">
      <c r="A413" s="155" t="s">
        <v>381</v>
      </c>
      <c r="B413" s="151">
        <v>3.0</v>
      </c>
    </row>
    <row r="414">
      <c r="A414" s="153" t="s">
        <v>405</v>
      </c>
      <c r="B414" s="154">
        <v>3.0</v>
      </c>
    </row>
    <row r="415">
      <c r="A415" s="155" t="s">
        <v>433</v>
      </c>
      <c r="B415" s="151">
        <v>3.0</v>
      </c>
    </row>
    <row r="416">
      <c r="A416" s="153" t="s">
        <v>462</v>
      </c>
      <c r="B416" s="154">
        <v>4.0</v>
      </c>
    </row>
    <row r="417">
      <c r="A417" s="155" t="s">
        <v>491</v>
      </c>
      <c r="B417" s="151">
        <v>4.0</v>
      </c>
    </row>
    <row r="418">
      <c r="A418" s="153" t="s">
        <v>515</v>
      </c>
      <c r="B418" s="154">
        <v>3.0</v>
      </c>
    </row>
    <row r="419">
      <c r="A419" s="155" t="s">
        <v>535</v>
      </c>
      <c r="B419" s="151">
        <v>4.0</v>
      </c>
    </row>
    <row r="420">
      <c r="A420" s="153" t="s">
        <v>554</v>
      </c>
      <c r="B420" s="154">
        <v>3.0</v>
      </c>
    </row>
    <row r="421">
      <c r="A421" s="155" t="s">
        <v>578</v>
      </c>
      <c r="B421" s="151">
        <v>3.0</v>
      </c>
    </row>
    <row r="422">
      <c r="A422" s="153" t="s">
        <v>602</v>
      </c>
      <c r="B422" s="154">
        <v>5.0</v>
      </c>
    </row>
    <row r="423">
      <c r="A423" s="155" t="s">
        <v>623</v>
      </c>
      <c r="B423" s="151">
        <v>3.0</v>
      </c>
    </row>
    <row r="424">
      <c r="A424" s="153" t="s">
        <v>648</v>
      </c>
      <c r="B424" s="154">
        <v>3.0</v>
      </c>
    </row>
    <row r="425">
      <c r="A425" s="155" t="s">
        <v>665</v>
      </c>
      <c r="B425" s="151">
        <v>3.0</v>
      </c>
    </row>
    <row r="426">
      <c r="A426" s="153" t="s">
        <v>503</v>
      </c>
      <c r="B426" s="247">
        <v>1.0</v>
      </c>
    </row>
    <row r="427">
      <c r="A427" s="155" t="s">
        <v>511</v>
      </c>
      <c r="B427" s="248">
        <v>1.0</v>
      </c>
    </row>
    <row r="428">
      <c r="A428" s="153" t="s">
        <v>516</v>
      </c>
      <c r="B428" s="247">
        <v>1.0</v>
      </c>
    </row>
    <row r="429">
      <c r="A429" s="155"/>
      <c r="B429" s="156"/>
    </row>
    <row r="430">
      <c r="A430" s="153"/>
      <c r="B430" s="168"/>
    </row>
    <row r="431">
      <c r="A431" s="155"/>
      <c r="B431" s="156"/>
    </row>
    <row r="432">
      <c r="A432" s="153"/>
      <c r="B432" s="168"/>
    </row>
    <row r="433">
      <c r="A433" s="155"/>
      <c r="B433" s="156"/>
    </row>
    <row r="434">
      <c r="A434" s="153"/>
      <c r="B434" s="168"/>
    </row>
    <row r="435">
      <c r="A435" s="155"/>
      <c r="B435" s="156"/>
    </row>
    <row r="436">
      <c r="A436" s="153"/>
      <c r="B436" s="168"/>
    </row>
    <row r="437">
      <c r="A437" s="155"/>
      <c r="B437" s="156"/>
    </row>
    <row r="438">
      <c r="A438" s="153"/>
      <c r="B438" s="168"/>
    </row>
    <row r="439">
      <c r="A439" s="155"/>
      <c r="B439" s="156"/>
    </row>
    <row r="440">
      <c r="A440" s="153"/>
      <c r="B440" s="168"/>
    </row>
    <row r="441">
      <c r="A441" s="155"/>
      <c r="B441" s="156"/>
    </row>
    <row r="442">
      <c r="A442" s="153"/>
      <c r="B442" s="168"/>
    </row>
    <row r="443">
      <c r="A443" s="155"/>
      <c r="B443" s="156"/>
    </row>
    <row r="444">
      <c r="A444" s="153"/>
      <c r="B444" s="168"/>
    </row>
    <row r="445">
      <c r="A445" s="155"/>
      <c r="B445" s="156"/>
    </row>
    <row r="446">
      <c r="A446" s="153"/>
      <c r="B446" s="168"/>
    </row>
    <row r="447">
      <c r="A447" s="155"/>
      <c r="B447" s="156"/>
    </row>
    <row r="448">
      <c r="A448" s="153"/>
      <c r="B448" s="168"/>
    </row>
    <row r="449">
      <c r="A449" s="155"/>
      <c r="B449" s="156"/>
    </row>
    <row r="450">
      <c r="A450" s="162"/>
      <c r="B450" s="168"/>
    </row>
    <row r="451">
      <c r="A451" s="150" t="str">
        <f t="array" ref="A451:A500">'Up Names'!J2:J51</f>
        <v>Deflector</v>
      </c>
      <c r="B451" s="151">
        <v>4.0</v>
      </c>
    </row>
    <row r="452">
      <c r="A452" s="153" t="s">
        <v>159</v>
      </c>
      <c r="B452" s="154">
        <v>5.0</v>
      </c>
    </row>
    <row r="453">
      <c r="A453" s="155" t="s">
        <v>179</v>
      </c>
      <c r="B453" s="151">
        <v>7.0</v>
      </c>
    </row>
    <row r="454">
      <c r="A454" s="153" t="s">
        <v>199</v>
      </c>
      <c r="B454" s="154">
        <v>6.0</v>
      </c>
    </row>
    <row r="455">
      <c r="A455" s="155" t="s">
        <v>219</v>
      </c>
      <c r="B455" s="151">
        <v>4.0</v>
      </c>
    </row>
    <row r="456">
      <c r="A456" s="153" t="s">
        <v>238</v>
      </c>
      <c r="B456" s="154">
        <v>4.0</v>
      </c>
    </row>
    <row r="457">
      <c r="A457" s="155" t="s">
        <v>258</v>
      </c>
      <c r="B457" s="151">
        <v>3.0</v>
      </c>
    </row>
    <row r="458">
      <c r="A458" s="153" t="s">
        <v>278</v>
      </c>
      <c r="B458" s="154">
        <v>4.0</v>
      </c>
    </row>
    <row r="459">
      <c r="A459" s="155" t="s">
        <v>298</v>
      </c>
      <c r="B459" s="151">
        <v>6.0</v>
      </c>
    </row>
    <row r="460">
      <c r="A460" s="153" t="s">
        <v>318</v>
      </c>
      <c r="B460" s="154">
        <v>4.0</v>
      </c>
    </row>
    <row r="461">
      <c r="A461" s="155" t="s">
        <v>338</v>
      </c>
      <c r="B461" s="151">
        <v>3.0</v>
      </c>
    </row>
    <row r="462">
      <c r="A462" s="153" t="s">
        <v>358</v>
      </c>
      <c r="B462" s="154">
        <v>2.0</v>
      </c>
    </row>
    <row r="463">
      <c r="A463" s="155" t="s">
        <v>382</v>
      </c>
      <c r="B463" s="151">
        <v>4.0</v>
      </c>
    </row>
    <row r="464">
      <c r="A464" s="153" t="s">
        <v>407</v>
      </c>
      <c r="B464" s="154">
        <v>4.0</v>
      </c>
    </row>
    <row r="465">
      <c r="A465" s="155" t="s">
        <v>434</v>
      </c>
      <c r="B465" s="151">
        <v>4.0</v>
      </c>
    </row>
    <row r="466">
      <c r="A466" s="153" t="s">
        <v>463</v>
      </c>
      <c r="B466" s="154">
        <v>4.0</v>
      </c>
    </row>
    <row r="467">
      <c r="A467" s="155" t="s">
        <v>493</v>
      </c>
      <c r="B467" s="151">
        <v>4.0</v>
      </c>
    </row>
    <row r="468">
      <c r="A468" s="153" t="s">
        <v>517</v>
      </c>
      <c r="B468" s="154">
        <v>4.0</v>
      </c>
    </row>
    <row r="469">
      <c r="A469" s="155" t="s">
        <v>536</v>
      </c>
      <c r="B469" s="151">
        <v>5.0</v>
      </c>
    </row>
    <row r="470">
      <c r="A470" s="153" t="s">
        <v>555</v>
      </c>
      <c r="B470" s="154">
        <v>4.0</v>
      </c>
    </row>
    <row r="471">
      <c r="A471" s="155" t="s">
        <v>579</v>
      </c>
      <c r="B471" s="151">
        <v>3.0</v>
      </c>
    </row>
    <row r="472">
      <c r="A472" s="153" t="s">
        <v>603</v>
      </c>
      <c r="B472" s="154">
        <v>3.0</v>
      </c>
    </row>
    <row r="473">
      <c r="A473" s="155" t="s">
        <v>624</v>
      </c>
      <c r="B473" s="151">
        <v>3.0</v>
      </c>
    </row>
    <row r="474">
      <c r="A474" s="153" t="s">
        <v>649</v>
      </c>
      <c r="B474" s="154">
        <v>5.0</v>
      </c>
    </row>
    <row r="475">
      <c r="A475" s="155" t="s">
        <v>666</v>
      </c>
      <c r="B475" s="151">
        <v>3.0</v>
      </c>
    </row>
    <row r="476">
      <c r="A476" s="153" t="s">
        <v>680</v>
      </c>
      <c r="B476" s="168">
        <v>4.0</v>
      </c>
    </row>
    <row r="477">
      <c r="A477" s="155" t="s">
        <v>694</v>
      </c>
      <c r="B477" s="156">
        <v>4.0</v>
      </c>
    </row>
    <row r="478">
      <c r="A478" s="153" t="s">
        <v>503</v>
      </c>
      <c r="B478" s="247">
        <v>1.0</v>
      </c>
    </row>
    <row r="479">
      <c r="A479" s="155" t="s">
        <v>511</v>
      </c>
      <c r="B479" s="248">
        <v>1.0</v>
      </c>
    </row>
    <row r="480">
      <c r="A480" s="153" t="s">
        <v>516</v>
      </c>
      <c r="B480" s="247">
        <v>1.0</v>
      </c>
    </row>
    <row r="481">
      <c r="A481" s="155"/>
      <c r="B481" s="156"/>
    </row>
    <row r="482">
      <c r="A482" s="153"/>
      <c r="B482" s="168"/>
    </row>
    <row r="483">
      <c r="A483" s="155"/>
      <c r="B483" s="156"/>
    </row>
    <row r="484">
      <c r="A484" s="153"/>
      <c r="B484" s="168"/>
    </row>
    <row r="485">
      <c r="A485" s="155"/>
      <c r="B485" s="156"/>
    </row>
    <row r="486">
      <c r="A486" s="153"/>
      <c r="B486" s="168"/>
    </row>
    <row r="487">
      <c r="A487" s="155"/>
      <c r="B487" s="156"/>
    </row>
    <row r="488">
      <c r="A488" s="153"/>
      <c r="B488" s="168"/>
    </row>
    <row r="489">
      <c r="A489" s="155"/>
      <c r="B489" s="156"/>
    </row>
    <row r="490">
      <c r="A490" s="153"/>
      <c r="B490" s="168"/>
    </row>
    <row r="491">
      <c r="A491" s="155"/>
      <c r="B491" s="156"/>
    </row>
    <row r="492">
      <c r="A492" s="153"/>
      <c r="B492" s="168"/>
    </row>
    <row r="493">
      <c r="A493" s="155"/>
      <c r="B493" s="156"/>
    </row>
    <row r="494">
      <c r="A494" s="153"/>
      <c r="B494" s="168"/>
    </row>
    <row r="495">
      <c r="A495" s="155"/>
      <c r="B495" s="156"/>
    </row>
    <row r="496">
      <c r="A496" s="153"/>
      <c r="B496" s="168"/>
    </row>
    <row r="497">
      <c r="A497" s="155"/>
      <c r="B497" s="156"/>
    </row>
    <row r="498">
      <c r="A498" s="153"/>
      <c r="B498" s="168"/>
    </row>
    <row r="499">
      <c r="A499" s="155"/>
      <c r="B499" s="156"/>
    </row>
    <row r="500">
      <c r="A500" s="162"/>
      <c r="B500" s="168"/>
    </row>
    <row r="501">
      <c r="A501" s="153" t="str">
        <f t="array" ref="A501:A550">'Up Names'!K2:K51</f>
        <v>Auger Subroutine</v>
      </c>
      <c r="B501" s="248">
        <v>4.0</v>
      </c>
    </row>
    <row r="502">
      <c r="A502" s="153" t="s">
        <v>160</v>
      </c>
      <c r="B502" s="248">
        <v>6.0</v>
      </c>
    </row>
    <row r="503">
      <c r="A503" s="153" t="s">
        <v>180</v>
      </c>
      <c r="B503" s="248">
        <v>3.0</v>
      </c>
    </row>
    <row r="504">
      <c r="A504" s="153" t="s">
        <v>200</v>
      </c>
      <c r="B504" s="248">
        <v>7.0</v>
      </c>
    </row>
    <row r="505">
      <c r="A505" s="153" t="s">
        <v>220</v>
      </c>
      <c r="B505" s="248">
        <v>5.0</v>
      </c>
    </row>
    <row r="506">
      <c r="A506" s="153" t="s">
        <v>239</v>
      </c>
      <c r="B506" s="248">
        <v>4.0</v>
      </c>
    </row>
    <row r="507">
      <c r="A507" s="153" t="s">
        <v>259</v>
      </c>
      <c r="B507" s="248">
        <v>4.0</v>
      </c>
    </row>
    <row r="508">
      <c r="A508" s="153" t="s">
        <v>279</v>
      </c>
      <c r="B508" s="248">
        <v>5.0</v>
      </c>
    </row>
    <row r="509">
      <c r="A509" s="153" t="s">
        <v>299</v>
      </c>
      <c r="B509" s="248">
        <v>4.0</v>
      </c>
    </row>
    <row r="510">
      <c r="A510" s="153" t="s">
        <v>319</v>
      </c>
      <c r="B510" s="248">
        <v>5.0</v>
      </c>
    </row>
    <row r="511">
      <c r="A511" s="153" t="s">
        <v>339</v>
      </c>
      <c r="B511" s="248">
        <v>4.0</v>
      </c>
    </row>
    <row r="512">
      <c r="A512" s="153" t="s">
        <v>359</v>
      </c>
      <c r="B512" s="248">
        <v>4.0</v>
      </c>
    </row>
    <row r="513">
      <c r="A513" s="153" t="s">
        <v>383</v>
      </c>
      <c r="B513" s="248">
        <v>4.0</v>
      </c>
    </row>
    <row r="514">
      <c r="A514" s="153" t="s">
        <v>408</v>
      </c>
      <c r="B514" s="248">
        <v>2.0</v>
      </c>
    </row>
    <row r="515">
      <c r="A515" s="153" t="s">
        <v>436</v>
      </c>
      <c r="B515" s="248">
        <v>4.0</v>
      </c>
    </row>
    <row r="516">
      <c r="A516" s="153" t="s">
        <v>465</v>
      </c>
      <c r="B516" s="248">
        <v>3.0</v>
      </c>
    </row>
    <row r="517">
      <c r="A517" s="153" t="s">
        <v>494</v>
      </c>
      <c r="B517" s="248">
        <v>3.0</v>
      </c>
    </row>
    <row r="518">
      <c r="A518" s="153" t="s">
        <v>518</v>
      </c>
      <c r="B518" s="248">
        <v>3.0</v>
      </c>
    </row>
    <row r="519">
      <c r="A519" s="153" t="s">
        <v>537</v>
      </c>
      <c r="B519" s="248">
        <v>3.0</v>
      </c>
    </row>
    <row r="520">
      <c r="A520" s="153" t="s">
        <v>557</v>
      </c>
      <c r="B520" s="248">
        <v>4.0</v>
      </c>
    </row>
    <row r="521">
      <c r="A521" s="153" t="s">
        <v>580</v>
      </c>
      <c r="B521" s="248">
        <v>2.0</v>
      </c>
    </row>
    <row r="522">
      <c r="A522" s="153" t="s">
        <v>604</v>
      </c>
      <c r="B522" s="248">
        <v>4.0</v>
      </c>
    </row>
    <row r="523">
      <c r="A523" s="153" t="s">
        <v>625</v>
      </c>
      <c r="B523" s="248">
        <v>4.0</v>
      </c>
    </row>
    <row r="524">
      <c r="A524" s="153" t="s">
        <v>651</v>
      </c>
      <c r="B524" s="248">
        <v>5.0</v>
      </c>
    </row>
    <row r="525">
      <c r="A525" s="153" t="s">
        <v>667</v>
      </c>
      <c r="B525" s="248">
        <v>4.0</v>
      </c>
    </row>
    <row r="526">
      <c r="A526" s="153" t="s">
        <v>681</v>
      </c>
      <c r="B526" s="248">
        <v>3.0</v>
      </c>
    </row>
    <row r="527">
      <c r="A527" s="153" t="s">
        <v>695</v>
      </c>
      <c r="B527" s="248">
        <v>2.0</v>
      </c>
    </row>
    <row r="528">
      <c r="A528" s="153" t="s">
        <v>714</v>
      </c>
      <c r="B528" s="248">
        <v>2.0</v>
      </c>
    </row>
    <row r="529">
      <c r="A529" s="153" t="s">
        <v>732</v>
      </c>
      <c r="B529" s="248">
        <v>3.0</v>
      </c>
    </row>
    <row r="530">
      <c r="A530" s="153" t="s">
        <v>750</v>
      </c>
      <c r="B530" s="248">
        <v>3.0</v>
      </c>
    </row>
    <row r="531">
      <c r="A531" s="153" t="s">
        <v>763</v>
      </c>
      <c r="B531" s="248">
        <v>4.0</v>
      </c>
    </row>
    <row r="532">
      <c r="A532" s="153" t="s">
        <v>503</v>
      </c>
      <c r="B532" s="247">
        <v>1.0</v>
      </c>
    </row>
    <row r="533">
      <c r="A533" s="153" t="s">
        <v>511</v>
      </c>
      <c r="B533" s="248">
        <v>1.0</v>
      </c>
    </row>
    <row r="534">
      <c r="A534" s="153" t="s">
        <v>516</v>
      </c>
      <c r="B534" s="247">
        <v>1.0</v>
      </c>
    </row>
    <row r="535">
      <c r="A535" s="153"/>
      <c r="B535" s="168"/>
    </row>
    <row r="536">
      <c r="A536" s="153"/>
      <c r="B536" s="168"/>
    </row>
    <row r="537">
      <c r="A537" s="153"/>
      <c r="B537" s="168"/>
    </row>
    <row r="538">
      <c r="A538" s="153"/>
      <c r="B538" s="168"/>
    </row>
    <row r="539">
      <c r="A539" s="153"/>
      <c r="B539" s="168"/>
    </row>
    <row r="540">
      <c r="A540" s="153"/>
      <c r="B540" s="168"/>
    </row>
    <row r="541">
      <c r="A541" s="153"/>
      <c r="B541" s="168"/>
    </row>
    <row r="542">
      <c r="A542" s="153"/>
      <c r="B542" s="168"/>
    </row>
    <row r="543">
      <c r="A543" s="153"/>
      <c r="B543" s="168"/>
    </row>
    <row r="544">
      <c r="A544" s="153"/>
      <c r="B544" s="168"/>
    </row>
    <row r="545">
      <c r="A545" s="153"/>
      <c r="B545" s="168"/>
    </row>
    <row r="546">
      <c r="A546" s="153"/>
      <c r="B546" s="168"/>
    </row>
    <row r="547">
      <c r="A547" s="153"/>
      <c r="B547" s="168"/>
    </row>
    <row r="548">
      <c r="A548" s="153"/>
      <c r="B548" s="168"/>
    </row>
    <row r="549">
      <c r="A549" s="153"/>
      <c r="B549" s="168"/>
    </row>
    <row r="550">
      <c r="A550" s="153"/>
      <c r="B550" s="168"/>
    </row>
    <row r="551">
      <c r="A551" s="198" t="str">
        <f t="array" ref="A551:A600">'Up Names'!L2:L51</f>
        <v>Explosive Bullets</v>
      </c>
      <c r="B551" s="248">
        <v>4.0</v>
      </c>
    </row>
    <row r="552">
      <c r="A552" s="146" t="s">
        <v>161</v>
      </c>
      <c r="B552" s="248">
        <v>3.0</v>
      </c>
    </row>
    <row r="553">
      <c r="A553" s="144" t="s">
        <v>181</v>
      </c>
      <c r="B553" s="248">
        <v>5.0</v>
      </c>
    </row>
    <row r="554">
      <c r="A554" s="146" t="s">
        <v>201</v>
      </c>
      <c r="B554" s="248">
        <v>5.0</v>
      </c>
    </row>
    <row r="555">
      <c r="A555" s="144" t="s">
        <v>221</v>
      </c>
      <c r="B555" s="248">
        <v>4.0</v>
      </c>
    </row>
    <row r="556">
      <c r="A556" s="146" t="s">
        <v>240</v>
      </c>
      <c r="B556" s="248">
        <v>5.0</v>
      </c>
    </row>
    <row r="557">
      <c r="A557" s="144" t="s">
        <v>260</v>
      </c>
      <c r="B557" s="248">
        <v>4.0</v>
      </c>
    </row>
    <row r="558">
      <c r="A558" s="146" t="s">
        <v>280</v>
      </c>
      <c r="B558" s="248">
        <v>4.0</v>
      </c>
    </row>
    <row r="559">
      <c r="A559" s="144" t="s">
        <v>300</v>
      </c>
      <c r="B559" s="248">
        <v>6.0</v>
      </c>
    </row>
    <row r="560">
      <c r="A560" s="146" t="s">
        <v>320</v>
      </c>
      <c r="B560" s="248">
        <v>4.0</v>
      </c>
    </row>
    <row r="561">
      <c r="A561" s="144" t="s">
        <v>340</v>
      </c>
      <c r="B561" s="248">
        <v>4.0</v>
      </c>
    </row>
    <row r="562">
      <c r="A562" s="146" t="s">
        <v>360</v>
      </c>
      <c r="B562" s="248">
        <v>4.0</v>
      </c>
    </row>
    <row r="563">
      <c r="A563" s="144" t="s">
        <v>384</v>
      </c>
      <c r="B563" s="248">
        <v>4.0</v>
      </c>
    </row>
    <row r="564">
      <c r="A564" s="146" t="s">
        <v>409</v>
      </c>
      <c r="B564" s="248">
        <v>4.0</v>
      </c>
    </row>
    <row r="565">
      <c r="A565" s="144" t="s">
        <v>438</v>
      </c>
      <c r="B565" s="248">
        <v>4.0</v>
      </c>
    </row>
    <row r="566">
      <c r="A566" s="146" t="s">
        <v>466</v>
      </c>
      <c r="B566" s="248">
        <v>4.0</v>
      </c>
    </row>
    <row r="567">
      <c r="A567" s="144" t="s">
        <v>495</v>
      </c>
      <c r="B567" s="248">
        <v>3.0</v>
      </c>
    </row>
    <row r="568">
      <c r="A568" s="146" t="s">
        <v>519</v>
      </c>
      <c r="B568" s="248">
        <v>3.0</v>
      </c>
    </row>
    <row r="569">
      <c r="A569" s="144" t="s">
        <v>538</v>
      </c>
      <c r="B569" s="248">
        <v>3.0</v>
      </c>
    </row>
    <row r="570">
      <c r="A570" s="146" t="s">
        <v>558</v>
      </c>
      <c r="B570" s="248">
        <v>4.0</v>
      </c>
    </row>
    <row r="571">
      <c r="A571" s="144" t="s">
        <v>582</v>
      </c>
      <c r="B571" s="248">
        <v>3.0</v>
      </c>
    </row>
    <row r="572">
      <c r="A572" s="146" t="s">
        <v>606</v>
      </c>
      <c r="B572" s="248">
        <v>3.0</v>
      </c>
    </row>
    <row r="573">
      <c r="A573" s="144" t="s">
        <v>626</v>
      </c>
      <c r="B573" s="248">
        <v>4.0</v>
      </c>
    </row>
    <row r="574">
      <c r="A574" s="146" t="s">
        <v>652</v>
      </c>
      <c r="B574" s="248">
        <v>4.0</v>
      </c>
    </row>
    <row r="575">
      <c r="A575" s="144" t="s">
        <v>668</v>
      </c>
      <c r="B575" s="248">
        <v>4.0</v>
      </c>
    </row>
    <row r="576">
      <c r="A576" s="146" t="s">
        <v>682</v>
      </c>
      <c r="B576" s="248">
        <v>3.0</v>
      </c>
    </row>
    <row r="577">
      <c r="A577" s="144" t="s">
        <v>696</v>
      </c>
      <c r="B577" s="248">
        <v>3.0</v>
      </c>
    </row>
    <row r="578">
      <c r="A578" s="146" t="s">
        <v>715</v>
      </c>
      <c r="B578" s="248">
        <v>3.0</v>
      </c>
    </row>
    <row r="579">
      <c r="A579" s="144" t="s">
        <v>734</v>
      </c>
      <c r="B579" s="248">
        <v>3.0</v>
      </c>
    </row>
    <row r="580">
      <c r="A580" s="146" t="s">
        <v>751</v>
      </c>
      <c r="B580" s="248">
        <v>3.0</v>
      </c>
    </row>
    <row r="581">
      <c r="A581" s="144" t="s">
        <v>764</v>
      </c>
      <c r="B581" s="248">
        <v>3.0</v>
      </c>
    </row>
    <row r="582">
      <c r="A582" s="153" t="s">
        <v>503</v>
      </c>
      <c r="B582" s="247">
        <v>1.0</v>
      </c>
    </row>
    <row r="583">
      <c r="A583" s="153" t="s">
        <v>511</v>
      </c>
      <c r="B583" s="248">
        <v>1.0</v>
      </c>
    </row>
    <row r="584">
      <c r="A584" s="153" t="s">
        <v>516</v>
      </c>
      <c r="B584" s="247">
        <v>1.0</v>
      </c>
    </row>
    <row r="585">
      <c r="A585" s="153"/>
      <c r="B585" s="168"/>
    </row>
    <row r="586">
      <c r="A586" s="153"/>
      <c r="B586" s="168"/>
    </row>
    <row r="587">
      <c r="A587" s="153"/>
      <c r="B587" s="168"/>
    </row>
    <row r="588">
      <c r="A588" s="153"/>
      <c r="B588" s="168"/>
    </row>
    <row r="589">
      <c r="A589" s="153"/>
      <c r="B589" s="168"/>
    </row>
    <row r="590">
      <c r="A590" s="153"/>
      <c r="B590" s="168"/>
    </row>
    <row r="591">
      <c r="A591" s="153"/>
      <c r="B591" s="168"/>
    </row>
    <row r="592">
      <c r="A592" s="153"/>
      <c r="B592" s="168"/>
    </row>
    <row r="593">
      <c r="A593" s="153"/>
      <c r="B593" s="168"/>
    </row>
    <row r="594">
      <c r="A594" s="153"/>
      <c r="B594" s="168"/>
    </row>
    <row r="595">
      <c r="A595" s="153"/>
      <c r="B595" s="168"/>
    </row>
    <row r="596">
      <c r="A596" s="153"/>
      <c r="B596" s="168"/>
    </row>
    <row r="597">
      <c r="A597" s="153"/>
      <c r="B597" s="168"/>
    </row>
    <row r="598">
      <c r="A598" s="153"/>
      <c r="B598" s="168"/>
    </row>
    <row r="599">
      <c r="A599" s="153"/>
      <c r="B599" s="168"/>
    </row>
    <row r="600">
      <c r="A600" s="153"/>
      <c r="B600" s="168"/>
    </row>
    <row r="601">
      <c r="A601" s="150" t="str">
        <f t="array" ref="A601:A650">'Up Names'!M2:M51</f>
        <v>Cluster Bomb</v>
      </c>
      <c r="B601" s="151">
        <v>10.0</v>
      </c>
    </row>
    <row r="602">
      <c r="A602" s="153" t="s">
        <v>162</v>
      </c>
      <c r="B602" s="154">
        <v>6.0</v>
      </c>
    </row>
    <row r="603">
      <c r="A603" s="155" t="s">
        <v>182</v>
      </c>
      <c r="B603" s="151">
        <v>5.0</v>
      </c>
    </row>
    <row r="604">
      <c r="A604" s="153" t="s">
        <v>202</v>
      </c>
      <c r="B604" s="154">
        <v>5.0</v>
      </c>
    </row>
    <row r="605">
      <c r="A605" s="155" t="s">
        <v>222</v>
      </c>
      <c r="B605" s="151">
        <v>4.0</v>
      </c>
    </row>
    <row r="606">
      <c r="A606" s="153" t="s">
        <v>241</v>
      </c>
      <c r="B606" s="154">
        <v>5.0</v>
      </c>
    </row>
    <row r="607">
      <c r="A607" s="155" t="s">
        <v>261</v>
      </c>
      <c r="B607" s="151">
        <v>6.0</v>
      </c>
    </row>
    <row r="608">
      <c r="A608" s="153" t="s">
        <v>281</v>
      </c>
      <c r="B608" s="154">
        <v>5.0</v>
      </c>
    </row>
    <row r="609">
      <c r="A609" s="155" t="s">
        <v>301</v>
      </c>
      <c r="B609" s="151">
        <v>7.0</v>
      </c>
    </row>
    <row r="610">
      <c r="A610" s="153" t="s">
        <v>321</v>
      </c>
      <c r="B610" s="154">
        <v>5.0</v>
      </c>
    </row>
    <row r="611">
      <c r="A611" s="155" t="s">
        <v>341</v>
      </c>
      <c r="B611" s="151">
        <v>5.0</v>
      </c>
    </row>
    <row r="612">
      <c r="A612" s="153" t="s">
        <v>361</v>
      </c>
      <c r="B612" s="154">
        <v>4.0</v>
      </c>
    </row>
    <row r="613">
      <c r="A613" s="155" t="s">
        <v>385</v>
      </c>
      <c r="B613" s="151">
        <v>4.0</v>
      </c>
    </row>
    <row r="614">
      <c r="A614" s="153" t="s">
        <v>412</v>
      </c>
      <c r="B614" s="154">
        <v>5.0</v>
      </c>
    </row>
    <row r="615">
      <c r="A615" s="155" t="s">
        <v>440</v>
      </c>
      <c r="B615" s="151">
        <v>4.0</v>
      </c>
    </row>
    <row r="616">
      <c r="A616" s="153" t="s">
        <v>467</v>
      </c>
      <c r="B616" s="154">
        <v>6.0</v>
      </c>
    </row>
    <row r="617">
      <c r="A617" s="155" t="s">
        <v>497</v>
      </c>
      <c r="B617" s="151">
        <v>5.0</v>
      </c>
    </row>
    <row r="618">
      <c r="A618" s="153" t="s">
        <v>520</v>
      </c>
      <c r="B618" s="154">
        <v>3.0</v>
      </c>
    </row>
    <row r="619">
      <c r="A619" s="155" t="s">
        <v>539</v>
      </c>
      <c r="B619" s="151">
        <v>3.0</v>
      </c>
    </row>
    <row r="620">
      <c r="A620" s="153" t="s">
        <v>559</v>
      </c>
      <c r="B620" s="154">
        <v>7.0</v>
      </c>
    </row>
    <row r="621">
      <c r="A621" s="155" t="s">
        <v>583</v>
      </c>
      <c r="B621" s="247">
        <v>5.0</v>
      </c>
    </row>
    <row r="622">
      <c r="A622" s="153" t="s">
        <v>607</v>
      </c>
      <c r="B622" s="248">
        <v>6.0</v>
      </c>
    </row>
    <row r="623">
      <c r="A623" s="155" t="s">
        <v>627</v>
      </c>
      <c r="B623" s="247">
        <v>6.0</v>
      </c>
    </row>
    <row r="624">
      <c r="A624" s="153" t="s">
        <v>653</v>
      </c>
      <c r="B624" s="248">
        <v>3.0</v>
      </c>
    </row>
    <row r="625">
      <c r="A625" s="155" t="s">
        <v>503</v>
      </c>
      <c r="B625" s="247">
        <v>1.0</v>
      </c>
    </row>
    <row r="626">
      <c r="A626" s="153" t="s">
        <v>511</v>
      </c>
      <c r="B626" s="248">
        <v>1.0</v>
      </c>
    </row>
    <row r="627">
      <c r="A627" s="155" t="s">
        <v>516</v>
      </c>
      <c r="B627" s="247">
        <v>1.0</v>
      </c>
    </row>
    <row r="628">
      <c r="A628" s="153"/>
      <c r="B628" s="168"/>
    </row>
    <row r="629">
      <c r="A629" s="155"/>
      <c r="B629" s="156"/>
    </row>
    <row r="630">
      <c r="A630" s="153"/>
      <c r="B630" s="168"/>
    </row>
    <row r="631">
      <c r="A631" s="155"/>
      <c r="B631" s="156"/>
    </row>
    <row r="632">
      <c r="A632" s="153"/>
      <c r="B632" s="168"/>
    </row>
    <row r="633">
      <c r="A633" s="155"/>
      <c r="B633" s="156"/>
    </row>
    <row r="634">
      <c r="A634" s="153"/>
      <c r="B634" s="168"/>
    </row>
    <row r="635">
      <c r="A635" s="155"/>
      <c r="B635" s="156"/>
    </row>
    <row r="636">
      <c r="A636" s="153"/>
      <c r="B636" s="168"/>
    </row>
    <row r="637">
      <c r="A637" s="155"/>
      <c r="B637" s="156"/>
    </row>
    <row r="638">
      <c r="A638" s="153"/>
      <c r="B638" s="168"/>
    </row>
    <row r="639">
      <c r="A639" s="155"/>
      <c r="B639" s="156"/>
    </row>
    <row r="640">
      <c r="A640" s="153"/>
      <c r="B640" s="168"/>
    </row>
    <row r="641">
      <c r="A641" s="155"/>
      <c r="B641" s="156"/>
    </row>
    <row r="642">
      <c r="A642" s="153"/>
      <c r="B642" s="168"/>
    </row>
    <row r="643">
      <c r="A643" s="155"/>
      <c r="B643" s="156"/>
    </row>
    <row r="644">
      <c r="A644" s="153"/>
      <c r="B644" s="168"/>
    </row>
    <row r="645">
      <c r="A645" s="155"/>
      <c r="B645" s="156"/>
    </row>
    <row r="646">
      <c r="A646" s="153"/>
      <c r="B646" s="168"/>
    </row>
    <row r="647">
      <c r="A647" s="155"/>
      <c r="B647" s="156"/>
    </row>
    <row r="648">
      <c r="A648" s="153"/>
      <c r="B648" s="168"/>
    </row>
    <row r="649">
      <c r="A649" s="155"/>
      <c r="B649" s="156"/>
    </row>
    <row r="650">
      <c r="A650" s="162"/>
      <c r="B650" s="168"/>
    </row>
    <row r="651">
      <c r="A651" s="150" t="str">
        <f t="array" ref="A651:A700">'Up Names'!N2:N51</f>
        <v>Flash Storm</v>
      </c>
      <c r="B651" s="151">
        <v>7.0</v>
      </c>
    </row>
    <row r="652">
      <c r="A652" s="153" t="s">
        <v>163</v>
      </c>
      <c r="B652" s="154">
        <v>5.0</v>
      </c>
    </row>
    <row r="653">
      <c r="A653" s="155" t="s">
        <v>183</v>
      </c>
      <c r="B653" s="151">
        <v>9.0</v>
      </c>
    </row>
    <row r="654">
      <c r="A654" s="153" t="s">
        <v>203</v>
      </c>
      <c r="B654" s="154">
        <v>5.0</v>
      </c>
    </row>
    <row r="655">
      <c r="A655" s="155" t="s">
        <v>223</v>
      </c>
      <c r="B655" s="151">
        <v>4.0</v>
      </c>
    </row>
    <row r="656">
      <c r="A656" s="153" t="s">
        <v>242</v>
      </c>
      <c r="B656" s="154">
        <v>4.0</v>
      </c>
    </row>
    <row r="657">
      <c r="A657" s="155" t="s">
        <v>262</v>
      </c>
      <c r="B657" s="151">
        <v>4.0</v>
      </c>
    </row>
    <row r="658">
      <c r="A658" s="153" t="s">
        <v>282</v>
      </c>
      <c r="B658" s="154">
        <v>5.0</v>
      </c>
    </row>
    <row r="659">
      <c r="A659" s="155" t="s">
        <v>302</v>
      </c>
      <c r="B659" s="151">
        <v>4.0</v>
      </c>
    </row>
    <row r="660">
      <c r="A660" s="153" t="s">
        <v>322</v>
      </c>
      <c r="B660" s="154">
        <v>7.0</v>
      </c>
    </row>
    <row r="661">
      <c r="A661" s="155" t="s">
        <v>342</v>
      </c>
      <c r="B661" s="151">
        <v>4.0</v>
      </c>
    </row>
    <row r="662">
      <c r="A662" s="153" t="s">
        <v>362</v>
      </c>
      <c r="B662" s="154">
        <v>5.0</v>
      </c>
    </row>
    <row r="663">
      <c r="A663" s="155" t="s">
        <v>387</v>
      </c>
      <c r="B663" s="151">
        <v>4.0</v>
      </c>
    </row>
    <row r="664">
      <c r="A664" s="153" t="s">
        <v>413</v>
      </c>
      <c r="B664" s="154">
        <v>3.0</v>
      </c>
    </row>
    <row r="665">
      <c r="A665" s="155" t="s">
        <v>441</v>
      </c>
      <c r="B665" s="151">
        <v>5.0</v>
      </c>
    </row>
    <row r="666">
      <c r="A666" s="153" t="s">
        <v>469</v>
      </c>
      <c r="B666" s="154">
        <v>4.0</v>
      </c>
    </row>
    <row r="667">
      <c r="A667" s="155" t="s">
        <v>498</v>
      </c>
      <c r="B667" s="151">
        <v>4.0</v>
      </c>
    </row>
    <row r="668">
      <c r="A668" s="153" t="s">
        <v>521</v>
      </c>
      <c r="B668" s="154">
        <v>4.0</v>
      </c>
    </row>
    <row r="669">
      <c r="A669" s="155" t="s">
        <v>540</v>
      </c>
      <c r="B669" s="151">
        <v>3.0</v>
      </c>
    </row>
    <row r="670">
      <c r="A670" s="153" t="s">
        <v>560</v>
      </c>
      <c r="B670" s="154">
        <v>3.0</v>
      </c>
    </row>
    <row r="671">
      <c r="A671" s="155" t="s">
        <v>583</v>
      </c>
      <c r="B671" s="247">
        <v>5.0</v>
      </c>
    </row>
    <row r="672">
      <c r="A672" s="153" t="s">
        <v>607</v>
      </c>
      <c r="B672" s="248">
        <v>6.0</v>
      </c>
    </row>
    <row r="673">
      <c r="A673" s="155" t="s">
        <v>627</v>
      </c>
      <c r="B673" s="247">
        <v>6.0</v>
      </c>
    </row>
    <row r="674">
      <c r="A674" s="153" t="s">
        <v>653</v>
      </c>
      <c r="B674" s="248">
        <v>3.0</v>
      </c>
    </row>
    <row r="675">
      <c r="A675" s="155" t="s">
        <v>503</v>
      </c>
      <c r="B675" s="247">
        <v>1.0</v>
      </c>
    </row>
    <row r="676">
      <c r="A676" s="153" t="s">
        <v>511</v>
      </c>
      <c r="B676" s="248">
        <v>1.0</v>
      </c>
    </row>
    <row r="677">
      <c r="A677" s="155" t="s">
        <v>516</v>
      </c>
      <c r="B677" s="247">
        <v>1.0</v>
      </c>
    </row>
    <row r="678">
      <c r="A678" s="153"/>
      <c r="B678" s="168"/>
    </row>
    <row r="679">
      <c r="A679" s="155"/>
      <c r="B679" s="156"/>
    </row>
    <row r="680">
      <c r="A680" s="153"/>
      <c r="B680" s="168"/>
    </row>
    <row r="681">
      <c r="A681" s="155"/>
      <c r="B681" s="156"/>
    </row>
    <row r="682">
      <c r="A682" s="153"/>
      <c r="B682" s="168"/>
    </row>
    <row r="683">
      <c r="A683" s="155"/>
      <c r="B683" s="156"/>
    </row>
    <row r="684">
      <c r="A684" s="153"/>
      <c r="B684" s="168"/>
    </row>
    <row r="685">
      <c r="A685" s="155"/>
      <c r="B685" s="156"/>
    </row>
    <row r="686">
      <c r="A686" s="153"/>
      <c r="B686" s="168"/>
    </row>
    <row r="687">
      <c r="A687" s="155"/>
      <c r="B687" s="156"/>
    </row>
    <row r="688">
      <c r="A688" s="153"/>
      <c r="B688" s="168"/>
    </row>
    <row r="689">
      <c r="A689" s="155"/>
      <c r="B689" s="156"/>
    </row>
    <row r="690">
      <c r="A690" s="153"/>
      <c r="B690" s="168"/>
    </row>
    <row r="691">
      <c r="A691" s="155"/>
      <c r="B691" s="156"/>
    </row>
    <row r="692">
      <c r="A692" s="153"/>
      <c r="B692" s="168"/>
    </row>
    <row r="693">
      <c r="A693" s="155"/>
      <c r="B693" s="156"/>
    </row>
    <row r="694">
      <c r="A694" s="153"/>
      <c r="B694" s="168"/>
    </row>
    <row r="695">
      <c r="A695" s="155"/>
      <c r="B695" s="156"/>
    </row>
    <row r="696">
      <c r="A696" s="153"/>
      <c r="B696" s="168"/>
    </row>
    <row r="697">
      <c r="A697" s="155"/>
      <c r="B697" s="156"/>
    </row>
    <row r="698">
      <c r="A698" s="153"/>
      <c r="B698" s="168"/>
    </row>
    <row r="699">
      <c r="A699" s="155"/>
      <c r="B699" s="156"/>
    </row>
    <row r="700">
      <c r="A700" s="162"/>
      <c r="B700" s="168"/>
    </row>
    <row r="701">
      <c r="A701" s="150" t="str">
        <f t="array" ref="A701:A750">'Up Names'!O2:O51</f>
        <v>Connected Systems</v>
      </c>
      <c r="B701" s="151">
        <v>4.0</v>
      </c>
    </row>
    <row r="702">
      <c r="A702" s="153" t="s">
        <v>164</v>
      </c>
      <c r="B702" s="154">
        <v>5.0</v>
      </c>
    </row>
    <row r="703">
      <c r="A703" s="155" t="s">
        <v>184</v>
      </c>
      <c r="B703" s="151">
        <v>7.0</v>
      </c>
    </row>
    <row r="704">
      <c r="A704" s="153" t="s">
        <v>204</v>
      </c>
      <c r="B704" s="154">
        <v>5.0</v>
      </c>
    </row>
    <row r="705">
      <c r="A705" s="155" t="s">
        <v>224</v>
      </c>
      <c r="B705" s="151">
        <v>6.0</v>
      </c>
    </row>
    <row r="706">
      <c r="A706" s="153" t="s">
        <v>243</v>
      </c>
      <c r="B706" s="154">
        <v>8.0</v>
      </c>
    </row>
    <row r="707">
      <c r="A707" s="155" t="s">
        <v>263</v>
      </c>
      <c r="B707" s="151">
        <v>5.0</v>
      </c>
    </row>
    <row r="708">
      <c r="A708" s="153" t="s">
        <v>283</v>
      </c>
      <c r="B708" s="154">
        <v>4.0</v>
      </c>
    </row>
    <row r="709">
      <c r="A709" s="155" t="s">
        <v>303</v>
      </c>
      <c r="B709" s="151">
        <v>5.0</v>
      </c>
    </row>
    <row r="710">
      <c r="A710" s="153" t="s">
        <v>323</v>
      </c>
      <c r="B710" s="154">
        <v>7.0</v>
      </c>
    </row>
    <row r="711">
      <c r="A711" s="155" t="s">
        <v>343</v>
      </c>
      <c r="B711" s="151">
        <v>4.0</v>
      </c>
    </row>
    <row r="712">
      <c r="A712" s="153" t="s">
        <v>363</v>
      </c>
      <c r="B712" s="154">
        <v>7.0</v>
      </c>
    </row>
    <row r="713">
      <c r="A713" s="155" t="s">
        <v>388</v>
      </c>
      <c r="B713" s="151">
        <v>5.0</v>
      </c>
    </row>
    <row r="714">
      <c r="A714" s="153" t="s">
        <v>414</v>
      </c>
      <c r="B714" s="154">
        <v>5.0</v>
      </c>
    </row>
    <row r="715">
      <c r="A715" s="155" t="s">
        <v>442</v>
      </c>
      <c r="B715" s="151">
        <v>4.0</v>
      </c>
    </row>
    <row r="716">
      <c r="A716" s="153" t="s">
        <v>470</v>
      </c>
      <c r="B716" s="154">
        <v>4.0</v>
      </c>
    </row>
    <row r="717">
      <c r="A717" s="155" t="s">
        <v>500</v>
      </c>
      <c r="B717" s="151">
        <v>5.0</v>
      </c>
    </row>
    <row r="718">
      <c r="A718" s="153" t="s">
        <v>522</v>
      </c>
      <c r="B718" s="154">
        <v>3.0</v>
      </c>
    </row>
    <row r="719">
      <c r="A719" s="155" t="s">
        <v>541</v>
      </c>
      <c r="B719" s="151">
        <v>5.0</v>
      </c>
    </row>
    <row r="720">
      <c r="A720" s="153" t="s">
        <v>561</v>
      </c>
      <c r="B720" s="154">
        <v>5.0</v>
      </c>
    </row>
    <row r="721">
      <c r="A721" s="155" t="s">
        <v>583</v>
      </c>
      <c r="B721" s="247">
        <v>5.0</v>
      </c>
    </row>
    <row r="722">
      <c r="A722" s="153" t="s">
        <v>607</v>
      </c>
      <c r="B722" s="248">
        <v>6.0</v>
      </c>
    </row>
    <row r="723">
      <c r="A723" s="155" t="s">
        <v>627</v>
      </c>
      <c r="B723" s="247">
        <v>6.0</v>
      </c>
    </row>
    <row r="724">
      <c r="A724" s="153" t="s">
        <v>653</v>
      </c>
      <c r="B724" s="248">
        <v>3.0</v>
      </c>
    </row>
    <row r="725">
      <c r="A725" s="155" t="s">
        <v>503</v>
      </c>
      <c r="B725" s="247">
        <v>1.0</v>
      </c>
    </row>
    <row r="726">
      <c r="A726" s="153" t="s">
        <v>511</v>
      </c>
      <c r="B726" s="248">
        <v>1.0</v>
      </c>
    </row>
    <row r="727">
      <c r="A727" s="155" t="s">
        <v>516</v>
      </c>
      <c r="B727" s="247">
        <v>1.0</v>
      </c>
    </row>
    <row r="728">
      <c r="A728" s="153"/>
      <c r="B728" s="168"/>
    </row>
    <row r="729">
      <c r="A729" s="155"/>
      <c r="B729" s="156"/>
    </row>
    <row r="730">
      <c r="A730" s="153"/>
      <c r="B730" s="168"/>
    </row>
    <row r="731">
      <c r="A731" s="155"/>
      <c r="B731" s="156"/>
    </row>
    <row r="732">
      <c r="A732" s="153"/>
      <c r="B732" s="168"/>
    </row>
    <row r="733">
      <c r="A733" s="155"/>
      <c r="B733" s="156"/>
    </row>
    <row r="734">
      <c r="A734" s="153"/>
      <c r="B734" s="168"/>
    </row>
    <row r="735">
      <c r="A735" s="155"/>
      <c r="B735" s="156"/>
    </row>
    <row r="736">
      <c r="A736" s="153"/>
      <c r="B736" s="168"/>
    </row>
    <row r="737">
      <c r="A737" s="155"/>
      <c r="B737" s="156"/>
    </row>
    <row r="738">
      <c r="A738" s="153"/>
      <c r="B738" s="168"/>
    </row>
    <row r="739">
      <c r="A739" s="155"/>
      <c r="B739" s="156"/>
    </row>
    <row r="740">
      <c r="A740" s="153"/>
      <c r="B740" s="168"/>
    </row>
    <row r="741">
      <c r="A741" s="155"/>
      <c r="B741" s="156"/>
    </row>
    <row r="742">
      <c r="A742" s="153"/>
      <c r="B742" s="168"/>
    </row>
    <row r="743">
      <c r="A743" s="155"/>
      <c r="B743" s="156"/>
    </row>
    <row r="744">
      <c r="A744" s="153"/>
      <c r="B744" s="168"/>
    </row>
    <row r="745">
      <c r="A745" s="155"/>
      <c r="B745" s="156"/>
    </row>
    <row r="746">
      <c r="A746" s="153"/>
      <c r="B746" s="168"/>
    </row>
    <row r="747">
      <c r="A747" s="155"/>
      <c r="B747" s="156"/>
    </row>
    <row r="748">
      <c r="A748" s="153"/>
      <c r="B748" s="168"/>
    </row>
    <row r="749">
      <c r="A749" s="155"/>
      <c r="B749" s="156"/>
    </row>
    <row r="750">
      <c r="A750" s="162"/>
      <c r="B750" s="168"/>
    </row>
    <row r="751">
      <c r="A751" s="150" t="str">
        <f t="array" ref="A751:A800">'Up Names'!P2:P51</f>
        <v>Magboots</v>
      </c>
      <c r="B751" s="151">
        <v>4.0</v>
      </c>
    </row>
    <row r="752">
      <c r="A752" s="153" t="s">
        <v>165</v>
      </c>
      <c r="B752" s="154">
        <v>6.0</v>
      </c>
    </row>
    <row r="753">
      <c r="A753" s="155" t="s">
        <v>185</v>
      </c>
      <c r="B753" s="151">
        <v>5.0</v>
      </c>
    </row>
    <row r="754">
      <c r="A754" s="153" t="s">
        <v>205</v>
      </c>
      <c r="B754" s="154">
        <v>6.0</v>
      </c>
    </row>
    <row r="755">
      <c r="A755" s="155" t="s">
        <v>39</v>
      </c>
      <c r="B755" s="151">
        <v>6.0</v>
      </c>
    </row>
    <row r="756">
      <c r="A756" s="153" t="s">
        <v>244</v>
      </c>
      <c r="B756" s="154">
        <v>6.0</v>
      </c>
    </row>
    <row r="757">
      <c r="A757" s="155" t="s">
        <v>264</v>
      </c>
      <c r="B757" s="151">
        <v>6.0</v>
      </c>
    </row>
    <row r="758">
      <c r="A758" s="153" t="s">
        <v>284</v>
      </c>
      <c r="B758" s="154">
        <v>5.0</v>
      </c>
    </row>
    <row r="759">
      <c r="A759" s="155" t="s">
        <v>304</v>
      </c>
      <c r="B759" s="151">
        <v>4.0</v>
      </c>
    </row>
    <row r="760">
      <c r="A760" s="153" t="s">
        <v>324</v>
      </c>
      <c r="B760" s="154">
        <v>5.0</v>
      </c>
    </row>
    <row r="761">
      <c r="A761" s="155" t="s">
        <v>344</v>
      </c>
      <c r="B761" s="151">
        <v>4.0</v>
      </c>
    </row>
    <row r="762">
      <c r="A762" s="153" t="s">
        <v>364</v>
      </c>
      <c r="B762" s="154">
        <v>5.0</v>
      </c>
    </row>
    <row r="763">
      <c r="A763" s="155" t="s">
        <v>389</v>
      </c>
      <c r="B763" s="151">
        <v>5.0</v>
      </c>
    </row>
    <row r="764">
      <c r="A764" s="153" t="s">
        <v>417</v>
      </c>
      <c r="B764" s="154">
        <v>4.0</v>
      </c>
    </row>
    <row r="765">
      <c r="A765" s="155" t="s">
        <v>444</v>
      </c>
      <c r="B765" s="151">
        <v>7.0</v>
      </c>
    </row>
    <row r="766">
      <c r="A766" s="153" t="s">
        <v>471</v>
      </c>
      <c r="B766" s="154">
        <v>3.0</v>
      </c>
    </row>
    <row r="767">
      <c r="A767" s="155" t="s">
        <v>501</v>
      </c>
      <c r="B767" s="151">
        <v>5.0</v>
      </c>
    </row>
    <row r="768">
      <c r="A768" s="153" t="s">
        <v>523</v>
      </c>
      <c r="B768" s="154">
        <v>4.0</v>
      </c>
    </row>
    <row r="769">
      <c r="A769" s="155" t="s">
        <v>542</v>
      </c>
      <c r="B769" s="151">
        <v>4.0</v>
      </c>
    </row>
    <row r="770">
      <c r="A770" s="153" t="s">
        <v>562</v>
      </c>
      <c r="B770" s="154">
        <v>3.0</v>
      </c>
    </row>
    <row r="771">
      <c r="A771" s="155" t="s">
        <v>585</v>
      </c>
      <c r="B771" s="151">
        <v>4.0</v>
      </c>
    </row>
    <row r="772">
      <c r="A772" s="153" t="s">
        <v>608</v>
      </c>
      <c r="B772" s="154">
        <v>4.0</v>
      </c>
    </row>
    <row r="773">
      <c r="A773" s="155" t="s">
        <v>629</v>
      </c>
      <c r="B773" s="151">
        <v>4.0</v>
      </c>
    </row>
    <row r="774">
      <c r="A774" s="153" t="s">
        <v>654</v>
      </c>
      <c r="B774" s="154">
        <v>3.0</v>
      </c>
    </row>
    <row r="775">
      <c r="A775" s="155" t="s">
        <v>669</v>
      </c>
      <c r="B775" s="151">
        <v>3.0</v>
      </c>
    </row>
    <row r="776">
      <c r="A776" s="153" t="s">
        <v>683</v>
      </c>
      <c r="B776" s="154">
        <v>3.0</v>
      </c>
    </row>
    <row r="777">
      <c r="A777" s="155" t="s">
        <v>698</v>
      </c>
      <c r="B777" s="151">
        <v>4.0</v>
      </c>
    </row>
    <row r="778">
      <c r="A778" s="153" t="s">
        <v>717</v>
      </c>
      <c r="B778" s="154">
        <v>4.0</v>
      </c>
    </row>
    <row r="779">
      <c r="A779" s="155" t="s">
        <v>735</v>
      </c>
      <c r="B779" s="151">
        <v>4.0</v>
      </c>
    </row>
    <row r="780">
      <c r="A780" s="153" t="s">
        <v>753</v>
      </c>
      <c r="B780" s="154">
        <v>4.0</v>
      </c>
    </row>
    <row r="781">
      <c r="A781" s="155" t="s">
        <v>765</v>
      </c>
      <c r="B781" s="247">
        <v>3.0</v>
      </c>
    </row>
    <row r="782">
      <c r="A782" s="153" t="s">
        <v>774</v>
      </c>
      <c r="B782" s="248">
        <v>6.0</v>
      </c>
    </row>
    <row r="783">
      <c r="A783" s="155" t="s">
        <v>780</v>
      </c>
      <c r="B783" s="247">
        <v>4.0</v>
      </c>
    </row>
    <row r="784">
      <c r="A784" s="153" t="s">
        <v>785</v>
      </c>
      <c r="B784" s="248">
        <v>5.0</v>
      </c>
    </row>
    <row r="785">
      <c r="A785" s="155" t="s">
        <v>790</v>
      </c>
      <c r="B785" s="247">
        <v>1.0</v>
      </c>
    </row>
    <row r="786">
      <c r="A786" s="153" t="s">
        <v>503</v>
      </c>
      <c r="B786" s="247">
        <v>1.0</v>
      </c>
    </row>
    <row r="787">
      <c r="A787" s="155" t="s">
        <v>511</v>
      </c>
      <c r="B787" s="248">
        <v>1.0</v>
      </c>
    </row>
    <row r="788">
      <c r="A788" s="153" t="s">
        <v>516</v>
      </c>
      <c r="B788" s="247">
        <v>1.0</v>
      </c>
    </row>
    <row r="789">
      <c r="A789" s="155"/>
      <c r="B789" s="156"/>
    </row>
    <row r="790">
      <c r="A790" s="153"/>
      <c r="B790" s="168"/>
    </row>
    <row r="791">
      <c r="A791" s="155"/>
      <c r="B791" s="156"/>
    </row>
    <row r="792">
      <c r="A792" s="153"/>
      <c r="B792" s="168"/>
    </row>
    <row r="793">
      <c r="A793" s="155"/>
      <c r="B793" s="156"/>
    </row>
    <row r="794">
      <c r="A794" s="153"/>
      <c r="B794" s="168"/>
    </row>
    <row r="795">
      <c r="A795" s="155"/>
      <c r="B795" s="156"/>
    </row>
    <row r="796">
      <c r="A796" s="153"/>
      <c r="B796" s="168"/>
    </row>
    <row r="797">
      <c r="A797" s="155"/>
      <c r="B797" s="156"/>
    </row>
    <row r="798">
      <c r="A798" s="153"/>
      <c r="B798" s="168"/>
    </row>
    <row r="799">
      <c r="A799" s="155"/>
      <c r="B799" s="156"/>
    </row>
    <row r="800">
      <c r="A800" s="162"/>
      <c r="B800" s="168"/>
    </row>
    <row r="801">
      <c r="A801" s="150" t="str">
        <f t="array" ref="A801:A850">'Up Names'!Q2:Q51</f>
        <v>Switcheroo</v>
      </c>
      <c r="B801" s="255">
        <v>6.0</v>
      </c>
    </row>
    <row r="802">
      <c r="A802" s="153" t="s">
        <v>166</v>
      </c>
      <c r="B802" s="256">
        <v>4.0</v>
      </c>
    </row>
    <row r="803">
      <c r="A803" s="155" t="s">
        <v>186</v>
      </c>
      <c r="B803" s="154">
        <v>6.0</v>
      </c>
    </row>
    <row r="804">
      <c r="A804" s="153" t="s">
        <v>206</v>
      </c>
      <c r="B804" s="151">
        <v>4.0</v>
      </c>
    </row>
    <row r="805">
      <c r="A805" s="155" t="s">
        <v>225</v>
      </c>
      <c r="B805" s="154">
        <v>6.0</v>
      </c>
    </row>
    <row r="806">
      <c r="A806" s="153" t="s">
        <v>245</v>
      </c>
      <c r="B806" s="151">
        <v>6.0</v>
      </c>
    </row>
    <row r="807">
      <c r="A807" s="155" t="s">
        <v>265</v>
      </c>
      <c r="B807" s="154">
        <v>4.0</v>
      </c>
    </row>
    <row r="808">
      <c r="A808" s="153" t="s">
        <v>285</v>
      </c>
      <c r="B808" s="151">
        <v>5.0</v>
      </c>
    </row>
    <row r="809">
      <c r="A809" s="155" t="s">
        <v>305</v>
      </c>
      <c r="B809" s="154">
        <v>5.0</v>
      </c>
    </row>
    <row r="810">
      <c r="A810" s="153" t="s">
        <v>325</v>
      </c>
      <c r="B810" s="151">
        <v>4.0</v>
      </c>
    </row>
    <row r="811">
      <c r="A811" s="155" t="s">
        <v>345</v>
      </c>
      <c r="B811" s="154">
        <v>4.0</v>
      </c>
    </row>
    <row r="812">
      <c r="A812" s="153" t="s">
        <v>365</v>
      </c>
      <c r="B812" s="151">
        <v>4.0</v>
      </c>
    </row>
    <row r="813">
      <c r="A813" s="155" t="s">
        <v>390</v>
      </c>
      <c r="B813" s="154">
        <v>5.0</v>
      </c>
    </row>
    <row r="814">
      <c r="A814" s="153" t="s">
        <v>418</v>
      </c>
      <c r="B814" s="151">
        <v>5.0</v>
      </c>
    </row>
    <row r="815">
      <c r="A815" s="155" t="s">
        <v>445</v>
      </c>
      <c r="B815" s="154">
        <v>5.0</v>
      </c>
    </row>
    <row r="816">
      <c r="A816" s="153" t="s">
        <v>473</v>
      </c>
      <c r="B816" s="151">
        <v>5.0</v>
      </c>
    </row>
    <row r="817">
      <c r="A817" s="155" t="s">
        <v>502</v>
      </c>
      <c r="B817" s="154">
        <v>3.0</v>
      </c>
    </row>
    <row r="818">
      <c r="A818" s="153" t="s">
        <v>524</v>
      </c>
      <c r="B818" s="151">
        <v>3.0</v>
      </c>
    </row>
    <row r="819">
      <c r="A819" s="155" t="s">
        <v>543</v>
      </c>
      <c r="B819" s="154">
        <v>5.0</v>
      </c>
    </row>
    <row r="820">
      <c r="A820" s="153" t="s">
        <v>564</v>
      </c>
      <c r="B820" s="151">
        <v>3.0</v>
      </c>
    </row>
    <row r="821">
      <c r="A821" s="155" t="s">
        <v>586</v>
      </c>
      <c r="B821" s="154">
        <v>3.0</v>
      </c>
    </row>
    <row r="822">
      <c r="A822" s="153" t="s">
        <v>609</v>
      </c>
      <c r="B822" s="151">
        <v>2.0</v>
      </c>
    </row>
    <row r="823">
      <c r="A823" s="155" t="s">
        <v>631</v>
      </c>
      <c r="B823" s="154">
        <v>4.0</v>
      </c>
    </row>
    <row r="824">
      <c r="A824" s="153" t="s">
        <v>655</v>
      </c>
      <c r="B824" s="151">
        <v>4.0</v>
      </c>
    </row>
    <row r="825">
      <c r="A825" s="155" t="s">
        <v>670</v>
      </c>
      <c r="B825" s="154">
        <v>4.0</v>
      </c>
    </row>
    <row r="826">
      <c r="A826" s="153" t="s">
        <v>684</v>
      </c>
      <c r="B826" s="151">
        <v>4.0</v>
      </c>
    </row>
    <row r="827">
      <c r="A827" s="155" t="s">
        <v>699</v>
      </c>
      <c r="B827" s="154">
        <v>5.0</v>
      </c>
    </row>
    <row r="828">
      <c r="A828" s="153" t="s">
        <v>719</v>
      </c>
      <c r="B828" s="151">
        <v>4.0</v>
      </c>
    </row>
    <row r="829">
      <c r="A829" s="155" t="s">
        <v>737</v>
      </c>
      <c r="B829" s="154">
        <v>4.0</v>
      </c>
    </row>
    <row r="830">
      <c r="A830" s="153" t="s">
        <v>754</v>
      </c>
      <c r="B830" s="151">
        <v>5.0</v>
      </c>
    </row>
    <row r="831">
      <c r="A831" s="155" t="s">
        <v>766</v>
      </c>
      <c r="B831" s="154">
        <v>3.0</v>
      </c>
    </row>
    <row r="832">
      <c r="A832" s="153" t="s">
        <v>775</v>
      </c>
      <c r="B832" s="151">
        <v>3.0</v>
      </c>
    </row>
    <row r="833">
      <c r="A833" s="155" t="s">
        <v>781</v>
      </c>
      <c r="B833" s="154">
        <v>4.0</v>
      </c>
    </row>
    <row r="834">
      <c r="A834" s="153" t="s">
        <v>786</v>
      </c>
      <c r="B834" s="151">
        <v>3.0</v>
      </c>
    </row>
    <row r="835">
      <c r="A835" s="155" t="s">
        <v>791</v>
      </c>
      <c r="B835" s="247">
        <v>4.0</v>
      </c>
    </row>
    <row r="836">
      <c r="A836" s="153" t="s">
        <v>797</v>
      </c>
      <c r="B836" s="248">
        <v>4.0</v>
      </c>
    </row>
    <row r="837">
      <c r="A837" s="155"/>
      <c r="B837" s="156"/>
    </row>
    <row r="838">
      <c r="A838" s="153"/>
      <c r="B838" s="168"/>
    </row>
    <row r="839">
      <c r="A839" s="155"/>
      <c r="B839" s="156"/>
    </row>
    <row r="840">
      <c r="A840" s="153"/>
      <c r="B840" s="168"/>
    </row>
    <row r="841">
      <c r="A841" s="155"/>
      <c r="B841" s="156"/>
    </row>
    <row r="842">
      <c r="A842" s="153"/>
      <c r="B842" s="168"/>
    </row>
    <row r="843">
      <c r="A843" s="155"/>
      <c r="B843" s="156"/>
    </row>
    <row r="844">
      <c r="A844" s="153"/>
      <c r="B844" s="168"/>
    </row>
    <row r="845">
      <c r="A845" s="155"/>
      <c r="B845" s="156"/>
    </row>
    <row r="846">
      <c r="A846" s="153"/>
      <c r="B846" s="168"/>
    </row>
    <row r="847">
      <c r="A847" s="155"/>
      <c r="B847" s="156"/>
    </row>
    <row r="848">
      <c r="A848" s="153"/>
      <c r="B848" s="168"/>
    </row>
    <row r="849">
      <c r="A849" s="155"/>
      <c r="B849" s="156"/>
    </row>
    <row r="850">
      <c r="A850" s="162"/>
      <c r="B850" s="168"/>
    </row>
    <row r="851">
      <c r="A851" s="150" t="str">
        <f t="array" ref="A851:A900">'Up Names'!R2:R51</f>
        <v>Modular Construction</v>
      </c>
      <c r="B851" s="151">
        <v>9.0</v>
      </c>
    </row>
    <row r="852">
      <c r="A852" s="153" t="s">
        <v>167</v>
      </c>
      <c r="B852" s="154">
        <v>7.0</v>
      </c>
    </row>
    <row r="853">
      <c r="A853" s="155" t="s">
        <v>187</v>
      </c>
      <c r="B853" s="256">
        <v>15.0</v>
      </c>
    </row>
    <row r="854">
      <c r="A854" s="153" t="s">
        <v>207</v>
      </c>
      <c r="B854" s="257">
        <v>5.0</v>
      </c>
    </row>
    <row r="855">
      <c r="A855" s="155" t="s">
        <v>226</v>
      </c>
      <c r="B855" s="151">
        <v>5.0</v>
      </c>
    </row>
    <row r="856">
      <c r="A856" s="153" t="s">
        <v>246</v>
      </c>
      <c r="B856" s="154">
        <v>4.0</v>
      </c>
    </row>
    <row r="857">
      <c r="A857" s="155" t="s">
        <v>266</v>
      </c>
      <c r="B857" s="151">
        <v>4.0</v>
      </c>
    </row>
    <row r="858">
      <c r="A858" s="153" t="s">
        <v>286</v>
      </c>
      <c r="B858" s="154">
        <v>3.0</v>
      </c>
    </row>
    <row r="859">
      <c r="A859" s="155" t="s">
        <v>306</v>
      </c>
      <c r="B859" s="151">
        <v>3.0</v>
      </c>
    </row>
    <row r="860">
      <c r="A860" s="153" t="s">
        <v>326</v>
      </c>
      <c r="B860" s="154">
        <v>5.0</v>
      </c>
    </row>
    <row r="861">
      <c r="A861" s="155" t="s">
        <v>346</v>
      </c>
      <c r="B861" s="151">
        <v>3.0</v>
      </c>
    </row>
    <row r="862">
      <c r="A862" s="153" t="s">
        <v>366</v>
      </c>
      <c r="B862" s="154">
        <v>4.0</v>
      </c>
    </row>
    <row r="863">
      <c r="A863" s="155" t="s">
        <v>391</v>
      </c>
      <c r="B863" s="151">
        <v>5.0</v>
      </c>
    </row>
    <row r="864">
      <c r="A864" s="153" t="s">
        <v>419</v>
      </c>
      <c r="B864" s="154">
        <v>4.0</v>
      </c>
    </row>
    <row r="865">
      <c r="A865" s="155" t="s">
        <v>446</v>
      </c>
      <c r="B865" s="151">
        <v>2.0</v>
      </c>
    </row>
    <row r="866">
      <c r="A866" s="153" t="s">
        <v>475</v>
      </c>
      <c r="B866" s="154">
        <v>4.0</v>
      </c>
    </row>
    <row r="867">
      <c r="A867" s="155" t="s">
        <v>504</v>
      </c>
      <c r="B867" s="151">
        <v>4.0</v>
      </c>
    </row>
    <row r="868">
      <c r="A868" s="153" t="s">
        <v>525</v>
      </c>
      <c r="B868" s="154">
        <v>3.0</v>
      </c>
    </row>
    <row r="869">
      <c r="A869" s="155" t="s">
        <v>544</v>
      </c>
      <c r="B869" s="151">
        <v>3.0</v>
      </c>
    </row>
    <row r="870">
      <c r="A870" s="153" t="s">
        <v>565</v>
      </c>
      <c r="B870" s="154">
        <v>4.0</v>
      </c>
    </row>
    <row r="871">
      <c r="A871" s="155" t="s">
        <v>588</v>
      </c>
      <c r="B871" s="151">
        <v>3.0</v>
      </c>
    </row>
    <row r="872">
      <c r="A872" s="153" t="s">
        <v>610</v>
      </c>
      <c r="B872" s="154">
        <v>3.0</v>
      </c>
    </row>
    <row r="873">
      <c r="A873" s="155" t="s">
        <v>633</v>
      </c>
      <c r="B873" s="151">
        <v>3.0</v>
      </c>
    </row>
    <row r="874">
      <c r="A874" s="153" t="s">
        <v>656</v>
      </c>
      <c r="B874" s="154">
        <v>4.0</v>
      </c>
    </row>
    <row r="875">
      <c r="A875" s="155" t="s">
        <v>671</v>
      </c>
      <c r="B875" s="151">
        <v>3.0</v>
      </c>
    </row>
    <row r="876">
      <c r="A876" s="153" t="s">
        <v>685</v>
      </c>
      <c r="B876" s="154">
        <v>1.0</v>
      </c>
    </row>
    <row r="877">
      <c r="A877" s="155" t="s">
        <v>701</v>
      </c>
      <c r="B877" s="151">
        <v>3.0</v>
      </c>
    </row>
    <row r="878">
      <c r="A878" s="153" t="s">
        <v>720</v>
      </c>
      <c r="B878" s="154">
        <v>3.0</v>
      </c>
    </row>
    <row r="879">
      <c r="A879" s="155" t="s">
        <v>738</v>
      </c>
      <c r="B879" s="151">
        <v>3.0</v>
      </c>
    </row>
    <row r="880">
      <c r="A880" s="153" t="s">
        <v>755</v>
      </c>
      <c r="B880" s="154">
        <v>3.0</v>
      </c>
    </row>
    <row r="881">
      <c r="A881" s="155" t="s">
        <v>768</v>
      </c>
      <c r="B881" s="151">
        <v>4.0</v>
      </c>
    </row>
    <row r="882">
      <c r="A882" s="153" t="s">
        <v>776</v>
      </c>
      <c r="B882" s="154">
        <v>3.0</v>
      </c>
    </row>
    <row r="883">
      <c r="A883" s="155" t="s">
        <v>782</v>
      </c>
      <c r="B883" s="151">
        <v>3.0</v>
      </c>
    </row>
    <row r="884">
      <c r="A884" s="153" t="s">
        <v>787</v>
      </c>
      <c r="B884" s="248">
        <v>5.0</v>
      </c>
    </row>
    <row r="885">
      <c r="A885" s="155" t="s">
        <v>792</v>
      </c>
      <c r="B885" s="247">
        <v>4.0</v>
      </c>
    </row>
    <row r="886">
      <c r="A886" s="153"/>
      <c r="B886" s="168"/>
    </row>
    <row r="887">
      <c r="A887" s="155"/>
      <c r="B887" s="156"/>
    </row>
    <row r="888">
      <c r="A888" s="153"/>
      <c r="B888" s="168"/>
    </row>
    <row r="889">
      <c r="A889" s="155"/>
      <c r="B889" s="156"/>
    </row>
    <row r="890">
      <c r="A890" s="153"/>
      <c r="B890" s="168"/>
    </row>
    <row r="891">
      <c r="A891" s="155"/>
      <c r="B891" s="156"/>
    </row>
    <row r="892">
      <c r="A892" s="153"/>
      <c r="B892" s="168"/>
    </row>
    <row r="893">
      <c r="A893" s="155"/>
      <c r="B893" s="156"/>
    </row>
    <row r="894">
      <c r="A894" s="153"/>
      <c r="B894" s="168"/>
    </row>
    <row r="895">
      <c r="A895" s="155"/>
      <c r="B895" s="156"/>
    </row>
    <row r="896">
      <c r="A896" s="153"/>
      <c r="B896" s="168"/>
    </row>
    <row r="897">
      <c r="A897" s="155"/>
      <c r="B897" s="156"/>
    </row>
    <row r="898">
      <c r="A898" s="153"/>
      <c r="B898" s="168"/>
    </row>
    <row r="899">
      <c r="A899" s="155"/>
      <c r="B899" s="156"/>
    </row>
    <row r="900">
      <c r="A900" s="162"/>
      <c r="B900" s="168"/>
    </row>
    <row r="901">
      <c r="A901" s="150" t="str">
        <f t="array" ref="A901:A950">'Up Names'!S2:S51</f>
        <v>Upside Down</v>
      </c>
      <c r="B901" s="151">
        <v>6.0</v>
      </c>
    </row>
    <row r="902">
      <c r="A902" s="153" t="s">
        <v>168</v>
      </c>
      <c r="B902" s="154">
        <v>4.0</v>
      </c>
    </row>
    <row r="903">
      <c r="A903" s="155" t="s">
        <v>188</v>
      </c>
      <c r="B903" s="151">
        <v>4.0</v>
      </c>
    </row>
    <row r="904">
      <c r="A904" s="153" t="s">
        <v>208</v>
      </c>
      <c r="B904" s="257">
        <v>6.0</v>
      </c>
    </row>
    <row r="905">
      <c r="A905" s="155" t="s">
        <v>227</v>
      </c>
      <c r="B905" s="151">
        <v>3.0</v>
      </c>
    </row>
    <row r="906">
      <c r="A906" s="153" t="s">
        <v>247</v>
      </c>
      <c r="B906" s="154">
        <v>4.0</v>
      </c>
    </row>
    <row r="907">
      <c r="A907" s="155" t="s">
        <v>267</v>
      </c>
      <c r="B907" s="151">
        <v>4.0</v>
      </c>
    </row>
    <row r="908">
      <c r="A908" s="153" t="s">
        <v>287</v>
      </c>
      <c r="B908" s="154">
        <v>3.0</v>
      </c>
    </row>
    <row r="909">
      <c r="A909" s="155" t="s">
        <v>307</v>
      </c>
      <c r="B909" s="151">
        <v>6.0</v>
      </c>
    </row>
    <row r="910">
      <c r="A910" s="153" t="s">
        <v>327</v>
      </c>
      <c r="B910" s="154">
        <v>4.0</v>
      </c>
    </row>
    <row r="911">
      <c r="A911" s="155" t="s">
        <v>347</v>
      </c>
      <c r="B911" s="151">
        <v>4.0</v>
      </c>
    </row>
    <row r="912">
      <c r="A912" s="153" t="s">
        <v>367</v>
      </c>
      <c r="B912" s="154">
        <v>2.0</v>
      </c>
    </row>
    <row r="913">
      <c r="A913" s="155" t="s">
        <v>392</v>
      </c>
      <c r="B913" s="151">
        <v>4.0</v>
      </c>
    </row>
    <row r="914">
      <c r="A914" s="153" t="s">
        <v>420</v>
      </c>
      <c r="B914" s="154">
        <v>6.0</v>
      </c>
    </row>
    <row r="915">
      <c r="A915" s="155" t="s">
        <v>448</v>
      </c>
      <c r="B915" s="151">
        <v>2.0</v>
      </c>
    </row>
    <row r="916">
      <c r="A916" s="153" t="s">
        <v>476</v>
      </c>
      <c r="B916" s="154">
        <v>4.0</v>
      </c>
    </row>
    <row r="917">
      <c r="A917" s="155" t="s">
        <v>505</v>
      </c>
      <c r="B917" s="151">
        <v>4.0</v>
      </c>
    </row>
    <row r="918">
      <c r="A918" s="153" t="s">
        <v>526</v>
      </c>
      <c r="B918" s="154">
        <v>6.0</v>
      </c>
    </row>
    <row r="919">
      <c r="A919" s="155" t="s">
        <v>545</v>
      </c>
      <c r="B919" s="151">
        <v>5.0</v>
      </c>
    </row>
    <row r="920">
      <c r="A920" s="153" t="s">
        <v>566</v>
      </c>
      <c r="B920" s="154">
        <v>4.0</v>
      </c>
    </row>
    <row r="921">
      <c r="A921" s="155" t="s">
        <v>589</v>
      </c>
      <c r="B921" s="151">
        <v>3.0</v>
      </c>
    </row>
    <row r="922">
      <c r="A922" s="153" t="s">
        <v>611</v>
      </c>
      <c r="B922" s="154">
        <v>4.0</v>
      </c>
    </row>
    <row r="923">
      <c r="A923" s="155" t="s">
        <v>634</v>
      </c>
      <c r="B923" s="151">
        <v>4.0</v>
      </c>
    </row>
    <row r="924">
      <c r="A924" s="153" t="s">
        <v>657</v>
      </c>
      <c r="B924" s="154">
        <v>4.0</v>
      </c>
    </row>
    <row r="925">
      <c r="A925" s="155" t="s">
        <v>672</v>
      </c>
      <c r="B925" s="151">
        <v>3.0</v>
      </c>
    </row>
    <row r="926">
      <c r="A926" s="153" t="s">
        <v>686</v>
      </c>
      <c r="B926" s="154">
        <v>4.0</v>
      </c>
    </row>
    <row r="927">
      <c r="A927" s="155" t="s">
        <v>702</v>
      </c>
      <c r="B927" s="151">
        <v>5.0</v>
      </c>
    </row>
    <row r="928">
      <c r="A928" s="153" t="s">
        <v>721</v>
      </c>
      <c r="B928" s="154">
        <v>4.0</v>
      </c>
    </row>
    <row r="929">
      <c r="A929" s="155" t="s">
        <v>739</v>
      </c>
      <c r="B929" s="151">
        <v>3.0</v>
      </c>
    </row>
    <row r="930">
      <c r="A930" s="153" t="s">
        <v>757</v>
      </c>
      <c r="B930" s="154">
        <v>2.0</v>
      </c>
    </row>
    <row r="931">
      <c r="A931" s="155" t="s">
        <v>769</v>
      </c>
      <c r="B931" s="151">
        <v>3.0</v>
      </c>
    </row>
    <row r="932">
      <c r="A932" s="153" t="s">
        <v>777</v>
      </c>
      <c r="B932" s="154">
        <v>3.0</v>
      </c>
    </row>
    <row r="933">
      <c r="A933" s="155" t="s">
        <v>783</v>
      </c>
      <c r="B933" s="151">
        <v>3.0</v>
      </c>
    </row>
    <row r="934">
      <c r="A934" s="153" t="s">
        <v>788</v>
      </c>
      <c r="B934" s="248">
        <v>4.0</v>
      </c>
    </row>
    <row r="935">
      <c r="A935" s="155" t="s">
        <v>793</v>
      </c>
      <c r="B935" s="247">
        <v>4.0</v>
      </c>
    </row>
    <row r="936">
      <c r="A936" s="153"/>
      <c r="B936" s="168"/>
    </row>
    <row r="937">
      <c r="A937" s="155"/>
      <c r="B937" s="156"/>
    </row>
    <row r="938">
      <c r="A938" s="153"/>
      <c r="B938" s="168"/>
    </row>
    <row r="939">
      <c r="A939" s="155"/>
      <c r="B939" s="156"/>
    </row>
    <row r="940">
      <c r="A940" s="153"/>
      <c r="B940" s="168"/>
    </row>
    <row r="941">
      <c r="A941" s="155"/>
      <c r="B941" s="156"/>
    </row>
    <row r="942">
      <c r="A942" s="153"/>
      <c r="B942" s="168"/>
    </row>
    <row r="943">
      <c r="A943" s="155"/>
      <c r="B943" s="156"/>
    </row>
    <row r="944">
      <c r="A944" s="153"/>
      <c r="B944" s="168"/>
    </row>
    <row r="945">
      <c r="A945" s="155"/>
      <c r="B945" s="156"/>
    </row>
    <row r="946">
      <c r="A946" s="153"/>
      <c r="B946" s="168"/>
    </row>
    <row r="947">
      <c r="A947" s="155"/>
      <c r="B947" s="156"/>
    </row>
    <row r="948">
      <c r="A948" s="153"/>
      <c r="B948" s="168"/>
    </row>
    <row r="949">
      <c r="A949" s="155"/>
      <c r="B949" s="156"/>
    </row>
    <row r="950">
      <c r="A950" s="162"/>
      <c r="B950" s="168"/>
    </row>
    <row r="951">
      <c r="A951" s="150" t="str">
        <f t="array" ref="A951:A1000">'Up Names'!T2:T51</f>
        <v>Attrition Supply</v>
      </c>
      <c r="B951" s="151">
        <v>5.0</v>
      </c>
    </row>
    <row r="952">
      <c r="A952" s="153" t="s">
        <v>169</v>
      </c>
      <c r="B952" s="154">
        <v>6.0</v>
      </c>
    </row>
    <row r="953">
      <c r="A953" s="155" t="s">
        <v>189</v>
      </c>
      <c r="B953" s="151">
        <v>5.0</v>
      </c>
    </row>
    <row r="954">
      <c r="A954" s="153" t="s">
        <v>209</v>
      </c>
      <c r="B954" s="154">
        <v>5.0</v>
      </c>
    </row>
    <row r="955">
      <c r="A955" s="155" t="s">
        <v>228</v>
      </c>
      <c r="B955" s="151">
        <v>10.0</v>
      </c>
    </row>
    <row r="956">
      <c r="A956" s="153" t="s">
        <v>248</v>
      </c>
      <c r="B956" s="154">
        <v>3.0</v>
      </c>
    </row>
    <row r="957">
      <c r="A957" s="155" t="s">
        <v>268</v>
      </c>
      <c r="B957" s="151">
        <v>5.0</v>
      </c>
    </row>
    <row r="958">
      <c r="A958" s="153" t="s">
        <v>288</v>
      </c>
      <c r="B958" s="154">
        <v>4.0</v>
      </c>
    </row>
    <row r="959">
      <c r="A959" s="155" t="s">
        <v>308</v>
      </c>
      <c r="B959" s="151">
        <v>7.0</v>
      </c>
    </row>
    <row r="960">
      <c r="A960" s="153" t="s">
        <v>328</v>
      </c>
      <c r="B960" s="154">
        <v>4.0</v>
      </c>
    </row>
    <row r="961">
      <c r="A961" s="155" t="s">
        <v>348</v>
      </c>
      <c r="B961" s="151">
        <v>4.0</v>
      </c>
    </row>
    <row r="962">
      <c r="A962" s="153" t="s">
        <v>368</v>
      </c>
      <c r="B962" s="154">
        <v>5.0</v>
      </c>
    </row>
    <row r="963">
      <c r="A963" s="155" t="s">
        <v>393</v>
      </c>
      <c r="B963" s="151">
        <v>5.0</v>
      </c>
    </row>
    <row r="964">
      <c r="A964" s="153" t="s">
        <v>422</v>
      </c>
      <c r="B964" s="154">
        <v>6.0</v>
      </c>
    </row>
    <row r="965">
      <c r="A965" s="155" t="s">
        <v>450</v>
      </c>
      <c r="B965" s="151">
        <v>7.0</v>
      </c>
    </row>
    <row r="966">
      <c r="A966" s="153" t="s">
        <v>478</v>
      </c>
      <c r="B966" s="154">
        <v>4.0</v>
      </c>
    </row>
    <row r="967">
      <c r="A967" s="155" t="s">
        <v>506</v>
      </c>
      <c r="B967" s="151">
        <v>3.0</v>
      </c>
    </row>
    <row r="968">
      <c r="A968" s="153" t="s">
        <v>527</v>
      </c>
      <c r="B968" s="154">
        <v>4.0</v>
      </c>
    </row>
    <row r="969">
      <c r="A969" s="155" t="s">
        <v>546</v>
      </c>
      <c r="B969" s="151">
        <v>5.0</v>
      </c>
    </row>
    <row r="970">
      <c r="A970" s="153" t="s">
        <v>568</v>
      </c>
      <c r="B970" s="154">
        <v>3.0</v>
      </c>
    </row>
    <row r="971">
      <c r="A971" s="155" t="s">
        <v>590</v>
      </c>
      <c r="B971" s="151">
        <v>4.0</v>
      </c>
    </row>
    <row r="972">
      <c r="A972" s="153" t="s">
        <v>612</v>
      </c>
      <c r="B972" s="154">
        <v>3.0</v>
      </c>
    </row>
    <row r="973">
      <c r="A973" s="155" t="s">
        <v>636</v>
      </c>
      <c r="B973" s="151">
        <v>4.0</v>
      </c>
    </row>
    <row r="974">
      <c r="A974" s="153" t="s">
        <v>658</v>
      </c>
      <c r="B974" s="154">
        <v>5.0</v>
      </c>
    </row>
    <row r="975">
      <c r="A975" s="155" t="s">
        <v>673</v>
      </c>
      <c r="B975" s="151">
        <v>4.0</v>
      </c>
    </row>
    <row r="976">
      <c r="A976" s="153" t="s">
        <v>687</v>
      </c>
      <c r="B976" s="154">
        <v>4.0</v>
      </c>
    </row>
    <row r="977">
      <c r="A977" s="155" t="s">
        <v>703</v>
      </c>
      <c r="B977" s="151">
        <v>6.0</v>
      </c>
    </row>
    <row r="978">
      <c r="A978" s="153" t="s">
        <v>722</v>
      </c>
      <c r="B978" s="154">
        <v>4.0</v>
      </c>
    </row>
    <row r="979">
      <c r="A979" s="155" t="s">
        <v>741</v>
      </c>
      <c r="B979" s="151">
        <v>3.0</v>
      </c>
    </row>
    <row r="980">
      <c r="A980" s="153" t="s">
        <v>758</v>
      </c>
      <c r="B980" s="154">
        <v>3.0</v>
      </c>
    </row>
    <row r="981">
      <c r="A981" s="155" t="s">
        <v>771</v>
      </c>
      <c r="B981" s="151">
        <v>3.0</v>
      </c>
    </row>
    <row r="982">
      <c r="A982" s="153" t="s">
        <v>778</v>
      </c>
      <c r="B982" s="154">
        <v>3.0</v>
      </c>
    </row>
    <row r="983">
      <c r="A983" s="155" t="s">
        <v>784</v>
      </c>
      <c r="B983" s="151">
        <v>3.0</v>
      </c>
    </row>
    <row r="984">
      <c r="A984" s="153" t="s">
        <v>789</v>
      </c>
      <c r="B984" s="248">
        <v>4.0</v>
      </c>
    </row>
    <row r="985">
      <c r="A985" s="155" t="s">
        <v>794</v>
      </c>
      <c r="B985" s="247">
        <v>4.0</v>
      </c>
    </row>
    <row r="986">
      <c r="A986" s="153"/>
      <c r="B986" s="168"/>
    </row>
    <row r="987">
      <c r="A987" s="155"/>
      <c r="B987" s="156"/>
    </row>
    <row r="988">
      <c r="A988" s="153"/>
      <c r="B988" s="168"/>
    </row>
    <row r="989">
      <c r="A989" s="155"/>
      <c r="B989" s="156"/>
    </row>
    <row r="990">
      <c r="A990" s="153"/>
      <c r="B990" s="168"/>
    </row>
    <row r="991">
      <c r="A991" s="155"/>
      <c r="B991" s="156"/>
    </row>
    <row r="992">
      <c r="A992" s="153"/>
      <c r="B992" s="168"/>
    </row>
    <row r="993">
      <c r="A993" s="155"/>
      <c r="B993" s="156"/>
    </row>
    <row r="994">
      <c r="A994" s="153"/>
      <c r="B994" s="168"/>
    </row>
    <row r="995">
      <c r="A995" s="155"/>
      <c r="B995" s="156"/>
    </row>
    <row r="996">
      <c r="A996" s="153"/>
      <c r="B996" s="168"/>
    </row>
    <row r="997">
      <c r="A997" s="155"/>
      <c r="B997" s="156"/>
    </row>
    <row r="998">
      <c r="A998" s="153"/>
      <c r="B998" s="168"/>
    </row>
    <row r="999">
      <c r="A999" s="155"/>
      <c r="B999" s="156"/>
    </row>
    <row r="1000">
      <c r="A1000" s="162"/>
      <c r="B1000" s="168"/>
    </row>
  </sheetData>
  <drawing r:id="rId1"/>
  <tableParts count="1">
    <tablePart r:id="rId3"/>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0" t="str">
        <f t="array" ref="A1:A50">'Up Names'!A2:A51</f>
        <v>Corrode Siphon</v>
      </c>
      <c r="B1" s="251" t="s">
        <v>2064</v>
      </c>
      <c r="C1" s="251" t="s">
        <v>2065</v>
      </c>
      <c r="D1" s="252"/>
      <c r="E1" s="252"/>
      <c r="F1" s="252"/>
      <c r="G1" s="252"/>
      <c r="H1" s="252"/>
      <c r="I1" s="252"/>
      <c r="J1" s="252"/>
    </row>
    <row r="2">
      <c r="A2" s="153" t="s">
        <v>150</v>
      </c>
      <c r="B2" s="253" t="s">
        <v>2067</v>
      </c>
      <c r="C2" s="253" t="s">
        <v>2068</v>
      </c>
      <c r="D2" s="253" t="s">
        <v>2070</v>
      </c>
      <c r="E2" s="252"/>
      <c r="F2" s="252"/>
      <c r="G2" s="252"/>
      <c r="H2" s="252"/>
      <c r="I2" s="252"/>
      <c r="J2" s="252"/>
    </row>
    <row r="3">
      <c r="A3" s="155" t="s">
        <v>170</v>
      </c>
      <c r="B3" s="251" t="s">
        <v>12</v>
      </c>
      <c r="C3" s="251" t="s">
        <v>2068</v>
      </c>
      <c r="D3" s="252"/>
      <c r="E3" s="252"/>
      <c r="F3" s="252"/>
      <c r="G3" s="252"/>
      <c r="H3" s="252"/>
      <c r="I3" s="252"/>
      <c r="J3" s="252"/>
    </row>
    <row r="4">
      <c r="A4" s="153" t="s">
        <v>190</v>
      </c>
      <c r="B4" s="253" t="s">
        <v>2065</v>
      </c>
      <c r="C4" s="252"/>
      <c r="D4" s="252"/>
      <c r="E4" s="252"/>
      <c r="F4" s="252"/>
      <c r="G4" s="252"/>
      <c r="H4" s="252"/>
      <c r="I4" s="252"/>
      <c r="J4" s="252"/>
    </row>
    <row r="5">
      <c r="A5" s="155" t="s">
        <v>210</v>
      </c>
      <c r="B5" s="251" t="s">
        <v>2072</v>
      </c>
      <c r="C5" s="251" t="s">
        <v>2073</v>
      </c>
      <c r="D5" s="252"/>
      <c r="E5" s="252"/>
      <c r="F5" s="252"/>
      <c r="G5" s="252"/>
      <c r="H5" s="252"/>
      <c r="I5" s="252"/>
      <c r="J5" s="252"/>
    </row>
    <row r="6">
      <c r="A6" s="153" t="s">
        <v>229</v>
      </c>
      <c r="B6" s="253" t="s">
        <v>2074</v>
      </c>
      <c r="C6" s="252"/>
      <c r="D6" s="252"/>
      <c r="E6" s="252"/>
      <c r="F6" s="252"/>
      <c r="G6" s="252"/>
      <c r="H6" s="252"/>
      <c r="I6" s="252"/>
      <c r="J6" s="252"/>
    </row>
    <row r="7">
      <c r="A7" s="155" t="s">
        <v>249</v>
      </c>
      <c r="B7" s="251" t="s">
        <v>2075</v>
      </c>
      <c r="C7" s="251" t="s">
        <v>2076</v>
      </c>
      <c r="D7" s="251" t="s">
        <v>2077</v>
      </c>
      <c r="E7" s="251" t="s">
        <v>2078</v>
      </c>
      <c r="F7" s="252"/>
      <c r="G7" s="252"/>
      <c r="H7" s="252"/>
      <c r="I7" s="252"/>
      <c r="J7" s="252"/>
    </row>
    <row r="8">
      <c r="A8" s="153" t="s">
        <v>269</v>
      </c>
      <c r="B8" s="253" t="s">
        <v>2079</v>
      </c>
      <c r="C8" s="253" t="s">
        <v>2080</v>
      </c>
      <c r="D8" s="252"/>
      <c r="E8" s="252"/>
      <c r="F8" s="252"/>
      <c r="G8" s="252"/>
      <c r="H8" s="252"/>
      <c r="I8" s="252"/>
      <c r="J8" s="252"/>
    </row>
    <row r="9">
      <c r="A9" s="155" t="s">
        <v>289</v>
      </c>
      <c r="B9" s="252"/>
      <c r="C9" s="252"/>
      <c r="D9" s="252"/>
      <c r="E9" s="252"/>
      <c r="F9" s="252"/>
      <c r="G9" s="252"/>
      <c r="H9" s="252"/>
      <c r="I9" s="252"/>
      <c r="J9" s="252"/>
    </row>
    <row r="10">
      <c r="A10" s="153" t="s">
        <v>309</v>
      </c>
      <c r="B10" s="253" t="s">
        <v>2082</v>
      </c>
      <c r="C10" s="253" t="s">
        <v>2070</v>
      </c>
      <c r="D10" s="252"/>
      <c r="E10" s="252"/>
      <c r="F10" s="252"/>
      <c r="G10" s="252"/>
      <c r="H10" s="252"/>
      <c r="I10" s="252"/>
      <c r="J10" s="252"/>
    </row>
    <row r="11">
      <c r="A11" s="155" t="s">
        <v>329</v>
      </c>
      <c r="B11" s="251" t="s">
        <v>2083</v>
      </c>
      <c r="C11" s="251" t="s">
        <v>2075</v>
      </c>
      <c r="D11" s="252"/>
      <c r="E11" s="252"/>
      <c r="F11" s="252"/>
      <c r="G11" s="252"/>
      <c r="H11" s="252"/>
      <c r="I11" s="252"/>
      <c r="J11" s="252"/>
    </row>
    <row r="12">
      <c r="A12" s="153" t="s">
        <v>349</v>
      </c>
      <c r="B12" s="253" t="s">
        <v>2084</v>
      </c>
      <c r="C12" s="253" t="s">
        <v>2085</v>
      </c>
      <c r="D12" s="252"/>
      <c r="E12" s="252"/>
      <c r="F12" s="252"/>
      <c r="G12" s="252"/>
      <c r="H12" s="252"/>
      <c r="I12" s="252"/>
      <c r="J12" s="252"/>
    </row>
    <row r="13">
      <c r="A13" s="155" t="s">
        <v>372</v>
      </c>
      <c r="B13" s="251" t="s">
        <v>2087</v>
      </c>
      <c r="C13" s="252"/>
      <c r="D13" s="252"/>
      <c r="E13" s="252"/>
      <c r="F13" s="252"/>
      <c r="G13" s="252"/>
      <c r="H13" s="252"/>
      <c r="I13" s="252"/>
      <c r="J13" s="252"/>
    </row>
    <row r="14">
      <c r="A14" s="153" t="s">
        <v>394</v>
      </c>
      <c r="B14" s="253" t="s">
        <v>2088</v>
      </c>
      <c r="C14" s="253" t="s">
        <v>2089</v>
      </c>
      <c r="D14" s="254" t="s">
        <v>2090</v>
      </c>
      <c r="E14" s="252"/>
      <c r="F14" s="252"/>
      <c r="G14" s="252"/>
      <c r="H14" s="252"/>
      <c r="I14" s="252"/>
      <c r="J14" s="252"/>
    </row>
    <row r="15">
      <c r="A15" s="155" t="s">
        <v>404</v>
      </c>
      <c r="B15" s="251" t="s">
        <v>2076</v>
      </c>
      <c r="C15" s="251" t="s">
        <v>2091</v>
      </c>
      <c r="D15" s="252"/>
      <c r="E15" s="252"/>
      <c r="F15" s="252"/>
      <c r="G15" s="252"/>
      <c r="H15" s="252"/>
      <c r="I15" s="252"/>
      <c r="J15" s="252"/>
    </row>
    <row r="16">
      <c r="A16" s="153" t="s">
        <v>410</v>
      </c>
      <c r="B16" s="253" t="s">
        <v>2070</v>
      </c>
      <c r="C16" s="252"/>
      <c r="D16" s="252"/>
      <c r="E16" s="252"/>
      <c r="F16" s="252"/>
      <c r="G16" s="252"/>
      <c r="H16" s="252"/>
      <c r="I16" s="252"/>
      <c r="J16" s="252"/>
    </row>
    <row r="17">
      <c r="A17" s="155" t="s">
        <v>415</v>
      </c>
      <c r="B17" s="251" t="s">
        <v>2068</v>
      </c>
      <c r="C17" s="251" t="s">
        <v>2093</v>
      </c>
      <c r="D17" s="251" t="s">
        <v>2094</v>
      </c>
      <c r="E17" s="251" t="s">
        <v>2095</v>
      </c>
      <c r="F17" s="251" t="s">
        <v>2096</v>
      </c>
      <c r="G17" s="251" t="s">
        <v>2097</v>
      </c>
      <c r="H17" s="251" t="s">
        <v>2082</v>
      </c>
      <c r="I17" s="251" t="s">
        <v>2098</v>
      </c>
      <c r="J17" s="252"/>
    </row>
    <row r="18">
      <c r="A18" s="153" t="s">
        <v>421</v>
      </c>
      <c r="B18" s="253" t="s">
        <v>2070</v>
      </c>
      <c r="C18" s="252"/>
      <c r="D18" s="252"/>
      <c r="E18" s="252"/>
      <c r="F18" s="252"/>
      <c r="G18" s="252"/>
      <c r="H18" s="252"/>
      <c r="I18" s="252"/>
      <c r="J18" s="252"/>
    </row>
    <row r="19">
      <c r="A19" s="155" t="s">
        <v>426</v>
      </c>
      <c r="B19" s="251" t="s">
        <v>2070</v>
      </c>
      <c r="C19" s="252"/>
      <c r="D19" s="252"/>
      <c r="E19" s="252"/>
      <c r="F19" s="252"/>
      <c r="G19" s="252"/>
      <c r="H19" s="252"/>
      <c r="I19" s="252"/>
      <c r="J19" s="252"/>
    </row>
    <row r="20">
      <c r="A20" s="153" t="s">
        <v>430</v>
      </c>
      <c r="B20" s="253" t="s">
        <v>2100</v>
      </c>
      <c r="C20" s="253" t="s">
        <v>2101</v>
      </c>
      <c r="D20" s="253" t="s">
        <v>2075</v>
      </c>
      <c r="E20" s="253" t="s">
        <v>2082</v>
      </c>
      <c r="F20" s="252"/>
      <c r="G20" s="252"/>
      <c r="H20" s="252"/>
      <c r="I20" s="252"/>
      <c r="J20" s="252"/>
    </row>
    <row r="21">
      <c r="A21" s="155" t="s">
        <v>435</v>
      </c>
      <c r="B21" s="251" t="s">
        <v>2076</v>
      </c>
      <c r="C21" s="251" t="s">
        <v>12</v>
      </c>
      <c r="D21" s="251" t="s">
        <v>2068</v>
      </c>
      <c r="E21" s="252"/>
      <c r="F21" s="252"/>
      <c r="G21" s="252"/>
      <c r="H21" s="252"/>
      <c r="I21" s="252"/>
      <c r="J21" s="252"/>
    </row>
    <row r="22">
      <c r="A22" s="153" t="s">
        <v>439</v>
      </c>
      <c r="B22" s="253" t="s">
        <v>2102</v>
      </c>
      <c r="C22" s="252"/>
      <c r="D22" s="252"/>
      <c r="E22" s="252"/>
      <c r="F22" s="252"/>
      <c r="G22" s="252"/>
      <c r="H22" s="252"/>
      <c r="I22" s="252"/>
      <c r="J22" s="252"/>
    </row>
    <row r="23">
      <c r="A23" s="155" t="s">
        <v>443</v>
      </c>
      <c r="B23" s="251" t="s">
        <v>2104</v>
      </c>
      <c r="C23" s="252"/>
      <c r="D23" s="252"/>
      <c r="E23" s="252"/>
      <c r="F23" s="252"/>
      <c r="G23" s="252"/>
      <c r="H23" s="252"/>
      <c r="I23" s="252"/>
      <c r="J23" s="252"/>
    </row>
    <row r="24">
      <c r="A24" s="153" t="s">
        <v>447</v>
      </c>
      <c r="B24" s="253" t="s">
        <v>2070</v>
      </c>
      <c r="C24" s="252"/>
      <c r="D24" s="252"/>
      <c r="E24" s="252"/>
      <c r="F24" s="252"/>
      <c r="G24" s="252"/>
      <c r="H24" s="252"/>
      <c r="I24" s="252"/>
      <c r="J24" s="252"/>
    </row>
    <row r="25">
      <c r="A25" s="155" t="s">
        <v>451</v>
      </c>
      <c r="B25" s="251" t="s">
        <v>2082</v>
      </c>
      <c r="C25" s="251" t="s">
        <v>2098</v>
      </c>
      <c r="D25" s="251" t="s">
        <v>2075</v>
      </c>
      <c r="E25" s="252"/>
      <c r="F25" s="252"/>
      <c r="G25" s="252"/>
      <c r="H25" s="252"/>
      <c r="I25" s="252"/>
      <c r="J25" s="252"/>
    </row>
    <row r="26">
      <c r="A26" s="153" t="s">
        <v>455</v>
      </c>
      <c r="B26" s="253" t="s">
        <v>2105</v>
      </c>
      <c r="C26" s="253" t="s">
        <v>2106</v>
      </c>
      <c r="D26" s="253" t="s">
        <v>2108</v>
      </c>
      <c r="E26" s="252"/>
      <c r="F26" s="252"/>
      <c r="G26" s="252"/>
      <c r="H26" s="252"/>
      <c r="I26" s="252"/>
      <c r="J26" s="252"/>
    </row>
    <row r="27">
      <c r="A27" s="155" t="s">
        <v>459</v>
      </c>
      <c r="B27" s="251" t="s">
        <v>2109</v>
      </c>
      <c r="C27" s="252"/>
      <c r="D27" s="252"/>
      <c r="E27" s="252"/>
      <c r="F27" s="252"/>
      <c r="G27" s="252"/>
      <c r="H27" s="252"/>
      <c r="I27" s="252"/>
      <c r="J27" s="252"/>
    </row>
    <row r="28">
      <c r="A28" s="153" t="s">
        <v>464</v>
      </c>
      <c r="B28" s="253" t="s">
        <v>2080</v>
      </c>
      <c r="C28" s="252"/>
      <c r="D28" s="252"/>
      <c r="E28" s="252"/>
      <c r="F28" s="252"/>
      <c r="G28" s="252"/>
      <c r="H28" s="252"/>
      <c r="I28" s="252"/>
      <c r="J28" s="252"/>
    </row>
    <row r="29">
      <c r="A29" s="155" t="s">
        <v>468</v>
      </c>
      <c r="B29" s="251" t="s">
        <v>2101</v>
      </c>
      <c r="C29" s="252"/>
      <c r="D29" s="252"/>
      <c r="E29" s="252"/>
      <c r="F29" s="252"/>
      <c r="G29" s="252"/>
      <c r="H29" s="252"/>
      <c r="I29" s="252"/>
      <c r="J29" s="252"/>
    </row>
    <row r="30">
      <c r="A30" s="153" t="s">
        <v>472</v>
      </c>
      <c r="B30" s="253" t="s">
        <v>2101</v>
      </c>
      <c r="C30" s="252"/>
      <c r="D30" s="252"/>
      <c r="E30" s="252"/>
      <c r="F30" s="252"/>
      <c r="G30" s="252"/>
      <c r="H30" s="252"/>
      <c r="I30" s="252"/>
      <c r="J30" s="252"/>
    </row>
    <row r="31">
      <c r="A31" s="155" t="s">
        <v>477</v>
      </c>
      <c r="B31" s="251" t="s">
        <v>2101</v>
      </c>
      <c r="C31" s="251" t="s">
        <v>2080</v>
      </c>
      <c r="D31" s="252"/>
      <c r="E31" s="252"/>
      <c r="F31" s="252"/>
      <c r="G31" s="252"/>
      <c r="H31" s="252"/>
      <c r="I31" s="252"/>
      <c r="J31" s="252"/>
    </row>
    <row r="32">
      <c r="A32" s="153" t="s">
        <v>481</v>
      </c>
      <c r="B32" s="253" t="s">
        <v>2101</v>
      </c>
      <c r="C32" s="253" t="s">
        <v>2068</v>
      </c>
      <c r="D32" s="252"/>
      <c r="E32" s="252"/>
      <c r="F32" s="252"/>
      <c r="G32" s="252"/>
      <c r="H32" s="252"/>
      <c r="I32" s="252"/>
      <c r="J32" s="252"/>
    </row>
    <row r="33">
      <c r="A33" s="155" t="s">
        <v>486</v>
      </c>
      <c r="B33" s="251" t="s">
        <v>2097</v>
      </c>
      <c r="C33" s="252"/>
      <c r="D33" s="252"/>
      <c r="E33" s="252"/>
      <c r="F33" s="252"/>
      <c r="G33" s="252"/>
      <c r="H33" s="252"/>
      <c r="I33" s="252"/>
      <c r="J33" s="252"/>
    </row>
    <row r="34">
      <c r="A34" s="153" t="s">
        <v>492</v>
      </c>
      <c r="B34" s="253" t="s">
        <v>2082</v>
      </c>
      <c r="C34" s="253" t="s">
        <v>2098</v>
      </c>
      <c r="D34" s="253" t="s">
        <v>2075</v>
      </c>
      <c r="E34" s="252"/>
      <c r="F34" s="252"/>
      <c r="G34" s="252"/>
      <c r="H34" s="252"/>
      <c r="I34" s="252"/>
      <c r="J34" s="252"/>
    </row>
    <row r="35">
      <c r="A35" s="155" t="s">
        <v>496</v>
      </c>
      <c r="B35" s="251" t="s">
        <v>2112</v>
      </c>
      <c r="C35" s="252"/>
      <c r="D35" s="252"/>
      <c r="E35" s="252"/>
      <c r="F35" s="252"/>
      <c r="G35" s="252"/>
      <c r="H35" s="252"/>
      <c r="I35" s="252"/>
      <c r="J35" s="252"/>
    </row>
    <row r="36">
      <c r="A36" s="153" t="s">
        <v>499</v>
      </c>
      <c r="B36" s="253" t="s">
        <v>2113</v>
      </c>
      <c r="C36" s="252"/>
      <c r="D36" s="252"/>
      <c r="E36" s="252"/>
      <c r="F36" s="252"/>
      <c r="G36" s="252"/>
      <c r="H36" s="252"/>
      <c r="I36" s="252"/>
      <c r="J36" s="252"/>
    </row>
    <row r="37">
      <c r="A37" s="155" t="s">
        <v>503</v>
      </c>
      <c r="B37" s="252"/>
      <c r="C37" s="252"/>
      <c r="D37" s="252"/>
      <c r="E37" s="252"/>
      <c r="F37" s="252"/>
      <c r="G37" s="252"/>
      <c r="H37" s="252"/>
      <c r="I37" s="252"/>
      <c r="J37" s="252"/>
    </row>
    <row r="38">
      <c r="A38" s="153" t="s">
        <v>511</v>
      </c>
      <c r="B38" s="252"/>
      <c r="C38" s="252"/>
      <c r="D38" s="252"/>
      <c r="E38" s="252"/>
      <c r="F38" s="252"/>
      <c r="G38" s="252"/>
      <c r="H38" s="252"/>
      <c r="I38" s="252"/>
      <c r="J38" s="252"/>
    </row>
    <row r="39">
      <c r="A39" s="155" t="s">
        <v>516</v>
      </c>
      <c r="B39" s="252"/>
      <c r="C39" s="252"/>
      <c r="D39" s="252"/>
      <c r="E39" s="252"/>
      <c r="F39" s="252"/>
      <c r="G39" s="252"/>
      <c r="H39" s="252"/>
      <c r="I39" s="252"/>
      <c r="J39" s="252"/>
    </row>
    <row r="40">
      <c r="A40" s="153"/>
      <c r="B40" s="252"/>
      <c r="C40" s="252"/>
      <c r="D40" s="252"/>
      <c r="E40" s="252"/>
      <c r="F40" s="252"/>
      <c r="G40" s="252"/>
      <c r="H40" s="252"/>
      <c r="I40" s="252"/>
      <c r="J40" s="252"/>
    </row>
    <row r="41">
      <c r="A41" s="155"/>
      <c r="B41" s="252"/>
      <c r="C41" s="252"/>
      <c r="D41" s="252"/>
      <c r="E41" s="252"/>
      <c r="F41" s="252"/>
      <c r="G41" s="252"/>
      <c r="H41" s="252"/>
      <c r="I41" s="252"/>
      <c r="J41" s="252"/>
    </row>
    <row r="42">
      <c r="A42" s="153"/>
      <c r="B42" s="252"/>
      <c r="C42" s="252"/>
      <c r="D42" s="252"/>
      <c r="E42" s="252"/>
      <c r="F42" s="252"/>
      <c r="G42" s="252"/>
      <c r="H42" s="252"/>
      <c r="I42" s="252"/>
      <c r="J42" s="252"/>
    </row>
    <row r="43">
      <c r="A43" s="155"/>
      <c r="B43" s="252"/>
      <c r="C43" s="252"/>
      <c r="D43" s="252"/>
      <c r="E43" s="252"/>
      <c r="F43" s="252"/>
      <c r="G43" s="252"/>
      <c r="H43" s="252"/>
      <c r="I43" s="252"/>
      <c r="J43" s="252"/>
    </row>
    <row r="44">
      <c r="A44" s="153"/>
      <c r="B44" s="252"/>
      <c r="C44" s="252"/>
      <c r="D44" s="252"/>
      <c r="E44" s="252"/>
      <c r="F44" s="252"/>
      <c r="G44" s="252"/>
      <c r="H44" s="252"/>
      <c r="I44" s="252"/>
      <c r="J44" s="252"/>
    </row>
    <row r="45">
      <c r="A45" s="155"/>
      <c r="B45" s="252"/>
      <c r="C45" s="252"/>
      <c r="D45" s="252"/>
      <c r="E45" s="252"/>
      <c r="F45" s="252"/>
      <c r="G45" s="252"/>
      <c r="H45" s="252"/>
      <c r="I45" s="252"/>
      <c r="J45" s="252"/>
    </row>
    <row r="46">
      <c r="A46" s="153"/>
      <c r="B46" s="252"/>
      <c r="C46" s="252"/>
      <c r="D46" s="252"/>
      <c r="E46" s="252"/>
      <c r="F46" s="252"/>
      <c r="G46" s="252"/>
      <c r="H46" s="252"/>
      <c r="I46" s="252"/>
      <c r="J46" s="252"/>
    </row>
    <row r="47">
      <c r="A47" s="155"/>
      <c r="B47" s="252"/>
      <c r="C47" s="252"/>
      <c r="D47" s="252"/>
      <c r="E47" s="252"/>
      <c r="F47" s="252"/>
      <c r="G47" s="252"/>
      <c r="H47" s="252"/>
      <c r="I47" s="252"/>
      <c r="J47" s="252"/>
    </row>
    <row r="48">
      <c r="A48" s="153"/>
      <c r="B48" s="252"/>
      <c r="C48" s="252"/>
      <c r="D48" s="252"/>
      <c r="E48" s="252"/>
      <c r="F48" s="252"/>
      <c r="G48" s="252"/>
      <c r="H48" s="252"/>
      <c r="I48" s="252"/>
      <c r="J48" s="252"/>
    </row>
    <row r="49">
      <c r="A49" s="155"/>
      <c r="B49" s="252"/>
      <c r="C49" s="252"/>
      <c r="D49" s="252"/>
      <c r="E49" s="252"/>
      <c r="F49" s="252"/>
      <c r="G49" s="252"/>
      <c r="H49" s="252"/>
      <c r="I49" s="252"/>
      <c r="J49" s="252"/>
    </row>
    <row r="50">
      <c r="A50" s="162"/>
      <c r="B50" s="252"/>
      <c r="C50" s="252"/>
      <c r="D50" s="252"/>
      <c r="E50" s="252"/>
      <c r="F50" s="252"/>
      <c r="G50" s="252"/>
      <c r="H50" s="252"/>
      <c r="I50" s="252"/>
      <c r="J50" s="252"/>
    </row>
    <row r="51">
      <c r="A51" s="150" t="str">
        <f t="array" ref="A51:A100">'Up Names'!B2:B51</f>
        <v>All Powdered Up</v>
      </c>
      <c r="B51" s="251" t="s">
        <v>2116</v>
      </c>
      <c r="C51" s="254" t="s">
        <v>2097</v>
      </c>
      <c r="D51" s="252"/>
      <c r="E51" s="252"/>
      <c r="F51" s="252"/>
      <c r="G51" s="252"/>
      <c r="H51" s="252"/>
      <c r="I51" s="252"/>
      <c r="J51" s="252"/>
    </row>
    <row r="52">
      <c r="A52" s="153" t="s">
        <v>151</v>
      </c>
      <c r="B52" s="253" t="s">
        <v>2117</v>
      </c>
      <c r="C52" s="252"/>
      <c r="D52" s="252"/>
      <c r="E52" s="252"/>
      <c r="F52" s="252"/>
      <c r="G52" s="252"/>
      <c r="H52" s="252"/>
      <c r="I52" s="252"/>
      <c r="J52" s="252"/>
    </row>
    <row r="53">
      <c r="A53" s="155" t="s">
        <v>171</v>
      </c>
      <c r="B53" s="251" t="s">
        <v>2068</v>
      </c>
      <c r="C53" s="251" t="s">
        <v>51</v>
      </c>
      <c r="D53" s="251" t="s">
        <v>2097</v>
      </c>
      <c r="E53" s="251" t="s">
        <v>2120</v>
      </c>
      <c r="F53" s="252"/>
      <c r="G53" s="252"/>
      <c r="H53" s="252"/>
      <c r="I53" s="252"/>
      <c r="J53" s="252"/>
    </row>
    <row r="54">
      <c r="A54" s="153" t="s">
        <v>191</v>
      </c>
      <c r="B54" s="253" t="s">
        <v>2121</v>
      </c>
      <c r="C54" s="253" t="s">
        <v>2075</v>
      </c>
      <c r="D54" s="253" t="s">
        <v>2101</v>
      </c>
      <c r="E54" s="252"/>
      <c r="F54" s="252"/>
      <c r="G54" s="252"/>
      <c r="H54" s="252"/>
      <c r="I54" s="252"/>
      <c r="J54" s="252"/>
    </row>
    <row r="55">
      <c r="A55" s="155" t="s">
        <v>211</v>
      </c>
      <c r="B55" s="251" t="s">
        <v>2065</v>
      </c>
      <c r="C55" s="252"/>
      <c r="D55" s="252"/>
      <c r="E55" s="252"/>
      <c r="F55" s="252"/>
      <c r="G55" s="252"/>
      <c r="H55" s="252"/>
      <c r="I55" s="252"/>
      <c r="J55" s="252"/>
    </row>
    <row r="56">
      <c r="A56" s="153" t="s">
        <v>230</v>
      </c>
      <c r="B56" s="253" t="s">
        <v>2084</v>
      </c>
      <c r="C56" s="252"/>
      <c r="D56" s="252"/>
      <c r="E56" s="252"/>
      <c r="F56" s="252"/>
      <c r="G56" s="252"/>
      <c r="H56" s="252"/>
      <c r="I56" s="252"/>
      <c r="J56" s="252"/>
    </row>
    <row r="57">
      <c r="A57" s="155" t="s">
        <v>250</v>
      </c>
      <c r="B57" s="252"/>
      <c r="C57" s="252"/>
      <c r="D57" s="252"/>
      <c r="E57" s="252"/>
      <c r="F57" s="252"/>
      <c r="G57" s="252"/>
      <c r="H57" s="252"/>
      <c r="I57" s="252"/>
      <c r="J57" s="252"/>
    </row>
    <row r="58">
      <c r="A58" s="153" t="s">
        <v>270</v>
      </c>
      <c r="B58" s="253" t="s">
        <v>2076</v>
      </c>
      <c r="C58" s="253" t="s">
        <v>2108</v>
      </c>
      <c r="D58" s="252"/>
      <c r="E58" s="252"/>
      <c r="F58" s="252"/>
      <c r="G58" s="252"/>
      <c r="H58" s="252"/>
      <c r="I58" s="252"/>
      <c r="J58" s="252"/>
    </row>
    <row r="59">
      <c r="A59" s="155" t="s">
        <v>290</v>
      </c>
      <c r="B59" s="251" t="s">
        <v>2070</v>
      </c>
      <c r="C59" s="252"/>
      <c r="D59" s="252"/>
      <c r="E59" s="252"/>
      <c r="F59" s="252"/>
      <c r="G59" s="252"/>
      <c r="H59" s="252"/>
      <c r="I59" s="252"/>
      <c r="J59" s="252"/>
    </row>
    <row r="60">
      <c r="A60" s="153" t="s">
        <v>310</v>
      </c>
      <c r="B60" s="253" t="s">
        <v>2112</v>
      </c>
      <c r="C60" s="253" t="s">
        <v>2124</v>
      </c>
      <c r="D60" s="252"/>
      <c r="E60" s="252"/>
      <c r="F60" s="252"/>
      <c r="G60" s="252"/>
      <c r="H60" s="252"/>
      <c r="I60" s="252"/>
      <c r="J60" s="252"/>
    </row>
    <row r="61">
      <c r="A61" s="155" t="s">
        <v>330</v>
      </c>
      <c r="B61" s="252"/>
      <c r="C61" s="252"/>
      <c r="D61" s="252"/>
      <c r="E61" s="252"/>
      <c r="F61" s="252"/>
      <c r="G61" s="252"/>
      <c r="H61" s="252"/>
      <c r="I61" s="252"/>
      <c r="J61" s="252"/>
    </row>
    <row r="62">
      <c r="A62" s="153" t="s">
        <v>350</v>
      </c>
      <c r="B62" s="253" t="s">
        <v>2100</v>
      </c>
      <c r="C62" s="253" t="s">
        <v>2068</v>
      </c>
      <c r="D62" s="252"/>
      <c r="E62" s="252"/>
      <c r="F62" s="252"/>
      <c r="G62" s="252"/>
      <c r="H62" s="252"/>
      <c r="I62" s="252"/>
      <c r="J62" s="252"/>
    </row>
    <row r="63">
      <c r="A63" s="155" t="s">
        <v>373</v>
      </c>
      <c r="B63" s="251" t="s">
        <v>2065</v>
      </c>
      <c r="C63" s="252"/>
      <c r="D63" s="252"/>
      <c r="E63" s="252"/>
      <c r="F63" s="252"/>
      <c r="G63" s="252"/>
      <c r="H63" s="252"/>
      <c r="I63" s="252"/>
      <c r="J63" s="252"/>
    </row>
    <row r="64">
      <c r="A64" s="153" t="s">
        <v>395</v>
      </c>
      <c r="B64" s="253" t="s">
        <v>2101</v>
      </c>
      <c r="C64" s="253" t="s">
        <v>2068</v>
      </c>
      <c r="D64" s="253" t="s">
        <v>2082</v>
      </c>
      <c r="E64" s="253" t="s">
        <v>2098</v>
      </c>
      <c r="F64" s="253" t="s">
        <v>2080</v>
      </c>
      <c r="G64" s="252"/>
      <c r="H64" s="252"/>
      <c r="I64" s="252"/>
      <c r="J64" s="252"/>
    </row>
    <row r="65">
      <c r="A65" s="155" t="s">
        <v>424</v>
      </c>
      <c r="B65" s="251" t="s">
        <v>2105</v>
      </c>
      <c r="C65" s="251" t="s">
        <v>2106</v>
      </c>
      <c r="D65" s="251" t="s">
        <v>2075</v>
      </c>
      <c r="E65" s="252"/>
      <c r="F65" s="252"/>
      <c r="G65" s="252"/>
      <c r="H65" s="252"/>
      <c r="I65" s="252"/>
      <c r="J65" s="252"/>
    </row>
    <row r="66">
      <c r="A66" s="153" t="s">
        <v>452</v>
      </c>
      <c r="B66" s="253" t="s">
        <v>2082</v>
      </c>
      <c r="C66" s="253" t="s">
        <v>2098</v>
      </c>
      <c r="D66" s="253" t="s">
        <v>2068</v>
      </c>
      <c r="E66" s="252"/>
      <c r="F66" s="252"/>
      <c r="G66" s="252"/>
      <c r="H66" s="252"/>
      <c r="I66" s="252"/>
      <c r="J66" s="252"/>
    </row>
    <row r="67">
      <c r="A67" s="155" t="s">
        <v>480</v>
      </c>
      <c r="B67" s="252"/>
      <c r="C67" s="252"/>
      <c r="D67" s="252"/>
      <c r="E67" s="252"/>
      <c r="F67" s="252"/>
      <c r="G67" s="252"/>
      <c r="H67" s="252"/>
      <c r="I67" s="252"/>
      <c r="J67" s="252"/>
    </row>
    <row r="68">
      <c r="A68" s="153" t="s">
        <v>507</v>
      </c>
      <c r="B68" s="253" t="s">
        <v>2075</v>
      </c>
      <c r="C68" s="253" t="s">
        <v>2068</v>
      </c>
      <c r="D68" s="253" t="s">
        <v>2070</v>
      </c>
      <c r="E68" s="253" t="s">
        <v>2077</v>
      </c>
      <c r="F68" s="253" t="s">
        <v>2078</v>
      </c>
      <c r="G68" s="252"/>
      <c r="H68" s="252"/>
      <c r="I68" s="252"/>
      <c r="J68" s="252"/>
    </row>
    <row r="69">
      <c r="A69" s="155" t="s">
        <v>528</v>
      </c>
      <c r="B69" s="251" t="s">
        <v>2128</v>
      </c>
      <c r="C69" s="252"/>
      <c r="D69" s="252"/>
      <c r="E69" s="252"/>
      <c r="F69" s="252"/>
      <c r="G69" s="252"/>
      <c r="H69" s="252"/>
      <c r="I69" s="252"/>
      <c r="J69" s="252"/>
    </row>
    <row r="70">
      <c r="A70" s="153" t="s">
        <v>547</v>
      </c>
      <c r="B70" s="253" t="s">
        <v>2129</v>
      </c>
      <c r="C70" s="252"/>
      <c r="D70" s="252"/>
      <c r="E70" s="252"/>
      <c r="F70" s="252"/>
      <c r="G70" s="252"/>
      <c r="H70" s="252"/>
      <c r="I70" s="252"/>
      <c r="J70" s="252"/>
    </row>
    <row r="71">
      <c r="A71" s="155" t="s">
        <v>570</v>
      </c>
      <c r="B71" s="251" t="s">
        <v>2080</v>
      </c>
      <c r="C71" s="251" t="s">
        <v>2101</v>
      </c>
      <c r="D71" s="252"/>
      <c r="E71" s="252"/>
      <c r="F71" s="252"/>
      <c r="G71" s="252"/>
      <c r="H71" s="252"/>
      <c r="I71" s="252"/>
      <c r="J71" s="252"/>
    </row>
    <row r="72">
      <c r="A72" s="153" t="s">
        <v>592</v>
      </c>
      <c r="B72" s="253" t="s">
        <v>2075</v>
      </c>
      <c r="C72" s="253" t="s">
        <v>2082</v>
      </c>
      <c r="D72" s="253" t="s">
        <v>2098</v>
      </c>
      <c r="E72" s="253" t="s">
        <v>2101</v>
      </c>
      <c r="F72" s="252"/>
      <c r="G72" s="252"/>
      <c r="H72" s="252"/>
      <c r="I72" s="252"/>
      <c r="J72" s="252"/>
    </row>
    <row r="73">
      <c r="A73" s="155" t="s">
        <v>613</v>
      </c>
      <c r="B73" s="251" t="s">
        <v>2131</v>
      </c>
      <c r="C73" s="252"/>
      <c r="D73" s="252"/>
      <c r="E73" s="252"/>
      <c r="F73" s="252"/>
      <c r="G73" s="252"/>
      <c r="H73" s="252"/>
      <c r="I73" s="252"/>
      <c r="J73" s="252"/>
    </row>
    <row r="74">
      <c r="A74" s="153" t="s">
        <v>628</v>
      </c>
      <c r="B74" s="253" t="s">
        <v>2070</v>
      </c>
      <c r="C74" s="253" t="s">
        <v>2082</v>
      </c>
      <c r="D74" s="252"/>
      <c r="E74" s="252"/>
      <c r="F74" s="252"/>
      <c r="G74" s="252"/>
      <c r="H74" s="252"/>
      <c r="I74" s="252"/>
      <c r="J74" s="252"/>
    </row>
    <row r="75">
      <c r="A75" s="155" t="s">
        <v>630</v>
      </c>
      <c r="B75" s="251" t="s">
        <v>2101</v>
      </c>
      <c r="C75" s="252"/>
      <c r="D75" s="252"/>
      <c r="E75" s="252"/>
      <c r="F75" s="252"/>
      <c r="G75" s="252"/>
      <c r="H75" s="252"/>
      <c r="I75" s="252"/>
      <c r="J75" s="252"/>
    </row>
    <row r="76">
      <c r="A76" s="153" t="s">
        <v>635</v>
      </c>
      <c r="B76" s="253" t="s">
        <v>2070</v>
      </c>
      <c r="C76" s="252"/>
      <c r="D76" s="252"/>
      <c r="E76" s="252"/>
      <c r="F76" s="252"/>
      <c r="G76" s="252"/>
      <c r="H76" s="252"/>
      <c r="I76" s="252"/>
      <c r="J76" s="252"/>
    </row>
    <row r="77">
      <c r="A77" s="155" t="s">
        <v>638</v>
      </c>
      <c r="B77" s="251" t="s">
        <v>2112</v>
      </c>
      <c r="C77" s="252"/>
      <c r="D77" s="252"/>
      <c r="E77" s="252"/>
      <c r="F77" s="252"/>
      <c r="G77" s="252"/>
      <c r="H77" s="252"/>
      <c r="I77" s="252"/>
      <c r="J77" s="252"/>
    </row>
    <row r="78">
      <c r="A78" s="153" t="s">
        <v>642</v>
      </c>
      <c r="B78" s="253" t="s">
        <v>2077</v>
      </c>
      <c r="C78" s="253" t="s">
        <v>2078</v>
      </c>
      <c r="D78" s="252"/>
      <c r="E78" s="252"/>
      <c r="F78" s="252"/>
      <c r="G78" s="252"/>
      <c r="H78" s="252"/>
      <c r="I78" s="252"/>
      <c r="J78" s="252"/>
    </row>
    <row r="79">
      <c r="A79" s="155" t="s">
        <v>646</v>
      </c>
      <c r="B79" s="251" t="s">
        <v>2133</v>
      </c>
      <c r="C79" s="252"/>
      <c r="D79" s="252"/>
      <c r="E79" s="252"/>
      <c r="F79" s="252"/>
      <c r="G79" s="252"/>
      <c r="H79" s="252"/>
      <c r="I79" s="252"/>
      <c r="J79" s="252"/>
    </row>
    <row r="80">
      <c r="A80" s="153" t="s">
        <v>650</v>
      </c>
      <c r="B80" s="253" t="s">
        <v>2097</v>
      </c>
      <c r="C80" s="252"/>
      <c r="D80" s="252"/>
      <c r="E80" s="252"/>
      <c r="F80" s="252"/>
      <c r="G80" s="252"/>
      <c r="H80" s="252"/>
      <c r="I80" s="252"/>
      <c r="J80" s="252"/>
    </row>
    <row r="81">
      <c r="A81" s="155" t="s">
        <v>503</v>
      </c>
      <c r="B81" s="252"/>
      <c r="C81" s="252"/>
      <c r="D81" s="252"/>
      <c r="E81" s="252"/>
      <c r="F81" s="252"/>
      <c r="G81" s="252"/>
      <c r="H81" s="252"/>
      <c r="I81" s="252"/>
      <c r="J81" s="252"/>
    </row>
    <row r="82">
      <c r="A82" s="153" t="s">
        <v>511</v>
      </c>
      <c r="B82" s="252"/>
      <c r="C82" s="252"/>
      <c r="D82" s="252"/>
      <c r="E82" s="252"/>
      <c r="F82" s="252"/>
      <c r="G82" s="252"/>
      <c r="H82" s="252"/>
      <c r="I82" s="252"/>
      <c r="J82" s="252"/>
    </row>
    <row r="83">
      <c r="A83" s="155" t="s">
        <v>516</v>
      </c>
      <c r="B83" s="252"/>
      <c r="C83" s="252"/>
      <c r="D83" s="252"/>
      <c r="E83" s="252"/>
      <c r="F83" s="252"/>
      <c r="G83" s="252"/>
      <c r="H83" s="252"/>
      <c r="I83" s="252"/>
      <c r="J83" s="252"/>
    </row>
    <row r="84">
      <c r="A84" s="153"/>
      <c r="B84" s="252"/>
      <c r="C84" s="252"/>
      <c r="D84" s="252"/>
      <c r="E84" s="252"/>
      <c r="F84" s="252"/>
      <c r="G84" s="252"/>
      <c r="H84" s="252"/>
      <c r="I84" s="252"/>
      <c r="J84" s="252"/>
    </row>
    <row r="85">
      <c r="A85" s="155"/>
      <c r="B85" s="252"/>
      <c r="C85" s="252"/>
      <c r="D85" s="252"/>
      <c r="E85" s="252"/>
      <c r="F85" s="252"/>
      <c r="G85" s="252"/>
      <c r="H85" s="252"/>
      <c r="I85" s="252"/>
      <c r="J85" s="252"/>
    </row>
    <row r="86">
      <c r="A86" s="153"/>
      <c r="B86" s="252"/>
      <c r="C86" s="252"/>
      <c r="D86" s="252"/>
      <c r="E86" s="252"/>
      <c r="F86" s="252"/>
      <c r="G86" s="252"/>
      <c r="H86" s="252"/>
      <c r="I86" s="252"/>
      <c r="J86" s="252"/>
    </row>
    <row r="87">
      <c r="A87" s="155"/>
      <c r="B87" s="252"/>
      <c r="C87" s="252"/>
      <c r="D87" s="252"/>
      <c r="E87" s="252"/>
      <c r="F87" s="252"/>
      <c r="G87" s="252"/>
      <c r="H87" s="252"/>
      <c r="I87" s="252"/>
      <c r="J87" s="252"/>
    </row>
    <row r="88">
      <c r="A88" s="153"/>
      <c r="B88" s="252"/>
      <c r="C88" s="252"/>
      <c r="D88" s="252"/>
      <c r="E88" s="252"/>
      <c r="F88" s="252"/>
      <c r="G88" s="252"/>
      <c r="H88" s="252"/>
      <c r="I88" s="252"/>
      <c r="J88" s="252"/>
    </row>
    <row r="89">
      <c r="A89" s="155"/>
      <c r="B89" s="252"/>
      <c r="C89" s="252"/>
      <c r="D89" s="252"/>
      <c r="E89" s="252"/>
      <c r="F89" s="252"/>
      <c r="G89" s="252"/>
      <c r="H89" s="252"/>
      <c r="I89" s="252"/>
      <c r="J89" s="252"/>
    </row>
    <row r="90">
      <c r="A90" s="153"/>
      <c r="B90" s="252"/>
      <c r="C90" s="252"/>
      <c r="D90" s="252"/>
      <c r="E90" s="252"/>
      <c r="F90" s="252"/>
      <c r="G90" s="252"/>
      <c r="H90" s="252"/>
      <c r="I90" s="252"/>
      <c r="J90" s="252"/>
    </row>
    <row r="91">
      <c r="A91" s="155"/>
      <c r="B91" s="252"/>
      <c r="C91" s="252"/>
      <c r="D91" s="252"/>
      <c r="E91" s="252"/>
      <c r="F91" s="252"/>
      <c r="G91" s="252"/>
      <c r="H91" s="252"/>
      <c r="I91" s="252"/>
      <c r="J91" s="252"/>
    </row>
    <row r="92">
      <c r="A92" s="153"/>
      <c r="B92" s="252"/>
      <c r="C92" s="252"/>
      <c r="D92" s="252"/>
      <c r="E92" s="252"/>
      <c r="F92" s="252"/>
      <c r="G92" s="252"/>
      <c r="H92" s="252"/>
      <c r="I92" s="252"/>
      <c r="J92" s="252"/>
    </row>
    <row r="93">
      <c r="A93" s="155"/>
      <c r="B93" s="252"/>
      <c r="C93" s="252"/>
      <c r="D93" s="252"/>
      <c r="E93" s="252"/>
      <c r="F93" s="252"/>
      <c r="G93" s="252"/>
      <c r="H93" s="252"/>
      <c r="I93" s="252"/>
      <c r="J93" s="252"/>
    </row>
    <row r="94">
      <c r="A94" s="153"/>
      <c r="B94" s="252"/>
      <c r="C94" s="252"/>
      <c r="D94" s="252"/>
      <c r="E94" s="252"/>
      <c r="F94" s="252"/>
      <c r="G94" s="252"/>
      <c r="H94" s="252"/>
      <c r="I94" s="252"/>
      <c r="J94" s="252"/>
    </row>
    <row r="95">
      <c r="A95" s="155"/>
      <c r="B95" s="252"/>
      <c r="C95" s="252"/>
      <c r="D95" s="252"/>
      <c r="E95" s="252"/>
      <c r="F95" s="252"/>
      <c r="G95" s="252"/>
      <c r="H95" s="252"/>
      <c r="I95" s="252"/>
      <c r="J95" s="252"/>
    </row>
    <row r="96">
      <c r="A96" s="153"/>
      <c r="B96" s="252"/>
      <c r="C96" s="252"/>
      <c r="D96" s="252"/>
      <c r="E96" s="252"/>
      <c r="F96" s="252"/>
      <c r="G96" s="252"/>
      <c r="H96" s="252"/>
      <c r="I96" s="252"/>
      <c r="J96" s="252"/>
    </row>
    <row r="97">
      <c r="A97" s="155"/>
      <c r="B97" s="252"/>
      <c r="C97" s="252"/>
      <c r="D97" s="252"/>
      <c r="E97" s="252"/>
      <c r="F97" s="252"/>
      <c r="G97" s="252"/>
      <c r="H97" s="252"/>
      <c r="I97" s="252"/>
      <c r="J97" s="252"/>
    </row>
    <row r="98">
      <c r="A98" s="153"/>
      <c r="B98" s="252"/>
      <c r="C98" s="252"/>
      <c r="D98" s="252"/>
      <c r="E98" s="252"/>
      <c r="F98" s="252"/>
      <c r="G98" s="252"/>
      <c r="H98" s="252"/>
      <c r="I98" s="252"/>
      <c r="J98" s="252"/>
    </row>
    <row r="99">
      <c r="A99" s="155"/>
      <c r="B99" s="252"/>
      <c r="C99" s="252"/>
      <c r="D99" s="252"/>
      <c r="E99" s="252"/>
      <c r="F99" s="252"/>
      <c r="G99" s="252"/>
      <c r="H99" s="252"/>
      <c r="I99" s="252"/>
      <c r="J99" s="252"/>
    </row>
    <row r="100">
      <c r="A100" s="162"/>
      <c r="B100" s="252"/>
      <c r="C100" s="252"/>
      <c r="D100" s="252"/>
      <c r="E100" s="252"/>
      <c r="F100" s="252"/>
      <c r="G100" s="252"/>
      <c r="H100" s="252"/>
      <c r="I100" s="252"/>
      <c r="J100" s="252"/>
    </row>
    <row r="101">
      <c r="A101" s="150" t="str">
        <f t="array" ref="A101:A150">'Up Names'!C2:C51</f>
        <v>Breeding Season</v>
      </c>
      <c r="B101" s="251" t="s">
        <v>2120</v>
      </c>
      <c r="C101" s="251"/>
      <c r="D101" s="252"/>
      <c r="E101" s="252"/>
      <c r="F101" s="252"/>
      <c r="G101" s="252"/>
      <c r="H101" s="252"/>
      <c r="I101" s="252"/>
      <c r="J101" s="252"/>
    </row>
    <row r="102">
      <c r="A102" s="153" t="s">
        <v>152</v>
      </c>
      <c r="B102" s="253" t="s">
        <v>2068</v>
      </c>
      <c r="C102" s="253" t="s">
        <v>2108</v>
      </c>
      <c r="D102" s="252"/>
      <c r="E102" s="252"/>
      <c r="F102" s="252"/>
      <c r="G102" s="252"/>
      <c r="H102" s="252"/>
      <c r="I102" s="252"/>
      <c r="J102" s="252"/>
    </row>
    <row r="103">
      <c r="A103" s="155" t="s">
        <v>172</v>
      </c>
      <c r="B103" s="251" t="s">
        <v>2141</v>
      </c>
      <c r="C103" s="251" t="s">
        <v>2142</v>
      </c>
      <c r="D103" s="251" t="s">
        <v>2143</v>
      </c>
      <c r="E103" s="252"/>
      <c r="F103" s="252"/>
      <c r="G103" s="252"/>
      <c r="H103" s="252"/>
      <c r="I103" s="252"/>
      <c r="J103" s="252"/>
    </row>
    <row r="104">
      <c r="A104" s="153" t="s">
        <v>192</v>
      </c>
      <c r="B104" s="253" t="s">
        <v>2144</v>
      </c>
      <c r="C104" s="253" t="s">
        <v>2145</v>
      </c>
      <c r="D104" s="252"/>
      <c r="E104" s="252"/>
      <c r="F104" s="252"/>
      <c r="G104" s="252"/>
      <c r="H104" s="252"/>
      <c r="I104" s="252"/>
      <c r="J104" s="252"/>
    </row>
    <row r="105">
      <c r="A105" s="155" t="s">
        <v>212</v>
      </c>
      <c r="B105" s="251" t="s">
        <v>2146</v>
      </c>
      <c r="C105" s="251" t="s">
        <v>2147</v>
      </c>
      <c r="D105" s="252"/>
      <c r="E105" s="252"/>
      <c r="F105" s="252"/>
      <c r="G105" s="252"/>
      <c r="H105" s="252"/>
      <c r="I105" s="252"/>
      <c r="J105" s="252"/>
    </row>
    <row r="106">
      <c r="A106" s="153" t="s">
        <v>231</v>
      </c>
      <c r="B106" s="253" t="s">
        <v>2149</v>
      </c>
      <c r="C106" s="252"/>
      <c r="D106" s="252"/>
      <c r="E106" s="252"/>
      <c r="F106" s="252"/>
      <c r="G106" s="252"/>
      <c r="H106" s="252"/>
      <c r="I106" s="252"/>
      <c r="J106" s="252"/>
    </row>
    <row r="107">
      <c r="A107" s="155" t="s">
        <v>251</v>
      </c>
      <c r="B107" s="252"/>
      <c r="C107" s="252"/>
      <c r="D107" s="252"/>
      <c r="E107" s="252"/>
      <c r="F107" s="252"/>
      <c r="G107" s="252"/>
      <c r="H107" s="252"/>
      <c r="I107" s="252"/>
      <c r="J107" s="252"/>
    </row>
    <row r="108">
      <c r="A108" s="153" t="s">
        <v>271</v>
      </c>
      <c r="B108" s="253" t="s">
        <v>2150</v>
      </c>
      <c r="C108" s="253" t="s">
        <v>2151</v>
      </c>
      <c r="D108" s="252"/>
      <c r="E108" s="252"/>
      <c r="F108" s="252"/>
      <c r="G108" s="252"/>
      <c r="H108" s="252"/>
      <c r="I108" s="252"/>
      <c r="J108" s="252"/>
    </row>
    <row r="109">
      <c r="A109" s="155" t="s">
        <v>291</v>
      </c>
      <c r="B109" s="251" t="s">
        <v>2144</v>
      </c>
      <c r="C109" s="251" t="s">
        <v>2074</v>
      </c>
      <c r="D109" s="252"/>
      <c r="E109" s="252"/>
      <c r="F109" s="252"/>
      <c r="G109" s="252"/>
      <c r="H109" s="252"/>
      <c r="I109" s="252"/>
      <c r="J109" s="252"/>
    </row>
    <row r="110">
      <c r="A110" s="153" t="s">
        <v>311</v>
      </c>
      <c r="B110" s="253" t="s">
        <v>2084</v>
      </c>
      <c r="C110" s="253" t="s">
        <v>2080</v>
      </c>
      <c r="D110" s="252"/>
      <c r="E110" s="252"/>
      <c r="F110" s="252"/>
      <c r="G110" s="252"/>
      <c r="H110" s="252"/>
      <c r="I110" s="252"/>
      <c r="J110" s="252"/>
    </row>
    <row r="111">
      <c r="A111" s="155" t="s">
        <v>331</v>
      </c>
      <c r="B111" s="251" t="s">
        <v>2093</v>
      </c>
      <c r="C111" s="252"/>
      <c r="D111" s="252"/>
      <c r="E111" s="252"/>
      <c r="F111" s="252"/>
      <c r="G111" s="252"/>
      <c r="H111" s="252"/>
      <c r="I111" s="252"/>
      <c r="J111" s="252"/>
    </row>
    <row r="112">
      <c r="A112" s="153" t="s">
        <v>351</v>
      </c>
      <c r="B112" s="253" t="s">
        <v>2101</v>
      </c>
      <c r="C112" s="253" t="s">
        <v>2100</v>
      </c>
      <c r="D112" s="252"/>
      <c r="E112" s="252"/>
      <c r="F112" s="252"/>
      <c r="G112" s="252"/>
      <c r="H112" s="252"/>
      <c r="I112" s="252"/>
      <c r="J112" s="252"/>
    </row>
    <row r="113">
      <c r="A113" s="155" t="s">
        <v>374</v>
      </c>
      <c r="B113" s="251" t="s">
        <v>2153</v>
      </c>
      <c r="C113" s="252"/>
      <c r="D113" s="252"/>
      <c r="E113" s="252"/>
      <c r="F113" s="252"/>
      <c r="G113" s="252"/>
      <c r="H113" s="252"/>
      <c r="I113" s="252"/>
      <c r="J113" s="252"/>
    </row>
    <row r="114">
      <c r="A114" s="153" t="s">
        <v>396</v>
      </c>
      <c r="B114" s="253" t="s">
        <v>2085</v>
      </c>
      <c r="C114" s="253" t="s">
        <v>2090</v>
      </c>
      <c r="D114" s="252"/>
      <c r="E114" s="252"/>
      <c r="F114" s="252"/>
      <c r="G114" s="252"/>
      <c r="H114" s="252"/>
      <c r="I114" s="252"/>
      <c r="J114" s="252"/>
    </row>
    <row r="115">
      <c r="A115" s="155" t="s">
        <v>425</v>
      </c>
      <c r="B115" s="251" t="s">
        <v>2144</v>
      </c>
      <c r="C115" s="252"/>
      <c r="D115" s="252"/>
      <c r="E115" s="252"/>
      <c r="F115" s="252"/>
      <c r="G115" s="252"/>
      <c r="H115" s="252"/>
      <c r="I115" s="252"/>
      <c r="J115" s="252"/>
    </row>
    <row r="116">
      <c r="A116" s="153" t="s">
        <v>453</v>
      </c>
      <c r="B116" s="253" t="s">
        <v>2100</v>
      </c>
      <c r="C116" s="253" t="s">
        <v>2082</v>
      </c>
      <c r="D116" s="253" t="s">
        <v>2098</v>
      </c>
      <c r="E116" s="253" t="s">
        <v>2075</v>
      </c>
      <c r="F116" s="253" t="s">
        <v>2093</v>
      </c>
      <c r="G116" s="253" t="s">
        <v>2077</v>
      </c>
      <c r="H116" s="252"/>
      <c r="I116" s="252"/>
      <c r="J116" s="252"/>
    </row>
    <row r="117">
      <c r="A117" s="155" t="s">
        <v>482</v>
      </c>
      <c r="B117" s="251" t="s">
        <v>2084</v>
      </c>
      <c r="C117" s="252"/>
      <c r="D117" s="252"/>
      <c r="E117" s="252"/>
      <c r="F117" s="252"/>
      <c r="G117" s="252"/>
      <c r="H117" s="252"/>
      <c r="I117" s="252"/>
      <c r="J117" s="252"/>
    </row>
    <row r="118">
      <c r="A118" s="153" t="s">
        <v>508</v>
      </c>
      <c r="B118" s="253" t="s">
        <v>2070</v>
      </c>
      <c r="C118" s="252"/>
      <c r="D118" s="252"/>
      <c r="E118" s="252"/>
      <c r="F118" s="252"/>
      <c r="G118" s="252"/>
      <c r="H118" s="252"/>
      <c r="I118" s="252"/>
      <c r="J118" s="252"/>
    </row>
    <row r="119">
      <c r="A119" s="155" t="s">
        <v>529</v>
      </c>
      <c r="B119" s="251" t="s">
        <v>2068</v>
      </c>
      <c r="C119" s="251" t="s">
        <v>2101</v>
      </c>
      <c r="D119" s="251" t="s">
        <v>2075</v>
      </c>
      <c r="E119" s="251" t="s">
        <v>2082</v>
      </c>
      <c r="F119" s="251" t="s">
        <v>2098</v>
      </c>
      <c r="G119" s="252"/>
      <c r="H119" s="252"/>
      <c r="I119" s="252"/>
      <c r="J119" s="252"/>
    </row>
    <row r="120">
      <c r="A120" s="153" t="s">
        <v>548</v>
      </c>
      <c r="B120" s="253" t="s">
        <v>2097</v>
      </c>
      <c r="C120" s="253" t="s">
        <v>2082</v>
      </c>
      <c r="D120" s="253" t="s">
        <v>2098</v>
      </c>
      <c r="E120" s="253" t="s">
        <v>2101</v>
      </c>
      <c r="F120" s="252"/>
      <c r="G120" s="252"/>
      <c r="H120" s="252"/>
      <c r="I120" s="252"/>
      <c r="J120" s="252"/>
    </row>
    <row r="121">
      <c r="A121" s="155" t="s">
        <v>571</v>
      </c>
      <c r="B121" s="251" t="s">
        <v>2100</v>
      </c>
      <c r="C121" s="251" t="s">
        <v>2075</v>
      </c>
      <c r="D121" s="251" t="s">
        <v>2101</v>
      </c>
      <c r="E121" s="251" t="s">
        <v>2154</v>
      </c>
      <c r="F121" s="252"/>
      <c r="G121" s="252"/>
      <c r="H121" s="252"/>
      <c r="I121" s="252"/>
      <c r="J121" s="252"/>
    </row>
    <row r="122">
      <c r="A122" s="153" t="s">
        <v>594</v>
      </c>
      <c r="B122" s="253" t="s">
        <v>2084</v>
      </c>
      <c r="C122" s="253" t="s">
        <v>2085</v>
      </c>
      <c r="D122" s="252"/>
      <c r="E122" s="252"/>
      <c r="F122" s="252"/>
      <c r="G122" s="252"/>
      <c r="H122" s="252"/>
      <c r="I122" s="252"/>
      <c r="J122" s="252"/>
    </row>
    <row r="123">
      <c r="A123" s="155" t="s">
        <v>615</v>
      </c>
      <c r="B123" s="251" t="s">
        <v>2097</v>
      </c>
      <c r="C123" s="251" t="s">
        <v>2082</v>
      </c>
      <c r="D123" s="251" t="s">
        <v>2098</v>
      </c>
      <c r="E123" s="252"/>
      <c r="F123" s="252"/>
      <c r="G123" s="252"/>
      <c r="H123" s="252"/>
      <c r="I123" s="252"/>
      <c r="J123" s="252"/>
    </row>
    <row r="124">
      <c r="A124" s="153" t="s">
        <v>640</v>
      </c>
      <c r="B124" s="253" t="s">
        <v>2080</v>
      </c>
      <c r="C124" s="252"/>
      <c r="D124" s="252"/>
      <c r="E124" s="252"/>
      <c r="F124" s="252"/>
      <c r="G124" s="252"/>
      <c r="H124" s="252"/>
      <c r="I124" s="252"/>
      <c r="J124" s="252"/>
    </row>
    <row r="125">
      <c r="A125" s="155" t="s">
        <v>659</v>
      </c>
      <c r="B125" s="251" t="s">
        <v>2154</v>
      </c>
      <c r="C125" s="251" t="s">
        <v>2083</v>
      </c>
      <c r="D125" s="252"/>
      <c r="E125" s="252"/>
      <c r="F125" s="252"/>
      <c r="G125" s="252"/>
      <c r="H125" s="252"/>
      <c r="I125" s="252"/>
      <c r="J125" s="252"/>
    </row>
    <row r="126">
      <c r="A126" s="153" t="s">
        <v>674</v>
      </c>
      <c r="B126" s="253" t="s">
        <v>2101</v>
      </c>
      <c r="C126" s="252"/>
      <c r="D126" s="252"/>
      <c r="E126" s="252"/>
      <c r="F126" s="252"/>
      <c r="G126" s="252"/>
      <c r="H126" s="252"/>
      <c r="I126" s="252"/>
      <c r="J126" s="252"/>
    </row>
    <row r="127">
      <c r="A127" s="155" t="s">
        <v>688</v>
      </c>
      <c r="B127" s="251" t="s">
        <v>2097</v>
      </c>
      <c r="C127" s="252"/>
      <c r="D127" s="252"/>
      <c r="E127" s="252"/>
      <c r="F127" s="252"/>
      <c r="G127" s="252"/>
      <c r="H127" s="252"/>
      <c r="I127" s="252"/>
      <c r="J127" s="252"/>
    </row>
    <row r="128">
      <c r="A128" s="153" t="s">
        <v>705</v>
      </c>
      <c r="B128" s="253" t="s">
        <v>2075</v>
      </c>
      <c r="C128" s="253" t="s">
        <v>2082</v>
      </c>
      <c r="D128" s="253" t="s">
        <v>2098</v>
      </c>
      <c r="E128" s="252"/>
      <c r="F128" s="252"/>
      <c r="G128" s="252"/>
      <c r="H128" s="252"/>
      <c r="I128" s="252"/>
      <c r="J128" s="252"/>
    </row>
    <row r="129">
      <c r="A129" s="155" t="s">
        <v>724</v>
      </c>
      <c r="B129" s="251" t="s">
        <v>2154</v>
      </c>
      <c r="C129" s="252"/>
      <c r="D129" s="252"/>
      <c r="E129" s="252"/>
      <c r="F129" s="252"/>
      <c r="G129" s="252"/>
      <c r="H129" s="252"/>
      <c r="I129" s="252"/>
      <c r="J129" s="252"/>
    </row>
    <row r="130">
      <c r="A130" s="153" t="s">
        <v>742</v>
      </c>
      <c r="B130" s="253" t="s">
        <v>2082</v>
      </c>
      <c r="C130" s="253" t="s">
        <v>2098</v>
      </c>
      <c r="D130" s="252"/>
      <c r="E130" s="252"/>
      <c r="F130" s="252"/>
      <c r="G130" s="252"/>
      <c r="H130" s="252"/>
      <c r="I130" s="252"/>
      <c r="J130" s="252"/>
    </row>
    <row r="131">
      <c r="A131" s="155" t="s">
        <v>503</v>
      </c>
      <c r="B131" s="252"/>
      <c r="C131" s="252"/>
      <c r="D131" s="252"/>
      <c r="E131" s="252"/>
      <c r="F131" s="252"/>
      <c r="G131" s="252"/>
      <c r="H131" s="252"/>
      <c r="I131" s="252"/>
      <c r="J131" s="252"/>
    </row>
    <row r="132">
      <c r="A132" s="153" t="s">
        <v>511</v>
      </c>
      <c r="B132" s="252"/>
      <c r="C132" s="252"/>
      <c r="D132" s="252"/>
      <c r="E132" s="252"/>
      <c r="F132" s="252"/>
      <c r="G132" s="252"/>
      <c r="H132" s="252"/>
      <c r="I132" s="252"/>
      <c r="J132" s="252"/>
    </row>
    <row r="133">
      <c r="A133" s="155" t="s">
        <v>516</v>
      </c>
      <c r="B133" s="252"/>
      <c r="C133" s="252"/>
      <c r="D133" s="252"/>
      <c r="E133" s="252"/>
      <c r="F133" s="252"/>
      <c r="G133" s="252"/>
      <c r="H133" s="252"/>
      <c r="I133" s="252"/>
      <c r="J133" s="252"/>
    </row>
    <row r="134">
      <c r="A134" s="153"/>
      <c r="B134" s="252"/>
      <c r="C134" s="252"/>
      <c r="D134" s="252"/>
      <c r="E134" s="252"/>
      <c r="F134" s="252"/>
      <c r="G134" s="252"/>
      <c r="H134" s="252"/>
      <c r="I134" s="252"/>
      <c r="J134" s="252"/>
    </row>
    <row r="135">
      <c r="A135" s="155"/>
      <c r="B135" s="252"/>
      <c r="C135" s="252"/>
      <c r="D135" s="252"/>
      <c r="E135" s="252"/>
      <c r="F135" s="252"/>
      <c r="G135" s="252"/>
      <c r="H135" s="252"/>
      <c r="I135" s="252"/>
      <c r="J135" s="252"/>
    </row>
    <row r="136">
      <c r="A136" s="153"/>
      <c r="B136" s="252"/>
      <c r="C136" s="252"/>
      <c r="D136" s="252"/>
      <c r="E136" s="252"/>
      <c r="F136" s="252"/>
      <c r="G136" s="252"/>
      <c r="H136" s="252"/>
      <c r="I136" s="252"/>
      <c r="J136" s="252"/>
    </row>
    <row r="137">
      <c r="A137" s="155"/>
      <c r="B137" s="252"/>
      <c r="C137" s="252"/>
      <c r="D137" s="252"/>
      <c r="E137" s="252"/>
      <c r="F137" s="252"/>
      <c r="G137" s="252"/>
      <c r="H137" s="252"/>
      <c r="I137" s="252"/>
      <c r="J137" s="252"/>
    </row>
    <row r="138">
      <c r="A138" s="153"/>
      <c r="B138" s="252"/>
      <c r="C138" s="252"/>
      <c r="D138" s="252"/>
      <c r="E138" s="252"/>
      <c r="F138" s="252"/>
      <c r="G138" s="252"/>
      <c r="H138" s="252"/>
      <c r="I138" s="252"/>
      <c r="J138" s="252"/>
    </row>
    <row r="139">
      <c r="A139" s="155"/>
      <c r="B139" s="252"/>
      <c r="C139" s="252"/>
      <c r="D139" s="252"/>
      <c r="E139" s="252"/>
      <c r="F139" s="252"/>
      <c r="G139" s="252"/>
      <c r="H139" s="252"/>
      <c r="I139" s="252"/>
      <c r="J139" s="252"/>
    </row>
    <row r="140">
      <c r="A140" s="153"/>
      <c r="B140" s="252"/>
      <c r="C140" s="252"/>
      <c r="D140" s="252"/>
      <c r="E140" s="252"/>
      <c r="F140" s="252"/>
      <c r="G140" s="252"/>
      <c r="H140" s="252"/>
      <c r="I140" s="252"/>
      <c r="J140" s="252"/>
    </row>
    <row r="141">
      <c r="A141" s="155"/>
      <c r="B141" s="252"/>
      <c r="C141" s="252"/>
      <c r="D141" s="252"/>
      <c r="E141" s="252"/>
      <c r="F141" s="252"/>
      <c r="G141" s="252"/>
      <c r="H141" s="252"/>
      <c r="I141" s="252"/>
      <c r="J141" s="252"/>
    </row>
    <row r="142">
      <c r="A142" s="153"/>
      <c r="B142" s="252"/>
      <c r="C142" s="252"/>
      <c r="D142" s="252"/>
      <c r="E142" s="252"/>
      <c r="F142" s="252"/>
      <c r="G142" s="252"/>
      <c r="H142" s="252"/>
      <c r="I142" s="252"/>
      <c r="J142" s="252"/>
    </row>
    <row r="143">
      <c r="A143" s="155"/>
      <c r="B143" s="252"/>
      <c r="C143" s="252"/>
      <c r="D143" s="252"/>
      <c r="E143" s="252"/>
      <c r="F143" s="252"/>
      <c r="G143" s="252"/>
      <c r="H143" s="252"/>
      <c r="I143" s="252"/>
      <c r="J143" s="252"/>
    </row>
    <row r="144">
      <c r="A144" s="153"/>
      <c r="B144" s="252"/>
      <c r="C144" s="252"/>
      <c r="D144" s="252"/>
      <c r="E144" s="252"/>
      <c r="F144" s="252"/>
      <c r="G144" s="252"/>
      <c r="H144" s="252"/>
      <c r="I144" s="252"/>
      <c r="J144" s="252"/>
    </row>
    <row r="145">
      <c r="A145" s="155"/>
      <c r="B145" s="252"/>
      <c r="C145" s="252"/>
      <c r="D145" s="252"/>
      <c r="E145" s="252"/>
      <c r="F145" s="252"/>
      <c r="G145" s="252"/>
      <c r="H145" s="252"/>
      <c r="I145" s="252"/>
      <c r="J145" s="252"/>
    </row>
    <row r="146">
      <c r="A146" s="153"/>
      <c r="B146" s="252"/>
      <c r="C146" s="252"/>
      <c r="D146" s="252"/>
      <c r="E146" s="252"/>
      <c r="F146" s="252"/>
      <c r="G146" s="252"/>
      <c r="H146" s="252"/>
      <c r="I146" s="252"/>
      <c r="J146" s="252"/>
    </row>
    <row r="147">
      <c r="A147" s="155"/>
      <c r="B147" s="252"/>
      <c r="C147" s="252"/>
      <c r="D147" s="252"/>
      <c r="E147" s="252"/>
      <c r="F147" s="252"/>
      <c r="G147" s="252"/>
      <c r="H147" s="252"/>
      <c r="I147" s="252"/>
      <c r="J147" s="252"/>
    </row>
    <row r="148">
      <c r="A148" s="153"/>
      <c r="B148" s="252"/>
      <c r="C148" s="252"/>
      <c r="D148" s="252"/>
      <c r="E148" s="252"/>
      <c r="F148" s="252"/>
      <c r="G148" s="252"/>
      <c r="H148" s="252"/>
      <c r="I148" s="252"/>
      <c r="J148" s="252"/>
    </row>
    <row r="149">
      <c r="A149" s="155"/>
      <c r="B149" s="252"/>
      <c r="C149" s="252"/>
      <c r="D149" s="252"/>
      <c r="E149" s="252"/>
      <c r="F149" s="252"/>
      <c r="G149" s="252"/>
      <c r="H149" s="252"/>
      <c r="I149" s="252"/>
      <c r="J149" s="252"/>
    </row>
    <row r="150">
      <c r="A150" s="162"/>
      <c r="B150" s="252"/>
      <c r="C150" s="252"/>
      <c r="D150" s="252"/>
      <c r="E150" s="252"/>
      <c r="F150" s="252"/>
      <c r="G150" s="252"/>
      <c r="H150" s="252"/>
      <c r="I150" s="252"/>
      <c r="J150" s="252"/>
    </row>
    <row r="151">
      <c r="A151" s="150" t="str">
        <f t="array" ref="A151:A200">'Up Names'!D2:D51</f>
        <v>Arc Lightning</v>
      </c>
      <c r="B151" s="251" t="s">
        <v>2064</v>
      </c>
      <c r="C151" s="252"/>
      <c r="D151" s="252"/>
      <c r="E151" s="252"/>
      <c r="F151" s="252"/>
      <c r="G151" s="252"/>
      <c r="H151" s="252"/>
      <c r="I151" s="252"/>
      <c r="J151" s="252"/>
    </row>
    <row r="152">
      <c r="A152" s="153" t="s">
        <v>153</v>
      </c>
      <c r="B152" s="253" t="s">
        <v>2163</v>
      </c>
      <c r="C152" s="253" t="s">
        <v>2164</v>
      </c>
      <c r="D152" s="252"/>
      <c r="E152" s="252"/>
      <c r="F152" s="252"/>
      <c r="G152" s="252"/>
      <c r="H152" s="252"/>
      <c r="I152" s="252"/>
      <c r="J152" s="252"/>
    </row>
    <row r="153">
      <c r="A153" s="155" t="s">
        <v>173</v>
      </c>
      <c r="B153" s="251" t="s">
        <v>2165</v>
      </c>
      <c r="C153" s="251" t="s">
        <v>2166</v>
      </c>
      <c r="D153" s="251" t="s">
        <v>2167</v>
      </c>
      <c r="E153" s="251" t="s">
        <v>2168</v>
      </c>
      <c r="F153" s="251" t="s">
        <v>2075</v>
      </c>
      <c r="G153" s="251" t="s">
        <v>2068</v>
      </c>
      <c r="H153" s="251" t="s">
        <v>2142</v>
      </c>
      <c r="I153" s="251" t="s">
        <v>2101</v>
      </c>
      <c r="J153" s="252"/>
    </row>
    <row r="154">
      <c r="A154" s="153" t="s">
        <v>193</v>
      </c>
      <c r="B154" s="253" t="s">
        <v>2068</v>
      </c>
      <c r="C154" s="253" t="s">
        <v>2108</v>
      </c>
      <c r="D154" s="253" t="s">
        <v>2169</v>
      </c>
      <c r="E154" s="253" t="s">
        <v>2080</v>
      </c>
      <c r="F154" s="252"/>
      <c r="G154" s="252"/>
      <c r="H154" s="252"/>
      <c r="I154" s="252"/>
      <c r="J154" s="252"/>
    </row>
    <row r="155">
      <c r="A155" s="155" t="s">
        <v>213</v>
      </c>
      <c r="B155" s="251" t="s">
        <v>2171</v>
      </c>
      <c r="C155" s="252"/>
      <c r="D155" s="252"/>
      <c r="E155" s="252"/>
      <c r="F155" s="252"/>
      <c r="G155" s="252"/>
      <c r="H155" s="252"/>
      <c r="I155" s="252"/>
      <c r="J155" s="252"/>
    </row>
    <row r="156">
      <c r="A156" s="153" t="s">
        <v>232</v>
      </c>
      <c r="B156" s="253" t="s">
        <v>2149</v>
      </c>
      <c r="C156" s="252"/>
      <c r="D156" s="252"/>
      <c r="E156" s="252"/>
      <c r="F156" s="252"/>
      <c r="G156" s="252"/>
      <c r="H156" s="252"/>
      <c r="I156" s="252"/>
      <c r="J156" s="252"/>
    </row>
    <row r="157">
      <c r="A157" s="155" t="s">
        <v>252</v>
      </c>
      <c r="B157" s="251" t="s">
        <v>2172</v>
      </c>
      <c r="C157" s="251" t="s">
        <v>2070</v>
      </c>
      <c r="D157" s="252"/>
      <c r="E157" s="252"/>
      <c r="F157" s="252"/>
      <c r="G157" s="252"/>
      <c r="H157" s="252"/>
      <c r="I157" s="252"/>
      <c r="J157" s="252"/>
    </row>
    <row r="158">
      <c r="A158" s="153" t="s">
        <v>272</v>
      </c>
      <c r="B158" s="253" t="s">
        <v>2064</v>
      </c>
      <c r="C158" s="253" t="s">
        <v>2065</v>
      </c>
      <c r="D158" s="252"/>
      <c r="E158" s="252"/>
      <c r="F158" s="252"/>
      <c r="G158" s="252"/>
      <c r="H158" s="252"/>
      <c r="I158" s="252"/>
      <c r="J158" s="252"/>
    </row>
    <row r="159">
      <c r="A159" s="155" t="s">
        <v>292</v>
      </c>
      <c r="B159" s="251" t="s">
        <v>2084</v>
      </c>
      <c r="C159" s="252"/>
      <c r="D159" s="252"/>
      <c r="E159" s="252"/>
      <c r="F159" s="252"/>
      <c r="G159" s="252"/>
      <c r="H159" s="252"/>
      <c r="I159" s="252"/>
      <c r="J159" s="252"/>
    </row>
    <row r="160">
      <c r="A160" s="153" t="s">
        <v>312</v>
      </c>
      <c r="B160" s="253" t="s">
        <v>2168</v>
      </c>
      <c r="C160" s="252"/>
      <c r="D160" s="252"/>
      <c r="E160" s="252"/>
      <c r="F160" s="252"/>
      <c r="G160" s="252"/>
      <c r="H160" s="252"/>
      <c r="I160" s="252"/>
      <c r="J160" s="252"/>
    </row>
    <row r="161">
      <c r="A161" s="155" t="s">
        <v>332</v>
      </c>
      <c r="B161" s="251" t="s">
        <v>2174</v>
      </c>
      <c r="C161" s="252"/>
      <c r="D161" s="252"/>
      <c r="E161" s="252"/>
      <c r="F161" s="252"/>
      <c r="G161" s="252"/>
      <c r="H161" s="252"/>
      <c r="I161" s="252"/>
      <c r="J161" s="252"/>
    </row>
    <row r="162">
      <c r="A162" s="153" t="s">
        <v>352</v>
      </c>
      <c r="B162" s="253" t="s">
        <v>2165</v>
      </c>
      <c r="C162" s="253" t="s">
        <v>2167</v>
      </c>
      <c r="D162" s="253" t="s">
        <v>2176</v>
      </c>
      <c r="E162" s="252"/>
      <c r="F162" s="252"/>
      <c r="G162" s="252"/>
      <c r="H162" s="252"/>
      <c r="I162" s="252"/>
      <c r="J162" s="252"/>
    </row>
    <row r="163">
      <c r="A163" s="155" t="s">
        <v>375</v>
      </c>
      <c r="B163" s="251" t="s">
        <v>2177</v>
      </c>
      <c r="C163" s="252"/>
      <c r="D163" s="252"/>
      <c r="E163" s="252"/>
      <c r="F163" s="252"/>
      <c r="G163" s="252"/>
      <c r="H163" s="252"/>
      <c r="I163" s="252"/>
      <c r="J163" s="252"/>
    </row>
    <row r="164">
      <c r="A164" s="153" t="s">
        <v>398</v>
      </c>
      <c r="B164" s="252"/>
      <c r="C164" s="252"/>
      <c r="D164" s="252"/>
      <c r="E164" s="252"/>
      <c r="F164" s="252"/>
      <c r="G164" s="252"/>
      <c r="H164" s="252"/>
      <c r="I164" s="252"/>
      <c r="J164" s="252"/>
    </row>
    <row r="165">
      <c r="A165" s="155" t="s">
        <v>427</v>
      </c>
      <c r="B165" s="251" t="s">
        <v>2068</v>
      </c>
      <c r="C165" s="251" t="s">
        <v>2075</v>
      </c>
      <c r="D165" s="252"/>
      <c r="E165" s="252"/>
      <c r="F165" s="252"/>
      <c r="G165" s="252"/>
      <c r="H165" s="252"/>
      <c r="I165" s="252"/>
      <c r="J165" s="252"/>
    </row>
    <row r="166">
      <c r="A166" s="153" t="s">
        <v>454</v>
      </c>
      <c r="B166" s="253" t="s">
        <v>2177</v>
      </c>
      <c r="C166" s="252"/>
      <c r="D166" s="252"/>
      <c r="E166" s="252"/>
      <c r="F166" s="252"/>
      <c r="G166" s="252"/>
      <c r="H166" s="252"/>
      <c r="I166" s="252"/>
      <c r="J166" s="252"/>
    </row>
    <row r="167">
      <c r="A167" s="155" t="s">
        <v>484</v>
      </c>
      <c r="B167" s="252"/>
      <c r="C167" s="252"/>
      <c r="D167" s="252"/>
      <c r="E167" s="252"/>
      <c r="F167" s="252"/>
      <c r="G167" s="252"/>
      <c r="H167" s="252"/>
      <c r="I167" s="252"/>
      <c r="J167" s="252"/>
    </row>
    <row r="168">
      <c r="A168" s="153" t="s">
        <v>509</v>
      </c>
      <c r="B168" s="253" t="s">
        <v>2172</v>
      </c>
      <c r="C168" s="252"/>
      <c r="D168" s="252"/>
      <c r="E168" s="252"/>
      <c r="F168" s="252"/>
      <c r="G168" s="252"/>
      <c r="H168" s="252"/>
      <c r="I168" s="252"/>
      <c r="J168" s="252"/>
    </row>
    <row r="169">
      <c r="A169" s="155" t="s">
        <v>530</v>
      </c>
      <c r="B169" s="251" t="s">
        <v>2179</v>
      </c>
      <c r="C169" s="251" t="s">
        <v>2166</v>
      </c>
      <c r="D169" s="252"/>
      <c r="E169" s="252"/>
      <c r="F169" s="252"/>
      <c r="G169" s="252"/>
      <c r="H169" s="252"/>
      <c r="I169" s="252"/>
      <c r="J169" s="252"/>
    </row>
    <row r="170">
      <c r="A170" s="153" t="s">
        <v>549</v>
      </c>
      <c r="B170" s="253" t="s">
        <v>2177</v>
      </c>
      <c r="C170" s="252"/>
      <c r="D170" s="252"/>
      <c r="E170" s="252"/>
      <c r="F170" s="252"/>
      <c r="G170" s="252"/>
      <c r="H170" s="252"/>
      <c r="I170" s="252"/>
      <c r="J170" s="252"/>
    </row>
    <row r="171">
      <c r="A171" s="155" t="s">
        <v>572</v>
      </c>
      <c r="B171" s="251" t="s">
        <v>2180</v>
      </c>
      <c r="C171" s="251" t="s">
        <v>2181</v>
      </c>
      <c r="D171" s="252"/>
      <c r="E171" s="252"/>
      <c r="F171" s="252"/>
      <c r="G171" s="252"/>
      <c r="H171" s="252"/>
      <c r="I171" s="252"/>
      <c r="J171" s="252"/>
    </row>
    <row r="172">
      <c r="A172" s="153" t="s">
        <v>595</v>
      </c>
      <c r="B172" s="253" t="s">
        <v>2091</v>
      </c>
      <c r="C172" s="253" t="s">
        <v>2165</v>
      </c>
      <c r="D172" s="252"/>
      <c r="E172" s="252"/>
      <c r="F172" s="252"/>
      <c r="G172" s="252"/>
      <c r="H172" s="252"/>
      <c r="I172" s="252"/>
      <c r="J172" s="252"/>
    </row>
    <row r="173">
      <c r="A173" s="155" t="s">
        <v>616</v>
      </c>
      <c r="B173" s="251" t="s">
        <v>12</v>
      </c>
      <c r="C173" s="251" t="s">
        <v>2183</v>
      </c>
      <c r="D173" s="252"/>
      <c r="E173" s="252"/>
      <c r="F173" s="252"/>
      <c r="G173" s="252"/>
      <c r="H173" s="252"/>
      <c r="I173" s="252"/>
      <c r="J173" s="252"/>
    </row>
    <row r="174">
      <c r="A174" s="153" t="s">
        <v>641</v>
      </c>
      <c r="B174" s="253" t="s">
        <v>2105</v>
      </c>
      <c r="C174" s="253" t="s">
        <v>2106</v>
      </c>
      <c r="D174" s="253" t="s">
        <v>2075</v>
      </c>
      <c r="E174" s="253" t="s">
        <v>2068</v>
      </c>
      <c r="F174" s="253" t="s">
        <v>2070</v>
      </c>
      <c r="G174" s="253" t="s">
        <v>2101</v>
      </c>
      <c r="H174" s="253" t="s">
        <v>2078</v>
      </c>
      <c r="I174" s="252"/>
      <c r="J174" s="252"/>
    </row>
    <row r="175">
      <c r="A175" s="155" t="s">
        <v>660</v>
      </c>
      <c r="B175" s="251" t="s">
        <v>2183</v>
      </c>
      <c r="C175" s="251" t="s">
        <v>2184</v>
      </c>
      <c r="D175" s="252"/>
      <c r="E175" s="252"/>
      <c r="F175" s="252"/>
      <c r="G175" s="252"/>
      <c r="H175" s="252"/>
      <c r="I175" s="252"/>
      <c r="J175" s="252"/>
    </row>
    <row r="176">
      <c r="A176" s="153" t="s">
        <v>675</v>
      </c>
      <c r="B176" s="253" t="s">
        <v>2154</v>
      </c>
      <c r="C176" s="252"/>
      <c r="D176" s="252"/>
      <c r="E176" s="252"/>
      <c r="F176" s="252"/>
      <c r="G176" s="252"/>
      <c r="H176" s="252"/>
      <c r="I176" s="252"/>
      <c r="J176" s="252"/>
    </row>
    <row r="177">
      <c r="A177" s="155" t="s">
        <v>689</v>
      </c>
      <c r="B177" s="251" t="s">
        <v>2166</v>
      </c>
      <c r="C177" s="252"/>
      <c r="D177" s="252"/>
      <c r="E177" s="252"/>
      <c r="F177" s="252"/>
      <c r="G177" s="252"/>
      <c r="H177" s="252"/>
      <c r="I177" s="252"/>
      <c r="J177" s="252"/>
    </row>
    <row r="178">
      <c r="A178" s="153" t="s">
        <v>707</v>
      </c>
      <c r="B178" s="253" t="s">
        <v>2097</v>
      </c>
      <c r="C178" s="254" t="s">
        <v>2077</v>
      </c>
      <c r="D178" s="254" t="s">
        <v>2078</v>
      </c>
      <c r="E178" s="252"/>
      <c r="F178" s="252"/>
      <c r="G178" s="252"/>
      <c r="H178" s="252"/>
      <c r="I178" s="252"/>
      <c r="J178" s="252"/>
    </row>
    <row r="179">
      <c r="A179" s="155" t="s">
        <v>725</v>
      </c>
      <c r="B179" s="251" t="s">
        <v>2101</v>
      </c>
      <c r="C179" s="251" t="s">
        <v>2080</v>
      </c>
      <c r="D179" s="252"/>
      <c r="E179" s="252"/>
      <c r="F179" s="252"/>
      <c r="G179" s="252"/>
      <c r="H179" s="252"/>
      <c r="I179" s="252"/>
      <c r="J179" s="252"/>
    </row>
    <row r="180">
      <c r="A180" s="153" t="s">
        <v>743</v>
      </c>
      <c r="B180" s="253" t="s">
        <v>2179</v>
      </c>
      <c r="C180" s="253" t="s">
        <v>2154</v>
      </c>
      <c r="D180" s="252"/>
      <c r="E180" s="252"/>
      <c r="F180" s="252"/>
      <c r="G180" s="252"/>
      <c r="H180" s="252"/>
      <c r="I180" s="252"/>
      <c r="J180" s="252"/>
    </row>
    <row r="181">
      <c r="A181" s="155" t="s">
        <v>760</v>
      </c>
      <c r="B181" s="254" t="s">
        <v>2068</v>
      </c>
      <c r="C181" s="252"/>
      <c r="D181" s="252"/>
      <c r="E181" s="252"/>
      <c r="F181" s="252"/>
      <c r="G181" s="252"/>
      <c r="H181" s="252"/>
      <c r="I181" s="252"/>
      <c r="J181" s="252"/>
    </row>
    <row r="182">
      <c r="A182" s="153" t="s">
        <v>773</v>
      </c>
      <c r="B182" s="254" t="s">
        <v>2165</v>
      </c>
      <c r="C182" s="252"/>
      <c r="D182" s="252"/>
      <c r="E182" s="252"/>
      <c r="F182" s="252"/>
      <c r="G182" s="252"/>
      <c r="H182" s="252"/>
      <c r="I182" s="252"/>
      <c r="J182" s="252"/>
    </row>
    <row r="183">
      <c r="A183" s="155" t="s">
        <v>779</v>
      </c>
      <c r="B183" s="254" t="s">
        <v>2180</v>
      </c>
      <c r="C183" s="254" t="s">
        <v>2181</v>
      </c>
      <c r="D183" s="252"/>
      <c r="E183" s="252"/>
      <c r="F183" s="252"/>
      <c r="G183" s="252"/>
      <c r="H183" s="252"/>
      <c r="I183" s="252"/>
      <c r="J183" s="252"/>
    </row>
    <row r="184">
      <c r="A184" s="153" t="s">
        <v>503</v>
      </c>
      <c r="B184" s="252"/>
      <c r="C184" s="252"/>
      <c r="D184" s="252"/>
      <c r="E184" s="252"/>
      <c r="F184" s="252"/>
      <c r="G184" s="252"/>
      <c r="H184" s="252"/>
      <c r="I184" s="252"/>
      <c r="J184" s="252"/>
    </row>
    <row r="185">
      <c r="A185" s="155" t="s">
        <v>511</v>
      </c>
      <c r="B185" s="252"/>
      <c r="C185" s="252"/>
      <c r="D185" s="252"/>
      <c r="E185" s="252"/>
      <c r="F185" s="252"/>
      <c r="G185" s="252"/>
      <c r="H185" s="252"/>
      <c r="I185" s="252"/>
      <c r="J185" s="252"/>
    </row>
    <row r="186">
      <c r="A186" s="153" t="s">
        <v>516</v>
      </c>
      <c r="B186" s="252"/>
      <c r="C186" s="252"/>
      <c r="D186" s="252"/>
      <c r="E186" s="252"/>
      <c r="F186" s="252"/>
      <c r="G186" s="252"/>
      <c r="H186" s="252"/>
      <c r="I186" s="252"/>
      <c r="J186" s="252"/>
    </row>
    <row r="187">
      <c r="A187" s="155"/>
      <c r="B187" s="252"/>
      <c r="C187" s="252"/>
      <c r="D187" s="252"/>
      <c r="E187" s="252"/>
      <c r="F187" s="252"/>
      <c r="G187" s="252"/>
      <c r="H187" s="252"/>
      <c r="I187" s="252"/>
      <c r="J187" s="252"/>
    </row>
    <row r="188">
      <c r="A188" s="153"/>
      <c r="B188" s="252"/>
      <c r="C188" s="252"/>
      <c r="D188" s="252"/>
      <c r="E188" s="252"/>
      <c r="F188" s="252"/>
      <c r="G188" s="252"/>
      <c r="H188" s="252"/>
      <c r="I188" s="252"/>
      <c r="J188" s="252"/>
    </row>
    <row r="189">
      <c r="A189" s="155"/>
      <c r="B189" s="252"/>
      <c r="C189" s="252"/>
      <c r="D189" s="252"/>
      <c r="E189" s="252"/>
      <c r="F189" s="252"/>
      <c r="G189" s="252"/>
      <c r="H189" s="252"/>
      <c r="I189" s="252"/>
      <c r="J189" s="252"/>
    </row>
    <row r="190">
      <c r="A190" s="153"/>
      <c r="B190" s="252"/>
      <c r="C190" s="252"/>
      <c r="D190" s="252"/>
      <c r="E190" s="252"/>
      <c r="F190" s="252"/>
      <c r="G190" s="252"/>
      <c r="H190" s="252"/>
      <c r="I190" s="252"/>
      <c r="J190" s="252"/>
    </row>
    <row r="191">
      <c r="A191" s="155"/>
      <c r="B191" s="252"/>
      <c r="C191" s="252"/>
      <c r="D191" s="252"/>
      <c r="E191" s="252"/>
      <c r="F191" s="252"/>
      <c r="G191" s="252"/>
      <c r="H191" s="252"/>
      <c r="I191" s="252"/>
      <c r="J191" s="252"/>
    </row>
    <row r="192">
      <c r="A192" s="153"/>
      <c r="B192" s="252"/>
      <c r="C192" s="252"/>
      <c r="D192" s="252"/>
      <c r="E192" s="252"/>
      <c r="F192" s="252"/>
      <c r="G192" s="252"/>
      <c r="H192" s="252"/>
      <c r="I192" s="252"/>
      <c r="J192" s="252"/>
    </row>
    <row r="193">
      <c r="A193" s="155"/>
      <c r="B193" s="252"/>
      <c r="C193" s="252"/>
      <c r="D193" s="252"/>
      <c r="E193" s="252"/>
      <c r="F193" s="252"/>
      <c r="G193" s="252"/>
      <c r="H193" s="252"/>
      <c r="I193" s="252"/>
      <c r="J193" s="252"/>
    </row>
    <row r="194">
      <c r="A194" s="153"/>
      <c r="B194" s="252"/>
      <c r="C194" s="252"/>
      <c r="D194" s="252"/>
      <c r="E194" s="252"/>
      <c r="F194" s="252"/>
      <c r="G194" s="252"/>
      <c r="H194" s="252"/>
      <c r="I194" s="252"/>
      <c r="J194" s="252"/>
    </row>
    <row r="195">
      <c r="A195" s="155"/>
      <c r="B195" s="252"/>
      <c r="C195" s="252"/>
      <c r="D195" s="252"/>
      <c r="E195" s="252"/>
      <c r="F195" s="252"/>
      <c r="G195" s="252"/>
      <c r="H195" s="252"/>
      <c r="I195" s="252"/>
      <c r="J195" s="252"/>
    </row>
    <row r="196">
      <c r="A196" s="153"/>
      <c r="B196" s="252"/>
      <c r="C196" s="252"/>
      <c r="D196" s="252"/>
      <c r="E196" s="252"/>
      <c r="F196" s="252"/>
      <c r="G196" s="252"/>
      <c r="H196" s="252"/>
      <c r="I196" s="252"/>
      <c r="J196" s="252"/>
    </row>
    <row r="197">
      <c r="A197" s="155"/>
      <c r="B197" s="252"/>
      <c r="C197" s="252"/>
      <c r="D197" s="252"/>
      <c r="E197" s="252"/>
      <c r="F197" s="252"/>
      <c r="G197" s="252"/>
      <c r="H197" s="252"/>
      <c r="I197" s="252"/>
      <c r="J197" s="252"/>
    </row>
    <row r="198">
      <c r="A198" s="153"/>
      <c r="B198" s="252"/>
      <c r="C198" s="252"/>
      <c r="D198" s="252"/>
      <c r="E198" s="252"/>
      <c r="F198" s="252"/>
      <c r="G198" s="252"/>
      <c r="H198" s="252"/>
      <c r="I198" s="252"/>
      <c r="J198" s="252"/>
    </row>
    <row r="199">
      <c r="A199" s="155"/>
      <c r="B199" s="252"/>
      <c r="C199" s="252"/>
      <c r="D199" s="252"/>
      <c r="E199" s="252"/>
      <c r="F199" s="252"/>
      <c r="G199" s="252"/>
      <c r="H199" s="252"/>
      <c r="I199" s="252"/>
      <c r="J199" s="252"/>
    </row>
    <row r="200">
      <c r="A200" s="162"/>
      <c r="B200" s="252"/>
      <c r="C200" s="252"/>
      <c r="D200" s="252"/>
      <c r="E200" s="252"/>
      <c r="F200" s="252"/>
      <c r="G200" s="252"/>
      <c r="H200" s="252"/>
      <c r="I200" s="252"/>
      <c r="J200" s="252"/>
    </row>
    <row r="201">
      <c r="A201" s="150" t="str">
        <f t="array" ref="A201:A250">'Up Names'!E2:E51</f>
        <v>Big Fat Doobie</v>
      </c>
      <c r="B201" s="251" t="s">
        <v>2101</v>
      </c>
      <c r="C201" s="251" t="s">
        <v>2068</v>
      </c>
      <c r="D201" s="251" t="s">
        <v>2094</v>
      </c>
      <c r="E201" s="251" t="s">
        <v>2077</v>
      </c>
      <c r="F201" s="251" t="s">
        <v>2078</v>
      </c>
      <c r="G201" s="251" t="s">
        <v>2075</v>
      </c>
      <c r="H201" s="251" t="s">
        <v>2097</v>
      </c>
      <c r="I201" s="254" t="s">
        <v>2154</v>
      </c>
      <c r="J201" s="252"/>
    </row>
    <row r="202">
      <c r="A202" s="153" t="s">
        <v>154</v>
      </c>
      <c r="B202" s="253" t="s">
        <v>2105</v>
      </c>
      <c r="C202" s="252"/>
      <c r="D202" s="252"/>
      <c r="E202" s="252"/>
      <c r="F202" s="252"/>
      <c r="G202" s="252"/>
      <c r="H202" s="252"/>
      <c r="I202" s="252"/>
      <c r="J202" s="252"/>
    </row>
    <row r="203">
      <c r="A203" s="155" t="s">
        <v>174</v>
      </c>
      <c r="B203" s="251" t="s">
        <v>2064</v>
      </c>
      <c r="C203" s="251" t="s">
        <v>2065</v>
      </c>
      <c r="D203" s="252"/>
      <c r="E203" s="252"/>
      <c r="F203" s="252"/>
      <c r="G203" s="252"/>
      <c r="H203" s="252"/>
      <c r="I203" s="252"/>
      <c r="J203" s="252"/>
    </row>
    <row r="204">
      <c r="A204" s="153" t="s">
        <v>194</v>
      </c>
      <c r="B204" s="253" t="s">
        <v>12</v>
      </c>
      <c r="C204" s="253" t="s">
        <v>2183</v>
      </c>
      <c r="D204" s="252"/>
      <c r="E204" s="252"/>
      <c r="F204" s="252"/>
      <c r="G204" s="252"/>
      <c r="H204" s="252"/>
      <c r="I204" s="252"/>
      <c r="J204" s="252"/>
    </row>
    <row r="205">
      <c r="A205" s="155" t="s">
        <v>214</v>
      </c>
      <c r="B205" s="251" t="s">
        <v>2076</v>
      </c>
      <c r="C205" s="251" t="s">
        <v>2068</v>
      </c>
      <c r="D205" s="251" t="s">
        <v>2097</v>
      </c>
      <c r="E205" s="252"/>
      <c r="F205" s="252"/>
      <c r="G205" s="252"/>
      <c r="H205" s="252"/>
      <c r="I205" s="252"/>
      <c r="J205" s="252"/>
    </row>
    <row r="206">
      <c r="A206" s="153" t="s">
        <v>233</v>
      </c>
      <c r="B206" s="253" t="s">
        <v>2194</v>
      </c>
      <c r="C206" s="253" t="s">
        <v>2090</v>
      </c>
      <c r="D206" s="253" t="s">
        <v>2101</v>
      </c>
      <c r="E206" s="252"/>
      <c r="F206" s="252"/>
      <c r="G206" s="252"/>
      <c r="H206" s="252"/>
      <c r="I206" s="252"/>
      <c r="J206" s="252"/>
    </row>
    <row r="207">
      <c r="A207" s="155" t="s">
        <v>253</v>
      </c>
      <c r="B207" s="251" t="s">
        <v>2195</v>
      </c>
      <c r="C207" s="251" t="s">
        <v>2068</v>
      </c>
      <c r="D207" s="252"/>
      <c r="E207" s="252"/>
      <c r="F207" s="252"/>
      <c r="G207" s="252"/>
      <c r="H207" s="252"/>
      <c r="I207" s="252"/>
      <c r="J207" s="252"/>
    </row>
    <row r="208">
      <c r="A208" s="153" t="s">
        <v>273</v>
      </c>
      <c r="B208" s="253" t="s">
        <v>2075</v>
      </c>
      <c r="C208" s="252"/>
      <c r="D208" s="252"/>
      <c r="E208" s="252"/>
      <c r="F208" s="252"/>
      <c r="G208" s="252"/>
      <c r="H208" s="252"/>
      <c r="I208" s="252"/>
      <c r="J208" s="252"/>
    </row>
    <row r="209">
      <c r="A209" s="155" t="s">
        <v>293</v>
      </c>
      <c r="B209" s="251" t="s">
        <v>2065</v>
      </c>
      <c r="C209" s="252"/>
      <c r="D209" s="252"/>
      <c r="E209" s="252"/>
      <c r="F209" s="252"/>
      <c r="G209" s="252"/>
      <c r="H209" s="252"/>
      <c r="I209" s="252"/>
      <c r="J209" s="252"/>
    </row>
    <row r="210">
      <c r="A210" s="153" t="s">
        <v>313</v>
      </c>
      <c r="B210" s="253" t="s">
        <v>2070</v>
      </c>
      <c r="C210" s="252"/>
      <c r="D210" s="252"/>
      <c r="E210" s="252"/>
      <c r="F210" s="252"/>
      <c r="G210" s="252"/>
      <c r="H210" s="252"/>
      <c r="I210" s="252"/>
      <c r="J210" s="252"/>
    </row>
    <row r="211">
      <c r="A211" s="155" t="s">
        <v>333</v>
      </c>
      <c r="B211" s="251" t="s">
        <v>2197</v>
      </c>
      <c r="C211" s="251" t="s">
        <v>2068</v>
      </c>
      <c r="D211" s="251" t="s">
        <v>2108</v>
      </c>
      <c r="E211" s="252"/>
      <c r="F211" s="252"/>
      <c r="G211" s="252"/>
      <c r="H211" s="252"/>
      <c r="I211" s="252"/>
      <c r="J211" s="252"/>
    </row>
    <row r="212">
      <c r="A212" s="153" t="s">
        <v>353</v>
      </c>
      <c r="B212" s="253" t="s">
        <v>2085</v>
      </c>
      <c r="C212" s="252"/>
      <c r="D212" s="252"/>
      <c r="E212" s="252"/>
      <c r="F212" s="252"/>
      <c r="G212" s="252"/>
      <c r="H212" s="252"/>
      <c r="I212" s="252"/>
      <c r="J212" s="252"/>
    </row>
    <row r="213">
      <c r="A213" s="155" t="s">
        <v>376</v>
      </c>
      <c r="B213" s="251" t="s">
        <v>2199</v>
      </c>
      <c r="C213" s="252"/>
      <c r="D213" s="252"/>
      <c r="E213" s="252"/>
      <c r="F213" s="252"/>
      <c r="G213" s="252"/>
      <c r="H213" s="252"/>
      <c r="I213" s="252"/>
      <c r="J213" s="252"/>
    </row>
    <row r="214">
      <c r="A214" s="153" t="s">
        <v>399</v>
      </c>
      <c r="B214" s="253" t="s">
        <v>2084</v>
      </c>
      <c r="C214" s="253" t="s">
        <v>2085</v>
      </c>
      <c r="D214" s="252"/>
      <c r="E214" s="252"/>
      <c r="F214" s="252"/>
      <c r="G214" s="252"/>
      <c r="H214" s="252"/>
      <c r="I214" s="252"/>
      <c r="J214" s="252"/>
    </row>
    <row r="215">
      <c r="A215" s="155" t="s">
        <v>428</v>
      </c>
      <c r="B215" s="251" t="s">
        <v>2070</v>
      </c>
      <c r="C215" s="252"/>
      <c r="D215" s="252"/>
      <c r="E215" s="252"/>
      <c r="F215" s="252"/>
      <c r="G215" s="252"/>
      <c r="H215" s="252"/>
      <c r="I215" s="252"/>
      <c r="J215" s="252"/>
    </row>
    <row r="216">
      <c r="A216" s="153" t="s">
        <v>456</v>
      </c>
      <c r="B216" s="253" t="s">
        <v>2070</v>
      </c>
      <c r="C216" s="252"/>
      <c r="D216" s="252"/>
      <c r="E216" s="252"/>
      <c r="F216" s="252"/>
      <c r="G216" s="252"/>
      <c r="H216" s="252"/>
      <c r="I216" s="252"/>
      <c r="J216" s="252"/>
    </row>
    <row r="217">
      <c r="A217" s="155" t="s">
        <v>485</v>
      </c>
      <c r="B217" s="251" t="s">
        <v>2077</v>
      </c>
      <c r="C217" s="251" t="s">
        <v>2078</v>
      </c>
      <c r="D217" s="251" t="s">
        <v>2068</v>
      </c>
      <c r="E217" s="252"/>
      <c r="F217" s="252"/>
      <c r="G217" s="252"/>
      <c r="H217" s="252"/>
      <c r="I217" s="252"/>
      <c r="J217" s="252"/>
    </row>
    <row r="218">
      <c r="A218" s="153" t="s">
        <v>510</v>
      </c>
      <c r="B218" s="253" t="s">
        <v>2068</v>
      </c>
      <c r="C218" s="253" t="s">
        <v>2085</v>
      </c>
      <c r="D218" s="252"/>
      <c r="E218" s="252"/>
      <c r="F218" s="252"/>
      <c r="G218" s="252"/>
      <c r="H218" s="252"/>
      <c r="I218" s="252"/>
      <c r="J218" s="252"/>
    </row>
    <row r="219">
      <c r="A219" s="155" t="s">
        <v>531</v>
      </c>
      <c r="B219" s="251" t="s">
        <v>2202</v>
      </c>
      <c r="C219" s="252"/>
      <c r="D219" s="252"/>
      <c r="E219" s="252"/>
      <c r="F219" s="252"/>
      <c r="G219" s="252"/>
      <c r="H219" s="252"/>
      <c r="I219" s="252"/>
      <c r="J219" s="252"/>
    </row>
    <row r="220">
      <c r="A220" s="153" t="s">
        <v>550</v>
      </c>
      <c r="B220" s="253" t="s">
        <v>2068</v>
      </c>
      <c r="C220" s="253" t="s">
        <v>2085</v>
      </c>
      <c r="D220" s="252"/>
      <c r="E220" s="252"/>
      <c r="F220" s="252"/>
      <c r="G220" s="252"/>
      <c r="H220" s="252"/>
      <c r="I220" s="252"/>
      <c r="J220" s="252"/>
    </row>
    <row r="221">
      <c r="A221" s="155" t="s">
        <v>574</v>
      </c>
      <c r="B221" s="251" t="s">
        <v>2068</v>
      </c>
      <c r="C221" s="251" t="s">
        <v>2075</v>
      </c>
      <c r="D221" s="252"/>
      <c r="E221" s="252"/>
      <c r="F221" s="252"/>
      <c r="G221" s="252"/>
      <c r="H221" s="252"/>
      <c r="I221" s="252"/>
      <c r="J221" s="252"/>
    </row>
    <row r="222">
      <c r="A222" s="153" t="s">
        <v>596</v>
      </c>
      <c r="B222" s="253" t="s">
        <v>2203</v>
      </c>
      <c r="C222" s="253" t="s">
        <v>2068</v>
      </c>
      <c r="D222" s="253" t="s">
        <v>2205</v>
      </c>
      <c r="E222" s="253" t="s">
        <v>2206</v>
      </c>
      <c r="F222" s="252"/>
      <c r="G222" s="252"/>
      <c r="H222" s="252"/>
      <c r="I222" s="252"/>
      <c r="J222" s="252"/>
    </row>
    <row r="223">
      <c r="A223" s="155" t="s">
        <v>617</v>
      </c>
      <c r="B223" s="251" t="s">
        <v>2068</v>
      </c>
      <c r="C223" s="251" t="s">
        <v>2078</v>
      </c>
      <c r="D223" s="252"/>
      <c r="E223" s="252"/>
      <c r="F223" s="252"/>
      <c r="G223" s="252"/>
      <c r="H223" s="252"/>
      <c r="I223" s="252"/>
      <c r="J223" s="252"/>
    </row>
    <row r="224">
      <c r="A224" s="153" t="s">
        <v>643</v>
      </c>
      <c r="B224" s="253" t="s">
        <v>12</v>
      </c>
      <c r="C224" s="253" t="s">
        <v>2068</v>
      </c>
      <c r="D224" s="252"/>
      <c r="E224" s="252"/>
      <c r="F224" s="252"/>
      <c r="G224" s="252"/>
      <c r="H224" s="252"/>
      <c r="I224" s="252"/>
      <c r="J224" s="252"/>
    </row>
    <row r="225">
      <c r="A225" s="155" t="s">
        <v>661</v>
      </c>
      <c r="B225" s="251" t="s">
        <v>2085</v>
      </c>
      <c r="C225" s="251" t="s">
        <v>2080</v>
      </c>
      <c r="D225" s="252"/>
      <c r="E225" s="252"/>
      <c r="F225" s="252"/>
      <c r="G225" s="252"/>
      <c r="H225" s="252"/>
      <c r="I225" s="252"/>
      <c r="J225" s="252"/>
    </row>
    <row r="226">
      <c r="A226" s="153" t="s">
        <v>676</v>
      </c>
      <c r="B226" s="253" t="s">
        <v>2068</v>
      </c>
      <c r="C226" s="253" t="s">
        <v>2100</v>
      </c>
      <c r="D226" s="253" t="s">
        <v>2082</v>
      </c>
      <c r="E226" s="252"/>
      <c r="F226" s="252"/>
      <c r="G226" s="252"/>
      <c r="H226" s="252"/>
      <c r="I226" s="252"/>
      <c r="J226" s="252"/>
    </row>
    <row r="227">
      <c r="A227" s="155" t="s">
        <v>690</v>
      </c>
      <c r="B227" s="251" t="s">
        <v>2207</v>
      </c>
      <c r="C227" s="252"/>
      <c r="D227" s="252"/>
      <c r="E227" s="252"/>
      <c r="F227" s="252"/>
      <c r="G227" s="252"/>
      <c r="H227" s="252"/>
      <c r="I227" s="252"/>
      <c r="J227" s="252"/>
    </row>
    <row r="228">
      <c r="A228" s="153" t="s">
        <v>708</v>
      </c>
      <c r="B228" s="253" t="s">
        <v>2154</v>
      </c>
      <c r="C228" s="252"/>
      <c r="D228" s="252"/>
      <c r="E228" s="252"/>
      <c r="F228" s="252"/>
      <c r="G228" s="252"/>
      <c r="H228" s="252"/>
      <c r="I228" s="252"/>
      <c r="J228" s="252"/>
    </row>
    <row r="229">
      <c r="A229" s="155" t="s">
        <v>727</v>
      </c>
      <c r="B229" s="251" t="s">
        <v>2097</v>
      </c>
      <c r="C229" s="252"/>
      <c r="D229" s="252"/>
      <c r="E229" s="252"/>
      <c r="F229" s="252"/>
      <c r="G229" s="252"/>
      <c r="H229" s="252"/>
      <c r="I229" s="252"/>
      <c r="J229" s="252"/>
    </row>
    <row r="230">
      <c r="A230" s="153" t="s">
        <v>744</v>
      </c>
      <c r="B230" s="253" t="s">
        <v>2101</v>
      </c>
      <c r="C230" s="252"/>
      <c r="D230" s="252"/>
      <c r="E230" s="252"/>
      <c r="F230" s="252"/>
      <c r="G230" s="252"/>
      <c r="H230" s="252"/>
      <c r="I230" s="252"/>
      <c r="J230" s="252"/>
    </row>
    <row r="231">
      <c r="A231" s="155" t="s">
        <v>761</v>
      </c>
      <c r="B231" s="251" t="s">
        <v>2068</v>
      </c>
      <c r="C231" s="252"/>
      <c r="D231" s="252"/>
      <c r="E231" s="252"/>
      <c r="F231" s="252"/>
      <c r="G231" s="252"/>
      <c r="H231" s="252"/>
      <c r="I231" s="252"/>
      <c r="J231" s="252"/>
    </row>
    <row r="232">
      <c r="A232" s="153" t="s">
        <v>503</v>
      </c>
      <c r="B232" s="252"/>
      <c r="C232" s="252"/>
      <c r="D232" s="252"/>
      <c r="E232" s="252"/>
      <c r="F232" s="252"/>
      <c r="G232" s="252"/>
      <c r="H232" s="252"/>
      <c r="I232" s="252"/>
      <c r="J232" s="252"/>
    </row>
    <row r="233">
      <c r="A233" s="155" t="s">
        <v>511</v>
      </c>
      <c r="B233" s="252"/>
      <c r="C233" s="252"/>
      <c r="D233" s="252"/>
      <c r="E233" s="252"/>
      <c r="F233" s="252"/>
      <c r="G233" s="252"/>
      <c r="H233" s="252"/>
      <c r="I233" s="252"/>
      <c r="J233" s="252"/>
    </row>
    <row r="234">
      <c r="A234" s="153" t="s">
        <v>516</v>
      </c>
      <c r="B234" s="252"/>
      <c r="C234" s="252"/>
      <c r="D234" s="252"/>
      <c r="E234" s="252"/>
      <c r="F234" s="252"/>
      <c r="G234" s="252"/>
      <c r="H234" s="252"/>
      <c r="I234" s="252"/>
      <c r="J234" s="252"/>
    </row>
    <row r="235">
      <c r="A235" s="155"/>
      <c r="B235" s="252"/>
      <c r="C235" s="252"/>
      <c r="D235" s="252"/>
      <c r="E235" s="252"/>
      <c r="F235" s="252"/>
      <c r="G235" s="252"/>
      <c r="H235" s="252"/>
      <c r="I235" s="252"/>
      <c r="J235" s="252"/>
    </row>
    <row r="236">
      <c r="A236" s="153"/>
      <c r="B236" s="252"/>
      <c r="C236" s="252"/>
      <c r="D236" s="252"/>
      <c r="E236" s="252"/>
      <c r="F236" s="252"/>
      <c r="G236" s="252"/>
      <c r="H236" s="252"/>
      <c r="I236" s="252"/>
      <c r="J236" s="252"/>
    </row>
    <row r="237">
      <c r="A237" s="155"/>
      <c r="B237" s="252"/>
      <c r="C237" s="252"/>
      <c r="D237" s="252"/>
      <c r="E237" s="252"/>
      <c r="F237" s="252"/>
      <c r="G237" s="252"/>
      <c r="H237" s="252"/>
      <c r="I237" s="252"/>
      <c r="J237" s="252"/>
    </row>
    <row r="238">
      <c r="A238" s="153"/>
      <c r="B238" s="252"/>
      <c r="C238" s="252"/>
      <c r="D238" s="252"/>
      <c r="E238" s="252"/>
      <c r="F238" s="252"/>
      <c r="G238" s="252"/>
      <c r="H238" s="252"/>
      <c r="I238" s="252"/>
      <c r="J238" s="252"/>
    </row>
    <row r="239">
      <c r="A239" s="155"/>
      <c r="B239" s="252"/>
      <c r="C239" s="252"/>
      <c r="D239" s="252"/>
      <c r="E239" s="252"/>
      <c r="F239" s="252"/>
      <c r="G239" s="252"/>
      <c r="H239" s="252"/>
      <c r="I239" s="252"/>
      <c r="J239" s="252"/>
    </row>
    <row r="240">
      <c r="A240" s="153"/>
      <c r="B240" s="252"/>
      <c r="C240" s="252"/>
      <c r="D240" s="252"/>
      <c r="E240" s="252"/>
      <c r="F240" s="252"/>
      <c r="G240" s="252"/>
      <c r="H240" s="252"/>
      <c r="I240" s="252"/>
      <c r="J240" s="252"/>
    </row>
    <row r="241">
      <c r="A241" s="155"/>
      <c r="B241" s="252"/>
      <c r="C241" s="252"/>
      <c r="D241" s="252"/>
      <c r="E241" s="252"/>
      <c r="F241" s="252"/>
      <c r="G241" s="252"/>
      <c r="H241" s="252"/>
      <c r="I241" s="252"/>
      <c r="J241" s="252"/>
    </row>
    <row r="242">
      <c r="A242" s="258"/>
      <c r="B242" s="252"/>
      <c r="C242" s="252"/>
      <c r="D242" s="252"/>
      <c r="E242" s="252"/>
      <c r="F242" s="252"/>
      <c r="G242" s="252"/>
      <c r="H242" s="252"/>
      <c r="I242" s="252"/>
      <c r="J242" s="252"/>
    </row>
    <row r="243">
      <c r="A243" s="155"/>
      <c r="B243" s="252"/>
      <c r="C243" s="252"/>
      <c r="D243" s="252"/>
      <c r="E243" s="252"/>
      <c r="F243" s="252"/>
      <c r="G243" s="252"/>
      <c r="H243" s="252"/>
      <c r="I243" s="252"/>
      <c r="J243" s="252"/>
    </row>
    <row r="244">
      <c r="A244" s="153"/>
      <c r="B244" s="252"/>
      <c r="C244" s="252"/>
      <c r="D244" s="252"/>
      <c r="E244" s="252"/>
      <c r="F244" s="252"/>
      <c r="G244" s="252"/>
      <c r="H244" s="252"/>
      <c r="I244" s="252"/>
      <c r="J244" s="252"/>
    </row>
    <row r="245">
      <c r="A245" s="155"/>
      <c r="B245" s="252"/>
      <c r="C245" s="252"/>
      <c r="D245" s="252"/>
      <c r="E245" s="252"/>
      <c r="F245" s="252"/>
      <c r="G245" s="252"/>
      <c r="H245" s="252"/>
      <c r="I245" s="252"/>
      <c r="J245" s="252"/>
    </row>
    <row r="246">
      <c r="A246" s="153"/>
      <c r="B246" s="252"/>
      <c r="C246" s="252"/>
      <c r="D246" s="252"/>
      <c r="E246" s="252"/>
      <c r="F246" s="252"/>
      <c r="G246" s="252"/>
      <c r="H246" s="252"/>
      <c r="I246" s="252"/>
      <c r="J246" s="252"/>
    </row>
    <row r="247">
      <c r="A247" s="155"/>
      <c r="B247" s="252"/>
      <c r="C247" s="252"/>
      <c r="D247" s="252"/>
      <c r="E247" s="252"/>
      <c r="F247" s="252"/>
      <c r="G247" s="252"/>
      <c r="H247" s="252"/>
      <c r="I247" s="252"/>
      <c r="J247" s="252"/>
    </row>
    <row r="248">
      <c r="A248" s="153"/>
      <c r="B248" s="252"/>
      <c r="C248" s="252"/>
      <c r="D248" s="252"/>
      <c r="E248" s="252"/>
      <c r="F248" s="252"/>
      <c r="G248" s="252"/>
      <c r="H248" s="252"/>
      <c r="I248" s="252"/>
      <c r="J248" s="252"/>
    </row>
    <row r="249">
      <c r="A249" s="155"/>
      <c r="B249" s="252"/>
      <c r="C249" s="252"/>
      <c r="D249" s="252"/>
      <c r="E249" s="252"/>
      <c r="F249" s="252"/>
      <c r="G249" s="252"/>
      <c r="H249" s="252"/>
      <c r="I249" s="252"/>
      <c r="J249" s="252"/>
    </row>
    <row r="250">
      <c r="A250" s="162"/>
      <c r="B250" s="252"/>
      <c r="C250" s="252"/>
      <c r="D250" s="252"/>
      <c r="E250" s="252"/>
      <c r="F250" s="252"/>
      <c r="G250" s="252"/>
      <c r="H250" s="252"/>
      <c r="I250" s="252"/>
      <c r="J250" s="252"/>
    </row>
    <row r="251">
      <c r="A251" s="150" t="str">
        <f t="array" ref="A251:A300">'Up Names'!F2:F51</f>
        <v>Return to Receiver</v>
      </c>
      <c r="B251" s="251" t="s">
        <v>2097</v>
      </c>
      <c r="C251" s="252"/>
      <c r="D251" s="252"/>
      <c r="E251" s="252"/>
      <c r="F251" s="252"/>
      <c r="G251" s="252"/>
      <c r="H251" s="252"/>
      <c r="I251" s="252"/>
      <c r="J251" s="252"/>
    </row>
    <row r="252">
      <c r="A252" s="153" t="s">
        <v>155</v>
      </c>
      <c r="B252" s="253" t="s">
        <v>12</v>
      </c>
      <c r="C252" s="252"/>
      <c r="D252" s="252"/>
      <c r="E252" s="252"/>
      <c r="F252" s="252"/>
      <c r="G252" s="252"/>
      <c r="H252" s="252"/>
      <c r="I252" s="252"/>
      <c r="J252" s="252"/>
    </row>
    <row r="253">
      <c r="A253" s="155" t="s">
        <v>175</v>
      </c>
      <c r="B253" s="251" t="s">
        <v>2101</v>
      </c>
      <c r="C253" s="252"/>
      <c r="D253" s="252"/>
      <c r="E253" s="252"/>
      <c r="F253" s="252"/>
      <c r="G253" s="252"/>
      <c r="H253" s="252"/>
      <c r="I253" s="252"/>
      <c r="J253" s="252"/>
    </row>
    <row r="254">
      <c r="A254" s="153" t="s">
        <v>195</v>
      </c>
      <c r="B254" s="254" t="s">
        <v>2212</v>
      </c>
      <c r="C254" s="254" t="s">
        <v>2213</v>
      </c>
      <c r="D254" s="252"/>
      <c r="E254" s="252"/>
      <c r="F254" s="252"/>
      <c r="G254" s="252"/>
      <c r="H254" s="252"/>
      <c r="I254" s="252"/>
      <c r="J254" s="252"/>
    </row>
    <row r="255">
      <c r="A255" s="155" t="s">
        <v>215</v>
      </c>
      <c r="B255" s="251" t="s">
        <v>2214</v>
      </c>
      <c r="C255" s="251" t="s">
        <v>2068</v>
      </c>
      <c r="D255" s="251" t="s">
        <v>2097</v>
      </c>
      <c r="E255" s="251" t="s">
        <v>2101</v>
      </c>
      <c r="F255" s="252"/>
      <c r="G255" s="252"/>
      <c r="H255" s="252"/>
      <c r="I255" s="252"/>
      <c r="J255" s="252"/>
    </row>
    <row r="256">
      <c r="A256" s="153" t="s">
        <v>234</v>
      </c>
      <c r="B256" s="253" t="s">
        <v>2108</v>
      </c>
      <c r="C256" s="252"/>
      <c r="D256" s="252"/>
      <c r="E256" s="252"/>
      <c r="F256" s="252"/>
      <c r="G256" s="252"/>
      <c r="H256" s="252"/>
      <c r="I256" s="252"/>
      <c r="J256" s="252"/>
    </row>
    <row r="257">
      <c r="A257" s="155" t="s">
        <v>254</v>
      </c>
      <c r="B257" s="251" t="s">
        <v>2172</v>
      </c>
      <c r="C257" s="252"/>
      <c r="D257" s="252"/>
      <c r="E257" s="252"/>
      <c r="F257" s="252"/>
      <c r="G257" s="252"/>
      <c r="H257" s="252"/>
      <c r="I257" s="252"/>
      <c r="J257" s="252"/>
    </row>
    <row r="258">
      <c r="A258" s="153" t="s">
        <v>274</v>
      </c>
      <c r="B258" s="253" t="s">
        <v>2068</v>
      </c>
      <c r="C258" s="253" t="s">
        <v>2091</v>
      </c>
      <c r="D258" s="252"/>
      <c r="E258" s="252"/>
      <c r="F258" s="252"/>
      <c r="G258" s="252"/>
      <c r="H258" s="252"/>
      <c r="I258" s="252"/>
      <c r="J258" s="252"/>
    </row>
    <row r="259">
      <c r="A259" s="155" t="s">
        <v>294</v>
      </c>
      <c r="B259" s="252"/>
      <c r="C259" s="252"/>
      <c r="D259" s="252"/>
      <c r="E259" s="252"/>
      <c r="F259" s="252"/>
      <c r="G259" s="252"/>
      <c r="H259" s="252"/>
      <c r="I259" s="252"/>
      <c r="J259" s="252"/>
    </row>
    <row r="260">
      <c r="A260" s="153" t="s">
        <v>314</v>
      </c>
      <c r="B260" s="253" t="s">
        <v>2116</v>
      </c>
      <c r="C260" s="252"/>
      <c r="D260" s="252"/>
      <c r="E260" s="252"/>
      <c r="F260" s="252"/>
      <c r="G260" s="252"/>
      <c r="H260" s="252"/>
      <c r="I260" s="252"/>
      <c r="J260" s="252"/>
    </row>
    <row r="261">
      <c r="A261" s="155" t="s">
        <v>334</v>
      </c>
      <c r="B261" s="251" t="s">
        <v>12</v>
      </c>
      <c r="C261" s="251" t="s">
        <v>2085</v>
      </c>
      <c r="D261" s="252"/>
      <c r="E261" s="252"/>
      <c r="F261" s="252"/>
      <c r="G261" s="252"/>
      <c r="H261" s="252"/>
      <c r="I261" s="252"/>
      <c r="J261" s="252"/>
    </row>
    <row r="262">
      <c r="A262" s="153" t="s">
        <v>354</v>
      </c>
      <c r="B262" s="253" t="s">
        <v>2075</v>
      </c>
      <c r="C262" s="253" t="s">
        <v>2101</v>
      </c>
      <c r="D262" s="253" t="s">
        <v>2077</v>
      </c>
      <c r="E262" s="253" t="s">
        <v>2078</v>
      </c>
      <c r="F262" s="253" t="s">
        <v>2068</v>
      </c>
      <c r="G262" s="253" t="s">
        <v>2217</v>
      </c>
      <c r="H262" s="252"/>
      <c r="I262" s="252"/>
      <c r="J262" s="252"/>
    </row>
    <row r="263">
      <c r="A263" s="155" t="s">
        <v>378</v>
      </c>
      <c r="B263" s="251" t="s">
        <v>12</v>
      </c>
      <c r="C263" s="251" t="s">
        <v>2116</v>
      </c>
      <c r="D263" s="252"/>
      <c r="E263" s="252"/>
      <c r="F263" s="252"/>
      <c r="G263" s="252"/>
      <c r="H263" s="252"/>
      <c r="I263" s="252"/>
      <c r="J263" s="252"/>
    </row>
    <row r="264">
      <c r="A264" s="153" t="s">
        <v>400</v>
      </c>
      <c r="B264" s="253" t="s">
        <v>2219</v>
      </c>
      <c r="C264" s="252"/>
      <c r="D264" s="252"/>
      <c r="E264" s="252"/>
      <c r="F264" s="252"/>
      <c r="G264" s="252"/>
      <c r="H264" s="252"/>
      <c r="I264" s="252"/>
      <c r="J264" s="252"/>
    </row>
    <row r="265">
      <c r="A265" s="155" t="s">
        <v>429</v>
      </c>
      <c r="B265" s="251" t="s">
        <v>2093</v>
      </c>
      <c r="C265" s="251" t="s">
        <v>2075</v>
      </c>
      <c r="D265" s="252"/>
      <c r="E265" s="252"/>
      <c r="F265" s="252"/>
      <c r="G265" s="252"/>
      <c r="H265" s="252"/>
      <c r="I265" s="252"/>
      <c r="J265" s="252"/>
    </row>
    <row r="266">
      <c r="A266" s="153" t="s">
        <v>457</v>
      </c>
      <c r="B266" s="252"/>
      <c r="C266" s="252"/>
      <c r="D266" s="252"/>
      <c r="E266" s="252"/>
      <c r="F266" s="252"/>
      <c r="G266" s="252"/>
      <c r="H266" s="252"/>
      <c r="I266" s="252"/>
      <c r="J266" s="252"/>
    </row>
    <row r="267">
      <c r="A267" s="155" t="s">
        <v>487</v>
      </c>
      <c r="B267" s="251" t="s">
        <v>2112</v>
      </c>
      <c r="C267" s="251" t="s">
        <v>2068</v>
      </c>
      <c r="D267" s="252"/>
      <c r="E267" s="252"/>
      <c r="F267" s="252"/>
      <c r="G267" s="252"/>
      <c r="H267" s="252"/>
      <c r="I267" s="252"/>
      <c r="J267" s="252"/>
    </row>
    <row r="268">
      <c r="A268" s="153" t="s">
        <v>512</v>
      </c>
      <c r="B268" s="253" t="s">
        <v>2070</v>
      </c>
      <c r="C268" s="252"/>
      <c r="D268" s="252"/>
      <c r="E268" s="252"/>
      <c r="F268" s="252"/>
      <c r="G268" s="252"/>
      <c r="H268" s="252"/>
      <c r="I268" s="252"/>
      <c r="J268" s="252"/>
    </row>
    <row r="269">
      <c r="A269" s="155" t="s">
        <v>532</v>
      </c>
      <c r="B269" s="251" t="s">
        <v>2070</v>
      </c>
      <c r="C269" s="252"/>
      <c r="D269" s="252"/>
      <c r="E269" s="252"/>
      <c r="F269" s="252"/>
      <c r="G269" s="252"/>
      <c r="H269" s="252"/>
      <c r="I269" s="252"/>
      <c r="J269" s="252"/>
    </row>
    <row r="270">
      <c r="A270" s="153" t="s">
        <v>551</v>
      </c>
      <c r="B270" s="253" t="s">
        <v>2068</v>
      </c>
      <c r="C270" s="253" t="s">
        <v>2221</v>
      </c>
      <c r="D270" s="253" t="s">
        <v>2084</v>
      </c>
      <c r="E270" s="252"/>
      <c r="F270" s="252"/>
      <c r="G270" s="252"/>
      <c r="H270" s="252"/>
      <c r="I270" s="252"/>
      <c r="J270" s="252"/>
    </row>
    <row r="271">
      <c r="A271" s="155" t="s">
        <v>575</v>
      </c>
      <c r="B271" s="251" t="s">
        <v>2223</v>
      </c>
      <c r="C271" s="252"/>
      <c r="D271" s="252"/>
      <c r="E271" s="252"/>
      <c r="F271" s="252"/>
      <c r="G271" s="252"/>
      <c r="H271" s="252"/>
      <c r="I271" s="252"/>
      <c r="J271" s="252"/>
    </row>
    <row r="272">
      <c r="A272" s="153" t="s">
        <v>598</v>
      </c>
      <c r="B272" s="253" t="s">
        <v>2068</v>
      </c>
      <c r="C272" s="252"/>
      <c r="D272" s="252"/>
      <c r="E272" s="252"/>
      <c r="F272" s="252"/>
      <c r="G272" s="252"/>
      <c r="H272" s="252"/>
      <c r="I272" s="252"/>
      <c r="J272" s="252"/>
    </row>
    <row r="273">
      <c r="A273" s="155" t="s">
        <v>619</v>
      </c>
      <c r="B273" s="251" t="s">
        <v>2093</v>
      </c>
      <c r="C273" s="252"/>
      <c r="D273" s="252"/>
      <c r="E273" s="252"/>
      <c r="F273" s="252"/>
      <c r="G273" s="252"/>
      <c r="H273" s="252"/>
      <c r="I273" s="252"/>
      <c r="J273" s="252"/>
    </row>
    <row r="274">
      <c r="A274" s="153" t="s">
        <v>644</v>
      </c>
      <c r="B274" s="253" t="s">
        <v>2225</v>
      </c>
      <c r="C274" s="253" t="s">
        <v>2226</v>
      </c>
      <c r="D274" s="253" t="s">
        <v>2227</v>
      </c>
      <c r="E274" s="252"/>
      <c r="F274" s="252"/>
      <c r="G274" s="252"/>
      <c r="H274" s="252"/>
      <c r="I274" s="252"/>
      <c r="J274" s="252"/>
    </row>
    <row r="275">
      <c r="A275" s="155" t="s">
        <v>662</v>
      </c>
      <c r="B275" s="251" t="s">
        <v>2095</v>
      </c>
      <c r="C275" s="251" t="s">
        <v>2096</v>
      </c>
      <c r="D275" s="251" t="s">
        <v>2228</v>
      </c>
      <c r="E275" s="252"/>
      <c r="F275" s="252"/>
      <c r="G275" s="252"/>
      <c r="H275" s="252"/>
      <c r="I275" s="252"/>
      <c r="J275" s="252"/>
    </row>
    <row r="276">
      <c r="A276" s="153" t="s">
        <v>677</v>
      </c>
      <c r="B276" s="253" t="s">
        <v>2068</v>
      </c>
      <c r="C276" s="253" t="s">
        <v>2082</v>
      </c>
      <c r="D276" s="253" t="s">
        <v>2098</v>
      </c>
      <c r="E276" s="252"/>
      <c r="F276" s="252"/>
      <c r="G276" s="252"/>
      <c r="H276" s="252"/>
      <c r="I276" s="252"/>
      <c r="J276" s="252"/>
    </row>
    <row r="277">
      <c r="A277" s="155" t="s">
        <v>691</v>
      </c>
      <c r="B277" s="259" t="s">
        <v>2227</v>
      </c>
      <c r="C277" s="251" t="s">
        <v>2093</v>
      </c>
      <c r="D277" s="252"/>
      <c r="E277" s="252"/>
      <c r="F277" s="252"/>
      <c r="G277" s="252"/>
      <c r="H277" s="252"/>
      <c r="I277" s="252"/>
      <c r="J277" s="252"/>
    </row>
    <row r="278">
      <c r="A278" s="153" t="s">
        <v>709</v>
      </c>
      <c r="B278" s="253" t="s">
        <v>2068</v>
      </c>
      <c r="C278" s="253" t="s">
        <v>2093</v>
      </c>
      <c r="D278" s="252"/>
      <c r="E278" s="252"/>
      <c r="F278" s="252"/>
      <c r="G278" s="252"/>
      <c r="H278" s="252"/>
      <c r="I278" s="252"/>
      <c r="J278" s="252"/>
    </row>
    <row r="279">
      <c r="A279" s="155" t="s">
        <v>728</v>
      </c>
      <c r="B279" s="251" t="s">
        <v>2231</v>
      </c>
      <c r="C279" s="252"/>
      <c r="D279" s="252"/>
      <c r="E279" s="252"/>
      <c r="F279" s="252"/>
      <c r="G279" s="252"/>
      <c r="H279" s="252"/>
      <c r="I279" s="252"/>
      <c r="J279" s="252"/>
    </row>
    <row r="280">
      <c r="A280" s="153" t="s">
        <v>746</v>
      </c>
      <c r="B280" s="253" t="s">
        <v>2068</v>
      </c>
      <c r="C280" s="252"/>
      <c r="D280" s="252"/>
      <c r="E280" s="252"/>
      <c r="F280" s="252"/>
      <c r="G280" s="252"/>
      <c r="H280" s="252"/>
      <c r="I280" s="252"/>
      <c r="J280" s="252"/>
    </row>
    <row r="281">
      <c r="A281" s="155" t="s">
        <v>503</v>
      </c>
      <c r="B281" s="252"/>
      <c r="C281" s="252"/>
      <c r="D281" s="252"/>
      <c r="E281" s="252"/>
      <c r="F281" s="252"/>
      <c r="G281" s="252"/>
      <c r="H281" s="252"/>
      <c r="I281" s="252"/>
      <c r="J281" s="252"/>
    </row>
    <row r="282">
      <c r="A282" s="153" t="s">
        <v>511</v>
      </c>
      <c r="B282" s="252"/>
      <c r="C282" s="252"/>
      <c r="D282" s="252"/>
      <c r="E282" s="252"/>
      <c r="F282" s="252"/>
      <c r="G282" s="252"/>
      <c r="H282" s="252"/>
      <c r="I282" s="252"/>
      <c r="J282" s="252"/>
    </row>
    <row r="283">
      <c r="A283" s="155" t="s">
        <v>516</v>
      </c>
      <c r="B283" s="252"/>
      <c r="C283" s="252"/>
      <c r="D283" s="252"/>
      <c r="E283" s="252"/>
      <c r="F283" s="252"/>
      <c r="G283" s="252"/>
      <c r="H283" s="252"/>
      <c r="I283" s="252"/>
      <c r="J283" s="252"/>
    </row>
    <row r="284">
      <c r="A284" s="153"/>
      <c r="B284" s="252"/>
      <c r="C284" s="252"/>
      <c r="D284" s="252"/>
      <c r="E284" s="252"/>
      <c r="F284" s="252"/>
      <c r="G284" s="252"/>
      <c r="H284" s="252"/>
      <c r="I284" s="252"/>
      <c r="J284" s="252"/>
    </row>
    <row r="285">
      <c r="A285" s="155"/>
      <c r="B285" s="252"/>
      <c r="C285" s="252"/>
      <c r="D285" s="252"/>
      <c r="E285" s="252"/>
      <c r="F285" s="252"/>
      <c r="G285" s="252"/>
      <c r="H285" s="252"/>
      <c r="I285" s="252"/>
      <c r="J285" s="252"/>
    </row>
    <row r="286">
      <c r="A286" s="153"/>
      <c r="B286" s="252"/>
      <c r="C286" s="252"/>
      <c r="D286" s="252"/>
      <c r="E286" s="252"/>
      <c r="F286" s="252"/>
      <c r="G286" s="252"/>
      <c r="H286" s="252"/>
      <c r="I286" s="252"/>
      <c r="J286" s="252"/>
    </row>
    <row r="287">
      <c r="A287" s="155"/>
      <c r="B287" s="252"/>
      <c r="C287" s="252"/>
      <c r="D287" s="252"/>
      <c r="E287" s="252"/>
      <c r="F287" s="252"/>
      <c r="G287" s="252"/>
      <c r="H287" s="252"/>
      <c r="I287" s="252"/>
      <c r="J287" s="252"/>
    </row>
    <row r="288">
      <c r="A288" s="153"/>
      <c r="B288" s="252"/>
      <c r="C288" s="252"/>
      <c r="D288" s="252"/>
      <c r="E288" s="252"/>
      <c r="F288" s="252"/>
      <c r="G288" s="252"/>
      <c r="H288" s="252"/>
      <c r="I288" s="252"/>
      <c r="J288" s="252"/>
    </row>
    <row r="289">
      <c r="A289" s="155"/>
      <c r="B289" s="252"/>
      <c r="C289" s="252"/>
      <c r="D289" s="252"/>
      <c r="E289" s="252"/>
      <c r="F289" s="252"/>
      <c r="G289" s="252"/>
      <c r="H289" s="252"/>
      <c r="I289" s="252"/>
      <c r="J289" s="252"/>
    </row>
    <row r="290">
      <c r="A290" s="153"/>
      <c r="B290" s="252"/>
      <c r="C290" s="252"/>
      <c r="D290" s="252"/>
      <c r="E290" s="252"/>
      <c r="F290" s="252"/>
      <c r="G290" s="252"/>
      <c r="H290" s="252"/>
      <c r="I290" s="252"/>
      <c r="J290" s="252"/>
    </row>
    <row r="291">
      <c r="A291" s="155"/>
      <c r="B291" s="252"/>
      <c r="C291" s="252"/>
      <c r="D291" s="252"/>
      <c r="E291" s="252"/>
      <c r="F291" s="252"/>
      <c r="G291" s="252"/>
      <c r="H291" s="252"/>
      <c r="I291" s="252"/>
      <c r="J291" s="252"/>
    </row>
    <row r="292">
      <c r="A292" s="153"/>
      <c r="B292" s="252"/>
      <c r="C292" s="252"/>
      <c r="D292" s="252"/>
      <c r="E292" s="252"/>
      <c r="F292" s="252"/>
      <c r="G292" s="252"/>
      <c r="H292" s="252"/>
      <c r="I292" s="252"/>
      <c r="J292" s="252"/>
    </row>
    <row r="293">
      <c r="A293" s="155"/>
      <c r="B293" s="252"/>
      <c r="C293" s="252"/>
      <c r="D293" s="252"/>
      <c r="E293" s="252"/>
      <c r="F293" s="252"/>
      <c r="G293" s="252"/>
      <c r="H293" s="252"/>
      <c r="I293" s="252"/>
      <c r="J293" s="252"/>
    </row>
    <row r="294">
      <c r="A294" s="153"/>
      <c r="B294" s="252"/>
      <c r="C294" s="252"/>
      <c r="D294" s="252"/>
      <c r="E294" s="252"/>
      <c r="F294" s="252"/>
      <c r="G294" s="252"/>
      <c r="H294" s="252"/>
      <c r="I294" s="252"/>
      <c r="J294" s="252"/>
    </row>
    <row r="295">
      <c r="A295" s="155"/>
      <c r="B295" s="252"/>
      <c r="C295" s="252"/>
      <c r="D295" s="252"/>
      <c r="E295" s="252"/>
      <c r="F295" s="252"/>
      <c r="G295" s="252"/>
      <c r="H295" s="252"/>
      <c r="I295" s="252"/>
      <c r="J295" s="252"/>
    </row>
    <row r="296">
      <c r="A296" s="153"/>
      <c r="B296" s="252"/>
      <c r="C296" s="252"/>
      <c r="D296" s="252"/>
      <c r="E296" s="252"/>
      <c r="F296" s="252"/>
      <c r="G296" s="252"/>
      <c r="H296" s="252"/>
      <c r="I296" s="252"/>
      <c r="J296" s="252"/>
    </row>
    <row r="297">
      <c r="A297" s="155"/>
      <c r="B297" s="252"/>
      <c r="C297" s="252"/>
      <c r="D297" s="252"/>
      <c r="E297" s="252"/>
      <c r="F297" s="252"/>
      <c r="G297" s="252"/>
      <c r="H297" s="252"/>
      <c r="I297" s="252"/>
      <c r="J297" s="252"/>
    </row>
    <row r="298">
      <c r="A298" s="153"/>
      <c r="B298" s="252"/>
      <c r="C298" s="252"/>
      <c r="D298" s="252"/>
      <c r="E298" s="252"/>
      <c r="F298" s="252"/>
      <c r="G298" s="252"/>
      <c r="H298" s="252"/>
      <c r="I298" s="252"/>
      <c r="J298" s="252"/>
    </row>
    <row r="299">
      <c r="A299" s="155"/>
      <c r="B299" s="252"/>
      <c r="C299" s="252"/>
      <c r="D299" s="252"/>
      <c r="E299" s="252"/>
      <c r="F299" s="252"/>
      <c r="G299" s="252"/>
      <c r="H299" s="252"/>
      <c r="I299" s="252"/>
      <c r="J299" s="252"/>
    </row>
    <row r="300">
      <c r="A300" s="162"/>
      <c r="B300" s="252"/>
      <c r="C300" s="252"/>
      <c r="D300" s="252"/>
      <c r="E300" s="252"/>
      <c r="F300" s="252"/>
      <c r="G300" s="252"/>
      <c r="H300" s="252"/>
      <c r="I300" s="252"/>
      <c r="J300" s="252"/>
    </row>
    <row r="301">
      <c r="A301" s="150" t="str">
        <f t="array" ref="A301:A350">'Up Names'!G2:G51</f>
        <v>Yellow Prism</v>
      </c>
      <c r="B301" s="251" t="s">
        <v>2083</v>
      </c>
      <c r="C301" s="252"/>
      <c r="D301" s="252"/>
      <c r="E301" s="252"/>
      <c r="F301" s="252"/>
      <c r="G301" s="252"/>
      <c r="H301" s="252"/>
      <c r="I301" s="252"/>
      <c r="J301" s="252"/>
    </row>
    <row r="302">
      <c r="A302" s="153" t="s">
        <v>156</v>
      </c>
      <c r="B302" s="253" t="s">
        <v>2077</v>
      </c>
      <c r="C302" s="253" t="s">
        <v>2078</v>
      </c>
      <c r="D302" s="253" t="s">
        <v>2101</v>
      </c>
      <c r="E302" s="253" t="s">
        <v>2238</v>
      </c>
      <c r="F302" s="252"/>
      <c r="G302" s="252"/>
      <c r="H302" s="252"/>
      <c r="I302" s="252"/>
      <c r="J302" s="252"/>
    </row>
    <row r="303">
      <c r="A303" s="155" t="s">
        <v>176</v>
      </c>
      <c r="B303" s="251" t="s">
        <v>2240</v>
      </c>
      <c r="C303" s="254" t="s">
        <v>2075</v>
      </c>
      <c r="D303" s="252"/>
      <c r="E303" s="252"/>
      <c r="F303" s="252"/>
      <c r="G303" s="252"/>
      <c r="H303" s="252"/>
      <c r="I303" s="252"/>
      <c r="J303" s="252"/>
    </row>
    <row r="304">
      <c r="A304" s="153" t="s">
        <v>196</v>
      </c>
      <c r="B304" s="253" t="s">
        <v>2241</v>
      </c>
      <c r="C304" s="253" t="s">
        <v>2109</v>
      </c>
      <c r="D304" s="252"/>
      <c r="E304" s="252"/>
      <c r="F304" s="252"/>
      <c r="G304" s="252"/>
      <c r="H304" s="252"/>
      <c r="I304" s="252"/>
      <c r="J304" s="252"/>
    </row>
    <row r="305">
      <c r="A305" s="155" t="s">
        <v>216</v>
      </c>
      <c r="B305" s="251" t="s">
        <v>51</v>
      </c>
      <c r="C305" s="251" t="s">
        <v>2242</v>
      </c>
      <c r="D305" s="251" t="s">
        <v>2068</v>
      </c>
      <c r="E305" s="252"/>
      <c r="F305" s="252"/>
      <c r="G305" s="252"/>
      <c r="H305" s="252"/>
      <c r="I305" s="252"/>
      <c r="J305" s="252"/>
    </row>
    <row r="306">
      <c r="A306" s="153" t="s">
        <v>235</v>
      </c>
      <c r="B306" s="253" t="s">
        <v>2083</v>
      </c>
      <c r="C306" s="252"/>
      <c r="D306" s="252"/>
      <c r="E306" s="252"/>
      <c r="F306" s="252"/>
      <c r="G306" s="252"/>
      <c r="H306" s="252"/>
      <c r="I306" s="252"/>
      <c r="J306" s="252"/>
    </row>
    <row r="307">
      <c r="A307" s="155" t="s">
        <v>255</v>
      </c>
      <c r="B307" s="251" t="s">
        <v>2244</v>
      </c>
      <c r="C307" s="251" t="s">
        <v>2108</v>
      </c>
      <c r="D307" s="251" t="s">
        <v>2212</v>
      </c>
      <c r="E307" s="252"/>
      <c r="F307" s="252"/>
      <c r="G307" s="252"/>
      <c r="H307" s="252"/>
      <c r="I307" s="252"/>
      <c r="J307" s="252"/>
    </row>
    <row r="308">
      <c r="A308" s="153" t="s">
        <v>275</v>
      </c>
      <c r="B308" s="253" t="s">
        <v>2064</v>
      </c>
      <c r="C308" s="253" t="s">
        <v>2184</v>
      </c>
      <c r="D308" s="252"/>
      <c r="E308" s="252"/>
      <c r="F308" s="252"/>
      <c r="G308" s="252"/>
      <c r="H308" s="252"/>
      <c r="I308" s="252"/>
      <c r="J308" s="252"/>
    </row>
    <row r="309">
      <c r="A309" s="155" t="s">
        <v>295</v>
      </c>
      <c r="B309" s="251" t="s">
        <v>2147</v>
      </c>
      <c r="C309" s="251" t="s">
        <v>2146</v>
      </c>
      <c r="D309" s="251" t="s">
        <v>2101</v>
      </c>
      <c r="E309" s="251" t="s">
        <v>2094</v>
      </c>
      <c r="F309" s="251" t="s">
        <v>2108</v>
      </c>
      <c r="G309" s="254" t="s">
        <v>2084</v>
      </c>
      <c r="H309" s="252"/>
      <c r="I309" s="252"/>
      <c r="J309" s="252"/>
    </row>
    <row r="310">
      <c r="A310" s="153" t="s">
        <v>315</v>
      </c>
      <c r="B310" s="253" t="s">
        <v>2102</v>
      </c>
      <c r="C310" s="252"/>
      <c r="D310" s="252"/>
      <c r="E310" s="252"/>
      <c r="F310" s="252"/>
      <c r="G310" s="252"/>
      <c r="H310" s="252"/>
      <c r="I310" s="252"/>
      <c r="J310" s="252"/>
    </row>
    <row r="311">
      <c r="A311" s="155" t="s">
        <v>335</v>
      </c>
      <c r="B311" s="251" t="s">
        <v>2246</v>
      </c>
      <c r="C311" s="251" t="s">
        <v>2247</v>
      </c>
      <c r="D311" s="252"/>
      <c r="E311" s="252"/>
      <c r="F311" s="252"/>
      <c r="G311" s="252"/>
      <c r="H311" s="252"/>
      <c r="I311" s="252"/>
      <c r="J311" s="252"/>
    </row>
    <row r="312">
      <c r="A312" s="153" t="s">
        <v>355</v>
      </c>
      <c r="B312" s="253" t="s">
        <v>2101</v>
      </c>
      <c r="C312" s="253" t="s">
        <v>2154</v>
      </c>
      <c r="D312" s="253" t="s">
        <v>2108</v>
      </c>
      <c r="E312" s="253" t="s">
        <v>2068</v>
      </c>
      <c r="F312" s="253" t="s">
        <v>2094</v>
      </c>
      <c r="G312" s="253" t="s">
        <v>2075</v>
      </c>
      <c r="H312" s="252"/>
      <c r="I312" s="252"/>
      <c r="J312" s="252"/>
    </row>
    <row r="313">
      <c r="A313" s="155" t="s">
        <v>379</v>
      </c>
      <c r="B313" s="251" t="s">
        <v>2108</v>
      </c>
      <c r="C313" s="251" t="s">
        <v>2068</v>
      </c>
      <c r="D313" s="252"/>
      <c r="E313" s="252"/>
      <c r="F313" s="252"/>
      <c r="G313" s="252"/>
      <c r="H313" s="252"/>
      <c r="I313" s="252"/>
      <c r="J313" s="252"/>
    </row>
    <row r="314">
      <c r="A314" s="153" t="s">
        <v>402</v>
      </c>
      <c r="B314" s="253" t="s">
        <v>2100</v>
      </c>
      <c r="C314" s="253" t="s">
        <v>2075</v>
      </c>
      <c r="D314" s="253" t="s">
        <v>2068</v>
      </c>
      <c r="E314" s="253" t="s">
        <v>2082</v>
      </c>
      <c r="F314" s="253" t="s">
        <v>2098</v>
      </c>
      <c r="G314" s="252"/>
      <c r="H314" s="252"/>
      <c r="I314" s="252"/>
      <c r="J314" s="252"/>
    </row>
    <row r="315">
      <c r="A315" s="155" t="s">
        <v>431</v>
      </c>
      <c r="B315" s="251" t="s">
        <v>2068</v>
      </c>
      <c r="C315" s="251" t="s">
        <v>2206</v>
      </c>
      <c r="D315" s="252"/>
      <c r="E315" s="252"/>
      <c r="F315" s="252"/>
      <c r="G315" s="252"/>
      <c r="H315" s="252"/>
      <c r="I315" s="252"/>
      <c r="J315" s="252"/>
    </row>
    <row r="316">
      <c r="A316" s="153" t="s">
        <v>458</v>
      </c>
      <c r="B316" s="253" t="s">
        <v>2083</v>
      </c>
      <c r="C316" s="252"/>
      <c r="D316" s="252"/>
      <c r="E316" s="252"/>
      <c r="F316" s="252"/>
      <c r="G316" s="252"/>
      <c r="H316" s="252"/>
      <c r="I316" s="252"/>
      <c r="J316" s="252"/>
    </row>
    <row r="317">
      <c r="A317" s="155" t="s">
        <v>489</v>
      </c>
      <c r="B317" s="251" t="s">
        <v>2250</v>
      </c>
      <c r="C317" s="251" t="s">
        <v>2085</v>
      </c>
      <c r="D317" s="252"/>
      <c r="E317" s="252"/>
      <c r="F317" s="252"/>
      <c r="G317" s="252"/>
      <c r="H317" s="252"/>
      <c r="I317" s="252"/>
      <c r="J317" s="252"/>
    </row>
    <row r="318">
      <c r="A318" s="153" t="s">
        <v>513</v>
      </c>
      <c r="B318" s="253" t="s">
        <v>2112</v>
      </c>
      <c r="C318" s="252"/>
      <c r="D318" s="252"/>
      <c r="E318" s="252"/>
      <c r="F318" s="252"/>
      <c r="G318" s="252"/>
      <c r="H318" s="252"/>
      <c r="I318" s="252"/>
      <c r="J318" s="252"/>
    </row>
    <row r="319">
      <c r="A319" s="155" t="s">
        <v>533</v>
      </c>
      <c r="B319" s="251" t="s">
        <v>2075</v>
      </c>
      <c r="C319" s="251" t="s">
        <v>2108</v>
      </c>
      <c r="D319" s="252"/>
      <c r="E319" s="252"/>
      <c r="F319" s="252"/>
      <c r="G319" s="252"/>
      <c r="H319" s="252"/>
      <c r="I319" s="252"/>
      <c r="J319" s="252"/>
    </row>
    <row r="320">
      <c r="A320" s="153" t="s">
        <v>552</v>
      </c>
      <c r="B320" s="253" t="s">
        <v>2091</v>
      </c>
      <c r="C320" s="252"/>
      <c r="D320" s="252"/>
      <c r="E320" s="252"/>
      <c r="F320" s="252"/>
      <c r="G320" s="252"/>
      <c r="H320" s="252"/>
      <c r="I320" s="252"/>
      <c r="J320" s="252"/>
    </row>
    <row r="321">
      <c r="A321" s="155" t="s">
        <v>576</v>
      </c>
      <c r="B321" s="251" t="s">
        <v>2101</v>
      </c>
      <c r="C321" s="251" t="s">
        <v>2075</v>
      </c>
      <c r="D321" s="251" t="s">
        <v>2147</v>
      </c>
      <c r="E321" s="251" t="s">
        <v>2146</v>
      </c>
      <c r="F321" s="252"/>
      <c r="G321" s="252"/>
      <c r="H321" s="252"/>
      <c r="I321" s="252"/>
      <c r="J321" s="252"/>
    </row>
    <row r="322">
      <c r="A322" s="153" t="s">
        <v>599</v>
      </c>
      <c r="B322" s="253" t="s">
        <v>2068</v>
      </c>
      <c r="C322" s="253" t="s">
        <v>2075</v>
      </c>
      <c r="D322" s="252"/>
      <c r="E322" s="252"/>
      <c r="F322" s="252"/>
      <c r="G322" s="252"/>
      <c r="H322" s="252"/>
      <c r="I322" s="252"/>
      <c r="J322" s="252"/>
    </row>
    <row r="323">
      <c r="A323" s="155" t="s">
        <v>620</v>
      </c>
      <c r="B323" s="251" t="s">
        <v>2068</v>
      </c>
      <c r="C323" s="251" t="s">
        <v>2082</v>
      </c>
      <c r="D323" s="251" t="s">
        <v>2098</v>
      </c>
      <c r="E323" s="252"/>
      <c r="F323" s="252"/>
      <c r="G323" s="252"/>
      <c r="H323" s="252"/>
      <c r="I323" s="252"/>
      <c r="J323" s="252"/>
    </row>
    <row r="324">
      <c r="A324" s="153" t="s">
        <v>645</v>
      </c>
      <c r="B324" s="253" t="s">
        <v>2105</v>
      </c>
      <c r="C324" s="253" t="s">
        <v>2106</v>
      </c>
      <c r="D324" s="253" t="s">
        <v>2075</v>
      </c>
      <c r="E324" s="253" t="s">
        <v>2108</v>
      </c>
      <c r="F324" s="253" t="s">
        <v>2154</v>
      </c>
      <c r="G324" s="254" t="s">
        <v>2068</v>
      </c>
      <c r="H324" s="252"/>
      <c r="I324" s="252"/>
      <c r="J324" s="252"/>
    </row>
    <row r="325">
      <c r="A325" s="155" t="s">
        <v>663</v>
      </c>
      <c r="B325" s="251" t="s">
        <v>2083</v>
      </c>
      <c r="C325" s="252"/>
      <c r="D325" s="252"/>
      <c r="E325" s="252"/>
      <c r="F325" s="252"/>
      <c r="G325" s="252"/>
      <c r="H325" s="252"/>
      <c r="I325" s="252"/>
      <c r="J325" s="252"/>
    </row>
    <row r="326">
      <c r="A326" s="153" t="s">
        <v>678</v>
      </c>
      <c r="B326" s="253" t="s">
        <v>2077</v>
      </c>
      <c r="C326" s="253" t="s">
        <v>2078</v>
      </c>
      <c r="D326" s="252"/>
      <c r="E326" s="252"/>
      <c r="F326" s="252"/>
      <c r="G326" s="252"/>
      <c r="H326" s="252"/>
      <c r="I326" s="252"/>
      <c r="J326" s="252"/>
    </row>
    <row r="327">
      <c r="A327" s="155" t="s">
        <v>692</v>
      </c>
      <c r="B327" s="251" t="s">
        <v>2154</v>
      </c>
      <c r="C327" s="252"/>
      <c r="D327" s="252"/>
      <c r="E327" s="252"/>
      <c r="F327" s="252"/>
      <c r="G327" s="252"/>
      <c r="H327" s="252"/>
      <c r="I327" s="252"/>
      <c r="J327" s="252"/>
    </row>
    <row r="328">
      <c r="A328" s="153" t="s">
        <v>711</v>
      </c>
      <c r="B328" s="253" t="s">
        <v>2068</v>
      </c>
      <c r="C328" s="253" t="s">
        <v>2095</v>
      </c>
      <c r="D328" s="253" t="s">
        <v>2096</v>
      </c>
      <c r="E328" s="253" t="s">
        <v>2097</v>
      </c>
      <c r="F328" s="252"/>
      <c r="G328" s="252"/>
      <c r="H328" s="252"/>
      <c r="I328" s="252"/>
      <c r="J328" s="252"/>
    </row>
    <row r="329">
      <c r="A329" s="155" t="s">
        <v>729</v>
      </c>
      <c r="B329" s="251" t="s">
        <v>2080</v>
      </c>
      <c r="C329" s="252"/>
      <c r="D329" s="252"/>
      <c r="E329" s="252"/>
      <c r="F329" s="252"/>
      <c r="G329" s="252"/>
      <c r="H329" s="252"/>
      <c r="I329" s="252"/>
      <c r="J329" s="252"/>
    </row>
    <row r="330">
      <c r="A330" s="153" t="s">
        <v>747</v>
      </c>
      <c r="B330" s="253" t="s">
        <v>2082</v>
      </c>
      <c r="C330" s="253" t="s">
        <v>2098</v>
      </c>
      <c r="D330" s="252"/>
      <c r="E330" s="252"/>
      <c r="F330" s="252"/>
      <c r="G330" s="252"/>
      <c r="H330" s="252"/>
      <c r="I330" s="252"/>
      <c r="J330" s="252"/>
    </row>
    <row r="331">
      <c r="A331" s="155" t="s">
        <v>503</v>
      </c>
      <c r="B331" s="252"/>
      <c r="C331" s="252"/>
      <c r="D331" s="252"/>
      <c r="E331" s="252"/>
      <c r="F331" s="252"/>
      <c r="G331" s="252"/>
      <c r="H331" s="252"/>
      <c r="I331" s="252"/>
      <c r="J331" s="252"/>
    </row>
    <row r="332">
      <c r="A332" s="153" t="s">
        <v>511</v>
      </c>
      <c r="B332" s="252"/>
      <c r="C332" s="252"/>
      <c r="D332" s="252"/>
      <c r="E332" s="252"/>
      <c r="F332" s="252"/>
      <c r="G332" s="252"/>
      <c r="H332" s="252"/>
      <c r="I332" s="252"/>
      <c r="J332" s="252"/>
    </row>
    <row r="333">
      <c r="A333" s="155" t="s">
        <v>516</v>
      </c>
      <c r="B333" s="252"/>
      <c r="C333" s="252"/>
      <c r="D333" s="252"/>
      <c r="E333" s="252"/>
      <c r="F333" s="252"/>
      <c r="G333" s="252"/>
      <c r="H333" s="252"/>
      <c r="I333" s="252"/>
      <c r="J333" s="252"/>
    </row>
    <row r="334">
      <c r="A334" s="153"/>
      <c r="B334" s="252"/>
      <c r="C334" s="252"/>
      <c r="D334" s="252"/>
      <c r="E334" s="252"/>
      <c r="F334" s="252"/>
      <c r="G334" s="252"/>
      <c r="H334" s="252"/>
      <c r="I334" s="252"/>
      <c r="J334" s="252"/>
    </row>
    <row r="335">
      <c r="A335" s="155"/>
      <c r="B335" s="252"/>
      <c r="C335" s="252"/>
      <c r="D335" s="252"/>
      <c r="E335" s="252"/>
      <c r="F335" s="252"/>
      <c r="G335" s="252"/>
      <c r="H335" s="252"/>
      <c r="I335" s="252"/>
      <c r="J335" s="252"/>
    </row>
    <row r="336">
      <c r="A336" s="153"/>
      <c r="B336" s="252"/>
      <c r="C336" s="252"/>
      <c r="D336" s="252"/>
      <c r="E336" s="252"/>
      <c r="F336" s="252"/>
      <c r="G336" s="252"/>
      <c r="H336" s="252"/>
      <c r="I336" s="252"/>
      <c r="J336" s="252"/>
    </row>
    <row r="337">
      <c r="A337" s="155"/>
      <c r="B337" s="252"/>
      <c r="C337" s="252"/>
      <c r="D337" s="252"/>
      <c r="E337" s="252"/>
      <c r="F337" s="252"/>
      <c r="G337" s="252"/>
      <c r="H337" s="252"/>
      <c r="I337" s="252"/>
      <c r="J337" s="252"/>
    </row>
    <row r="338">
      <c r="A338" s="153"/>
      <c r="B338" s="252"/>
      <c r="C338" s="252"/>
      <c r="D338" s="252"/>
      <c r="E338" s="252"/>
      <c r="F338" s="252"/>
      <c r="G338" s="252"/>
      <c r="H338" s="252"/>
      <c r="I338" s="252"/>
      <c r="J338" s="252"/>
    </row>
    <row r="339">
      <c r="A339" s="155"/>
      <c r="B339" s="252"/>
      <c r="C339" s="252"/>
      <c r="D339" s="252"/>
      <c r="E339" s="252"/>
      <c r="F339" s="252"/>
      <c r="G339" s="252"/>
      <c r="H339" s="252"/>
      <c r="I339" s="252"/>
      <c r="J339" s="252"/>
    </row>
    <row r="340">
      <c r="A340" s="153"/>
      <c r="B340" s="252"/>
      <c r="C340" s="252"/>
      <c r="D340" s="252"/>
      <c r="E340" s="252"/>
      <c r="F340" s="252"/>
      <c r="G340" s="252"/>
      <c r="H340" s="252"/>
      <c r="I340" s="252"/>
      <c r="J340" s="252"/>
    </row>
    <row r="341">
      <c r="A341" s="155"/>
      <c r="B341" s="252"/>
      <c r="C341" s="252"/>
      <c r="D341" s="252"/>
      <c r="E341" s="252"/>
      <c r="F341" s="252"/>
      <c r="G341" s="252"/>
      <c r="H341" s="252"/>
      <c r="I341" s="252"/>
      <c r="J341" s="252"/>
    </row>
    <row r="342">
      <c r="A342" s="153"/>
      <c r="B342" s="252"/>
      <c r="C342" s="252"/>
      <c r="D342" s="252"/>
      <c r="E342" s="252"/>
      <c r="F342" s="252"/>
      <c r="G342" s="252"/>
      <c r="H342" s="252"/>
      <c r="I342" s="252"/>
      <c r="J342" s="252"/>
    </row>
    <row r="343">
      <c r="A343" s="155"/>
      <c r="B343" s="252"/>
      <c r="C343" s="252"/>
      <c r="D343" s="252"/>
      <c r="E343" s="252"/>
      <c r="F343" s="252"/>
      <c r="G343" s="252"/>
      <c r="H343" s="252"/>
      <c r="I343" s="252"/>
      <c r="J343" s="252"/>
    </row>
    <row r="344">
      <c r="A344" s="153"/>
      <c r="B344" s="252"/>
      <c r="C344" s="252"/>
      <c r="D344" s="252"/>
      <c r="E344" s="252"/>
      <c r="F344" s="252"/>
      <c r="G344" s="252"/>
      <c r="H344" s="252"/>
      <c r="I344" s="252"/>
      <c r="J344" s="252"/>
    </row>
    <row r="345">
      <c r="A345" s="155"/>
      <c r="B345" s="252"/>
      <c r="C345" s="252"/>
      <c r="D345" s="252"/>
      <c r="E345" s="252"/>
      <c r="F345" s="252"/>
      <c r="G345" s="252"/>
      <c r="H345" s="252"/>
      <c r="I345" s="252"/>
      <c r="J345" s="252"/>
    </row>
    <row r="346">
      <c r="A346" s="153"/>
      <c r="B346" s="252"/>
      <c r="C346" s="252"/>
      <c r="D346" s="252"/>
      <c r="E346" s="252"/>
      <c r="F346" s="252"/>
      <c r="G346" s="252"/>
      <c r="H346" s="252"/>
      <c r="I346" s="252"/>
      <c r="J346" s="252"/>
    </row>
    <row r="347">
      <c r="A347" s="155"/>
      <c r="B347" s="252"/>
      <c r="C347" s="252"/>
      <c r="D347" s="252"/>
      <c r="E347" s="252"/>
      <c r="F347" s="252"/>
      <c r="G347" s="252"/>
      <c r="H347" s="252"/>
      <c r="I347" s="252"/>
      <c r="J347" s="252"/>
    </row>
    <row r="348">
      <c r="A348" s="153"/>
      <c r="B348" s="252"/>
      <c r="C348" s="252"/>
      <c r="D348" s="252"/>
      <c r="E348" s="252"/>
      <c r="F348" s="252"/>
      <c r="G348" s="252"/>
      <c r="H348" s="252"/>
      <c r="I348" s="252"/>
      <c r="J348" s="252"/>
    </row>
    <row r="349">
      <c r="A349" s="155"/>
      <c r="B349" s="252"/>
      <c r="C349" s="252"/>
      <c r="D349" s="252"/>
      <c r="E349" s="252"/>
      <c r="F349" s="252"/>
      <c r="G349" s="252"/>
      <c r="H349" s="252"/>
      <c r="I349" s="252"/>
      <c r="J349" s="252"/>
    </row>
    <row r="350">
      <c r="A350" s="162"/>
      <c r="B350" s="252"/>
      <c r="C350" s="252"/>
      <c r="D350" s="252"/>
      <c r="E350" s="252"/>
      <c r="F350" s="252"/>
      <c r="G350" s="252"/>
      <c r="H350" s="252"/>
      <c r="I350" s="252"/>
      <c r="J350" s="252"/>
    </row>
    <row r="351">
      <c r="A351" s="150" t="str">
        <f t="array" ref="A351:A400">'Up Names'!H2:H51</f>
        <v>Bailing Water</v>
      </c>
      <c r="B351" s="251" t="s">
        <v>2108</v>
      </c>
      <c r="C351" s="251" t="s">
        <v>2080</v>
      </c>
      <c r="D351" s="252"/>
      <c r="E351" s="252"/>
      <c r="F351" s="252"/>
      <c r="G351" s="252"/>
      <c r="H351" s="252"/>
      <c r="I351" s="252"/>
      <c r="J351" s="252"/>
    </row>
    <row r="352">
      <c r="A352" s="153" t="s">
        <v>157</v>
      </c>
      <c r="B352" s="253" t="s">
        <v>2064</v>
      </c>
      <c r="C352" s="253" t="s">
        <v>2261</v>
      </c>
      <c r="D352" s="253" t="s">
        <v>2262</v>
      </c>
      <c r="E352" s="252"/>
      <c r="F352" s="252"/>
      <c r="G352" s="252"/>
      <c r="H352" s="252"/>
      <c r="I352" s="252"/>
      <c r="J352" s="252"/>
    </row>
    <row r="353">
      <c r="A353" s="155" t="s">
        <v>177</v>
      </c>
      <c r="B353" s="251" t="s">
        <v>2154</v>
      </c>
      <c r="C353" s="251" t="s">
        <v>2085</v>
      </c>
      <c r="D353" s="251" t="s">
        <v>2147</v>
      </c>
      <c r="E353" s="251" t="s">
        <v>2075</v>
      </c>
      <c r="F353" s="251" t="s">
        <v>2068</v>
      </c>
      <c r="G353" s="252"/>
      <c r="H353" s="252"/>
      <c r="I353" s="252"/>
      <c r="J353" s="252"/>
    </row>
    <row r="354">
      <c r="A354" s="153" t="s">
        <v>197</v>
      </c>
      <c r="B354" s="253" t="s">
        <v>2172</v>
      </c>
      <c r="C354" s="252"/>
      <c r="D354" s="252"/>
      <c r="E354" s="252"/>
      <c r="F354" s="252"/>
      <c r="G354" s="252"/>
      <c r="H354" s="252"/>
      <c r="I354" s="252"/>
      <c r="J354" s="252"/>
    </row>
    <row r="355">
      <c r="A355" s="155" t="s">
        <v>217</v>
      </c>
      <c r="B355" s="251" t="s">
        <v>2070</v>
      </c>
      <c r="C355" s="252"/>
      <c r="D355" s="252"/>
      <c r="E355" s="252"/>
      <c r="F355" s="252"/>
      <c r="G355" s="252"/>
      <c r="H355" s="252"/>
      <c r="I355" s="252"/>
      <c r="J355" s="252"/>
    </row>
    <row r="356">
      <c r="A356" s="153" t="s">
        <v>236</v>
      </c>
      <c r="B356" s="253" t="s">
        <v>2068</v>
      </c>
      <c r="C356" s="253" t="s">
        <v>2085</v>
      </c>
      <c r="D356" s="252"/>
      <c r="E356" s="252"/>
      <c r="F356" s="252"/>
      <c r="G356" s="252"/>
      <c r="H356" s="252"/>
      <c r="I356" s="252"/>
      <c r="J356" s="252"/>
    </row>
    <row r="357">
      <c r="A357" s="155" t="s">
        <v>256</v>
      </c>
      <c r="B357" s="251" t="s">
        <v>2085</v>
      </c>
      <c r="C357" s="251" t="s">
        <v>2264</v>
      </c>
      <c r="D357" s="252"/>
      <c r="E357" s="252"/>
      <c r="F357" s="252"/>
      <c r="G357" s="252"/>
      <c r="H357" s="252"/>
      <c r="I357" s="252"/>
      <c r="J357" s="252"/>
    </row>
    <row r="358">
      <c r="A358" s="153" t="s">
        <v>276</v>
      </c>
      <c r="B358" s="253" t="s">
        <v>2075</v>
      </c>
      <c r="C358" s="253" t="s">
        <v>2085</v>
      </c>
      <c r="D358" s="252"/>
      <c r="E358" s="252"/>
      <c r="F358" s="252"/>
      <c r="G358" s="252"/>
      <c r="H358" s="252"/>
      <c r="I358" s="252"/>
      <c r="J358" s="252"/>
    </row>
    <row r="359">
      <c r="A359" s="155" t="s">
        <v>296</v>
      </c>
      <c r="B359" s="251" t="s">
        <v>2070</v>
      </c>
      <c r="C359" s="252"/>
      <c r="D359" s="252"/>
      <c r="E359" s="252"/>
      <c r="F359" s="252"/>
      <c r="G359" s="252"/>
      <c r="H359" s="252"/>
      <c r="I359" s="252"/>
      <c r="J359" s="252"/>
    </row>
    <row r="360">
      <c r="A360" s="153" t="s">
        <v>316</v>
      </c>
      <c r="B360" s="253" t="s">
        <v>2084</v>
      </c>
      <c r="C360" s="253" t="s">
        <v>2085</v>
      </c>
      <c r="D360" s="252"/>
      <c r="E360" s="252"/>
      <c r="F360" s="252"/>
      <c r="G360" s="252"/>
      <c r="H360" s="252"/>
      <c r="I360" s="252"/>
      <c r="J360" s="252"/>
    </row>
    <row r="361">
      <c r="A361" s="155" t="s">
        <v>336</v>
      </c>
      <c r="B361" s="251" t="s">
        <v>2064</v>
      </c>
      <c r="C361" s="251" t="s">
        <v>2065</v>
      </c>
      <c r="D361" s="252"/>
      <c r="E361" s="252"/>
      <c r="F361" s="252"/>
      <c r="G361" s="252"/>
      <c r="H361" s="252"/>
      <c r="I361" s="252"/>
      <c r="J361" s="252"/>
    </row>
    <row r="362">
      <c r="A362" s="153" t="s">
        <v>356</v>
      </c>
      <c r="B362" s="253" t="s">
        <v>2068</v>
      </c>
      <c r="C362" s="252"/>
      <c r="D362" s="252"/>
      <c r="E362" s="252"/>
      <c r="F362" s="252"/>
      <c r="G362" s="252"/>
      <c r="H362" s="252"/>
      <c r="I362" s="252"/>
      <c r="J362" s="252"/>
    </row>
    <row r="363">
      <c r="A363" s="155" t="s">
        <v>380</v>
      </c>
      <c r="B363" s="251" t="s">
        <v>2083</v>
      </c>
      <c r="C363" s="251" t="s">
        <v>2084</v>
      </c>
      <c r="D363" s="252"/>
      <c r="E363" s="252"/>
      <c r="F363" s="252"/>
      <c r="G363" s="252"/>
      <c r="H363" s="252"/>
      <c r="I363" s="252"/>
      <c r="J363" s="252"/>
    </row>
    <row r="364">
      <c r="A364" s="153" t="s">
        <v>403</v>
      </c>
      <c r="B364" s="253" t="s">
        <v>2266</v>
      </c>
      <c r="C364" s="253" t="s">
        <v>2267</v>
      </c>
      <c r="D364" s="252"/>
      <c r="E364" s="252"/>
      <c r="F364" s="252"/>
      <c r="G364" s="252"/>
      <c r="H364" s="252"/>
      <c r="I364" s="252"/>
      <c r="J364" s="252"/>
    </row>
    <row r="365">
      <c r="A365" s="155" t="s">
        <v>432</v>
      </c>
      <c r="B365" s="251" t="s">
        <v>2154</v>
      </c>
      <c r="C365" s="251" t="s">
        <v>2077</v>
      </c>
      <c r="D365" s="251" t="s">
        <v>2078</v>
      </c>
      <c r="E365" s="252"/>
      <c r="F365" s="252"/>
      <c r="G365" s="252"/>
      <c r="H365" s="252"/>
      <c r="I365" s="252"/>
      <c r="J365" s="252"/>
    </row>
    <row r="366">
      <c r="A366" s="153" t="s">
        <v>460</v>
      </c>
      <c r="B366" s="253" t="s">
        <v>2068</v>
      </c>
      <c r="C366" s="253" t="s">
        <v>2100</v>
      </c>
      <c r="D366" s="252"/>
      <c r="E366" s="252"/>
      <c r="F366" s="252"/>
      <c r="G366" s="252"/>
      <c r="H366" s="252"/>
      <c r="I366" s="252"/>
      <c r="J366" s="252"/>
    </row>
    <row r="367">
      <c r="A367" s="155" t="s">
        <v>490</v>
      </c>
      <c r="B367" s="251" t="s">
        <v>2065</v>
      </c>
      <c r="C367" s="252"/>
      <c r="D367" s="252"/>
      <c r="E367" s="252"/>
      <c r="F367" s="252"/>
      <c r="G367" s="252"/>
      <c r="H367" s="252"/>
      <c r="I367" s="252"/>
      <c r="J367" s="252"/>
    </row>
    <row r="368">
      <c r="A368" s="153" t="s">
        <v>514</v>
      </c>
      <c r="B368" s="253" t="s">
        <v>2076</v>
      </c>
      <c r="C368" s="253" t="s">
        <v>2075</v>
      </c>
      <c r="D368" s="252"/>
      <c r="E368" s="252"/>
      <c r="F368" s="252"/>
      <c r="G368" s="252"/>
      <c r="H368" s="252"/>
      <c r="I368" s="252"/>
      <c r="J368" s="252"/>
    </row>
    <row r="369">
      <c r="A369" s="155" t="s">
        <v>534</v>
      </c>
      <c r="B369" s="251" t="s">
        <v>2075</v>
      </c>
      <c r="C369" s="251" t="s">
        <v>2068</v>
      </c>
      <c r="D369" s="252"/>
      <c r="E369" s="252"/>
      <c r="F369" s="252"/>
      <c r="G369" s="252"/>
      <c r="H369" s="252"/>
      <c r="I369" s="252"/>
      <c r="J369" s="252"/>
    </row>
    <row r="370">
      <c r="A370" s="153" t="s">
        <v>553</v>
      </c>
      <c r="B370" s="253" t="s">
        <v>2068</v>
      </c>
      <c r="C370" s="252"/>
      <c r="D370" s="252"/>
      <c r="E370" s="252"/>
      <c r="F370" s="252"/>
      <c r="G370" s="252"/>
      <c r="H370" s="252"/>
      <c r="I370" s="252"/>
      <c r="J370" s="252"/>
    </row>
    <row r="371">
      <c r="A371" s="155" t="s">
        <v>577</v>
      </c>
      <c r="B371" s="251" t="s">
        <v>2101</v>
      </c>
      <c r="C371" s="252"/>
      <c r="D371" s="252"/>
      <c r="E371" s="252"/>
      <c r="F371" s="252"/>
      <c r="G371" s="252"/>
      <c r="H371" s="252"/>
      <c r="I371" s="252"/>
      <c r="J371" s="252"/>
    </row>
    <row r="372">
      <c r="A372" s="153" t="s">
        <v>601</v>
      </c>
      <c r="B372" s="253" t="s">
        <v>2068</v>
      </c>
      <c r="C372" s="252"/>
      <c r="D372" s="252"/>
      <c r="E372" s="252"/>
      <c r="F372" s="252"/>
      <c r="G372" s="252"/>
      <c r="H372" s="252"/>
      <c r="I372" s="252"/>
      <c r="J372" s="252"/>
    </row>
    <row r="373">
      <c r="A373" s="155" t="s">
        <v>621</v>
      </c>
      <c r="B373" s="251" t="s">
        <v>2075</v>
      </c>
      <c r="C373" s="251" t="s">
        <v>2095</v>
      </c>
      <c r="D373" s="251" t="s">
        <v>2096</v>
      </c>
      <c r="E373" s="251" t="s">
        <v>2097</v>
      </c>
      <c r="F373" s="251" t="s">
        <v>2082</v>
      </c>
      <c r="G373" s="251" t="s">
        <v>2098</v>
      </c>
      <c r="H373" s="252"/>
      <c r="I373" s="252"/>
      <c r="J373" s="252"/>
    </row>
    <row r="374">
      <c r="A374" s="153" t="s">
        <v>647</v>
      </c>
      <c r="B374" s="253" t="s">
        <v>2105</v>
      </c>
      <c r="C374" s="253" t="s">
        <v>2106</v>
      </c>
      <c r="D374" s="253" t="s">
        <v>2075</v>
      </c>
      <c r="E374" s="253" t="s">
        <v>2101</v>
      </c>
      <c r="F374" s="252"/>
      <c r="G374" s="252"/>
      <c r="H374" s="252"/>
      <c r="I374" s="252"/>
      <c r="J374" s="252"/>
    </row>
    <row r="375">
      <c r="A375" s="155" t="s">
        <v>664</v>
      </c>
      <c r="B375" s="251" t="s">
        <v>2101</v>
      </c>
      <c r="C375" s="251" t="s">
        <v>2154</v>
      </c>
      <c r="D375" s="252"/>
      <c r="E375" s="252"/>
      <c r="F375" s="252"/>
      <c r="G375" s="252"/>
      <c r="H375" s="252"/>
      <c r="I375" s="252"/>
      <c r="J375" s="252"/>
    </row>
    <row r="376">
      <c r="A376" s="153" t="s">
        <v>679</v>
      </c>
      <c r="B376" s="253" t="s">
        <v>2075</v>
      </c>
      <c r="C376" s="253" t="s">
        <v>2077</v>
      </c>
      <c r="D376" s="253" t="s">
        <v>2078</v>
      </c>
      <c r="E376" s="253" t="s">
        <v>2082</v>
      </c>
      <c r="F376" s="253" t="s">
        <v>2098</v>
      </c>
      <c r="G376" s="252"/>
      <c r="H376" s="252"/>
      <c r="I376" s="252"/>
      <c r="J376" s="252"/>
    </row>
    <row r="377">
      <c r="A377" s="155" t="s">
        <v>693</v>
      </c>
      <c r="B377" s="251" t="s">
        <v>2154</v>
      </c>
      <c r="C377" s="252"/>
      <c r="D377" s="252"/>
      <c r="E377" s="252"/>
      <c r="F377" s="252"/>
      <c r="G377" s="252"/>
      <c r="H377" s="252"/>
      <c r="I377" s="252"/>
      <c r="J377" s="252"/>
    </row>
    <row r="378">
      <c r="A378" s="153" t="s">
        <v>712</v>
      </c>
      <c r="B378" s="253" t="s">
        <v>2101</v>
      </c>
      <c r="C378" s="252"/>
      <c r="D378" s="252"/>
      <c r="E378" s="252"/>
      <c r="F378" s="252"/>
      <c r="G378" s="252"/>
      <c r="H378" s="252"/>
      <c r="I378" s="252"/>
      <c r="J378" s="252"/>
    </row>
    <row r="379">
      <c r="A379" s="155" t="s">
        <v>731</v>
      </c>
      <c r="B379" s="252"/>
      <c r="C379" s="252"/>
      <c r="D379" s="252"/>
      <c r="E379" s="252"/>
      <c r="F379" s="252"/>
      <c r="G379" s="252"/>
      <c r="H379" s="252"/>
      <c r="I379" s="252"/>
      <c r="J379" s="252"/>
    </row>
    <row r="380">
      <c r="A380" s="153" t="s">
        <v>748</v>
      </c>
      <c r="B380" s="253" t="s">
        <v>2068</v>
      </c>
      <c r="C380" s="252"/>
      <c r="D380" s="252"/>
      <c r="E380" s="252"/>
      <c r="F380" s="252"/>
      <c r="G380" s="252"/>
      <c r="H380" s="252"/>
      <c r="I380" s="252"/>
      <c r="J380" s="252"/>
    </row>
    <row r="381">
      <c r="A381" s="155" t="s">
        <v>503</v>
      </c>
      <c r="B381" s="252"/>
      <c r="C381" s="252"/>
      <c r="D381" s="252"/>
      <c r="E381" s="252"/>
      <c r="F381" s="252"/>
      <c r="G381" s="252"/>
      <c r="H381" s="252"/>
      <c r="I381" s="252"/>
      <c r="J381" s="252"/>
    </row>
    <row r="382">
      <c r="A382" s="153" t="s">
        <v>511</v>
      </c>
      <c r="B382" s="252"/>
      <c r="C382" s="252"/>
      <c r="D382" s="252"/>
      <c r="E382" s="252"/>
      <c r="F382" s="252"/>
      <c r="G382" s="252"/>
      <c r="H382" s="252"/>
      <c r="I382" s="252"/>
      <c r="J382" s="252"/>
    </row>
    <row r="383">
      <c r="A383" s="155" t="s">
        <v>516</v>
      </c>
      <c r="B383" s="252"/>
      <c r="C383" s="252"/>
      <c r="D383" s="252"/>
      <c r="E383" s="252"/>
      <c r="F383" s="252"/>
      <c r="G383" s="252"/>
      <c r="H383" s="252"/>
      <c r="I383" s="252"/>
      <c r="J383" s="252"/>
    </row>
    <row r="384">
      <c r="A384" s="153"/>
      <c r="B384" s="252"/>
      <c r="C384" s="252"/>
      <c r="D384" s="252"/>
      <c r="E384" s="252"/>
      <c r="F384" s="252"/>
      <c r="G384" s="252"/>
      <c r="H384" s="252"/>
      <c r="I384" s="252"/>
      <c r="J384" s="252"/>
    </row>
    <row r="385">
      <c r="A385" s="155"/>
      <c r="B385" s="252"/>
      <c r="C385" s="252"/>
      <c r="D385" s="252"/>
      <c r="E385" s="252"/>
      <c r="F385" s="252"/>
      <c r="G385" s="252"/>
      <c r="H385" s="252"/>
      <c r="I385" s="252"/>
      <c r="J385" s="252"/>
    </row>
    <row r="386">
      <c r="A386" s="153"/>
      <c r="B386" s="252"/>
      <c r="C386" s="252"/>
      <c r="D386" s="252"/>
      <c r="E386" s="252"/>
      <c r="F386" s="252"/>
      <c r="G386" s="252"/>
      <c r="H386" s="252"/>
      <c r="I386" s="252"/>
      <c r="J386" s="252"/>
    </row>
    <row r="387">
      <c r="A387" s="155"/>
      <c r="B387" s="252"/>
      <c r="C387" s="252"/>
      <c r="D387" s="252"/>
      <c r="E387" s="252"/>
      <c r="F387" s="252"/>
      <c r="G387" s="252"/>
      <c r="H387" s="252"/>
      <c r="I387" s="252"/>
      <c r="J387" s="252"/>
    </row>
    <row r="388">
      <c r="A388" s="153"/>
      <c r="B388" s="252"/>
      <c r="C388" s="252"/>
      <c r="D388" s="252"/>
      <c r="E388" s="252"/>
      <c r="F388" s="252"/>
      <c r="G388" s="252"/>
      <c r="H388" s="252"/>
      <c r="I388" s="252"/>
      <c r="J388" s="252"/>
    </row>
    <row r="389">
      <c r="A389" s="155"/>
      <c r="B389" s="252"/>
      <c r="C389" s="252"/>
      <c r="D389" s="252"/>
      <c r="E389" s="252"/>
      <c r="F389" s="252"/>
      <c r="G389" s="252"/>
      <c r="H389" s="252"/>
      <c r="I389" s="252"/>
      <c r="J389" s="252"/>
    </row>
    <row r="390">
      <c r="A390" s="153"/>
      <c r="B390" s="252"/>
      <c r="C390" s="252"/>
      <c r="D390" s="252"/>
      <c r="E390" s="252"/>
      <c r="F390" s="252"/>
      <c r="G390" s="252"/>
      <c r="H390" s="252"/>
      <c r="I390" s="252"/>
      <c r="J390" s="252"/>
    </row>
    <row r="391">
      <c r="A391" s="155"/>
      <c r="B391" s="252"/>
      <c r="C391" s="252"/>
      <c r="D391" s="252"/>
      <c r="E391" s="252"/>
      <c r="F391" s="252"/>
      <c r="G391" s="252"/>
      <c r="H391" s="252"/>
      <c r="I391" s="252"/>
      <c r="J391" s="252"/>
    </row>
    <row r="392">
      <c r="A392" s="153"/>
      <c r="B392" s="252"/>
      <c r="C392" s="252"/>
      <c r="D392" s="252"/>
      <c r="E392" s="252"/>
      <c r="F392" s="252"/>
      <c r="G392" s="252"/>
      <c r="H392" s="252"/>
      <c r="I392" s="252"/>
      <c r="J392" s="252"/>
    </row>
    <row r="393">
      <c r="A393" s="155"/>
      <c r="B393" s="252"/>
      <c r="C393" s="252"/>
      <c r="D393" s="252"/>
      <c r="E393" s="252"/>
      <c r="F393" s="252"/>
      <c r="G393" s="252"/>
      <c r="H393" s="252"/>
      <c r="I393" s="252"/>
      <c r="J393" s="252"/>
    </row>
    <row r="394">
      <c r="A394" s="153"/>
      <c r="B394" s="252"/>
      <c r="C394" s="252"/>
      <c r="D394" s="252"/>
      <c r="E394" s="252"/>
      <c r="F394" s="252"/>
      <c r="G394" s="252"/>
      <c r="H394" s="252"/>
      <c r="I394" s="252"/>
      <c r="J394" s="252"/>
    </row>
    <row r="395">
      <c r="A395" s="155"/>
      <c r="B395" s="252"/>
      <c r="C395" s="252"/>
      <c r="D395" s="252"/>
      <c r="E395" s="252"/>
      <c r="F395" s="252"/>
      <c r="G395" s="252"/>
      <c r="H395" s="252"/>
      <c r="I395" s="252"/>
      <c r="J395" s="252"/>
    </row>
    <row r="396">
      <c r="A396" s="153"/>
      <c r="B396" s="252"/>
      <c r="C396" s="252"/>
      <c r="D396" s="252"/>
      <c r="E396" s="252"/>
      <c r="F396" s="252"/>
      <c r="G396" s="252"/>
      <c r="H396" s="252"/>
      <c r="I396" s="252"/>
      <c r="J396" s="252"/>
    </row>
    <row r="397">
      <c r="A397" s="155"/>
      <c r="B397" s="252"/>
      <c r="C397" s="252"/>
      <c r="D397" s="252"/>
      <c r="E397" s="252"/>
      <c r="F397" s="252"/>
      <c r="G397" s="252"/>
      <c r="H397" s="252"/>
      <c r="I397" s="252"/>
      <c r="J397" s="252"/>
    </row>
    <row r="398">
      <c r="A398" s="153"/>
      <c r="B398" s="252"/>
      <c r="C398" s="252"/>
      <c r="D398" s="252"/>
      <c r="E398" s="252"/>
      <c r="F398" s="252"/>
      <c r="G398" s="252"/>
      <c r="H398" s="252"/>
      <c r="I398" s="252"/>
      <c r="J398" s="252"/>
    </row>
    <row r="399">
      <c r="A399" s="155"/>
      <c r="B399" s="252"/>
      <c r="C399" s="252"/>
      <c r="D399" s="252"/>
      <c r="E399" s="252"/>
      <c r="F399" s="252"/>
      <c r="G399" s="252"/>
      <c r="H399" s="252"/>
      <c r="I399" s="252"/>
      <c r="J399" s="252"/>
    </row>
    <row r="400">
      <c r="A400" s="162"/>
      <c r="B400" s="252"/>
      <c r="C400" s="252"/>
      <c r="D400" s="252"/>
      <c r="E400" s="252"/>
      <c r="F400" s="252"/>
      <c r="G400" s="252"/>
      <c r="H400" s="252"/>
      <c r="I400" s="252"/>
      <c r="J400" s="252"/>
    </row>
    <row r="401">
      <c r="A401" s="150" t="str">
        <f t="array" ref="A401:A450">'Up Names'!I2:I51</f>
        <v>Flood</v>
      </c>
      <c r="B401" s="251" t="s">
        <v>2274</v>
      </c>
      <c r="C401" s="251" t="s">
        <v>2075</v>
      </c>
      <c r="D401" s="251" t="s">
        <v>2112</v>
      </c>
      <c r="E401" s="251" t="s">
        <v>2154</v>
      </c>
      <c r="F401" s="252"/>
      <c r="G401" s="252"/>
      <c r="H401" s="252"/>
      <c r="I401" s="252"/>
      <c r="J401" s="252"/>
    </row>
    <row r="402">
      <c r="A402" s="153" t="s">
        <v>158</v>
      </c>
      <c r="B402" s="253" t="s">
        <v>2145</v>
      </c>
      <c r="C402" s="253" t="s">
        <v>2108</v>
      </c>
      <c r="D402" s="253" t="s">
        <v>2151</v>
      </c>
      <c r="E402" s="252"/>
      <c r="F402" s="252"/>
      <c r="G402" s="252"/>
      <c r="H402" s="252"/>
      <c r="I402" s="252"/>
      <c r="J402" s="252"/>
    </row>
    <row r="403">
      <c r="A403" s="155" t="s">
        <v>178</v>
      </c>
      <c r="B403" s="251" t="s">
        <v>2083</v>
      </c>
      <c r="C403" s="251" t="s">
        <v>2090</v>
      </c>
      <c r="D403" s="252"/>
      <c r="E403" s="252"/>
      <c r="F403" s="252"/>
      <c r="G403" s="252"/>
      <c r="H403" s="252"/>
      <c r="I403" s="252"/>
      <c r="J403" s="252"/>
    </row>
    <row r="404">
      <c r="A404" s="153" t="s">
        <v>198</v>
      </c>
      <c r="B404" s="253" t="s">
        <v>2076</v>
      </c>
      <c r="C404" s="253" t="s">
        <v>2277</v>
      </c>
      <c r="D404" s="254" t="s">
        <v>2278</v>
      </c>
      <c r="E404" s="252"/>
      <c r="F404" s="252"/>
      <c r="G404" s="252"/>
      <c r="H404" s="252"/>
      <c r="I404" s="252"/>
      <c r="J404" s="252"/>
    </row>
    <row r="405">
      <c r="A405" s="155" t="s">
        <v>218</v>
      </c>
      <c r="B405" s="251" t="s">
        <v>2083</v>
      </c>
      <c r="C405" s="252"/>
      <c r="D405" s="252"/>
      <c r="E405" s="252"/>
      <c r="F405" s="252"/>
      <c r="G405" s="252"/>
      <c r="H405" s="252"/>
      <c r="I405" s="252"/>
      <c r="J405" s="252"/>
    </row>
    <row r="406">
      <c r="A406" s="153" t="s">
        <v>237</v>
      </c>
      <c r="B406" s="253" t="s">
        <v>2085</v>
      </c>
      <c r="C406" s="253" t="s">
        <v>12</v>
      </c>
      <c r="D406" s="253" t="s">
        <v>2068</v>
      </c>
      <c r="E406" s="253" t="s">
        <v>2108</v>
      </c>
      <c r="F406" s="253" t="s">
        <v>2075</v>
      </c>
      <c r="G406" s="252"/>
      <c r="H406" s="252"/>
      <c r="I406" s="252"/>
      <c r="J406" s="252"/>
    </row>
    <row r="407">
      <c r="A407" s="155" t="s">
        <v>257</v>
      </c>
      <c r="B407" s="251" t="s">
        <v>2214</v>
      </c>
      <c r="C407" s="252"/>
      <c r="D407" s="252"/>
      <c r="E407" s="252"/>
      <c r="F407" s="252"/>
      <c r="G407" s="252"/>
      <c r="H407" s="252"/>
      <c r="I407" s="252"/>
      <c r="J407" s="252"/>
    </row>
    <row r="408">
      <c r="A408" s="153" t="s">
        <v>277</v>
      </c>
      <c r="B408" s="253" t="s">
        <v>2084</v>
      </c>
      <c r="C408" s="253" t="s">
        <v>2280</v>
      </c>
      <c r="D408" s="252"/>
      <c r="E408" s="252"/>
      <c r="F408" s="252"/>
      <c r="G408" s="252"/>
      <c r="H408" s="252"/>
      <c r="I408" s="252"/>
      <c r="J408" s="252"/>
    </row>
    <row r="409">
      <c r="A409" s="155" t="s">
        <v>297</v>
      </c>
      <c r="B409" s="251" t="s">
        <v>2082</v>
      </c>
      <c r="C409" s="251" t="s">
        <v>2098</v>
      </c>
      <c r="D409" s="251" t="s">
        <v>2282</v>
      </c>
      <c r="E409" s="251" t="s">
        <v>2100</v>
      </c>
      <c r="F409" s="251" t="s">
        <v>2075</v>
      </c>
      <c r="G409" s="251" t="s">
        <v>2108</v>
      </c>
      <c r="H409" s="252"/>
      <c r="I409" s="252"/>
      <c r="J409" s="252"/>
    </row>
    <row r="410">
      <c r="A410" s="153" t="s">
        <v>317</v>
      </c>
      <c r="B410" s="253" t="s">
        <v>2064</v>
      </c>
      <c r="C410" s="252"/>
      <c r="D410" s="252"/>
      <c r="E410" s="252"/>
      <c r="F410" s="252"/>
      <c r="G410" s="252"/>
      <c r="H410" s="252"/>
      <c r="I410" s="252"/>
      <c r="J410" s="252"/>
    </row>
    <row r="411">
      <c r="A411" s="155" t="s">
        <v>337</v>
      </c>
      <c r="B411" s="251" t="s">
        <v>2075</v>
      </c>
      <c r="C411" s="251" t="s">
        <v>2280</v>
      </c>
      <c r="D411" s="252"/>
      <c r="E411" s="252"/>
      <c r="F411" s="252"/>
      <c r="G411" s="252"/>
      <c r="H411" s="252"/>
      <c r="I411" s="252"/>
      <c r="J411" s="252"/>
    </row>
    <row r="412">
      <c r="A412" s="153" t="s">
        <v>357</v>
      </c>
      <c r="B412" s="253" t="s">
        <v>2274</v>
      </c>
      <c r="C412" s="252"/>
      <c r="D412" s="252"/>
      <c r="E412" s="252"/>
      <c r="F412" s="252"/>
      <c r="G412" s="252"/>
      <c r="H412" s="252"/>
      <c r="I412" s="252"/>
      <c r="J412" s="252"/>
    </row>
    <row r="413">
      <c r="A413" s="155" t="s">
        <v>381</v>
      </c>
      <c r="B413" s="251" t="s">
        <v>2075</v>
      </c>
      <c r="C413" s="251" t="s">
        <v>2093</v>
      </c>
      <c r="D413" s="251" t="s">
        <v>2068</v>
      </c>
      <c r="E413" s="251" t="s">
        <v>2070</v>
      </c>
      <c r="F413" s="251" t="s">
        <v>2108</v>
      </c>
      <c r="G413" s="252"/>
      <c r="H413" s="252"/>
      <c r="I413" s="252"/>
      <c r="J413" s="252"/>
    </row>
    <row r="414">
      <c r="A414" s="153" t="s">
        <v>405</v>
      </c>
      <c r="B414" s="253" t="s">
        <v>2068</v>
      </c>
      <c r="C414" s="252"/>
      <c r="D414" s="252"/>
      <c r="E414" s="252"/>
      <c r="F414" s="252"/>
      <c r="G414" s="252"/>
      <c r="H414" s="252"/>
      <c r="I414" s="252"/>
      <c r="J414" s="252"/>
    </row>
    <row r="415">
      <c r="A415" s="155" t="s">
        <v>433</v>
      </c>
      <c r="B415" s="251" t="s">
        <v>2080</v>
      </c>
      <c r="C415" s="251" t="s">
        <v>2280</v>
      </c>
      <c r="D415" s="252"/>
      <c r="E415" s="252"/>
      <c r="F415" s="252"/>
      <c r="G415" s="252"/>
      <c r="H415" s="252"/>
      <c r="I415" s="252"/>
      <c r="J415" s="252"/>
    </row>
    <row r="416">
      <c r="A416" s="153" t="s">
        <v>462</v>
      </c>
      <c r="B416" s="253" t="s">
        <v>2093</v>
      </c>
      <c r="C416" s="253" t="s">
        <v>2077</v>
      </c>
      <c r="D416" s="253" t="s">
        <v>2078</v>
      </c>
      <c r="E416" s="252"/>
      <c r="F416" s="252"/>
      <c r="G416" s="252"/>
      <c r="H416" s="252"/>
      <c r="I416" s="252"/>
      <c r="J416" s="252"/>
    </row>
    <row r="417">
      <c r="A417" s="155" t="s">
        <v>491</v>
      </c>
      <c r="B417" s="251" t="s">
        <v>2227</v>
      </c>
      <c r="C417" s="251" t="s">
        <v>2068</v>
      </c>
      <c r="D417" s="252"/>
      <c r="E417" s="252"/>
      <c r="F417" s="252"/>
      <c r="G417" s="252"/>
      <c r="H417" s="252"/>
      <c r="I417" s="252"/>
      <c r="J417" s="252"/>
    </row>
    <row r="418">
      <c r="A418" s="153" t="s">
        <v>515</v>
      </c>
      <c r="B418" s="253" t="s">
        <v>2102</v>
      </c>
      <c r="C418" s="252"/>
      <c r="D418" s="252"/>
      <c r="E418" s="252"/>
      <c r="F418" s="252"/>
      <c r="G418" s="252"/>
      <c r="H418" s="252"/>
      <c r="I418" s="252"/>
      <c r="J418" s="252"/>
    </row>
    <row r="419">
      <c r="A419" s="155" t="s">
        <v>535</v>
      </c>
      <c r="B419" s="251" t="s">
        <v>2112</v>
      </c>
      <c r="C419" s="251" t="s">
        <v>2280</v>
      </c>
      <c r="D419" s="252"/>
      <c r="E419" s="252"/>
      <c r="F419" s="252"/>
      <c r="G419" s="252"/>
      <c r="H419" s="252"/>
      <c r="I419" s="252"/>
      <c r="J419" s="252"/>
    </row>
    <row r="420">
      <c r="A420" s="153" t="s">
        <v>554</v>
      </c>
      <c r="B420" s="253" t="s">
        <v>2091</v>
      </c>
      <c r="C420" s="253" t="s">
        <v>2085</v>
      </c>
      <c r="D420" s="252"/>
      <c r="E420" s="252"/>
      <c r="F420" s="252"/>
      <c r="G420" s="252"/>
      <c r="H420" s="252"/>
      <c r="I420" s="252"/>
      <c r="J420" s="252"/>
    </row>
    <row r="421">
      <c r="A421" s="155" t="s">
        <v>578</v>
      </c>
      <c r="B421" s="251" t="s">
        <v>2101</v>
      </c>
      <c r="C421" s="251" t="s">
        <v>2108</v>
      </c>
      <c r="D421" s="251" t="s">
        <v>2080</v>
      </c>
      <c r="E421" s="252"/>
      <c r="F421" s="252"/>
      <c r="G421" s="252"/>
      <c r="H421" s="252"/>
      <c r="I421" s="252"/>
      <c r="J421" s="252"/>
    </row>
    <row r="422">
      <c r="A422" s="153" t="s">
        <v>602</v>
      </c>
      <c r="B422" s="253" t="s">
        <v>2151</v>
      </c>
      <c r="C422" s="252"/>
      <c r="D422" s="252"/>
      <c r="E422" s="252"/>
      <c r="F422" s="252"/>
      <c r="G422" s="252"/>
      <c r="H422" s="252"/>
      <c r="I422" s="252"/>
      <c r="J422" s="252"/>
    </row>
    <row r="423">
      <c r="A423" s="155" t="s">
        <v>623</v>
      </c>
      <c r="B423" s="251" t="s">
        <v>2280</v>
      </c>
      <c r="C423" s="252"/>
      <c r="D423" s="252"/>
      <c r="E423" s="252"/>
      <c r="F423" s="252"/>
      <c r="G423" s="252"/>
      <c r="H423" s="252"/>
      <c r="I423" s="252"/>
      <c r="J423" s="252"/>
    </row>
    <row r="424">
      <c r="A424" s="153" t="s">
        <v>648</v>
      </c>
      <c r="B424" s="253" t="s">
        <v>2154</v>
      </c>
      <c r="C424" s="253" t="s">
        <v>2280</v>
      </c>
      <c r="D424" s="252"/>
      <c r="E424" s="252"/>
      <c r="F424" s="252"/>
      <c r="G424" s="252"/>
      <c r="H424" s="252"/>
      <c r="I424" s="252"/>
      <c r="J424" s="252"/>
    </row>
    <row r="425">
      <c r="A425" s="155" t="s">
        <v>665</v>
      </c>
      <c r="B425" s="251" t="s">
        <v>2101</v>
      </c>
      <c r="C425" s="251" t="s">
        <v>2280</v>
      </c>
      <c r="D425" s="252"/>
      <c r="E425" s="252"/>
      <c r="F425" s="252"/>
      <c r="G425" s="252"/>
      <c r="H425" s="252"/>
      <c r="I425" s="252"/>
      <c r="J425" s="252"/>
    </row>
    <row r="426">
      <c r="A426" s="153" t="s">
        <v>503</v>
      </c>
      <c r="B426" s="252"/>
      <c r="C426" s="252"/>
      <c r="D426" s="252"/>
      <c r="E426" s="252"/>
      <c r="F426" s="252"/>
      <c r="G426" s="252"/>
      <c r="H426" s="252"/>
      <c r="I426" s="252"/>
      <c r="J426" s="252"/>
    </row>
    <row r="427">
      <c r="A427" s="155" t="s">
        <v>511</v>
      </c>
      <c r="B427" s="252"/>
      <c r="C427" s="252"/>
      <c r="D427" s="252"/>
      <c r="E427" s="252"/>
      <c r="F427" s="252"/>
      <c r="G427" s="252"/>
      <c r="H427" s="252"/>
      <c r="I427" s="252"/>
      <c r="J427" s="252"/>
    </row>
    <row r="428">
      <c r="A428" s="153" t="s">
        <v>516</v>
      </c>
      <c r="B428" s="252"/>
      <c r="C428" s="252"/>
      <c r="D428" s="252"/>
      <c r="E428" s="252"/>
      <c r="F428" s="252"/>
      <c r="G428" s="252"/>
      <c r="H428" s="252"/>
      <c r="I428" s="252"/>
      <c r="J428" s="252"/>
    </row>
    <row r="429">
      <c r="A429" s="155"/>
      <c r="B429" s="252"/>
      <c r="C429" s="252"/>
      <c r="D429" s="252"/>
      <c r="E429" s="252"/>
      <c r="F429" s="252"/>
      <c r="G429" s="252"/>
      <c r="H429" s="252"/>
      <c r="I429" s="252"/>
      <c r="J429" s="252"/>
    </row>
    <row r="430">
      <c r="A430" s="153"/>
      <c r="B430" s="252"/>
      <c r="C430" s="252"/>
      <c r="D430" s="252"/>
      <c r="E430" s="252"/>
      <c r="F430" s="252"/>
      <c r="G430" s="252"/>
      <c r="H430" s="252"/>
      <c r="I430" s="252"/>
      <c r="J430" s="252"/>
    </row>
    <row r="431">
      <c r="A431" s="155"/>
      <c r="B431" s="252"/>
      <c r="C431" s="252"/>
      <c r="D431" s="252"/>
      <c r="E431" s="252"/>
      <c r="F431" s="252"/>
      <c r="G431" s="252"/>
      <c r="H431" s="252"/>
      <c r="I431" s="252"/>
      <c r="J431" s="252"/>
    </row>
    <row r="432">
      <c r="A432" s="153"/>
      <c r="B432" s="252"/>
      <c r="C432" s="252"/>
      <c r="D432" s="252"/>
      <c r="E432" s="252"/>
      <c r="F432" s="252"/>
      <c r="G432" s="252"/>
      <c r="H432" s="252"/>
      <c r="I432" s="252"/>
      <c r="J432" s="252"/>
    </row>
    <row r="433">
      <c r="A433" s="155"/>
      <c r="B433" s="252"/>
      <c r="C433" s="252"/>
      <c r="D433" s="252"/>
      <c r="E433" s="252"/>
      <c r="F433" s="252"/>
      <c r="G433" s="252"/>
      <c r="H433" s="252"/>
      <c r="I433" s="252"/>
      <c r="J433" s="252"/>
    </row>
    <row r="434">
      <c r="A434" s="153"/>
      <c r="B434" s="252"/>
      <c r="C434" s="252"/>
      <c r="D434" s="252"/>
      <c r="E434" s="252"/>
      <c r="F434" s="252"/>
      <c r="G434" s="252"/>
      <c r="H434" s="252"/>
      <c r="I434" s="252"/>
      <c r="J434" s="252"/>
    </row>
    <row r="435">
      <c r="A435" s="155"/>
      <c r="B435" s="252"/>
      <c r="C435" s="252"/>
      <c r="D435" s="252"/>
      <c r="E435" s="252"/>
      <c r="F435" s="252"/>
      <c r="G435" s="252"/>
      <c r="H435" s="252"/>
      <c r="I435" s="252"/>
      <c r="J435" s="252"/>
    </row>
    <row r="436">
      <c r="A436" s="153"/>
      <c r="B436" s="252"/>
      <c r="C436" s="252"/>
      <c r="D436" s="252"/>
      <c r="E436" s="252"/>
      <c r="F436" s="252"/>
      <c r="G436" s="252"/>
      <c r="H436" s="252"/>
      <c r="I436" s="252"/>
      <c r="J436" s="252"/>
    </row>
    <row r="437">
      <c r="A437" s="155"/>
      <c r="B437" s="252"/>
      <c r="C437" s="252"/>
      <c r="D437" s="252"/>
      <c r="E437" s="252"/>
      <c r="F437" s="252"/>
      <c r="G437" s="252"/>
      <c r="H437" s="252"/>
      <c r="I437" s="252"/>
      <c r="J437" s="252"/>
    </row>
    <row r="438">
      <c r="A438" s="153"/>
      <c r="B438" s="252"/>
      <c r="C438" s="252"/>
      <c r="D438" s="252"/>
      <c r="E438" s="252"/>
      <c r="F438" s="252"/>
      <c r="G438" s="252"/>
      <c r="H438" s="252"/>
      <c r="I438" s="252"/>
      <c r="J438" s="252"/>
    </row>
    <row r="439">
      <c r="A439" s="155"/>
      <c r="B439" s="252"/>
      <c r="C439" s="252"/>
      <c r="D439" s="252"/>
      <c r="E439" s="252"/>
      <c r="F439" s="252"/>
      <c r="G439" s="252"/>
      <c r="H439" s="252"/>
      <c r="I439" s="252"/>
      <c r="J439" s="252"/>
    </row>
    <row r="440">
      <c r="A440" s="153"/>
      <c r="B440" s="252"/>
      <c r="C440" s="252"/>
      <c r="D440" s="252"/>
      <c r="E440" s="252"/>
      <c r="F440" s="252"/>
      <c r="G440" s="252"/>
      <c r="H440" s="252"/>
      <c r="I440" s="252"/>
      <c r="J440" s="252"/>
    </row>
    <row r="441">
      <c r="A441" s="155"/>
      <c r="B441" s="252"/>
      <c r="C441" s="252"/>
      <c r="D441" s="252"/>
      <c r="E441" s="252"/>
      <c r="F441" s="252"/>
      <c r="G441" s="252"/>
      <c r="H441" s="252"/>
      <c r="I441" s="252"/>
      <c r="J441" s="252"/>
    </row>
    <row r="442">
      <c r="A442" s="153"/>
      <c r="B442" s="252"/>
      <c r="C442" s="252"/>
      <c r="D442" s="252"/>
      <c r="E442" s="252"/>
      <c r="F442" s="252"/>
      <c r="G442" s="252"/>
      <c r="H442" s="252"/>
      <c r="I442" s="252"/>
      <c r="J442" s="252"/>
    </row>
    <row r="443">
      <c r="A443" s="155"/>
      <c r="B443" s="252"/>
      <c r="C443" s="252"/>
      <c r="D443" s="252"/>
      <c r="E443" s="252"/>
      <c r="F443" s="252"/>
      <c r="G443" s="252"/>
      <c r="H443" s="252"/>
      <c r="I443" s="252"/>
      <c r="J443" s="252"/>
    </row>
    <row r="444">
      <c r="A444" s="153"/>
      <c r="B444" s="252"/>
      <c r="C444" s="252"/>
      <c r="D444" s="252"/>
      <c r="E444" s="252"/>
      <c r="F444" s="252"/>
      <c r="G444" s="252"/>
      <c r="H444" s="252"/>
      <c r="I444" s="252"/>
      <c r="J444" s="252"/>
    </row>
    <row r="445">
      <c r="A445" s="155"/>
      <c r="B445" s="252"/>
      <c r="C445" s="252"/>
      <c r="D445" s="252"/>
      <c r="E445" s="252"/>
      <c r="F445" s="252"/>
      <c r="G445" s="252"/>
      <c r="H445" s="252"/>
      <c r="I445" s="252"/>
      <c r="J445" s="252"/>
    </row>
    <row r="446">
      <c r="A446" s="153"/>
      <c r="B446" s="252"/>
      <c r="C446" s="252"/>
      <c r="D446" s="252"/>
      <c r="E446" s="252"/>
      <c r="F446" s="252"/>
      <c r="G446" s="252"/>
      <c r="H446" s="252"/>
      <c r="I446" s="252"/>
      <c r="J446" s="252"/>
    </row>
    <row r="447">
      <c r="A447" s="155"/>
      <c r="B447" s="252"/>
      <c r="C447" s="252"/>
      <c r="D447" s="252"/>
      <c r="E447" s="252"/>
      <c r="F447" s="252"/>
      <c r="G447" s="252"/>
      <c r="H447" s="252"/>
      <c r="I447" s="252"/>
      <c r="J447" s="252"/>
    </row>
    <row r="448">
      <c r="A448" s="153"/>
      <c r="B448" s="252"/>
      <c r="C448" s="252"/>
      <c r="D448" s="252"/>
      <c r="E448" s="252"/>
      <c r="F448" s="252"/>
      <c r="G448" s="252"/>
      <c r="H448" s="252"/>
      <c r="I448" s="252"/>
      <c r="J448" s="252"/>
    </row>
    <row r="449">
      <c r="A449" s="155"/>
      <c r="B449" s="252"/>
      <c r="C449" s="252"/>
      <c r="D449" s="252"/>
      <c r="E449" s="252"/>
      <c r="F449" s="252"/>
      <c r="G449" s="252"/>
      <c r="H449" s="252"/>
      <c r="I449" s="252"/>
      <c r="J449" s="252"/>
    </row>
    <row r="450">
      <c r="A450" s="162"/>
      <c r="B450" s="252"/>
      <c r="C450" s="252"/>
      <c r="D450" s="252"/>
      <c r="E450" s="252"/>
      <c r="F450" s="252"/>
      <c r="G450" s="252"/>
      <c r="H450" s="252"/>
      <c r="I450" s="252"/>
      <c r="J450" s="252"/>
    </row>
    <row r="451">
      <c r="A451" s="150" t="str">
        <f t="array" ref="A451:A500">'Up Names'!J2:J51</f>
        <v>Deflector</v>
      </c>
      <c r="B451" s="251" t="s">
        <v>12</v>
      </c>
      <c r="C451" s="254" t="s">
        <v>2091</v>
      </c>
      <c r="D451" s="252"/>
      <c r="E451" s="252"/>
      <c r="F451" s="252"/>
      <c r="G451" s="252"/>
      <c r="H451" s="252"/>
      <c r="I451" s="252"/>
      <c r="J451" s="252"/>
    </row>
    <row r="452">
      <c r="A452" s="153" t="s">
        <v>159</v>
      </c>
      <c r="B452" s="253" t="s">
        <v>2074</v>
      </c>
      <c r="C452" s="253" t="s">
        <v>2064</v>
      </c>
      <c r="D452" s="252"/>
      <c r="E452" s="252"/>
      <c r="F452" s="252"/>
      <c r="G452" s="252"/>
      <c r="H452" s="252"/>
      <c r="I452" s="252"/>
      <c r="J452" s="252"/>
    </row>
    <row r="453">
      <c r="A453" s="155" t="s">
        <v>179</v>
      </c>
      <c r="B453" s="251" t="s">
        <v>2197</v>
      </c>
      <c r="C453" s="251" t="s">
        <v>2298</v>
      </c>
      <c r="D453" s="251" t="s">
        <v>2164</v>
      </c>
      <c r="E453" s="252"/>
      <c r="F453" s="252"/>
      <c r="G453" s="252"/>
      <c r="H453" s="252"/>
      <c r="I453" s="252"/>
      <c r="J453" s="252"/>
    </row>
    <row r="454">
      <c r="A454" s="153" t="s">
        <v>199</v>
      </c>
      <c r="B454" s="253" t="s">
        <v>2116</v>
      </c>
      <c r="C454" s="253" t="s">
        <v>2097</v>
      </c>
      <c r="D454" s="252"/>
      <c r="E454" s="252"/>
      <c r="F454" s="252"/>
      <c r="G454" s="252"/>
      <c r="H454" s="252"/>
      <c r="I454" s="252"/>
      <c r="J454" s="252"/>
    </row>
    <row r="455">
      <c r="A455" s="155" t="s">
        <v>219</v>
      </c>
      <c r="B455" s="251" t="s">
        <v>12</v>
      </c>
      <c r="C455" s="251" t="s">
        <v>2084</v>
      </c>
      <c r="D455" s="254" t="s">
        <v>2091</v>
      </c>
      <c r="E455" s="252"/>
      <c r="F455" s="252"/>
      <c r="G455" s="252"/>
      <c r="H455" s="252"/>
      <c r="I455" s="252"/>
      <c r="J455" s="252"/>
    </row>
    <row r="456">
      <c r="A456" s="153" t="s">
        <v>238</v>
      </c>
      <c r="B456" s="253" t="s">
        <v>2300</v>
      </c>
      <c r="C456" s="252"/>
      <c r="D456" s="252"/>
      <c r="E456" s="252"/>
      <c r="F456" s="252"/>
      <c r="G456" s="252"/>
      <c r="H456" s="252"/>
      <c r="I456" s="252"/>
      <c r="J456" s="252"/>
    </row>
    <row r="457">
      <c r="A457" s="155" t="s">
        <v>258</v>
      </c>
      <c r="B457" s="251" t="s">
        <v>2116</v>
      </c>
      <c r="C457" s="252"/>
      <c r="D457" s="252"/>
      <c r="E457" s="252"/>
      <c r="F457" s="252"/>
      <c r="G457" s="252"/>
      <c r="H457" s="252"/>
      <c r="I457" s="252"/>
      <c r="J457" s="252"/>
    </row>
    <row r="458">
      <c r="A458" s="153" t="s">
        <v>278</v>
      </c>
      <c r="B458" s="253" t="s">
        <v>2079</v>
      </c>
      <c r="C458" s="252"/>
      <c r="D458" s="252"/>
      <c r="E458" s="252"/>
      <c r="F458" s="252"/>
      <c r="G458" s="252"/>
      <c r="H458" s="252"/>
      <c r="I458" s="252"/>
      <c r="J458" s="252"/>
    </row>
    <row r="459">
      <c r="A459" s="155" t="s">
        <v>298</v>
      </c>
      <c r="B459" s="251" t="s">
        <v>2070</v>
      </c>
      <c r="C459" s="251" t="s">
        <v>2303</v>
      </c>
      <c r="D459" s="252"/>
      <c r="E459" s="252"/>
      <c r="F459" s="252"/>
      <c r="G459" s="252"/>
      <c r="H459" s="252"/>
      <c r="I459" s="252"/>
      <c r="J459" s="252"/>
    </row>
    <row r="460">
      <c r="A460" s="153" t="s">
        <v>318</v>
      </c>
      <c r="B460" s="253" t="s">
        <v>2149</v>
      </c>
      <c r="C460" s="253" t="s">
        <v>2120</v>
      </c>
      <c r="D460" s="253" t="s">
        <v>2214</v>
      </c>
      <c r="E460" s="252"/>
      <c r="F460" s="252"/>
      <c r="G460" s="252"/>
      <c r="H460" s="252"/>
      <c r="I460" s="252"/>
      <c r="J460" s="252"/>
    </row>
    <row r="461">
      <c r="A461" s="155" t="s">
        <v>338</v>
      </c>
      <c r="B461" s="252"/>
      <c r="C461" s="252"/>
      <c r="D461" s="252"/>
      <c r="E461" s="252"/>
      <c r="F461" s="252"/>
      <c r="G461" s="252"/>
      <c r="H461" s="252"/>
      <c r="I461" s="252"/>
      <c r="J461" s="252"/>
    </row>
    <row r="462">
      <c r="A462" s="153" t="s">
        <v>358</v>
      </c>
      <c r="B462" s="253" t="s">
        <v>2075</v>
      </c>
      <c r="C462" s="253" t="s">
        <v>2085</v>
      </c>
      <c r="D462" s="252"/>
      <c r="E462" s="252"/>
      <c r="F462" s="252"/>
      <c r="G462" s="252"/>
      <c r="H462" s="252"/>
      <c r="I462" s="252"/>
      <c r="J462" s="252"/>
    </row>
    <row r="463">
      <c r="A463" s="155" t="s">
        <v>382</v>
      </c>
      <c r="B463" s="251" t="s">
        <v>2172</v>
      </c>
      <c r="C463" s="251" t="s">
        <v>2305</v>
      </c>
      <c r="D463" s="252"/>
      <c r="E463" s="252"/>
      <c r="F463" s="252"/>
      <c r="G463" s="252"/>
      <c r="H463" s="252"/>
      <c r="I463" s="252"/>
      <c r="J463" s="252"/>
    </row>
    <row r="464">
      <c r="A464" s="153" t="s">
        <v>407</v>
      </c>
      <c r="B464" s="253" t="s">
        <v>2091</v>
      </c>
      <c r="C464" s="252"/>
      <c r="D464" s="252"/>
      <c r="E464" s="252"/>
      <c r="F464" s="252"/>
      <c r="G464" s="252"/>
      <c r="H464" s="252"/>
      <c r="I464" s="252"/>
      <c r="J464" s="252"/>
    </row>
    <row r="465">
      <c r="A465" s="155" t="s">
        <v>434</v>
      </c>
      <c r="B465" s="251" t="s">
        <v>2068</v>
      </c>
      <c r="C465" s="252"/>
      <c r="D465" s="252"/>
      <c r="E465" s="252"/>
      <c r="F465" s="252"/>
      <c r="G465" s="252"/>
      <c r="H465" s="252"/>
      <c r="I465" s="252"/>
      <c r="J465" s="252"/>
    </row>
    <row r="466">
      <c r="A466" s="153" t="s">
        <v>463</v>
      </c>
      <c r="B466" s="253" t="s">
        <v>2097</v>
      </c>
      <c r="C466" s="253" t="s">
        <v>2085</v>
      </c>
      <c r="D466" s="252"/>
      <c r="E466" s="252"/>
      <c r="F466" s="252"/>
      <c r="G466" s="252"/>
      <c r="H466" s="252"/>
      <c r="I466" s="252"/>
      <c r="J466" s="252"/>
    </row>
    <row r="467">
      <c r="A467" s="155" t="s">
        <v>493</v>
      </c>
      <c r="B467" s="251" t="s">
        <v>2101</v>
      </c>
      <c r="C467" s="251" t="s">
        <v>2154</v>
      </c>
      <c r="D467" s="251" t="s">
        <v>2083</v>
      </c>
      <c r="E467" s="252"/>
      <c r="F467" s="252"/>
      <c r="G467" s="252"/>
      <c r="H467" s="252"/>
      <c r="I467" s="252"/>
      <c r="J467" s="252"/>
    </row>
    <row r="468">
      <c r="A468" s="153" t="s">
        <v>517</v>
      </c>
      <c r="B468" s="253" t="s">
        <v>2065</v>
      </c>
      <c r="C468" s="252"/>
      <c r="D468" s="252"/>
      <c r="E468" s="252"/>
      <c r="F468" s="252"/>
      <c r="G468" s="252"/>
      <c r="H468" s="252"/>
      <c r="I468" s="252"/>
      <c r="J468" s="252"/>
    </row>
    <row r="469">
      <c r="A469" s="155" t="s">
        <v>536</v>
      </c>
      <c r="B469" s="251" t="s">
        <v>2206</v>
      </c>
      <c r="C469" s="251" t="s">
        <v>2084</v>
      </c>
      <c r="D469" s="252"/>
      <c r="E469" s="252"/>
      <c r="F469" s="252"/>
      <c r="G469" s="252"/>
      <c r="H469" s="252"/>
      <c r="I469" s="252"/>
      <c r="J469" s="252"/>
    </row>
    <row r="470">
      <c r="A470" s="153" t="s">
        <v>555</v>
      </c>
      <c r="B470" s="253" t="s">
        <v>12</v>
      </c>
      <c r="C470" s="252"/>
      <c r="D470" s="252"/>
      <c r="E470" s="252"/>
      <c r="F470" s="252"/>
      <c r="G470" s="252"/>
      <c r="H470" s="252"/>
      <c r="I470" s="252"/>
      <c r="J470" s="252"/>
    </row>
    <row r="471">
      <c r="A471" s="155" t="s">
        <v>579</v>
      </c>
      <c r="B471" s="251" t="s">
        <v>2101</v>
      </c>
      <c r="C471" s="252"/>
      <c r="D471" s="252"/>
      <c r="E471" s="252"/>
      <c r="F471" s="252"/>
      <c r="G471" s="252"/>
      <c r="H471" s="252"/>
      <c r="I471" s="252"/>
      <c r="J471" s="252"/>
    </row>
    <row r="472">
      <c r="A472" s="153" t="s">
        <v>603</v>
      </c>
      <c r="B472" s="253" t="s">
        <v>2097</v>
      </c>
      <c r="C472" s="252"/>
      <c r="D472" s="252"/>
      <c r="E472" s="252"/>
      <c r="F472" s="252"/>
      <c r="G472" s="252"/>
      <c r="H472" s="252"/>
      <c r="I472" s="252"/>
      <c r="J472" s="252"/>
    </row>
    <row r="473">
      <c r="A473" s="155" t="s">
        <v>624</v>
      </c>
      <c r="B473" s="251" t="s">
        <v>2309</v>
      </c>
      <c r="C473" s="252"/>
      <c r="D473" s="252"/>
      <c r="E473" s="252"/>
      <c r="F473" s="252"/>
      <c r="G473" s="252"/>
      <c r="H473" s="252"/>
      <c r="I473" s="252"/>
      <c r="J473" s="252"/>
    </row>
    <row r="474">
      <c r="A474" s="153" t="s">
        <v>649</v>
      </c>
      <c r="B474" s="253" t="s">
        <v>2311</v>
      </c>
      <c r="C474" s="252"/>
      <c r="D474" s="252"/>
      <c r="E474" s="252"/>
      <c r="F474" s="252"/>
      <c r="G474" s="252"/>
      <c r="H474" s="252"/>
      <c r="I474" s="252"/>
      <c r="J474" s="252"/>
    </row>
    <row r="475">
      <c r="A475" s="155" t="s">
        <v>666</v>
      </c>
      <c r="B475" s="251" t="s">
        <v>2154</v>
      </c>
      <c r="C475" s="252"/>
      <c r="D475" s="252"/>
      <c r="E475" s="252"/>
      <c r="F475" s="252"/>
      <c r="G475" s="252"/>
      <c r="H475" s="252"/>
      <c r="I475" s="252"/>
      <c r="J475" s="252"/>
    </row>
    <row r="476">
      <c r="A476" s="153" t="s">
        <v>680</v>
      </c>
      <c r="B476" s="254" t="s">
        <v>2206</v>
      </c>
      <c r="C476" s="254" t="s">
        <v>2068</v>
      </c>
      <c r="D476" s="252"/>
      <c r="E476" s="252"/>
      <c r="F476" s="252"/>
      <c r="G476" s="252"/>
      <c r="H476" s="252"/>
      <c r="I476" s="252"/>
      <c r="J476" s="252"/>
    </row>
    <row r="477">
      <c r="A477" s="155" t="s">
        <v>694</v>
      </c>
      <c r="B477" s="254" t="s">
        <v>2068</v>
      </c>
      <c r="C477" s="254" t="s">
        <v>12</v>
      </c>
      <c r="D477" s="252"/>
      <c r="E477" s="252"/>
      <c r="F477" s="252"/>
      <c r="G477" s="252"/>
      <c r="H477" s="252"/>
      <c r="I477" s="252"/>
      <c r="J477" s="252"/>
    </row>
    <row r="478">
      <c r="A478" s="153" t="s">
        <v>503</v>
      </c>
      <c r="B478" s="252"/>
      <c r="C478" s="252"/>
      <c r="D478" s="252"/>
      <c r="E478" s="252"/>
      <c r="F478" s="252"/>
      <c r="G478" s="252"/>
      <c r="H478" s="252"/>
      <c r="I478" s="252"/>
      <c r="J478" s="252"/>
    </row>
    <row r="479">
      <c r="A479" s="155" t="s">
        <v>511</v>
      </c>
      <c r="B479" s="252"/>
      <c r="C479" s="252"/>
      <c r="D479" s="252"/>
      <c r="E479" s="252"/>
      <c r="F479" s="252"/>
      <c r="G479" s="252"/>
      <c r="H479" s="252"/>
      <c r="I479" s="252"/>
      <c r="J479" s="252"/>
    </row>
    <row r="480">
      <c r="A480" s="153" t="s">
        <v>516</v>
      </c>
      <c r="B480" s="252"/>
      <c r="C480" s="252"/>
      <c r="D480" s="252"/>
      <c r="E480" s="252"/>
      <c r="F480" s="252"/>
      <c r="G480" s="252"/>
      <c r="H480" s="252"/>
      <c r="I480" s="252"/>
      <c r="J480" s="252"/>
    </row>
    <row r="481">
      <c r="A481" s="155"/>
      <c r="B481" s="252"/>
      <c r="C481" s="252"/>
      <c r="D481" s="252"/>
      <c r="E481" s="252"/>
      <c r="F481" s="252"/>
      <c r="G481" s="252"/>
      <c r="H481" s="252"/>
      <c r="I481" s="252"/>
      <c r="J481" s="252"/>
    </row>
    <row r="482">
      <c r="A482" s="153"/>
      <c r="B482" s="252"/>
      <c r="C482" s="252"/>
      <c r="D482" s="252"/>
      <c r="E482" s="252"/>
      <c r="F482" s="252"/>
      <c r="G482" s="252"/>
      <c r="H482" s="252"/>
      <c r="I482" s="252"/>
      <c r="J482" s="252"/>
    </row>
    <row r="483">
      <c r="A483" s="155"/>
      <c r="B483" s="252"/>
      <c r="C483" s="252"/>
      <c r="D483" s="252"/>
      <c r="E483" s="252"/>
      <c r="F483" s="252"/>
      <c r="G483" s="252"/>
      <c r="H483" s="252"/>
      <c r="I483" s="252"/>
      <c r="J483" s="252"/>
    </row>
    <row r="484">
      <c r="A484" s="153"/>
      <c r="B484" s="252"/>
      <c r="C484" s="252"/>
      <c r="D484" s="252"/>
      <c r="E484" s="252"/>
      <c r="F484" s="252"/>
      <c r="G484" s="252"/>
      <c r="H484" s="252"/>
      <c r="I484" s="252"/>
      <c r="J484" s="252"/>
    </row>
    <row r="485">
      <c r="A485" s="155"/>
      <c r="B485" s="252"/>
      <c r="C485" s="252"/>
      <c r="D485" s="252"/>
      <c r="E485" s="252"/>
      <c r="F485" s="252"/>
      <c r="G485" s="252"/>
      <c r="H485" s="252"/>
      <c r="I485" s="252"/>
      <c r="J485" s="252"/>
    </row>
    <row r="486">
      <c r="A486" s="153"/>
      <c r="B486" s="252"/>
      <c r="C486" s="252"/>
      <c r="D486" s="252"/>
      <c r="E486" s="252"/>
      <c r="F486" s="252"/>
      <c r="G486" s="252"/>
      <c r="H486" s="252"/>
      <c r="I486" s="252"/>
      <c r="J486" s="252"/>
    </row>
    <row r="487">
      <c r="A487" s="155"/>
      <c r="B487" s="252"/>
      <c r="C487" s="252"/>
      <c r="D487" s="252"/>
      <c r="E487" s="252"/>
      <c r="F487" s="252"/>
      <c r="G487" s="252"/>
      <c r="H487" s="252"/>
      <c r="I487" s="252"/>
      <c r="J487" s="252"/>
    </row>
    <row r="488">
      <c r="A488" s="153"/>
      <c r="B488" s="252"/>
      <c r="C488" s="252"/>
      <c r="D488" s="252"/>
      <c r="E488" s="252"/>
      <c r="F488" s="252"/>
      <c r="G488" s="252"/>
      <c r="H488" s="252"/>
      <c r="I488" s="252"/>
      <c r="J488" s="252"/>
    </row>
    <row r="489">
      <c r="A489" s="155"/>
      <c r="B489" s="252"/>
      <c r="C489" s="252"/>
      <c r="D489" s="252"/>
      <c r="E489" s="252"/>
      <c r="F489" s="252"/>
      <c r="G489" s="252"/>
      <c r="H489" s="252"/>
      <c r="I489" s="252"/>
      <c r="J489" s="252"/>
    </row>
    <row r="490">
      <c r="A490" s="153"/>
      <c r="B490" s="252"/>
      <c r="C490" s="252"/>
      <c r="D490" s="252"/>
      <c r="E490" s="252"/>
      <c r="F490" s="252"/>
      <c r="G490" s="252"/>
      <c r="H490" s="252"/>
      <c r="I490" s="252"/>
      <c r="J490" s="252"/>
    </row>
    <row r="491">
      <c r="A491" s="155"/>
      <c r="B491" s="252"/>
      <c r="C491" s="252"/>
      <c r="D491" s="252"/>
      <c r="E491" s="252"/>
      <c r="F491" s="252"/>
      <c r="G491" s="252"/>
      <c r="H491" s="252"/>
      <c r="I491" s="252"/>
      <c r="J491" s="252"/>
    </row>
    <row r="492">
      <c r="A492" s="153"/>
      <c r="B492" s="252"/>
      <c r="C492" s="252"/>
      <c r="D492" s="252"/>
      <c r="E492" s="252"/>
      <c r="F492" s="252"/>
      <c r="G492" s="252"/>
      <c r="H492" s="252"/>
      <c r="I492" s="252"/>
      <c r="J492" s="252"/>
    </row>
    <row r="493">
      <c r="A493" s="155"/>
      <c r="B493" s="252"/>
      <c r="C493" s="252"/>
      <c r="D493" s="252"/>
      <c r="E493" s="252"/>
      <c r="F493" s="252"/>
      <c r="G493" s="252"/>
      <c r="H493" s="252"/>
      <c r="I493" s="252"/>
      <c r="J493" s="252"/>
    </row>
    <row r="494">
      <c r="A494" s="153"/>
      <c r="B494" s="252"/>
      <c r="C494" s="252"/>
      <c r="D494" s="252"/>
      <c r="E494" s="252"/>
      <c r="F494" s="252"/>
      <c r="G494" s="252"/>
      <c r="H494" s="252"/>
      <c r="I494" s="252"/>
      <c r="J494" s="252"/>
    </row>
    <row r="495">
      <c r="A495" s="155"/>
      <c r="B495" s="252"/>
      <c r="C495" s="252"/>
      <c r="D495" s="252"/>
      <c r="E495" s="252"/>
      <c r="F495" s="252"/>
      <c r="G495" s="252"/>
      <c r="H495" s="252"/>
      <c r="I495" s="252"/>
      <c r="J495" s="252"/>
    </row>
    <row r="496">
      <c r="A496" s="153"/>
      <c r="B496" s="252"/>
      <c r="C496" s="252"/>
      <c r="D496" s="252"/>
      <c r="E496" s="252"/>
      <c r="F496" s="252"/>
      <c r="G496" s="252"/>
      <c r="H496" s="252"/>
      <c r="I496" s="252"/>
      <c r="J496" s="252"/>
    </row>
    <row r="497">
      <c r="A497" s="155"/>
      <c r="B497" s="252"/>
      <c r="C497" s="252"/>
      <c r="D497" s="252"/>
      <c r="E497" s="252"/>
      <c r="F497" s="252"/>
      <c r="G497" s="252"/>
      <c r="H497" s="252"/>
      <c r="I497" s="252"/>
      <c r="J497" s="252"/>
    </row>
    <row r="498">
      <c r="A498" s="153"/>
      <c r="B498" s="252"/>
      <c r="C498" s="252"/>
      <c r="D498" s="252"/>
      <c r="E498" s="252"/>
      <c r="F498" s="252"/>
      <c r="G498" s="252"/>
      <c r="H498" s="252"/>
      <c r="I498" s="252"/>
      <c r="J498" s="252"/>
    </row>
    <row r="499">
      <c r="A499" s="155"/>
      <c r="B499" s="252"/>
      <c r="C499" s="252"/>
      <c r="D499" s="252"/>
      <c r="E499" s="252"/>
      <c r="F499" s="252"/>
      <c r="G499" s="252"/>
      <c r="H499" s="252"/>
      <c r="I499" s="252"/>
      <c r="J499" s="252"/>
    </row>
    <row r="500">
      <c r="A500" s="162"/>
      <c r="B500" s="252"/>
      <c r="C500" s="252"/>
      <c r="D500" s="252"/>
      <c r="E500" s="252"/>
      <c r="F500" s="252"/>
      <c r="G500" s="252"/>
      <c r="H500" s="252"/>
      <c r="I500" s="252"/>
      <c r="J500" s="252"/>
    </row>
    <row r="501">
      <c r="A501" s="153" t="str">
        <f t="array" ref="A501:A550">'Up Names'!K2:K51</f>
        <v>Auger Subroutine</v>
      </c>
      <c r="B501" s="254" t="s">
        <v>2076</v>
      </c>
      <c r="C501" s="254" t="s">
        <v>2084</v>
      </c>
      <c r="D501" s="254" t="s">
        <v>2085</v>
      </c>
      <c r="E501" s="254" t="s">
        <v>12</v>
      </c>
      <c r="F501" s="254" t="s">
        <v>2068</v>
      </c>
      <c r="G501" s="252"/>
      <c r="H501" s="252"/>
      <c r="I501" s="252"/>
      <c r="J501" s="252"/>
    </row>
    <row r="502">
      <c r="A502" s="153" t="s">
        <v>160</v>
      </c>
      <c r="B502" s="252"/>
      <c r="C502" s="252"/>
      <c r="D502" s="252"/>
      <c r="E502" s="252"/>
      <c r="F502" s="252"/>
      <c r="G502" s="252"/>
      <c r="H502" s="252"/>
      <c r="I502" s="252"/>
      <c r="J502" s="252"/>
    </row>
    <row r="503">
      <c r="A503" s="153" t="s">
        <v>180</v>
      </c>
      <c r="B503" s="254" t="s">
        <v>2274</v>
      </c>
      <c r="C503" s="254" t="s">
        <v>2091</v>
      </c>
      <c r="D503" s="254" t="s">
        <v>2068</v>
      </c>
      <c r="E503" s="254" t="s">
        <v>2318</v>
      </c>
      <c r="F503" s="252"/>
      <c r="G503" s="252"/>
      <c r="H503" s="252"/>
      <c r="I503" s="252"/>
      <c r="J503" s="252"/>
    </row>
    <row r="504">
      <c r="A504" s="153" t="s">
        <v>200</v>
      </c>
      <c r="B504" s="254" t="s">
        <v>2064</v>
      </c>
      <c r="C504" s="254" t="s">
        <v>12</v>
      </c>
      <c r="D504" s="254" t="s">
        <v>2068</v>
      </c>
      <c r="E504" s="254" t="s">
        <v>2070</v>
      </c>
      <c r="F504" s="252"/>
      <c r="G504" s="252"/>
      <c r="H504" s="252"/>
      <c r="I504" s="252"/>
      <c r="J504" s="252"/>
    </row>
    <row r="505">
      <c r="A505" s="153" t="s">
        <v>220</v>
      </c>
      <c r="B505" s="254" t="s">
        <v>2068</v>
      </c>
      <c r="C505" s="254" t="s">
        <v>2076</v>
      </c>
      <c r="D505" s="252"/>
      <c r="E505" s="252"/>
      <c r="F505" s="252"/>
      <c r="G505" s="252"/>
      <c r="H505" s="252"/>
      <c r="I505" s="252"/>
      <c r="J505" s="252"/>
    </row>
    <row r="506">
      <c r="A506" s="153" t="s">
        <v>239</v>
      </c>
      <c r="B506" s="254" t="s">
        <v>2068</v>
      </c>
      <c r="C506" s="254" t="s">
        <v>12</v>
      </c>
      <c r="D506" s="252"/>
      <c r="E506" s="252"/>
      <c r="F506" s="252"/>
      <c r="G506" s="252"/>
      <c r="H506" s="252"/>
      <c r="I506" s="252"/>
      <c r="J506" s="252"/>
    </row>
    <row r="507">
      <c r="A507" s="153" t="s">
        <v>259</v>
      </c>
      <c r="B507" s="254" t="s">
        <v>2097</v>
      </c>
      <c r="C507" s="254" t="s">
        <v>2077</v>
      </c>
      <c r="D507" s="254" t="s">
        <v>2078</v>
      </c>
      <c r="E507" s="252"/>
      <c r="F507" s="252"/>
      <c r="G507" s="252"/>
      <c r="H507" s="252"/>
      <c r="I507" s="252"/>
      <c r="J507" s="252"/>
    </row>
    <row r="508">
      <c r="A508" s="153" t="s">
        <v>279</v>
      </c>
      <c r="B508" s="254"/>
      <c r="C508" s="254"/>
      <c r="D508" s="254"/>
      <c r="E508" s="252"/>
      <c r="F508" s="252"/>
      <c r="G508" s="252"/>
      <c r="H508" s="252"/>
      <c r="I508" s="252"/>
      <c r="J508" s="252"/>
    </row>
    <row r="509">
      <c r="A509" s="153" t="s">
        <v>299</v>
      </c>
      <c r="B509" s="254" t="s">
        <v>2091</v>
      </c>
      <c r="C509" s="254" t="s">
        <v>2121</v>
      </c>
      <c r="D509" s="254" t="s">
        <v>2085</v>
      </c>
      <c r="E509" s="252"/>
      <c r="F509" s="252"/>
      <c r="G509" s="252"/>
      <c r="H509" s="252"/>
      <c r="I509" s="252"/>
      <c r="J509" s="252"/>
    </row>
    <row r="510">
      <c r="A510" s="153" t="s">
        <v>319</v>
      </c>
      <c r="B510" s="254" t="s">
        <v>2085</v>
      </c>
      <c r="C510" s="254" t="s">
        <v>2322</v>
      </c>
      <c r="D510" s="254" t="s">
        <v>2068</v>
      </c>
      <c r="E510" s="252"/>
      <c r="F510" s="252"/>
      <c r="G510" s="252"/>
      <c r="H510" s="252"/>
      <c r="I510" s="252"/>
      <c r="J510" s="252"/>
    </row>
    <row r="511">
      <c r="A511" s="153" t="s">
        <v>339</v>
      </c>
      <c r="B511" s="254" t="s">
        <v>2121</v>
      </c>
      <c r="C511" s="252"/>
      <c r="D511" s="252"/>
      <c r="E511" s="252"/>
      <c r="F511" s="252"/>
      <c r="G511" s="252"/>
      <c r="H511" s="252"/>
      <c r="I511" s="252"/>
      <c r="J511" s="252"/>
    </row>
    <row r="512">
      <c r="A512" s="153" t="s">
        <v>359</v>
      </c>
      <c r="B512" s="254" t="s">
        <v>12</v>
      </c>
      <c r="C512" s="254" t="s">
        <v>2068</v>
      </c>
      <c r="D512" s="252"/>
      <c r="E512" s="252"/>
      <c r="F512" s="252"/>
      <c r="G512" s="252"/>
      <c r="H512" s="252"/>
      <c r="I512" s="252"/>
      <c r="J512" s="252"/>
    </row>
    <row r="513">
      <c r="A513" s="153" t="s">
        <v>383</v>
      </c>
      <c r="B513" s="254" t="s">
        <v>2085</v>
      </c>
      <c r="C513" s="254" t="s">
        <v>2322</v>
      </c>
      <c r="D513" s="254" t="s">
        <v>2084</v>
      </c>
      <c r="E513" s="252"/>
      <c r="F513" s="252"/>
      <c r="G513" s="252"/>
      <c r="H513" s="252"/>
      <c r="I513" s="252"/>
      <c r="J513" s="252"/>
    </row>
    <row r="514">
      <c r="A514" s="153" t="s">
        <v>408</v>
      </c>
      <c r="B514" s="254" t="s">
        <v>2084</v>
      </c>
      <c r="C514" s="252"/>
      <c r="D514" s="252"/>
      <c r="E514" s="252"/>
      <c r="F514" s="252"/>
      <c r="G514" s="252"/>
      <c r="H514" s="252"/>
      <c r="I514" s="252"/>
      <c r="J514" s="252"/>
    </row>
    <row r="515">
      <c r="A515" s="153" t="s">
        <v>436</v>
      </c>
      <c r="B515" s="254" t="s">
        <v>2094</v>
      </c>
      <c r="C515" s="254" t="s">
        <v>2097</v>
      </c>
      <c r="D515" s="252"/>
      <c r="E515" s="252"/>
      <c r="F515" s="252"/>
      <c r="G515" s="252"/>
      <c r="H515" s="252"/>
      <c r="I515" s="252"/>
      <c r="J515" s="252"/>
    </row>
    <row r="516">
      <c r="A516" s="153" t="s">
        <v>465</v>
      </c>
      <c r="B516" s="254" t="s">
        <v>2085</v>
      </c>
      <c r="C516" s="254" t="s">
        <v>2084</v>
      </c>
      <c r="D516" s="254" t="s">
        <v>2079</v>
      </c>
      <c r="E516" s="252"/>
      <c r="F516" s="252"/>
      <c r="G516" s="252"/>
      <c r="H516" s="252"/>
      <c r="I516" s="252"/>
      <c r="J516" s="252"/>
    </row>
    <row r="517">
      <c r="A517" s="153" t="s">
        <v>494</v>
      </c>
      <c r="B517" s="254" t="s">
        <v>2076</v>
      </c>
      <c r="C517" s="254" t="s">
        <v>2101</v>
      </c>
      <c r="D517" s="252"/>
      <c r="E517" s="252"/>
      <c r="F517" s="252"/>
      <c r="G517" s="252"/>
      <c r="H517" s="252"/>
      <c r="I517" s="252"/>
      <c r="J517" s="252"/>
    </row>
    <row r="518">
      <c r="A518" s="153" t="s">
        <v>518</v>
      </c>
      <c r="B518" s="254" t="s">
        <v>2084</v>
      </c>
      <c r="C518" s="252"/>
      <c r="D518" s="252"/>
      <c r="E518" s="252"/>
      <c r="F518" s="252"/>
      <c r="G518" s="252"/>
      <c r="H518" s="252"/>
      <c r="I518" s="252"/>
      <c r="J518" s="252"/>
    </row>
    <row r="519">
      <c r="A519" s="153" t="s">
        <v>537</v>
      </c>
      <c r="B519" s="254"/>
      <c r="C519" s="252"/>
      <c r="D519" s="252"/>
      <c r="E519" s="252"/>
      <c r="F519" s="252"/>
      <c r="G519" s="252"/>
      <c r="H519" s="252"/>
      <c r="I519" s="252"/>
      <c r="J519" s="252"/>
    </row>
    <row r="520">
      <c r="A520" s="153" t="s">
        <v>557</v>
      </c>
      <c r="B520" s="254" t="s">
        <v>2076</v>
      </c>
      <c r="C520" s="254" t="s">
        <v>2090</v>
      </c>
      <c r="D520" s="254" t="s">
        <v>2151</v>
      </c>
      <c r="E520" s="254" t="s">
        <v>2326</v>
      </c>
      <c r="F520" s="252"/>
      <c r="G520" s="252"/>
      <c r="H520" s="252"/>
      <c r="I520" s="252"/>
      <c r="J520" s="252"/>
    </row>
    <row r="521">
      <c r="A521" s="153" t="s">
        <v>580</v>
      </c>
      <c r="B521" s="254" t="s">
        <v>2098</v>
      </c>
      <c r="C521" s="252"/>
      <c r="D521" s="252"/>
      <c r="E521" s="252"/>
      <c r="F521" s="252"/>
      <c r="G521" s="252"/>
      <c r="H521" s="252"/>
      <c r="I521" s="252"/>
      <c r="J521" s="252"/>
    </row>
    <row r="522">
      <c r="A522" s="153" t="s">
        <v>604</v>
      </c>
      <c r="B522" s="254" t="s">
        <v>2094</v>
      </c>
      <c r="C522" s="254" t="s">
        <v>2097</v>
      </c>
      <c r="D522" s="254" t="s">
        <v>2068</v>
      </c>
      <c r="E522" s="254" t="s">
        <v>2070</v>
      </c>
      <c r="F522" s="252"/>
      <c r="G522" s="252"/>
      <c r="H522" s="252"/>
      <c r="I522" s="252"/>
      <c r="J522" s="252"/>
    </row>
    <row r="523">
      <c r="A523" s="153" t="s">
        <v>625</v>
      </c>
      <c r="B523" s="254" t="s">
        <v>2068</v>
      </c>
      <c r="C523" s="254" t="s">
        <v>2328</v>
      </c>
      <c r="D523" s="252"/>
      <c r="E523" s="252"/>
      <c r="F523" s="252"/>
      <c r="G523" s="252"/>
      <c r="H523" s="252"/>
      <c r="I523" s="252"/>
      <c r="J523" s="252"/>
    </row>
    <row r="524">
      <c r="A524" s="153" t="s">
        <v>651</v>
      </c>
      <c r="B524" s="254" t="s">
        <v>2100</v>
      </c>
      <c r="C524" s="254" t="s">
        <v>2082</v>
      </c>
      <c r="D524" s="254" t="s">
        <v>2098</v>
      </c>
      <c r="E524" s="252"/>
      <c r="F524" s="252"/>
      <c r="G524" s="252"/>
      <c r="H524" s="252"/>
      <c r="I524" s="252"/>
      <c r="J524" s="252"/>
    </row>
    <row r="525">
      <c r="A525" s="153" t="s">
        <v>667</v>
      </c>
      <c r="B525" s="254" t="s">
        <v>2068</v>
      </c>
      <c r="C525" s="254" t="s">
        <v>2090</v>
      </c>
      <c r="D525" s="252"/>
      <c r="E525" s="252"/>
      <c r="F525" s="252"/>
      <c r="G525" s="252"/>
      <c r="H525" s="252"/>
      <c r="I525" s="252"/>
      <c r="J525" s="252"/>
    </row>
    <row r="526">
      <c r="A526" s="153" t="s">
        <v>681</v>
      </c>
      <c r="B526" s="254" t="s">
        <v>2068</v>
      </c>
      <c r="C526" s="254" t="s">
        <v>2076</v>
      </c>
      <c r="D526" s="252"/>
      <c r="E526" s="252"/>
      <c r="F526" s="252"/>
      <c r="G526" s="252"/>
      <c r="H526" s="252"/>
      <c r="I526" s="252"/>
      <c r="J526" s="252"/>
    </row>
    <row r="527">
      <c r="A527" s="153" t="s">
        <v>695</v>
      </c>
      <c r="B527" s="254" t="s">
        <v>2070</v>
      </c>
      <c r="C527" s="252"/>
      <c r="D527" s="252"/>
      <c r="E527" s="252"/>
      <c r="F527" s="252"/>
      <c r="G527" s="252"/>
      <c r="H527" s="252"/>
      <c r="I527" s="252"/>
      <c r="J527" s="252"/>
    </row>
    <row r="528">
      <c r="A528" s="153" t="s">
        <v>714</v>
      </c>
      <c r="B528" s="254" t="s">
        <v>2097</v>
      </c>
      <c r="C528" s="252"/>
      <c r="D528" s="252"/>
      <c r="E528" s="252"/>
      <c r="F528" s="252"/>
      <c r="G528" s="252"/>
      <c r="H528" s="252"/>
      <c r="I528" s="252"/>
      <c r="J528" s="252"/>
    </row>
    <row r="529">
      <c r="A529" s="153" t="s">
        <v>732</v>
      </c>
      <c r="B529" s="254" t="s">
        <v>2154</v>
      </c>
      <c r="C529" s="252"/>
      <c r="D529" s="252"/>
      <c r="E529" s="252"/>
      <c r="F529" s="252"/>
      <c r="G529" s="252"/>
      <c r="H529" s="252"/>
      <c r="I529" s="252"/>
      <c r="J529" s="252"/>
    </row>
    <row r="530">
      <c r="A530" s="153" t="s">
        <v>750</v>
      </c>
      <c r="B530" s="254" t="s">
        <v>2080</v>
      </c>
      <c r="C530" s="252"/>
      <c r="D530" s="252"/>
      <c r="E530" s="252"/>
      <c r="F530" s="252"/>
      <c r="G530" s="252"/>
      <c r="H530" s="252"/>
      <c r="I530" s="252"/>
      <c r="J530" s="252"/>
    </row>
    <row r="531">
      <c r="A531" s="153" t="s">
        <v>763</v>
      </c>
      <c r="B531" s="254" t="s">
        <v>2101</v>
      </c>
      <c r="C531" s="252"/>
      <c r="D531" s="252"/>
      <c r="E531" s="252"/>
      <c r="F531" s="252"/>
      <c r="G531" s="252"/>
      <c r="H531" s="252"/>
      <c r="I531" s="252"/>
      <c r="J531" s="252"/>
    </row>
    <row r="532">
      <c r="A532" s="153" t="s">
        <v>503</v>
      </c>
      <c r="B532" s="252"/>
      <c r="C532" s="252"/>
      <c r="D532" s="252"/>
      <c r="E532" s="252"/>
      <c r="F532" s="252"/>
      <c r="G532" s="252"/>
      <c r="H532" s="252"/>
      <c r="I532" s="252"/>
      <c r="J532" s="252"/>
    </row>
    <row r="533">
      <c r="A533" s="153" t="s">
        <v>511</v>
      </c>
      <c r="B533" s="252"/>
      <c r="C533" s="252"/>
      <c r="D533" s="252"/>
      <c r="E533" s="252"/>
      <c r="F533" s="252"/>
      <c r="G533" s="252"/>
      <c r="H533" s="252"/>
      <c r="I533" s="252"/>
      <c r="J533" s="252"/>
    </row>
    <row r="534">
      <c r="A534" s="153" t="s">
        <v>516</v>
      </c>
      <c r="B534" s="252"/>
      <c r="C534" s="252"/>
      <c r="D534" s="252"/>
      <c r="E534" s="252"/>
      <c r="F534" s="252"/>
      <c r="G534" s="252"/>
      <c r="H534" s="252"/>
      <c r="I534" s="252"/>
      <c r="J534" s="252"/>
    </row>
    <row r="535">
      <c r="A535" s="153"/>
      <c r="B535" s="252"/>
      <c r="C535" s="252"/>
      <c r="D535" s="252"/>
      <c r="E535" s="252"/>
      <c r="F535" s="252"/>
      <c r="G535" s="252"/>
      <c r="H535" s="252"/>
      <c r="I535" s="252"/>
      <c r="J535" s="252"/>
    </row>
    <row r="536">
      <c r="A536" s="153"/>
      <c r="B536" s="252"/>
      <c r="C536" s="252"/>
      <c r="D536" s="252"/>
      <c r="E536" s="252"/>
      <c r="F536" s="252"/>
      <c r="G536" s="252"/>
      <c r="H536" s="252"/>
      <c r="I536" s="252"/>
      <c r="J536" s="252"/>
    </row>
    <row r="537">
      <c r="A537" s="153"/>
      <c r="B537" s="252"/>
      <c r="C537" s="252"/>
      <c r="D537" s="252"/>
      <c r="E537" s="252"/>
      <c r="F537" s="252"/>
      <c r="G537" s="252"/>
      <c r="H537" s="252"/>
      <c r="I537" s="252"/>
      <c r="J537" s="252"/>
    </row>
    <row r="538">
      <c r="A538" s="153"/>
      <c r="B538" s="252"/>
      <c r="C538" s="252"/>
      <c r="D538" s="252"/>
      <c r="E538" s="252"/>
      <c r="F538" s="252"/>
      <c r="G538" s="252"/>
      <c r="H538" s="252"/>
      <c r="I538" s="252"/>
      <c r="J538" s="252"/>
    </row>
    <row r="539">
      <c r="A539" s="153"/>
      <c r="B539" s="252"/>
      <c r="C539" s="252"/>
      <c r="D539" s="252"/>
      <c r="E539" s="252"/>
      <c r="F539" s="252"/>
      <c r="G539" s="252"/>
      <c r="H539" s="252"/>
      <c r="I539" s="252"/>
      <c r="J539" s="252"/>
    </row>
    <row r="540">
      <c r="A540" s="153"/>
      <c r="B540" s="252"/>
      <c r="C540" s="252"/>
      <c r="D540" s="252"/>
      <c r="E540" s="252"/>
      <c r="F540" s="252"/>
      <c r="G540" s="252"/>
      <c r="H540" s="252"/>
      <c r="I540" s="252"/>
      <c r="J540" s="252"/>
    </row>
    <row r="541">
      <c r="A541" s="153"/>
      <c r="B541" s="252"/>
      <c r="C541" s="252"/>
      <c r="D541" s="252"/>
      <c r="E541" s="252"/>
      <c r="F541" s="252"/>
      <c r="G541" s="252"/>
      <c r="H541" s="252"/>
      <c r="I541" s="252"/>
      <c r="J541" s="252"/>
    </row>
    <row r="542">
      <c r="A542" s="153"/>
      <c r="B542" s="252"/>
      <c r="C542" s="252"/>
      <c r="D542" s="252"/>
      <c r="E542" s="252"/>
      <c r="F542" s="252"/>
      <c r="G542" s="252"/>
      <c r="H542" s="252"/>
      <c r="I542" s="252"/>
      <c r="J542" s="252"/>
    </row>
    <row r="543">
      <c r="A543" s="153"/>
      <c r="B543" s="252"/>
      <c r="C543" s="252"/>
      <c r="D543" s="252"/>
      <c r="E543" s="252"/>
      <c r="F543" s="252"/>
      <c r="G543" s="252"/>
      <c r="H543" s="252"/>
      <c r="I543" s="252"/>
      <c r="J543" s="252"/>
    </row>
    <row r="544">
      <c r="A544" s="153"/>
      <c r="B544" s="252"/>
      <c r="C544" s="252"/>
      <c r="D544" s="252"/>
      <c r="E544" s="252"/>
      <c r="F544" s="252"/>
      <c r="G544" s="252"/>
      <c r="H544" s="252"/>
      <c r="I544" s="252"/>
      <c r="J544" s="252"/>
    </row>
    <row r="545">
      <c r="A545" s="153"/>
      <c r="B545" s="252"/>
      <c r="C545" s="252"/>
      <c r="D545" s="252"/>
      <c r="E545" s="252"/>
      <c r="F545" s="252"/>
      <c r="G545" s="252"/>
      <c r="H545" s="252"/>
      <c r="I545" s="252"/>
      <c r="J545" s="252"/>
    </row>
    <row r="546">
      <c r="A546" s="153"/>
      <c r="B546" s="252"/>
      <c r="C546" s="252"/>
      <c r="D546" s="252"/>
      <c r="E546" s="252"/>
      <c r="F546" s="252"/>
      <c r="G546" s="252"/>
      <c r="H546" s="252"/>
      <c r="I546" s="252"/>
      <c r="J546" s="252"/>
    </row>
    <row r="547">
      <c r="A547" s="153"/>
      <c r="B547" s="252"/>
      <c r="C547" s="252"/>
      <c r="D547" s="252"/>
      <c r="E547" s="252"/>
      <c r="F547" s="252"/>
      <c r="G547" s="252"/>
      <c r="H547" s="252"/>
      <c r="I547" s="252"/>
      <c r="J547" s="252"/>
    </row>
    <row r="548">
      <c r="A548" s="153"/>
      <c r="B548" s="252"/>
      <c r="C548" s="252"/>
      <c r="D548" s="252"/>
      <c r="E548" s="252"/>
      <c r="F548" s="252"/>
      <c r="G548" s="252"/>
      <c r="H548" s="252"/>
      <c r="I548" s="252"/>
      <c r="J548" s="252"/>
    </row>
    <row r="549">
      <c r="A549" s="153"/>
      <c r="B549" s="252"/>
      <c r="C549" s="252"/>
      <c r="D549" s="252"/>
      <c r="E549" s="252"/>
      <c r="F549" s="252"/>
      <c r="G549" s="252"/>
      <c r="H549" s="252"/>
      <c r="I549" s="252"/>
      <c r="J549" s="252"/>
    </row>
    <row r="550">
      <c r="A550" s="153"/>
      <c r="B550" s="252"/>
      <c r="C550" s="252"/>
      <c r="D550" s="252"/>
      <c r="E550" s="252"/>
      <c r="F550" s="252"/>
      <c r="G550" s="252"/>
      <c r="H550" s="252"/>
      <c r="I550" s="252"/>
      <c r="J550" s="252"/>
    </row>
    <row r="551">
      <c r="A551" s="198" t="s">
        <v>141</v>
      </c>
      <c r="B551" s="254" t="s">
        <v>2108</v>
      </c>
      <c r="C551" s="252"/>
      <c r="D551" s="252"/>
      <c r="E551" s="252"/>
      <c r="F551" s="252"/>
      <c r="G551" s="252"/>
      <c r="H551" s="252"/>
      <c r="I551" s="252"/>
      <c r="J551" s="252"/>
    </row>
    <row r="552">
      <c r="A552" s="146" t="s">
        <v>161</v>
      </c>
      <c r="B552" s="254" t="s">
        <v>2274</v>
      </c>
      <c r="C552" s="254" t="s">
        <v>2084</v>
      </c>
      <c r="D552" s="254" t="s">
        <v>2108</v>
      </c>
      <c r="E552" s="252"/>
      <c r="F552" s="252"/>
      <c r="G552" s="252"/>
      <c r="H552" s="252"/>
      <c r="I552" s="252"/>
      <c r="J552" s="252"/>
    </row>
    <row r="553">
      <c r="A553" s="144" t="s">
        <v>181</v>
      </c>
      <c r="B553" s="254" t="s">
        <v>2064</v>
      </c>
      <c r="C553" s="254" t="s">
        <v>2068</v>
      </c>
      <c r="D553" s="254" t="s">
        <v>2108</v>
      </c>
      <c r="E553" s="254" t="s">
        <v>2109</v>
      </c>
      <c r="F553" s="252"/>
      <c r="G553" s="252"/>
      <c r="H553" s="252"/>
      <c r="I553" s="252"/>
      <c r="J553" s="252"/>
    </row>
    <row r="554">
      <c r="A554" s="146" t="s">
        <v>201</v>
      </c>
      <c r="B554" s="254" t="s">
        <v>2083</v>
      </c>
      <c r="C554" s="252"/>
      <c r="D554" s="252"/>
      <c r="E554" s="252"/>
      <c r="F554" s="252"/>
      <c r="G554" s="252"/>
      <c r="H554" s="252"/>
      <c r="I554" s="252"/>
      <c r="J554" s="252"/>
    </row>
    <row r="555">
      <c r="A555" s="144" t="s">
        <v>221</v>
      </c>
      <c r="B555" s="254" t="s">
        <v>2337</v>
      </c>
      <c r="C555" s="254" t="s">
        <v>2338</v>
      </c>
      <c r="D555" s="254" t="s">
        <v>2068</v>
      </c>
      <c r="E555" s="252"/>
      <c r="F555" s="252"/>
      <c r="G555" s="252"/>
      <c r="H555" s="252"/>
      <c r="I555" s="252"/>
      <c r="J555" s="252"/>
    </row>
    <row r="556">
      <c r="A556" s="146" t="s">
        <v>240</v>
      </c>
      <c r="B556" s="254" t="s">
        <v>2090</v>
      </c>
      <c r="C556" s="254" t="s">
        <v>2151</v>
      </c>
      <c r="D556" s="252"/>
      <c r="E556" s="252"/>
      <c r="F556" s="252"/>
      <c r="G556" s="252"/>
      <c r="H556" s="252"/>
      <c r="I556" s="252"/>
      <c r="J556" s="252"/>
    </row>
    <row r="557">
      <c r="A557" s="144" t="s">
        <v>260</v>
      </c>
      <c r="B557" s="252"/>
      <c r="C557" s="252"/>
      <c r="D557" s="252"/>
      <c r="E557" s="252"/>
      <c r="F557" s="252"/>
      <c r="G557" s="252"/>
      <c r="H557" s="252"/>
      <c r="I557" s="252"/>
      <c r="J557" s="252"/>
    </row>
    <row r="558">
      <c r="A558" s="146" t="s">
        <v>280</v>
      </c>
      <c r="B558" s="254" t="s">
        <v>2068</v>
      </c>
      <c r="C558" s="254" t="s">
        <v>2084</v>
      </c>
      <c r="D558" s="254" t="s">
        <v>2340</v>
      </c>
      <c r="E558" s="252"/>
      <c r="F558" s="252"/>
      <c r="G558" s="252"/>
      <c r="H558" s="252"/>
      <c r="I558" s="252"/>
      <c r="J558" s="252"/>
    </row>
    <row r="559">
      <c r="A559" s="144" t="s">
        <v>300</v>
      </c>
      <c r="B559" s="252"/>
      <c r="C559" s="252"/>
      <c r="D559" s="252"/>
      <c r="E559" s="252"/>
      <c r="F559" s="252"/>
      <c r="G559" s="252"/>
      <c r="H559" s="252"/>
      <c r="I559" s="252"/>
      <c r="J559" s="252"/>
    </row>
    <row r="560">
      <c r="A560" s="146" t="s">
        <v>320</v>
      </c>
      <c r="B560" s="254" t="s">
        <v>2085</v>
      </c>
      <c r="C560" s="254" t="s">
        <v>12</v>
      </c>
      <c r="D560" s="254" t="s">
        <v>2149</v>
      </c>
      <c r="E560" s="254" t="s">
        <v>2206</v>
      </c>
      <c r="F560" s="252"/>
      <c r="G560" s="252"/>
      <c r="H560" s="252"/>
      <c r="I560" s="252"/>
      <c r="J560" s="252"/>
    </row>
    <row r="561">
      <c r="A561" s="144" t="s">
        <v>340</v>
      </c>
      <c r="B561" s="254" t="s">
        <v>2342</v>
      </c>
      <c r="C561" s="254" t="s">
        <v>2343</v>
      </c>
      <c r="D561" s="254" t="s">
        <v>2085</v>
      </c>
      <c r="E561" s="252"/>
      <c r="F561" s="252"/>
      <c r="G561" s="252"/>
      <c r="H561" s="252"/>
      <c r="I561" s="252"/>
      <c r="J561" s="252"/>
    </row>
    <row r="562">
      <c r="A562" s="146" t="s">
        <v>360</v>
      </c>
      <c r="B562" s="254" t="s">
        <v>2082</v>
      </c>
      <c r="C562" s="254" t="s">
        <v>2098</v>
      </c>
      <c r="D562" s="254" t="s">
        <v>2100</v>
      </c>
      <c r="E562" s="254" t="s">
        <v>2075</v>
      </c>
      <c r="F562" s="254" t="s">
        <v>2068</v>
      </c>
      <c r="G562" s="254" t="s">
        <v>2095</v>
      </c>
      <c r="H562" s="254" t="s">
        <v>2096</v>
      </c>
      <c r="I562" s="252"/>
      <c r="J562" s="252"/>
    </row>
    <row r="563">
      <c r="A563" s="144" t="s">
        <v>384</v>
      </c>
      <c r="B563" s="254" t="s">
        <v>2345</v>
      </c>
      <c r="C563" s="254" t="s">
        <v>2346</v>
      </c>
      <c r="D563" s="252"/>
      <c r="E563" s="252"/>
      <c r="F563" s="252"/>
      <c r="G563" s="252"/>
      <c r="H563" s="252"/>
      <c r="I563" s="252"/>
      <c r="J563" s="252"/>
    </row>
    <row r="564">
      <c r="A564" s="146" t="s">
        <v>409</v>
      </c>
      <c r="B564" s="252"/>
      <c r="C564" s="252"/>
      <c r="D564" s="252"/>
      <c r="E564" s="252"/>
      <c r="F564" s="252"/>
      <c r="G564" s="252"/>
      <c r="H564" s="252"/>
      <c r="I564" s="252"/>
      <c r="J564" s="252"/>
    </row>
    <row r="565">
      <c r="A565" s="144" t="s">
        <v>438</v>
      </c>
      <c r="B565" s="254" t="s">
        <v>2151</v>
      </c>
      <c r="C565" s="252"/>
      <c r="D565" s="252"/>
      <c r="E565" s="252"/>
      <c r="F565" s="252"/>
      <c r="G565" s="252"/>
      <c r="H565" s="252"/>
      <c r="I565" s="252"/>
      <c r="J565" s="252"/>
    </row>
    <row r="566">
      <c r="A566" s="146" t="s">
        <v>466</v>
      </c>
      <c r="B566" s="254" t="s">
        <v>2084</v>
      </c>
      <c r="C566" s="254" t="s">
        <v>2085</v>
      </c>
      <c r="D566" s="252"/>
      <c r="E566" s="252"/>
      <c r="F566" s="252"/>
      <c r="G566" s="252"/>
      <c r="H566" s="252"/>
      <c r="I566" s="252"/>
      <c r="J566" s="252"/>
    </row>
    <row r="567">
      <c r="A567" s="144" t="s">
        <v>495</v>
      </c>
      <c r="B567" s="254" t="s">
        <v>2106</v>
      </c>
      <c r="C567" s="252"/>
      <c r="D567" s="252"/>
      <c r="E567" s="252"/>
      <c r="F567" s="252"/>
      <c r="G567" s="252"/>
      <c r="H567" s="252"/>
      <c r="I567" s="252"/>
      <c r="J567" s="252"/>
    </row>
    <row r="568">
      <c r="A568" s="146" t="s">
        <v>519</v>
      </c>
      <c r="B568" s="254" t="s">
        <v>2075</v>
      </c>
      <c r="C568" s="254" t="s">
        <v>2080</v>
      </c>
      <c r="D568" s="254" t="s">
        <v>2085</v>
      </c>
      <c r="E568" s="254" t="s">
        <v>2349</v>
      </c>
      <c r="F568" s="252"/>
      <c r="G568" s="252"/>
      <c r="H568" s="252"/>
      <c r="I568" s="252"/>
      <c r="J568" s="252"/>
    </row>
    <row r="569">
      <c r="A569" s="144" t="s">
        <v>538</v>
      </c>
      <c r="B569" s="254" t="s">
        <v>2149</v>
      </c>
      <c r="C569" s="252"/>
      <c r="D569" s="252"/>
      <c r="E569" s="252"/>
      <c r="F569" s="252"/>
      <c r="G569" s="252"/>
      <c r="H569" s="252"/>
      <c r="I569" s="252"/>
      <c r="J569" s="252"/>
    </row>
    <row r="570">
      <c r="A570" s="146" t="s">
        <v>558</v>
      </c>
      <c r="B570" s="254" t="s">
        <v>2068</v>
      </c>
      <c r="C570" s="252"/>
      <c r="D570" s="252"/>
      <c r="E570" s="252"/>
      <c r="F570" s="252"/>
      <c r="G570" s="252"/>
      <c r="H570" s="252"/>
      <c r="I570" s="252"/>
      <c r="J570" s="252"/>
    </row>
    <row r="571">
      <c r="A571" s="144" t="s">
        <v>582</v>
      </c>
      <c r="B571" s="254" t="s">
        <v>2105</v>
      </c>
      <c r="C571" s="254" t="s">
        <v>2350</v>
      </c>
      <c r="D571" s="252"/>
      <c r="E571" s="252"/>
      <c r="F571" s="252"/>
      <c r="G571" s="252"/>
      <c r="H571" s="252"/>
      <c r="I571" s="252"/>
      <c r="J571" s="252"/>
    </row>
    <row r="572">
      <c r="A572" s="146" t="s">
        <v>606</v>
      </c>
      <c r="B572" s="254" t="s">
        <v>2064</v>
      </c>
      <c r="C572" s="254" t="s">
        <v>2108</v>
      </c>
      <c r="D572" s="252"/>
      <c r="E572" s="252"/>
      <c r="F572" s="252"/>
      <c r="G572" s="252"/>
      <c r="H572" s="252"/>
      <c r="I572" s="252"/>
      <c r="J572" s="252"/>
    </row>
    <row r="573">
      <c r="A573" s="144" t="s">
        <v>626</v>
      </c>
      <c r="B573" s="254" t="s">
        <v>2084</v>
      </c>
      <c r="C573" s="254" t="s">
        <v>2085</v>
      </c>
      <c r="D573" s="252"/>
      <c r="E573" s="252"/>
      <c r="F573" s="252"/>
      <c r="G573" s="252"/>
      <c r="H573" s="252"/>
      <c r="I573" s="252"/>
      <c r="J573" s="252"/>
    </row>
    <row r="574">
      <c r="A574" s="146" t="s">
        <v>652</v>
      </c>
      <c r="B574" s="254" t="s">
        <v>2144</v>
      </c>
      <c r="C574" s="252"/>
      <c r="D574" s="252"/>
      <c r="E574" s="252"/>
      <c r="F574" s="252"/>
      <c r="G574" s="252"/>
      <c r="H574" s="252"/>
      <c r="I574" s="252"/>
      <c r="J574" s="252"/>
    </row>
    <row r="575">
      <c r="A575" s="144" t="s">
        <v>668</v>
      </c>
      <c r="B575" s="254" t="s">
        <v>2084</v>
      </c>
      <c r="C575" s="254" t="s">
        <v>2085</v>
      </c>
      <c r="D575" s="254" t="s">
        <v>2349</v>
      </c>
      <c r="E575" s="252"/>
      <c r="F575" s="252"/>
      <c r="G575" s="252"/>
      <c r="H575" s="252"/>
      <c r="I575" s="252"/>
      <c r="J575" s="252"/>
    </row>
    <row r="576">
      <c r="A576" s="146" t="s">
        <v>682</v>
      </c>
      <c r="B576" s="254" t="s">
        <v>2094</v>
      </c>
      <c r="C576" s="252"/>
      <c r="D576" s="252"/>
      <c r="E576" s="252"/>
      <c r="F576" s="252"/>
      <c r="G576" s="252"/>
      <c r="H576" s="252"/>
      <c r="I576" s="252"/>
      <c r="J576" s="252"/>
    </row>
    <row r="577">
      <c r="A577" s="144" t="s">
        <v>696</v>
      </c>
      <c r="B577" s="254" t="s">
        <v>2097</v>
      </c>
      <c r="C577" s="252"/>
      <c r="D577" s="252"/>
      <c r="E577" s="252"/>
      <c r="F577" s="252"/>
      <c r="G577" s="252"/>
      <c r="H577" s="252"/>
      <c r="I577" s="252"/>
      <c r="J577" s="252"/>
    </row>
    <row r="578">
      <c r="A578" s="146" t="s">
        <v>715</v>
      </c>
      <c r="B578" s="254" t="s">
        <v>2080</v>
      </c>
      <c r="C578" s="252"/>
      <c r="D578" s="252"/>
      <c r="E578" s="252"/>
      <c r="F578" s="252"/>
      <c r="G578" s="252"/>
      <c r="H578" s="252"/>
      <c r="I578" s="252"/>
      <c r="J578" s="252"/>
    </row>
    <row r="579">
      <c r="A579" s="144" t="s">
        <v>734</v>
      </c>
      <c r="B579" s="254" t="s">
        <v>2068</v>
      </c>
      <c r="C579" s="254" t="s">
        <v>2070</v>
      </c>
      <c r="D579" s="252"/>
      <c r="E579" s="252"/>
      <c r="F579" s="252"/>
      <c r="G579" s="252"/>
      <c r="H579" s="252"/>
      <c r="I579" s="252"/>
      <c r="J579" s="252"/>
    </row>
    <row r="580">
      <c r="A580" s="146" t="s">
        <v>751</v>
      </c>
      <c r="B580" s="254" t="s">
        <v>2070</v>
      </c>
      <c r="C580" s="252"/>
      <c r="D580" s="252"/>
      <c r="E580" s="252"/>
      <c r="F580" s="252"/>
      <c r="G580" s="252"/>
      <c r="H580" s="252"/>
      <c r="I580" s="252"/>
      <c r="J580" s="252"/>
    </row>
    <row r="581">
      <c r="A581" s="144" t="s">
        <v>764</v>
      </c>
      <c r="B581" s="254" t="s">
        <v>2101</v>
      </c>
      <c r="C581" s="252"/>
      <c r="D581" s="252"/>
      <c r="E581" s="252"/>
      <c r="F581" s="252"/>
      <c r="G581" s="252"/>
      <c r="H581" s="252"/>
      <c r="I581" s="252"/>
      <c r="J581" s="252"/>
    </row>
    <row r="582">
      <c r="A582" s="153"/>
      <c r="B582" s="252"/>
      <c r="C582" s="252"/>
      <c r="D582" s="252"/>
      <c r="E582" s="252"/>
      <c r="F582" s="252"/>
      <c r="G582" s="252"/>
      <c r="H582" s="252"/>
      <c r="I582" s="252"/>
      <c r="J582" s="252"/>
    </row>
    <row r="583">
      <c r="A583" s="153"/>
      <c r="B583" s="252"/>
      <c r="C583" s="252"/>
      <c r="D583" s="252"/>
      <c r="E583" s="252"/>
      <c r="F583" s="252"/>
      <c r="G583" s="252"/>
      <c r="H583" s="252"/>
      <c r="I583" s="252"/>
      <c r="J583" s="252"/>
    </row>
    <row r="584">
      <c r="A584" s="153"/>
      <c r="B584" s="252"/>
      <c r="C584" s="252"/>
      <c r="D584" s="252"/>
      <c r="E584" s="252"/>
      <c r="F584" s="252"/>
      <c r="G584" s="252"/>
      <c r="H584" s="252"/>
      <c r="I584" s="252"/>
      <c r="J584" s="252"/>
    </row>
    <row r="585">
      <c r="A585" s="153"/>
      <c r="B585" s="252"/>
      <c r="C585" s="252"/>
      <c r="D585" s="252"/>
      <c r="E585" s="252"/>
      <c r="F585" s="252"/>
      <c r="G585" s="252"/>
      <c r="H585" s="252"/>
      <c r="I585" s="252"/>
      <c r="J585" s="252"/>
    </row>
    <row r="586">
      <c r="A586" s="153"/>
      <c r="B586" s="252"/>
      <c r="C586" s="252"/>
      <c r="D586" s="252"/>
      <c r="E586" s="252"/>
      <c r="F586" s="252"/>
      <c r="G586" s="252"/>
      <c r="H586" s="252"/>
      <c r="I586" s="252"/>
      <c r="J586" s="252"/>
    </row>
    <row r="587">
      <c r="A587" s="153"/>
      <c r="B587" s="252"/>
      <c r="C587" s="252"/>
      <c r="D587" s="252"/>
      <c r="E587" s="252"/>
      <c r="F587" s="252"/>
      <c r="G587" s="252"/>
      <c r="H587" s="252"/>
      <c r="I587" s="252"/>
      <c r="J587" s="252"/>
    </row>
    <row r="588">
      <c r="A588" s="153"/>
      <c r="B588" s="252"/>
      <c r="C588" s="252"/>
      <c r="D588" s="252"/>
      <c r="E588" s="252"/>
      <c r="F588" s="252"/>
      <c r="G588" s="252"/>
      <c r="H588" s="252"/>
      <c r="I588" s="252"/>
      <c r="J588" s="252"/>
    </row>
    <row r="589">
      <c r="A589" s="153"/>
      <c r="B589" s="252"/>
      <c r="C589" s="252"/>
      <c r="D589" s="252"/>
      <c r="E589" s="252"/>
      <c r="F589" s="252"/>
      <c r="G589" s="252"/>
      <c r="H589" s="252"/>
      <c r="I589" s="252"/>
      <c r="J589" s="252"/>
    </row>
    <row r="590">
      <c r="A590" s="153"/>
      <c r="B590" s="252"/>
      <c r="C590" s="252"/>
      <c r="D590" s="252"/>
      <c r="E590" s="252"/>
      <c r="F590" s="252"/>
      <c r="G590" s="252"/>
      <c r="H590" s="252"/>
      <c r="I590" s="252"/>
      <c r="J590" s="252"/>
    </row>
    <row r="591">
      <c r="A591" s="153"/>
      <c r="B591" s="252"/>
      <c r="C591" s="252"/>
      <c r="D591" s="252"/>
      <c r="E591" s="252"/>
      <c r="F591" s="252"/>
      <c r="G591" s="252"/>
      <c r="H591" s="252"/>
      <c r="I591" s="252"/>
      <c r="J591" s="252"/>
    </row>
    <row r="592">
      <c r="A592" s="153"/>
      <c r="B592" s="252"/>
      <c r="C592" s="252"/>
      <c r="D592" s="252"/>
      <c r="E592" s="252"/>
      <c r="F592" s="252"/>
      <c r="G592" s="252"/>
      <c r="H592" s="252"/>
      <c r="I592" s="252"/>
      <c r="J592" s="252"/>
    </row>
    <row r="593">
      <c r="A593" s="153"/>
      <c r="B593" s="252"/>
      <c r="C593" s="252"/>
      <c r="D593" s="252"/>
      <c r="E593" s="252"/>
      <c r="F593" s="252"/>
      <c r="G593" s="252"/>
      <c r="H593" s="252"/>
      <c r="I593" s="252"/>
      <c r="J593" s="252"/>
    </row>
    <row r="594">
      <c r="A594" s="153"/>
      <c r="B594" s="252"/>
      <c r="C594" s="252"/>
      <c r="D594" s="252"/>
      <c r="E594" s="252"/>
      <c r="F594" s="252"/>
      <c r="G594" s="252"/>
      <c r="H594" s="252"/>
      <c r="I594" s="252"/>
      <c r="J594" s="252"/>
    </row>
    <row r="595">
      <c r="A595" s="153"/>
      <c r="B595" s="252"/>
      <c r="C595" s="252"/>
      <c r="D595" s="252"/>
      <c r="E595" s="252"/>
      <c r="F595" s="252"/>
      <c r="G595" s="252"/>
      <c r="H595" s="252"/>
      <c r="I595" s="252"/>
      <c r="J595" s="252"/>
    </row>
    <row r="596">
      <c r="A596" s="153"/>
      <c r="B596" s="252"/>
      <c r="C596" s="252"/>
      <c r="D596" s="252"/>
      <c r="E596" s="252"/>
      <c r="F596" s="252"/>
      <c r="G596" s="252"/>
      <c r="H596" s="252"/>
      <c r="I596" s="252"/>
      <c r="J596" s="252"/>
    </row>
    <row r="597">
      <c r="A597" s="153"/>
      <c r="B597" s="252"/>
      <c r="C597" s="252"/>
      <c r="D597" s="252"/>
      <c r="E597" s="252"/>
      <c r="F597" s="252"/>
      <c r="G597" s="252"/>
      <c r="H597" s="252"/>
      <c r="I597" s="252"/>
      <c r="J597" s="252"/>
    </row>
    <row r="598">
      <c r="A598" s="153"/>
      <c r="B598" s="252"/>
      <c r="C598" s="252"/>
      <c r="D598" s="252"/>
      <c r="E598" s="252"/>
      <c r="F598" s="252"/>
      <c r="G598" s="252"/>
      <c r="H598" s="252"/>
      <c r="I598" s="252"/>
      <c r="J598" s="252"/>
    </row>
    <row r="599">
      <c r="A599" s="153"/>
      <c r="B599" s="252"/>
      <c r="C599" s="252"/>
      <c r="D599" s="252"/>
      <c r="E599" s="252"/>
      <c r="F599" s="252"/>
      <c r="G599" s="252"/>
      <c r="H599" s="252"/>
      <c r="I599" s="252"/>
      <c r="J599" s="252"/>
    </row>
    <row r="600">
      <c r="A600" s="153"/>
      <c r="B600" s="252"/>
      <c r="C600" s="252"/>
      <c r="D600" s="252"/>
      <c r="E600" s="252"/>
      <c r="F600" s="252"/>
      <c r="G600" s="252"/>
      <c r="H600" s="252"/>
      <c r="I600" s="252"/>
      <c r="J600" s="252"/>
    </row>
    <row r="601">
      <c r="A601" s="150" t="str">
        <f t="array" ref="A601:A650">'Up Names'!M2:M51</f>
        <v>Cluster Bomb</v>
      </c>
      <c r="B601" s="251" t="s">
        <v>2359</v>
      </c>
      <c r="C601" s="252"/>
      <c r="D601" s="252"/>
      <c r="E601" s="252"/>
      <c r="F601" s="252"/>
      <c r="G601" s="252"/>
      <c r="H601" s="252"/>
      <c r="I601" s="252"/>
      <c r="J601" s="252"/>
    </row>
    <row r="602">
      <c r="A602" s="153" t="s">
        <v>162</v>
      </c>
      <c r="B602" s="253" t="s">
        <v>2172</v>
      </c>
      <c r="C602" s="253" t="s">
        <v>2361</v>
      </c>
      <c r="D602" s="252"/>
      <c r="E602" s="252"/>
      <c r="F602" s="252"/>
      <c r="G602" s="252"/>
      <c r="H602" s="252"/>
      <c r="I602" s="252"/>
      <c r="J602" s="252"/>
    </row>
    <row r="603">
      <c r="A603" s="155" t="s">
        <v>182</v>
      </c>
      <c r="B603" s="251" t="s">
        <v>2083</v>
      </c>
      <c r="C603" s="251" t="s">
        <v>12</v>
      </c>
      <c r="D603" s="251" t="s">
        <v>2149</v>
      </c>
      <c r="E603" s="252"/>
      <c r="F603" s="252"/>
      <c r="G603" s="252"/>
      <c r="H603" s="252"/>
      <c r="I603" s="252"/>
      <c r="J603" s="252"/>
    </row>
    <row r="604">
      <c r="A604" s="153" t="s">
        <v>202</v>
      </c>
      <c r="B604" s="253" t="s">
        <v>2362</v>
      </c>
      <c r="C604" s="253" t="s">
        <v>2242</v>
      </c>
      <c r="D604" s="253" t="s">
        <v>2363</v>
      </c>
      <c r="E604" s="252"/>
      <c r="F604" s="252"/>
      <c r="G604" s="252"/>
      <c r="H604" s="252"/>
      <c r="I604" s="252"/>
      <c r="J604" s="252"/>
    </row>
    <row r="605">
      <c r="A605" s="155" t="s">
        <v>222</v>
      </c>
      <c r="B605" s="251" t="s">
        <v>2364</v>
      </c>
      <c r="C605" s="251" t="s">
        <v>2365</v>
      </c>
      <c r="D605" s="252"/>
      <c r="E605" s="252"/>
      <c r="F605" s="252"/>
      <c r="G605" s="252"/>
      <c r="H605" s="252"/>
      <c r="I605" s="252"/>
      <c r="J605" s="252"/>
    </row>
    <row r="606">
      <c r="A606" s="153" t="s">
        <v>241</v>
      </c>
      <c r="B606" s="253" t="s">
        <v>2172</v>
      </c>
      <c r="C606" s="252"/>
      <c r="D606" s="252"/>
      <c r="E606" s="252"/>
      <c r="F606" s="252"/>
      <c r="G606" s="252"/>
      <c r="H606" s="252"/>
      <c r="I606" s="252"/>
      <c r="J606" s="252"/>
    </row>
    <row r="607">
      <c r="A607" s="155" t="s">
        <v>261</v>
      </c>
      <c r="B607" s="251" t="s">
        <v>2172</v>
      </c>
      <c r="C607" s="252"/>
      <c r="D607" s="252"/>
      <c r="E607" s="252"/>
      <c r="F607" s="252"/>
      <c r="G607" s="252"/>
      <c r="H607" s="252"/>
      <c r="I607" s="252"/>
      <c r="J607" s="252"/>
    </row>
    <row r="608">
      <c r="A608" s="153" t="s">
        <v>281</v>
      </c>
      <c r="B608" s="252"/>
      <c r="C608" s="252"/>
      <c r="D608" s="252"/>
      <c r="E608" s="252"/>
      <c r="F608" s="252"/>
      <c r="G608" s="252"/>
      <c r="H608" s="252"/>
      <c r="I608" s="252"/>
      <c r="J608" s="252"/>
    </row>
    <row r="609">
      <c r="A609" s="155" t="s">
        <v>301</v>
      </c>
      <c r="B609" s="251" t="s">
        <v>2318</v>
      </c>
      <c r="C609" s="251" t="s">
        <v>2366</v>
      </c>
      <c r="D609" s="252"/>
      <c r="E609" s="252"/>
      <c r="F609" s="252"/>
      <c r="G609" s="252"/>
      <c r="H609" s="252"/>
      <c r="I609" s="252"/>
      <c r="J609" s="252"/>
    </row>
    <row r="610">
      <c r="A610" s="153" t="s">
        <v>321</v>
      </c>
      <c r="B610" s="253" t="s">
        <v>2108</v>
      </c>
      <c r="C610" s="252"/>
      <c r="D610" s="252"/>
      <c r="E610" s="252"/>
      <c r="F610" s="252"/>
      <c r="G610" s="252"/>
      <c r="H610" s="252"/>
      <c r="I610" s="252"/>
      <c r="J610" s="252"/>
    </row>
    <row r="611">
      <c r="A611" s="155" t="s">
        <v>341</v>
      </c>
      <c r="B611" s="251" t="s">
        <v>2318</v>
      </c>
      <c r="C611" s="251" t="s">
        <v>2206</v>
      </c>
      <c r="D611" s="252"/>
      <c r="E611" s="252"/>
      <c r="F611" s="252"/>
      <c r="G611" s="252"/>
      <c r="H611" s="252"/>
      <c r="I611" s="252"/>
      <c r="J611" s="252"/>
    </row>
    <row r="612">
      <c r="A612" s="153" t="s">
        <v>361</v>
      </c>
      <c r="B612" s="253" t="s">
        <v>2068</v>
      </c>
      <c r="C612" s="253" t="s">
        <v>2206</v>
      </c>
      <c r="D612" s="252"/>
      <c r="E612" s="252"/>
      <c r="F612" s="252"/>
      <c r="G612" s="252"/>
      <c r="H612" s="252"/>
      <c r="I612" s="252"/>
      <c r="J612" s="252"/>
    </row>
    <row r="613">
      <c r="A613" s="155" t="s">
        <v>385</v>
      </c>
      <c r="B613" s="252"/>
      <c r="C613" s="252"/>
      <c r="D613" s="252"/>
      <c r="E613" s="252"/>
      <c r="F613" s="252"/>
      <c r="G613" s="252"/>
      <c r="H613" s="252"/>
      <c r="I613" s="252"/>
      <c r="J613" s="252"/>
    </row>
    <row r="614">
      <c r="A614" s="153" t="s">
        <v>412</v>
      </c>
      <c r="B614" s="253" t="s">
        <v>2068</v>
      </c>
      <c r="C614" s="252"/>
      <c r="D614" s="252"/>
      <c r="E614" s="252"/>
      <c r="F614" s="252"/>
      <c r="G614" s="252"/>
      <c r="H614" s="252"/>
      <c r="I614" s="252"/>
      <c r="J614" s="252"/>
    </row>
    <row r="615">
      <c r="A615" s="155" t="s">
        <v>440</v>
      </c>
      <c r="B615" s="251" t="s">
        <v>2074</v>
      </c>
      <c r="C615" s="252"/>
      <c r="D615" s="252"/>
      <c r="E615" s="252"/>
      <c r="F615" s="252"/>
      <c r="G615" s="252"/>
      <c r="H615" s="252"/>
      <c r="I615" s="252"/>
      <c r="J615" s="252"/>
    </row>
    <row r="616">
      <c r="A616" s="153" t="s">
        <v>467</v>
      </c>
      <c r="B616" s="253" t="s">
        <v>2112</v>
      </c>
      <c r="C616" s="252"/>
      <c r="D616" s="252"/>
      <c r="E616" s="252"/>
      <c r="F616" s="252"/>
      <c r="G616" s="252"/>
      <c r="H616" s="252"/>
      <c r="I616" s="252"/>
      <c r="J616" s="252"/>
    </row>
    <row r="617">
      <c r="A617" s="155" t="s">
        <v>497</v>
      </c>
      <c r="B617" s="251" t="s">
        <v>2149</v>
      </c>
      <c r="C617" s="252"/>
      <c r="D617" s="252"/>
      <c r="E617" s="252"/>
      <c r="F617" s="252"/>
      <c r="G617" s="252"/>
      <c r="H617" s="252"/>
      <c r="I617" s="252"/>
      <c r="J617" s="252"/>
    </row>
    <row r="618">
      <c r="A618" s="153" t="s">
        <v>520</v>
      </c>
      <c r="B618" s="253" t="s">
        <v>2370</v>
      </c>
      <c r="C618" s="252"/>
      <c r="D618" s="252"/>
      <c r="E618" s="252"/>
      <c r="F618" s="252"/>
      <c r="G618" s="252"/>
      <c r="H618" s="252"/>
      <c r="I618" s="252"/>
      <c r="J618" s="252"/>
    </row>
    <row r="619">
      <c r="A619" s="155" t="s">
        <v>539</v>
      </c>
      <c r="B619" s="251" t="s">
        <v>2318</v>
      </c>
      <c r="C619" s="252"/>
      <c r="D619" s="252"/>
      <c r="E619" s="252"/>
      <c r="F619" s="252"/>
      <c r="G619" s="252"/>
      <c r="H619" s="252"/>
      <c r="I619" s="252"/>
      <c r="J619" s="252"/>
    </row>
    <row r="620">
      <c r="A620" s="153" t="s">
        <v>559</v>
      </c>
      <c r="B620" s="273" t="s">
        <v>2068</v>
      </c>
      <c r="C620" s="253" t="s">
        <v>2108</v>
      </c>
      <c r="D620" s="252"/>
      <c r="E620" s="252"/>
      <c r="F620" s="252"/>
      <c r="G620" s="252"/>
      <c r="H620" s="252"/>
      <c r="I620" s="252"/>
      <c r="J620" s="252"/>
    </row>
    <row r="621">
      <c r="A621" s="155" t="s">
        <v>583</v>
      </c>
      <c r="B621" s="274"/>
      <c r="C621" s="252"/>
      <c r="D621" s="252"/>
      <c r="E621" s="252"/>
      <c r="F621" s="252"/>
      <c r="G621" s="252"/>
      <c r="H621" s="252"/>
      <c r="I621" s="252"/>
      <c r="J621" s="252"/>
    </row>
    <row r="622">
      <c r="A622" s="153" t="s">
        <v>607</v>
      </c>
      <c r="B622" s="274"/>
      <c r="C622" s="274"/>
      <c r="D622" s="252"/>
      <c r="E622" s="252"/>
      <c r="F622" s="252"/>
      <c r="G622" s="252"/>
      <c r="H622" s="252"/>
      <c r="I622" s="252"/>
      <c r="J622" s="252"/>
    </row>
    <row r="623">
      <c r="A623" s="155" t="s">
        <v>627</v>
      </c>
      <c r="B623" s="274"/>
      <c r="C623" s="274"/>
      <c r="D623" s="252"/>
      <c r="E623" s="252"/>
      <c r="F623" s="252"/>
      <c r="G623" s="252"/>
      <c r="H623" s="252"/>
      <c r="I623" s="252"/>
      <c r="J623" s="252"/>
    </row>
    <row r="624">
      <c r="A624" s="153" t="s">
        <v>653</v>
      </c>
      <c r="B624" s="274"/>
      <c r="C624" s="274"/>
      <c r="D624" s="252"/>
      <c r="E624" s="252"/>
      <c r="F624" s="252"/>
      <c r="G624" s="252"/>
      <c r="H624" s="252"/>
      <c r="I624" s="252"/>
      <c r="J624" s="252"/>
    </row>
    <row r="625">
      <c r="A625" s="155" t="s">
        <v>503</v>
      </c>
      <c r="B625" s="274"/>
      <c r="C625" s="274"/>
      <c r="D625" s="252"/>
      <c r="E625" s="252"/>
      <c r="F625" s="252"/>
      <c r="G625" s="252"/>
      <c r="H625" s="252"/>
      <c r="I625" s="252"/>
      <c r="J625" s="252"/>
    </row>
    <row r="626">
      <c r="A626" s="153" t="s">
        <v>511</v>
      </c>
      <c r="B626" s="274"/>
      <c r="C626" s="274"/>
      <c r="D626" s="252"/>
      <c r="E626" s="252"/>
      <c r="F626" s="252"/>
      <c r="G626" s="252"/>
      <c r="H626" s="252"/>
      <c r="I626" s="252"/>
      <c r="J626" s="252"/>
    </row>
    <row r="627">
      <c r="A627" s="155" t="s">
        <v>516</v>
      </c>
      <c r="B627" s="274"/>
      <c r="C627" s="274"/>
      <c r="D627" s="252"/>
      <c r="E627" s="252"/>
      <c r="F627" s="252"/>
      <c r="G627" s="252"/>
      <c r="H627" s="252"/>
      <c r="I627" s="252"/>
      <c r="J627" s="252"/>
    </row>
    <row r="628">
      <c r="A628" s="153"/>
      <c r="B628" s="274"/>
      <c r="C628" s="274"/>
      <c r="D628" s="252"/>
      <c r="E628" s="252"/>
      <c r="F628" s="252"/>
      <c r="G628" s="252"/>
      <c r="H628" s="252"/>
      <c r="I628" s="252"/>
      <c r="J628" s="252"/>
    </row>
    <row r="629">
      <c r="A629" s="155"/>
      <c r="B629" s="274"/>
      <c r="C629" s="274"/>
      <c r="D629" s="252"/>
      <c r="E629" s="252"/>
      <c r="F629" s="252"/>
      <c r="G629" s="252"/>
      <c r="H629" s="252"/>
      <c r="I629" s="252"/>
      <c r="J629" s="252"/>
    </row>
    <row r="630">
      <c r="A630" s="153"/>
      <c r="B630" s="274"/>
      <c r="C630" s="274"/>
      <c r="D630" s="252"/>
      <c r="E630" s="252"/>
      <c r="F630" s="252"/>
      <c r="G630" s="252"/>
      <c r="H630" s="252"/>
      <c r="I630" s="252"/>
      <c r="J630" s="252"/>
    </row>
    <row r="631">
      <c r="A631" s="155"/>
      <c r="B631" s="274"/>
      <c r="C631" s="274"/>
      <c r="D631" s="252"/>
      <c r="E631" s="252"/>
      <c r="F631" s="252"/>
      <c r="G631" s="252"/>
      <c r="H631" s="252"/>
      <c r="I631" s="252"/>
      <c r="J631" s="252"/>
    </row>
    <row r="632">
      <c r="A632" s="153"/>
      <c r="B632" s="274"/>
      <c r="C632" s="274"/>
      <c r="D632" s="252"/>
      <c r="E632" s="252"/>
      <c r="F632" s="252"/>
      <c r="G632" s="252"/>
      <c r="H632" s="252"/>
      <c r="I632" s="252"/>
      <c r="J632" s="252"/>
    </row>
    <row r="633">
      <c r="A633" s="155"/>
      <c r="B633" s="274"/>
      <c r="C633" s="274"/>
      <c r="D633" s="252"/>
      <c r="E633" s="252"/>
      <c r="F633" s="252"/>
      <c r="G633" s="252"/>
      <c r="H633" s="252"/>
      <c r="I633" s="252"/>
      <c r="J633" s="252"/>
    </row>
    <row r="634">
      <c r="A634" s="153"/>
      <c r="B634" s="274"/>
      <c r="C634" s="274"/>
      <c r="D634" s="252"/>
      <c r="E634" s="252"/>
      <c r="F634" s="252"/>
      <c r="G634" s="252"/>
      <c r="H634" s="252"/>
      <c r="I634" s="252"/>
      <c r="J634" s="252"/>
    </row>
    <row r="635">
      <c r="A635" s="155"/>
      <c r="B635" s="274"/>
      <c r="C635" s="274"/>
      <c r="D635" s="252"/>
      <c r="E635" s="252"/>
      <c r="F635" s="252"/>
      <c r="G635" s="252"/>
      <c r="H635" s="252"/>
      <c r="I635" s="252"/>
      <c r="J635" s="252"/>
    </row>
    <row r="636">
      <c r="A636" s="153"/>
      <c r="B636" s="274"/>
      <c r="C636" s="274"/>
      <c r="D636" s="252"/>
      <c r="E636" s="252"/>
      <c r="F636" s="252"/>
      <c r="G636" s="252"/>
      <c r="H636" s="252"/>
      <c r="I636" s="252"/>
      <c r="J636" s="252"/>
    </row>
    <row r="637">
      <c r="A637" s="155"/>
      <c r="B637" s="274"/>
      <c r="C637" s="274"/>
      <c r="D637" s="252"/>
      <c r="E637" s="252"/>
      <c r="F637" s="252"/>
      <c r="G637" s="252"/>
      <c r="H637" s="252"/>
      <c r="I637" s="252"/>
      <c r="J637" s="252"/>
    </row>
    <row r="638">
      <c r="A638" s="153"/>
      <c r="B638" s="274"/>
      <c r="C638" s="274"/>
      <c r="D638" s="252"/>
      <c r="E638" s="252"/>
      <c r="F638" s="252"/>
      <c r="G638" s="252"/>
      <c r="H638" s="252"/>
      <c r="I638" s="252"/>
      <c r="J638" s="252"/>
    </row>
    <row r="639">
      <c r="A639" s="155"/>
      <c r="B639" s="274"/>
      <c r="C639" s="274"/>
      <c r="D639" s="252"/>
      <c r="E639" s="252"/>
      <c r="F639" s="252"/>
      <c r="G639" s="252"/>
      <c r="H639" s="252"/>
      <c r="I639" s="252"/>
      <c r="J639" s="252"/>
    </row>
    <row r="640">
      <c r="A640" s="153"/>
      <c r="B640" s="274"/>
      <c r="C640" s="274"/>
      <c r="D640" s="252"/>
      <c r="E640" s="252"/>
      <c r="F640" s="252"/>
      <c r="G640" s="252"/>
      <c r="H640" s="252"/>
      <c r="I640" s="252"/>
      <c r="J640" s="252"/>
    </row>
    <row r="641">
      <c r="A641" s="155"/>
      <c r="B641" s="274"/>
      <c r="C641" s="274"/>
      <c r="D641" s="252"/>
      <c r="E641" s="252"/>
      <c r="F641" s="252"/>
      <c r="G641" s="252"/>
      <c r="H641" s="252"/>
      <c r="I641" s="252"/>
      <c r="J641" s="252"/>
    </row>
    <row r="642">
      <c r="A642" s="153"/>
      <c r="B642" s="274"/>
      <c r="C642" s="274"/>
      <c r="D642" s="252"/>
      <c r="E642" s="252"/>
      <c r="F642" s="252"/>
      <c r="G642" s="252"/>
      <c r="H642" s="252"/>
      <c r="I642" s="252"/>
      <c r="J642" s="252"/>
    </row>
    <row r="643">
      <c r="A643" s="155"/>
      <c r="B643" s="274"/>
      <c r="C643" s="274"/>
      <c r="D643" s="252"/>
      <c r="E643" s="252"/>
      <c r="F643" s="252"/>
      <c r="G643" s="252"/>
      <c r="H643" s="252"/>
      <c r="I643" s="252"/>
      <c r="J643" s="252"/>
    </row>
    <row r="644">
      <c r="A644" s="153"/>
      <c r="B644" s="274"/>
      <c r="C644" s="274"/>
      <c r="D644" s="252"/>
      <c r="E644" s="252"/>
      <c r="F644" s="252"/>
      <c r="G644" s="252"/>
      <c r="H644" s="252"/>
      <c r="I644" s="252"/>
      <c r="J644" s="252"/>
    </row>
    <row r="645">
      <c r="A645" s="155"/>
      <c r="B645" s="274"/>
      <c r="C645" s="274"/>
      <c r="D645" s="252"/>
      <c r="E645" s="252"/>
      <c r="F645" s="252"/>
      <c r="G645" s="252"/>
      <c r="H645" s="252"/>
      <c r="I645" s="252"/>
      <c r="J645" s="252"/>
    </row>
    <row r="646">
      <c r="A646" s="153"/>
      <c r="B646" s="274"/>
      <c r="C646" s="274"/>
      <c r="D646" s="252"/>
      <c r="E646" s="252"/>
      <c r="F646" s="252"/>
      <c r="G646" s="252"/>
      <c r="H646" s="252"/>
      <c r="I646" s="252"/>
      <c r="J646" s="252"/>
    </row>
    <row r="647">
      <c r="A647" s="155"/>
      <c r="B647" s="274"/>
      <c r="C647" s="274"/>
      <c r="D647" s="252"/>
      <c r="E647" s="252"/>
      <c r="F647" s="252"/>
      <c r="G647" s="252"/>
      <c r="H647" s="252"/>
      <c r="I647" s="252"/>
      <c r="J647" s="252"/>
    </row>
    <row r="648">
      <c r="A648" s="153"/>
      <c r="B648" s="274"/>
      <c r="C648" s="274"/>
      <c r="D648" s="252"/>
      <c r="E648" s="252"/>
      <c r="F648" s="252"/>
      <c r="G648" s="252"/>
      <c r="H648" s="252"/>
      <c r="I648" s="252"/>
      <c r="J648" s="252"/>
    </row>
    <row r="649">
      <c r="A649" s="155"/>
      <c r="B649" s="274"/>
      <c r="C649" s="274"/>
      <c r="D649" s="252"/>
      <c r="E649" s="252"/>
      <c r="F649" s="252"/>
      <c r="G649" s="252"/>
      <c r="H649" s="252"/>
      <c r="I649" s="252"/>
      <c r="J649" s="252"/>
    </row>
    <row r="650">
      <c r="A650" s="162"/>
      <c r="B650" s="274"/>
      <c r="C650" s="274"/>
      <c r="D650" s="252"/>
      <c r="E650" s="252"/>
      <c r="F650" s="252"/>
      <c r="G650" s="252"/>
      <c r="H650" s="252"/>
      <c r="I650" s="252"/>
      <c r="J650" s="252"/>
    </row>
    <row r="651">
      <c r="A651" s="150" t="str">
        <f t="array" ref="A651:A700">'Up Names'!N2:N51</f>
        <v>Flash Storm</v>
      </c>
      <c r="B651" s="259" t="s">
        <v>2214</v>
      </c>
      <c r="C651" s="274"/>
      <c r="D651" s="252"/>
      <c r="E651" s="252"/>
      <c r="F651" s="252"/>
      <c r="G651" s="252"/>
      <c r="H651" s="252"/>
      <c r="I651" s="252"/>
      <c r="J651" s="252"/>
    </row>
    <row r="652">
      <c r="A652" s="153" t="s">
        <v>163</v>
      </c>
      <c r="B652" s="273" t="s">
        <v>2318</v>
      </c>
      <c r="C652" s="273" t="s">
        <v>2108</v>
      </c>
      <c r="D652" s="253" t="s">
        <v>2068</v>
      </c>
      <c r="E652" s="252"/>
      <c r="F652" s="252"/>
      <c r="G652" s="252"/>
      <c r="H652" s="252"/>
      <c r="I652" s="252"/>
      <c r="J652" s="252"/>
    </row>
    <row r="653">
      <c r="A653" s="155" t="s">
        <v>183</v>
      </c>
      <c r="B653" s="259" t="s">
        <v>2085</v>
      </c>
      <c r="C653" s="259" t="s">
        <v>2381</v>
      </c>
      <c r="D653" s="251" t="s">
        <v>2084</v>
      </c>
      <c r="E653" s="252"/>
      <c r="F653" s="252"/>
      <c r="G653" s="252"/>
      <c r="H653" s="252"/>
      <c r="I653" s="252"/>
      <c r="J653" s="252"/>
    </row>
    <row r="654">
      <c r="A654" s="153" t="s">
        <v>203</v>
      </c>
      <c r="B654" s="273" t="s">
        <v>2084</v>
      </c>
      <c r="C654" s="274"/>
      <c r="D654" s="252"/>
      <c r="E654" s="252"/>
      <c r="F654" s="252"/>
      <c r="G654" s="252"/>
      <c r="H654" s="252"/>
      <c r="I654" s="252"/>
      <c r="J654" s="252"/>
    </row>
    <row r="655">
      <c r="A655" s="155" t="s">
        <v>223</v>
      </c>
      <c r="B655" s="259" t="s">
        <v>2116</v>
      </c>
      <c r="C655" s="274"/>
      <c r="D655" s="252"/>
      <c r="E655" s="252"/>
      <c r="F655" s="252"/>
      <c r="G655" s="252"/>
      <c r="H655" s="252"/>
      <c r="I655" s="252"/>
      <c r="J655" s="252"/>
    </row>
    <row r="656">
      <c r="A656" s="153" t="s">
        <v>242</v>
      </c>
      <c r="B656" s="273" t="s">
        <v>2172</v>
      </c>
      <c r="C656" s="274"/>
      <c r="D656" s="252"/>
      <c r="E656" s="252"/>
      <c r="F656" s="252"/>
      <c r="G656" s="252"/>
      <c r="H656" s="252"/>
      <c r="I656" s="252"/>
      <c r="J656" s="252"/>
    </row>
    <row r="657">
      <c r="A657" s="155" t="s">
        <v>262</v>
      </c>
      <c r="B657" s="259" t="s">
        <v>2068</v>
      </c>
      <c r="C657" s="274"/>
      <c r="D657" s="252"/>
      <c r="E657" s="252"/>
      <c r="F657" s="252"/>
      <c r="G657" s="252"/>
      <c r="H657" s="252"/>
      <c r="I657" s="252"/>
      <c r="J657" s="252"/>
    </row>
    <row r="658">
      <c r="A658" s="153" t="s">
        <v>282</v>
      </c>
      <c r="B658" s="273" t="s">
        <v>2116</v>
      </c>
      <c r="C658" s="274"/>
      <c r="D658" s="252"/>
      <c r="E658" s="252"/>
      <c r="F658" s="252"/>
      <c r="G658" s="252"/>
      <c r="H658" s="252"/>
      <c r="I658" s="252"/>
      <c r="J658" s="252"/>
    </row>
    <row r="659">
      <c r="A659" s="155" t="s">
        <v>302</v>
      </c>
      <c r="B659" s="259" t="s">
        <v>2084</v>
      </c>
      <c r="C659" s="274"/>
      <c r="D659" s="252"/>
      <c r="E659" s="252"/>
      <c r="F659" s="252"/>
      <c r="G659" s="252"/>
      <c r="H659" s="252"/>
      <c r="I659" s="252"/>
      <c r="J659" s="252"/>
    </row>
    <row r="660">
      <c r="A660" s="153" t="s">
        <v>322</v>
      </c>
      <c r="B660" s="273" t="s">
        <v>2384</v>
      </c>
      <c r="C660" s="274"/>
      <c r="D660" s="252"/>
      <c r="E660" s="252"/>
      <c r="F660" s="252"/>
      <c r="G660" s="252"/>
      <c r="H660" s="252"/>
      <c r="I660" s="252"/>
      <c r="J660" s="252"/>
    </row>
    <row r="661">
      <c r="A661" s="155" t="s">
        <v>342</v>
      </c>
      <c r="B661" s="259" t="s">
        <v>2116</v>
      </c>
      <c r="C661" s="274"/>
      <c r="D661" s="252"/>
      <c r="E661" s="252"/>
      <c r="F661" s="252"/>
      <c r="G661" s="252"/>
      <c r="H661" s="252"/>
      <c r="I661" s="252"/>
      <c r="J661" s="252"/>
    </row>
    <row r="662">
      <c r="A662" s="153" t="s">
        <v>362</v>
      </c>
      <c r="B662" s="273" t="s">
        <v>2068</v>
      </c>
      <c r="C662" s="274"/>
      <c r="D662" s="252"/>
      <c r="E662" s="252"/>
      <c r="F662" s="252"/>
      <c r="G662" s="252"/>
      <c r="H662" s="252"/>
      <c r="I662" s="252"/>
      <c r="J662" s="252"/>
    </row>
    <row r="663">
      <c r="A663" s="155" t="s">
        <v>387</v>
      </c>
      <c r="B663" s="259" t="s">
        <v>2084</v>
      </c>
      <c r="C663" s="274"/>
      <c r="D663" s="252"/>
      <c r="E663" s="252"/>
      <c r="F663" s="252"/>
      <c r="G663" s="252"/>
      <c r="H663" s="252"/>
      <c r="I663" s="252"/>
      <c r="J663" s="252"/>
    </row>
    <row r="664">
      <c r="A664" s="153" t="s">
        <v>413</v>
      </c>
      <c r="B664" s="274"/>
      <c r="C664" s="274"/>
      <c r="D664" s="252"/>
      <c r="E664" s="252"/>
      <c r="F664" s="252"/>
      <c r="G664" s="252"/>
      <c r="H664" s="252"/>
      <c r="I664" s="252"/>
      <c r="J664" s="252"/>
    </row>
    <row r="665">
      <c r="A665" s="155" t="s">
        <v>441</v>
      </c>
      <c r="B665" s="259" t="s">
        <v>2145</v>
      </c>
      <c r="C665" s="274"/>
      <c r="D665" s="252"/>
      <c r="E665" s="252"/>
      <c r="F665" s="252"/>
      <c r="G665" s="252"/>
      <c r="H665" s="252"/>
      <c r="I665" s="252"/>
      <c r="J665" s="252"/>
    </row>
    <row r="666">
      <c r="A666" s="153" t="s">
        <v>469</v>
      </c>
      <c r="B666" s="274"/>
      <c r="C666" s="274"/>
      <c r="D666" s="252"/>
      <c r="E666" s="252"/>
      <c r="F666" s="252"/>
      <c r="G666" s="252"/>
      <c r="H666" s="252"/>
      <c r="I666" s="252"/>
      <c r="J666" s="252"/>
    </row>
    <row r="667">
      <c r="A667" s="155" t="s">
        <v>498</v>
      </c>
      <c r="B667" s="274"/>
      <c r="C667" s="274"/>
      <c r="D667" s="252"/>
      <c r="E667" s="252"/>
      <c r="F667" s="252"/>
      <c r="G667" s="252"/>
      <c r="H667" s="252"/>
      <c r="I667" s="252"/>
      <c r="J667" s="252"/>
    </row>
    <row r="668">
      <c r="A668" s="153" t="s">
        <v>521</v>
      </c>
      <c r="B668" s="273" t="s">
        <v>2108</v>
      </c>
      <c r="C668" s="274"/>
      <c r="D668" s="252"/>
      <c r="E668" s="252"/>
      <c r="F668" s="252"/>
      <c r="G668" s="252"/>
      <c r="H668" s="252"/>
      <c r="I668" s="252"/>
      <c r="J668" s="252"/>
    </row>
    <row r="669">
      <c r="A669" s="155" t="s">
        <v>540</v>
      </c>
      <c r="B669" s="259" t="s">
        <v>2093</v>
      </c>
      <c r="C669" s="274"/>
      <c r="D669" s="252"/>
      <c r="E669" s="252"/>
      <c r="F669" s="252"/>
      <c r="G669" s="252"/>
      <c r="H669" s="252"/>
      <c r="I669" s="252"/>
      <c r="J669" s="252"/>
    </row>
    <row r="670">
      <c r="A670" s="153" t="s">
        <v>560</v>
      </c>
      <c r="B670" s="273" t="s">
        <v>2370</v>
      </c>
      <c r="C670" s="274"/>
      <c r="D670" s="252"/>
      <c r="E670" s="252"/>
      <c r="F670" s="252"/>
      <c r="G670" s="252"/>
      <c r="H670" s="252"/>
      <c r="I670" s="252"/>
      <c r="J670" s="252"/>
    </row>
    <row r="671">
      <c r="A671" s="155" t="s">
        <v>583</v>
      </c>
      <c r="B671" s="274"/>
      <c r="C671" s="274"/>
      <c r="D671" s="252"/>
      <c r="E671" s="252"/>
      <c r="F671" s="252"/>
      <c r="G671" s="252"/>
      <c r="H671" s="252"/>
      <c r="I671" s="252"/>
      <c r="J671" s="252"/>
    </row>
    <row r="672">
      <c r="A672" s="153" t="s">
        <v>607</v>
      </c>
      <c r="B672" s="274"/>
      <c r="C672" s="274"/>
      <c r="D672" s="252"/>
      <c r="E672" s="252"/>
      <c r="F672" s="252"/>
      <c r="G672" s="252"/>
      <c r="H672" s="252"/>
      <c r="I672" s="252"/>
      <c r="J672" s="252"/>
    </row>
    <row r="673">
      <c r="A673" s="155" t="s">
        <v>627</v>
      </c>
      <c r="B673" s="274"/>
      <c r="C673" s="274"/>
      <c r="D673" s="252"/>
      <c r="E673" s="252"/>
      <c r="F673" s="252"/>
      <c r="G673" s="252"/>
      <c r="H673" s="252"/>
      <c r="I673" s="252"/>
      <c r="J673" s="252"/>
    </row>
    <row r="674">
      <c r="A674" s="153" t="s">
        <v>653</v>
      </c>
      <c r="B674" s="274"/>
      <c r="C674" s="274"/>
      <c r="D674" s="252"/>
      <c r="E674" s="252"/>
      <c r="F674" s="252"/>
      <c r="G674" s="252"/>
      <c r="H674" s="252"/>
      <c r="I674" s="252"/>
      <c r="J674" s="252"/>
    </row>
    <row r="675">
      <c r="A675" s="155" t="s">
        <v>503</v>
      </c>
      <c r="B675" s="274"/>
      <c r="C675" s="274"/>
      <c r="D675" s="252"/>
      <c r="E675" s="252"/>
      <c r="F675" s="252"/>
      <c r="G675" s="252"/>
      <c r="H675" s="252"/>
      <c r="I675" s="252"/>
      <c r="J675" s="252"/>
    </row>
    <row r="676">
      <c r="A676" s="153" t="s">
        <v>511</v>
      </c>
      <c r="B676" s="274"/>
      <c r="C676" s="274"/>
      <c r="D676" s="252"/>
      <c r="E676" s="252"/>
      <c r="F676" s="252"/>
      <c r="G676" s="252"/>
      <c r="H676" s="252"/>
      <c r="I676" s="252"/>
      <c r="J676" s="252"/>
    </row>
    <row r="677">
      <c r="A677" s="155" t="s">
        <v>516</v>
      </c>
      <c r="B677" s="274"/>
      <c r="C677" s="274"/>
      <c r="D677" s="252"/>
      <c r="E677" s="252"/>
      <c r="F677" s="252"/>
      <c r="G677" s="252"/>
      <c r="H677" s="252"/>
      <c r="I677" s="252"/>
      <c r="J677" s="252"/>
    </row>
    <row r="678">
      <c r="A678" s="153"/>
      <c r="B678" s="274"/>
      <c r="C678" s="274"/>
      <c r="D678" s="252"/>
      <c r="E678" s="252"/>
      <c r="F678" s="252"/>
      <c r="G678" s="252"/>
      <c r="H678" s="252"/>
      <c r="I678" s="252"/>
      <c r="J678" s="252"/>
    </row>
    <row r="679">
      <c r="A679" s="155"/>
      <c r="B679" s="274"/>
      <c r="C679" s="274"/>
      <c r="D679" s="252"/>
      <c r="E679" s="252"/>
      <c r="F679" s="252"/>
      <c r="G679" s="252"/>
      <c r="H679" s="252"/>
      <c r="I679" s="252"/>
      <c r="J679" s="252"/>
    </row>
    <row r="680">
      <c r="A680" s="153"/>
      <c r="B680" s="274"/>
      <c r="C680" s="274"/>
      <c r="D680" s="252"/>
      <c r="E680" s="252"/>
      <c r="F680" s="252"/>
      <c r="G680" s="252"/>
      <c r="H680" s="252"/>
      <c r="I680" s="252"/>
      <c r="J680" s="252"/>
    </row>
    <row r="681">
      <c r="A681" s="155"/>
      <c r="B681" s="274"/>
      <c r="C681" s="274"/>
      <c r="D681" s="252"/>
      <c r="E681" s="252"/>
      <c r="F681" s="252"/>
      <c r="G681" s="252"/>
      <c r="H681" s="252"/>
      <c r="I681" s="252"/>
      <c r="J681" s="252"/>
    </row>
    <row r="682">
      <c r="A682" s="153"/>
      <c r="B682" s="274"/>
      <c r="C682" s="274"/>
      <c r="D682" s="252"/>
      <c r="E682" s="252"/>
      <c r="F682" s="252"/>
      <c r="G682" s="252"/>
      <c r="H682" s="252"/>
      <c r="I682" s="252"/>
      <c r="J682" s="252"/>
    </row>
    <row r="683">
      <c r="A683" s="155"/>
      <c r="B683" s="274"/>
      <c r="C683" s="274"/>
      <c r="D683" s="252"/>
      <c r="E683" s="252"/>
      <c r="F683" s="252"/>
      <c r="G683" s="252"/>
      <c r="H683" s="252"/>
      <c r="I683" s="252"/>
      <c r="J683" s="252"/>
    </row>
    <row r="684">
      <c r="A684" s="153"/>
      <c r="B684" s="274"/>
      <c r="C684" s="274"/>
      <c r="D684" s="252"/>
      <c r="E684" s="252"/>
      <c r="F684" s="252"/>
      <c r="G684" s="252"/>
      <c r="H684" s="252"/>
      <c r="I684" s="252"/>
      <c r="J684" s="252"/>
    </row>
    <row r="685">
      <c r="A685" s="155"/>
      <c r="B685" s="274"/>
      <c r="C685" s="274"/>
      <c r="D685" s="252"/>
      <c r="E685" s="252"/>
      <c r="F685" s="252"/>
      <c r="G685" s="252"/>
      <c r="H685" s="252"/>
      <c r="I685" s="252"/>
      <c r="J685" s="252"/>
    </row>
    <row r="686">
      <c r="A686" s="153"/>
      <c r="B686" s="274"/>
      <c r="C686" s="274"/>
      <c r="D686" s="252"/>
      <c r="E686" s="252"/>
      <c r="F686" s="252"/>
      <c r="G686" s="252"/>
      <c r="H686" s="252"/>
      <c r="I686" s="252"/>
      <c r="J686" s="252"/>
    </row>
    <row r="687">
      <c r="A687" s="155"/>
      <c r="B687" s="274"/>
      <c r="C687" s="274"/>
      <c r="D687" s="252"/>
      <c r="E687" s="252"/>
      <c r="F687" s="252"/>
      <c r="G687" s="252"/>
      <c r="H687" s="252"/>
      <c r="I687" s="252"/>
      <c r="J687" s="252"/>
    </row>
    <row r="688">
      <c r="A688" s="153"/>
      <c r="B688" s="274"/>
      <c r="C688" s="274"/>
      <c r="D688" s="252"/>
      <c r="E688" s="252"/>
      <c r="F688" s="252"/>
      <c r="G688" s="252"/>
      <c r="H688" s="252"/>
      <c r="I688" s="252"/>
      <c r="J688" s="252"/>
    </row>
    <row r="689">
      <c r="A689" s="155"/>
      <c r="B689" s="274"/>
      <c r="C689" s="274"/>
      <c r="D689" s="252"/>
      <c r="E689" s="252"/>
      <c r="F689" s="252"/>
      <c r="G689" s="252"/>
      <c r="H689" s="252"/>
      <c r="I689" s="252"/>
      <c r="J689" s="252"/>
    </row>
    <row r="690">
      <c r="A690" s="153"/>
      <c r="B690" s="274"/>
      <c r="C690" s="274"/>
      <c r="D690" s="252"/>
      <c r="E690" s="252"/>
      <c r="F690" s="252"/>
      <c r="G690" s="252"/>
      <c r="H690" s="252"/>
      <c r="I690" s="252"/>
      <c r="J690" s="252"/>
    </row>
    <row r="691">
      <c r="A691" s="155"/>
      <c r="B691" s="274"/>
      <c r="C691" s="274"/>
      <c r="D691" s="252"/>
      <c r="E691" s="252"/>
      <c r="F691" s="252"/>
      <c r="G691" s="252"/>
      <c r="H691" s="252"/>
      <c r="I691" s="252"/>
      <c r="J691" s="252"/>
    </row>
    <row r="692">
      <c r="A692" s="153"/>
      <c r="B692" s="274"/>
      <c r="C692" s="274"/>
      <c r="D692" s="252"/>
      <c r="E692" s="252"/>
      <c r="F692" s="252"/>
      <c r="G692" s="252"/>
      <c r="H692" s="252"/>
      <c r="I692" s="252"/>
      <c r="J692" s="252"/>
    </row>
    <row r="693">
      <c r="A693" s="155"/>
      <c r="B693" s="274"/>
      <c r="C693" s="274"/>
      <c r="D693" s="252"/>
      <c r="E693" s="252"/>
      <c r="F693" s="252"/>
      <c r="G693" s="252"/>
      <c r="H693" s="252"/>
      <c r="I693" s="252"/>
      <c r="J693" s="252"/>
    </row>
    <row r="694">
      <c r="A694" s="153"/>
      <c r="B694" s="274"/>
      <c r="C694" s="274"/>
      <c r="D694" s="252"/>
      <c r="E694" s="252"/>
      <c r="F694" s="252"/>
      <c r="G694" s="252"/>
      <c r="H694" s="252"/>
      <c r="I694" s="252"/>
      <c r="J694" s="252"/>
    </row>
    <row r="695">
      <c r="A695" s="155"/>
      <c r="B695" s="274"/>
      <c r="C695" s="274"/>
      <c r="D695" s="252"/>
      <c r="E695" s="252"/>
      <c r="F695" s="252"/>
      <c r="G695" s="252"/>
      <c r="H695" s="252"/>
      <c r="I695" s="252"/>
      <c r="J695" s="252"/>
    </row>
    <row r="696">
      <c r="A696" s="153"/>
      <c r="B696" s="274"/>
      <c r="C696" s="274"/>
      <c r="D696" s="252"/>
      <c r="E696" s="252"/>
      <c r="F696" s="252"/>
      <c r="G696" s="252"/>
      <c r="H696" s="252"/>
      <c r="I696" s="252"/>
      <c r="J696" s="252"/>
    </row>
    <row r="697">
      <c r="A697" s="155"/>
      <c r="B697" s="274"/>
      <c r="C697" s="274"/>
      <c r="D697" s="252"/>
      <c r="E697" s="252"/>
      <c r="F697" s="252"/>
      <c r="G697" s="252"/>
      <c r="H697" s="252"/>
      <c r="I697" s="252"/>
      <c r="J697" s="252"/>
    </row>
    <row r="698">
      <c r="A698" s="153"/>
      <c r="B698" s="274"/>
      <c r="C698" s="274"/>
      <c r="D698" s="252"/>
      <c r="E698" s="252"/>
      <c r="F698" s="252"/>
      <c r="G698" s="252"/>
      <c r="H698" s="252"/>
      <c r="I698" s="252"/>
      <c r="J698" s="252"/>
    </row>
    <row r="699">
      <c r="A699" s="155"/>
      <c r="B699" s="274"/>
      <c r="C699" s="274"/>
      <c r="D699" s="252"/>
      <c r="E699" s="252"/>
      <c r="F699" s="252"/>
      <c r="G699" s="252"/>
      <c r="H699" s="252"/>
      <c r="I699" s="252"/>
      <c r="J699" s="252"/>
    </row>
    <row r="700">
      <c r="A700" s="162"/>
      <c r="B700" s="274"/>
      <c r="C700" s="274"/>
      <c r="D700" s="252"/>
      <c r="E700" s="252"/>
      <c r="F700" s="252"/>
      <c r="G700" s="252"/>
      <c r="H700" s="252"/>
      <c r="I700" s="252"/>
      <c r="J700" s="252"/>
    </row>
    <row r="701">
      <c r="A701" s="150" t="str">
        <f t="array" ref="A701:A750">'Up Names'!O2:O51</f>
        <v>Connected Systems</v>
      </c>
      <c r="B701" s="274"/>
      <c r="C701" s="274"/>
      <c r="D701" s="252"/>
      <c r="E701" s="252"/>
      <c r="F701" s="252"/>
      <c r="G701" s="252"/>
      <c r="H701" s="252"/>
      <c r="I701" s="252"/>
      <c r="J701" s="252"/>
    </row>
    <row r="702">
      <c r="A702" s="153" t="s">
        <v>164</v>
      </c>
      <c r="B702" s="273" t="s">
        <v>2318</v>
      </c>
      <c r="C702" s="274"/>
      <c r="D702" s="252"/>
      <c r="E702" s="252"/>
      <c r="F702" s="252"/>
      <c r="G702" s="252"/>
      <c r="H702" s="252"/>
      <c r="I702" s="252"/>
      <c r="J702" s="252"/>
    </row>
    <row r="703">
      <c r="A703" s="155" t="s">
        <v>184</v>
      </c>
      <c r="B703" s="259" t="s">
        <v>2172</v>
      </c>
      <c r="C703" s="254" t="s">
        <v>2397</v>
      </c>
      <c r="D703" s="252"/>
      <c r="E703" s="252"/>
      <c r="F703" s="252"/>
      <c r="G703" s="252"/>
      <c r="H703" s="252"/>
      <c r="I703" s="252"/>
      <c r="J703" s="252"/>
    </row>
    <row r="704">
      <c r="A704" s="153" t="s">
        <v>204</v>
      </c>
      <c r="B704" s="273" t="s">
        <v>2064</v>
      </c>
      <c r="C704" s="273" t="s">
        <v>2108</v>
      </c>
      <c r="D704" s="252"/>
      <c r="E704" s="252"/>
      <c r="F704" s="252"/>
      <c r="G704" s="252"/>
      <c r="H704" s="252"/>
      <c r="I704" s="252"/>
      <c r="J704" s="252"/>
    </row>
    <row r="705">
      <c r="A705" s="155" t="s">
        <v>224</v>
      </c>
      <c r="B705" s="274"/>
      <c r="C705" s="274"/>
      <c r="D705" s="252"/>
      <c r="E705" s="252"/>
      <c r="F705" s="252"/>
      <c r="G705" s="252"/>
      <c r="H705" s="252"/>
      <c r="I705" s="252"/>
      <c r="J705" s="252"/>
    </row>
    <row r="706">
      <c r="A706" s="153" t="s">
        <v>243</v>
      </c>
      <c r="B706" s="274"/>
      <c r="C706" s="274"/>
      <c r="D706" s="252"/>
      <c r="E706" s="252"/>
      <c r="F706" s="252"/>
      <c r="G706" s="252"/>
      <c r="H706" s="252"/>
      <c r="I706" s="252"/>
      <c r="J706" s="252"/>
    </row>
    <row r="707">
      <c r="A707" s="155" t="s">
        <v>263</v>
      </c>
      <c r="B707" s="259" t="s">
        <v>2085</v>
      </c>
      <c r="C707" s="274"/>
      <c r="D707" s="252"/>
      <c r="E707" s="252"/>
      <c r="F707" s="252"/>
      <c r="G707" s="252"/>
      <c r="H707" s="252"/>
      <c r="I707" s="252"/>
      <c r="J707" s="252"/>
    </row>
    <row r="708">
      <c r="A708" s="153" t="s">
        <v>283</v>
      </c>
      <c r="B708" s="274"/>
      <c r="C708" s="274"/>
      <c r="D708" s="252"/>
      <c r="E708" s="252"/>
      <c r="F708" s="252"/>
      <c r="G708" s="252"/>
      <c r="H708" s="252"/>
      <c r="I708" s="252"/>
      <c r="J708" s="252"/>
    </row>
    <row r="709">
      <c r="A709" s="155" t="s">
        <v>303</v>
      </c>
      <c r="B709" s="259" t="s">
        <v>2145</v>
      </c>
      <c r="C709" s="274"/>
      <c r="D709" s="252"/>
      <c r="E709" s="252"/>
      <c r="F709" s="252"/>
      <c r="G709" s="252"/>
      <c r="H709" s="252"/>
      <c r="I709" s="252"/>
      <c r="J709" s="252"/>
    </row>
    <row r="710">
      <c r="A710" s="153" t="s">
        <v>323</v>
      </c>
      <c r="B710" s="273" t="s">
        <v>2116</v>
      </c>
      <c r="C710" s="273" t="s">
        <v>12</v>
      </c>
      <c r="D710" s="253" t="s">
        <v>2400</v>
      </c>
      <c r="E710" s="252"/>
      <c r="F710" s="252"/>
      <c r="G710" s="252"/>
      <c r="H710" s="252"/>
      <c r="I710" s="252"/>
      <c r="J710" s="252"/>
    </row>
    <row r="711">
      <c r="A711" s="155" t="s">
        <v>343</v>
      </c>
      <c r="B711" s="259" t="s">
        <v>2401</v>
      </c>
      <c r="C711" s="274"/>
      <c r="D711" s="252"/>
      <c r="E711" s="252"/>
      <c r="F711" s="252"/>
      <c r="G711" s="252"/>
      <c r="H711" s="252"/>
      <c r="I711" s="252"/>
      <c r="J711" s="252"/>
    </row>
    <row r="712">
      <c r="A712" s="153" t="s">
        <v>363</v>
      </c>
      <c r="B712" s="273" t="s">
        <v>2100</v>
      </c>
      <c r="C712" s="273" t="s">
        <v>2082</v>
      </c>
      <c r="D712" s="253" t="s">
        <v>2098</v>
      </c>
      <c r="E712" s="253" t="s">
        <v>2108</v>
      </c>
      <c r="F712" s="252"/>
      <c r="G712" s="252"/>
      <c r="H712" s="252"/>
      <c r="I712" s="252"/>
      <c r="J712" s="252"/>
    </row>
    <row r="713">
      <c r="A713" s="155" t="s">
        <v>388</v>
      </c>
      <c r="B713" s="259" t="s">
        <v>2172</v>
      </c>
      <c r="C713" s="259" t="s">
        <v>2318</v>
      </c>
      <c r="D713" s="252"/>
      <c r="E713" s="252"/>
      <c r="F713" s="252"/>
      <c r="G713" s="252"/>
      <c r="H713" s="252"/>
      <c r="I713" s="252"/>
      <c r="J713" s="252"/>
    </row>
    <row r="714">
      <c r="A714" s="153" t="s">
        <v>414</v>
      </c>
      <c r="B714" s="273" t="s">
        <v>2064</v>
      </c>
      <c r="C714" s="274"/>
      <c r="D714" s="252"/>
      <c r="E714" s="252"/>
      <c r="F714" s="252"/>
      <c r="G714" s="252"/>
      <c r="H714" s="252"/>
      <c r="I714" s="252"/>
      <c r="J714" s="252"/>
    </row>
    <row r="715">
      <c r="A715" s="155" t="s">
        <v>442</v>
      </c>
      <c r="B715" s="259" t="s">
        <v>2403</v>
      </c>
      <c r="C715" s="274"/>
      <c r="D715" s="252"/>
      <c r="E715" s="252"/>
      <c r="F715" s="252"/>
      <c r="G715" s="252"/>
      <c r="H715" s="252"/>
      <c r="I715" s="252"/>
      <c r="J715" s="252"/>
    </row>
    <row r="716">
      <c r="A716" s="153" t="s">
        <v>470</v>
      </c>
      <c r="B716" s="273" t="s">
        <v>2227</v>
      </c>
      <c r="C716" s="273" t="s">
        <v>2093</v>
      </c>
      <c r="D716" s="252"/>
      <c r="E716" s="252"/>
      <c r="F716" s="252"/>
      <c r="G716" s="252"/>
      <c r="H716" s="252"/>
      <c r="I716" s="252"/>
      <c r="J716" s="252"/>
    </row>
    <row r="717">
      <c r="A717" s="155" t="s">
        <v>500</v>
      </c>
      <c r="B717" s="259" t="s">
        <v>2068</v>
      </c>
      <c r="C717" s="274"/>
      <c r="D717" s="252"/>
      <c r="E717" s="252"/>
      <c r="F717" s="252"/>
      <c r="G717" s="252"/>
      <c r="H717" s="252"/>
      <c r="I717" s="252"/>
      <c r="J717" s="252"/>
    </row>
    <row r="718">
      <c r="A718" s="153" t="s">
        <v>522</v>
      </c>
      <c r="B718" s="273" t="s">
        <v>2370</v>
      </c>
      <c r="C718" s="274"/>
      <c r="D718" s="252"/>
      <c r="E718" s="252"/>
      <c r="F718" s="252"/>
      <c r="G718" s="252"/>
      <c r="H718" s="252"/>
      <c r="I718" s="252"/>
      <c r="J718" s="252"/>
    </row>
    <row r="719">
      <c r="A719" s="155" t="s">
        <v>541</v>
      </c>
      <c r="B719" s="259" t="s">
        <v>2318</v>
      </c>
      <c r="C719" s="274"/>
      <c r="D719" s="252"/>
      <c r="E719" s="252"/>
      <c r="F719" s="252"/>
      <c r="G719" s="252"/>
      <c r="H719" s="252"/>
      <c r="I719" s="252"/>
      <c r="J719" s="252"/>
    </row>
    <row r="720">
      <c r="A720" s="153" t="s">
        <v>561</v>
      </c>
      <c r="B720" s="273" t="s">
        <v>2108</v>
      </c>
      <c r="C720" s="273" t="s">
        <v>2318</v>
      </c>
      <c r="D720" s="252"/>
      <c r="E720" s="252"/>
      <c r="F720" s="252"/>
      <c r="G720" s="252"/>
      <c r="H720" s="252"/>
      <c r="I720" s="252"/>
      <c r="J720" s="252"/>
    </row>
    <row r="721">
      <c r="A721" s="155" t="s">
        <v>583</v>
      </c>
      <c r="B721" s="274"/>
      <c r="C721" s="274"/>
      <c r="D721" s="252"/>
      <c r="E721" s="252"/>
      <c r="F721" s="252"/>
      <c r="G721" s="252"/>
      <c r="H721" s="252"/>
      <c r="I721" s="252"/>
      <c r="J721" s="252"/>
    </row>
    <row r="722">
      <c r="A722" s="153" t="s">
        <v>607</v>
      </c>
      <c r="B722" s="274"/>
      <c r="C722" s="274"/>
      <c r="D722" s="252"/>
      <c r="E722" s="252"/>
      <c r="F722" s="252"/>
      <c r="G722" s="252"/>
      <c r="H722" s="252"/>
      <c r="I722" s="252"/>
      <c r="J722" s="252"/>
    </row>
    <row r="723">
      <c r="A723" s="155" t="s">
        <v>627</v>
      </c>
      <c r="B723" s="274"/>
      <c r="C723" s="274"/>
      <c r="D723" s="252"/>
      <c r="E723" s="252"/>
      <c r="F723" s="252"/>
      <c r="G723" s="252"/>
      <c r="H723" s="252"/>
      <c r="I723" s="252"/>
      <c r="J723" s="252"/>
    </row>
    <row r="724">
      <c r="A724" s="153" t="s">
        <v>653</v>
      </c>
      <c r="B724" s="274"/>
      <c r="C724" s="274"/>
      <c r="D724" s="252"/>
      <c r="E724" s="252"/>
      <c r="F724" s="252"/>
      <c r="G724" s="252"/>
      <c r="H724" s="252"/>
      <c r="I724" s="252"/>
      <c r="J724" s="252"/>
    </row>
    <row r="725">
      <c r="A725" s="155" t="s">
        <v>503</v>
      </c>
      <c r="B725" s="274"/>
      <c r="C725" s="274"/>
      <c r="D725" s="252"/>
      <c r="E725" s="252"/>
      <c r="F725" s="252"/>
      <c r="G725" s="252"/>
      <c r="H725" s="252"/>
      <c r="I725" s="252"/>
      <c r="J725" s="252"/>
    </row>
    <row r="726">
      <c r="A726" s="153" t="s">
        <v>511</v>
      </c>
      <c r="B726" s="274"/>
      <c r="C726" s="274"/>
      <c r="D726" s="252"/>
      <c r="E726" s="252"/>
      <c r="F726" s="252"/>
      <c r="G726" s="252"/>
      <c r="H726" s="252"/>
      <c r="I726" s="252"/>
      <c r="J726" s="252"/>
    </row>
    <row r="727">
      <c r="A727" s="155" t="s">
        <v>516</v>
      </c>
      <c r="B727" s="274"/>
      <c r="C727" s="274"/>
      <c r="D727" s="252"/>
      <c r="E727" s="252"/>
      <c r="F727" s="252"/>
      <c r="G727" s="252"/>
      <c r="H727" s="252"/>
      <c r="I727" s="252"/>
      <c r="J727" s="252"/>
    </row>
    <row r="728">
      <c r="A728" s="153"/>
      <c r="B728" s="274"/>
      <c r="C728" s="274"/>
      <c r="D728" s="252"/>
      <c r="E728" s="252"/>
      <c r="F728" s="252"/>
      <c r="G728" s="252"/>
      <c r="H728" s="252"/>
      <c r="I728" s="252"/>
      <c r="J728" s="252"/>
    </row>
    <row r="729">
      <c r="A729" s="155"/>
      <c r="B729" s="274"/>
      <c r="C729" s="274"/>
      <c r="D729" s="252"/>
      <c r="E729" s="252"/>
      <c r="F729" s="252"/>
      <c r="G729" s="252"/>
      <c r="H729" s="252"/>
      <c r="I729" s="252"/>
      <c r="J729" s="252"/>
    </row>
    <row r="730">
      <c r="A730" s="153"/>
      <c r="B730" s="274"/>
      <c r="C730" s="274"/>
      <c r="D730" s="252"/>
      <c r="E730" s="252"/>
      <c r="F730" s="252"/>
      <c r="G730" s="252"/>
      <c r="H730" s="252"/>
      <c r="I730" s="252"/>
      <c r="J730" s="252"/>
    </row>
    <row r="731">
      <c r="A731" s="155"/>
      <c r="B731" s="274"/>
      <c r="C731" s="274"/>
      <c r="D731" s="252"/>
      <c r="E731" s="252"/>
      <c r="F731" s="252"/>
      <c r="G731" s="252"/>
      <c r="H731" s="252"/>
      <c r="I731" s="252"/>
      <c r="J731" s="252"/>
    </row>
    <row r="732">
      <c r="A732" s="153"/>
      <c r="B732" s="274"/>
      <c r="C732" s="274"/>
      <c r="D732" s="252"/>
      <c r="E732" s="252"/>
      <c r="F732" s="252"/>
      <c r="G732" s="252"/>
      <c r="H732" s="252"/>
      <c r="I732" s="252"/>
      <c r="J732" s="252"/>
    </row>
    <row r="733">
      <c r="A733" s="155"/>
      <c r="B733" s="274"/>
      <c r="C733" s="274"/>
      <c r="D733" s="252"/>
      <c r="E733" s="252"/>
      <c r="F733" s="252"/>
      <c r="G733" s="252"/>
      <c r="H733" s="252"/>
      <c r="I733" s="252"/>
      <c r="J733" s="252"/>
    </row>
    <row r="734">
      <c r="A734" s="153"/>
      <c r="B734" s="274"/>
      <c r="C734" s="274"/>
      <c r="D734" s="252"/>
      <c r="E734" s="252"/>
      <c r="F734" s="252"/>
      <c r="G734" s="252"/>
      <c r="H734" s="252"/>
      <c r="I734" s="252"/>
      <c r="J734" s="252"/>
    </row>
    <row r="735">
      <c r="A735" s="155"/>
      <c r="B735" s="274"/>
      <c r="C735" s="274"/>
      <c r="D735" s="252"/>
      <c r="E735" s="252"/>
      <c r="F735" s="252"/>
      <c r="G735" s="252"/>
      <c r="H735" s="252"/>
      <c r="I735" s="252"/>
      <c r="J735" s="252"/>
    </row>
    <row r="736">
      <c r="A736" s="153"/>
      <c r="B736" s="274"/>
      <c r="C736" s="274"/>
      <c r="D736" s="252"/>
      <c r="E736" s="252"/>
      <c r="F736" s="252"/>
      <c r="G736" s="252"/>
      <c r="H736" s="252"/>
      <c r="I736" s="252"/>
      <c r="J736" s="252"/>
    </row>
    <row r="737">
      <c r="A737" s="155"/>
      <c r="B737" s="274"/>
      <c r="C737" s="274"/>
      <c r="D737" s="252"/>
      <c r="E737" s="252"/>
      <c r="F737" s="252"/>
      <c r="G737" s="252"/>
      <c r="H737" s="252"/>
      <c r="I737" s="252"/>
      <c r="J737" s="252"/>
    </row>
    <row r="738">
      <c r="A738" s="153"/>
      <c r="B738" s="274"/>
      <c r="C738" s="274"/>
      <c r="D738" s="252"/>
      <c r="E738" s="252"/>
      <c r="F738" s="252"/>
      <c r="G738" s="252"/>
      <c r="H738" s="252"/>
      <c r="I738" s="252"/>
      <c r="J738" s="252"/>
    </row>
    <row r="739">
      <c r="A739" s="155"/>
      <c r="B739" s="274"/>
      <c r="C739" s="274"/>
      <c r="D739" s="252"/>
      <c r="E739" s="252"/>
      <c r="F739" s="252"/>
      <c r="G739" s="252"/>
      <c r="H739" s="252"/>
      <c r="I739" s="252"/>
      <c r="J739" s="252"/>
    </row>
    <row r="740">
      <c r="A740" s="153"/>
      <c r="B740" s="274"/>
      <c r="C740" s="274"/>
      <c r="D740" s="252"/>
      <c r="E740" s="252"/>
      <c r="F740" s="252"/>
      <c r="G740" s="252"/>
      <c r="H740" s="252"/>
      <c r="I740" s="252"/>
      <c r="J740" s="252"/>
    </row>
    <row r="741">
      <c r="A741" s="155"/>
      <c r="B741" s="274"/>
      <c r="C741" s="274"/>
      <c r="D741" s="252"/>
      <c r="E741" s="252"/>
      <c r="F741" s="252"/>
      <c r="G741" s="252"/>
      <c r="H741" s="252"/>
      <c r="I741" s="252"/>
      <c r="J741" s="252"/>
    </row>
    <row r="742">
      <c r="A742" s="153"/>
      <c r="B742" s="274"/>
      <c r="C742" s="274"/>
      <c r="D742" s="252"/>
      <c r="E742" s="252"/>
      <c r="F742" s="252"/>
      <c r="G742" s="252"/>
      <c r="H742" s="252"/>
      <c r="I742" s="252"/>
      <c r="J742" s="252"/>
    </row>
    <row r="743">
      <c r="A743" s="155"/>
      <c r="B743" s="274"/>
      <c r="C743" s="274"/>
      <c r="D743" s="252"/>
      <c r="E743" s="252"/>
      <c r="F743" s="252"/>
      <c r="G743" s="252"/>
      <c r="H743" s="252"/>
      <c r="I743" s="252"/>
      <c r="J743" s="252"/>
    </row>
    <row r="744">
      <c r="A744" s="153"/>
      <c r="B744" s="274"/>
      <c r="C744" s="274"/>
      <c r="D744" s="252"/>
      <c r="E744" s="252"/>
      <c r="F744" s="252"/>
      <c r="G744" s="252"/>
      <c r="H744" s="252"/>
      <c r="I744" s="252"/>
      <c r="J744" s="252"/>
    </row>
    <row r="745">
      <c r="A745" s="155"/>
      <c r="B745" s="274"/>
      <c r="C745" s="274"/>
      <c r="D745" s="252"/>
      <c r="E745" s="252"/>
      <c r="F745" s="252"/>
      <c r="G745" s="252"/>
      <c r="H745" s="252"/>
      <c r="I745" s="252"/>
      <c r="J745" s="252"/>
    </row>
    <row r="746">
      <c r="A746" s="153"/>
      <c r="B746" s="274"/>
      <c r="C746" s="274"/>
      <c r="D746" s="252"/>
      <c r="E746" s="252"/>
      <c r="F746" s="252"/>
      <c r="G746" s="252"/>
      <c r="H746" s="252"/>
      <c r="I746" s="252"/>
      <c r="J746" s="252"/>
    </row>
    <row r="747">
      <c r="A747" s="155"/>
      <c r="B747" s="274"/>
      <c r="C747" s="274"/>
      <c r="D747" s="252"/>
      <c r="E747" s="252"/>
      <c r="F747" s="252"/>
      <c r="G747" s="252"/>
      <c r="H747" s="252"/>
      <c r="I747" s="252"/>
      <c r="J747" s="252"/>
    </row>
    <row r="748">
      <c r="A748" s="153"/>
      <c r="B748" s="274"/>
      <c r="C748" s="274"/>
      <c r="D748" s="252"/>
      <c r="E748" s="252"/>
      <c r="F748" s="252"/>
      <c r="G748" s="252"/>
      <c r="H748" s="252"/>
      <c r="I748" s="252"/>
      <c r="J748" s="252"/>
    </row>
    <row r="749">
      <c r="A749" s="155"/>
      <c r="B749" s="274"/>
      <c r="C749" s="274"/>
      <c r="D749" s="252"/>
      <c r="E749" s="252"/>
      <c r="F749" s="252"/>
      <c r="G749" s="252"/>
      <c r="H749" s="252"/>
      <c r="I749" s="252"/>
      <c r="J749" s="252"/>
    </row>
    <row r="750">
      <c r="A750" s="162"/>
      <c r="B750" s="274"/>
      <c r="C750" s="274"/>
      <c r="D750" s="252"/>
      <c r="E750" s="252"/>
      <c r="F750" s="252"/>
      <c r="G750" s="252"/>
      <c r="H750" s="252"/>
      <c r="I750" s="252"/>
      <c r="J750" s="252"/>
    </row>
    <row r="751">
      <c r="A751" s="150" t="str">
        <f t="array" ref="A751:A800">'Up Names'!P2:P51</f>
        <v>Magboots</v>
      </c>
      <c r="B751" s="274"/>
      <c r="C751" s="274"/>
      <c r="D751" s="252"/>
      <c r="E751" s="252"/>
      <c r="F751" s="252"/>
      <c r="G751" s="252"/>
      <c r="H751" s="252"/>
      <c r="I751" s="252"/>
      <c r="J751" s="252"/>
    </row>
    <row r="752">
      <c r="A752" s="153" t="s">
        <v>165</v>
      </c>
      <c r="B752" s="273" t="s">
        <v>2079</v>
      </c>
      <c r="C752" s="273" t="s">
        <v>2149</v>
      </c>
      <c r="D752" s="252"/>
      <c r="E752" s="252"/>
      <c r="F752" s="252"/>
      <c r="G752" s="252"/>
      <c r="H752" s="252"/>
      <c r="I752" s="252"/>
      <c r="J752" s="252"/>
    </row>
    <row r="753">
      <c r="A753" s="155" t="s">
        <v>185</v>
      </c>
      <c r="B753" s="274"/>
      <c r="C753" s="274"/>
      <c r="D753" s="252"/>
      <c r="E753" s="252"/>
      <c r="F753" s="252"/>
      <c r="G753" s="252"/>
      <c r="H753" s="252"/>
      <c r="I753" s="252"/>
      <c r="J753" s="252"/>
    </row>
    <row r="754">
      <c r="A754" s="153" t="s">
        <v>205</v>
      </c>
      <c r="B754" s="273" t="s">
        <v>2079</v>
      </c>
      <c r="C754" s="274"/>
      <c r="D754" s="252"/>
      <c r="E754" s="252"/>
      <c r="F754" s="252"/>
      <c r="G754" s="252"/>
      <c r="H754" s="252"/>
      <c r="I754" s="252"/>
      <c r="J754" s="252"/>
    </row>
    <row r="755">
      <c r="A755" s="155" t="s">
        <v>39</v>
      </c>
      <c r="B755" s="259" t="s">
        <v>2407</v>
      </c>
      <c r="C755" s="259" t="s">
        <v>2408</v>
      </c>
      <c r="D755" s="251" t="s">
        <v>2064</v>
      </c>
      <c r="E755" s="252"/>
      <c r="F755" s="252"/>
      <c r="G755" s="252"/>
      <c r="H755" s="252"/>
      <c r="I755" s="252"/>
      <c r="J755" s="252"/>
    </row>
    <row r="756">
      <c r="A756" s="153" t="s">
        <v>244</v>
      </c>
      <c r="B756" s="273" t="s">
        <v>2070</v>
      </c>
      <c r="C756" s="274"/>
      <c r="D756" s="252"/>
      <c r="E756" s="252"/>
      <c r="F756" s="252"/>
      <c r="G756" s="252"/>
      <c r="H756" s="252"/>
      <c r="I756" s="252"/>
      <c r="J756" s="252"/>
    </row>
    <row r="757">
      <c r="A757" s="155" t="s">
        <v>264</v>
      </c>
      <c r="B757" s="259" t="s">
        <v>2409</v>
      </c>
      <c r="C757" s="274"/>
      <c r="D757" s="252"/>
      <c r="E757" s="252"/>
      <c r="F757" s="252"/>
      <c r="G757" s="252"/>
      <c r="H757" s="252"/>
      <c r="I757" s="252"/>
      <c r="J757" s="252"/>
    </row>
    <row r="758">
      <c r="A758" s="153" t="s">
        <v>284</v>
      </c>
      <c r="B758" s="273" t="s">
        <v>2410</v>
      </c>
      <c r="C758" s="274"/>
      <c r="D758" s="252"/>
      <c r="E758" s="252"/>
      <c r="F758" s="252"/>
      <c r="G758" s="252"/>
      <c r="H758" s="252"/>
      <c r="I758" s="252"/>
      <c r="J758" s="252"/>
    </row>
    <row r="759">
      <c r="A759" s="155" t="s">
        <v>304</v>
      </c>
      <c r="B759" s="259" t="s">
        <v>2172</v>
      </c>
      <c r="C759" s="274"/>
      <c r="D759" s="252"/>
      <c r="E759" s="252"/>
      <c r="F759" s="252"/>
      <c r="G759" s="252"/>
      <c r="H759" s="252"/>
      <c r="I759" s="252"/>
      <c r="J759" s="252"/>
    </row>
    <row r="760">
      <c r="A760" s="153" t="s">
        <v>324</v>
      </c>
      <c r="B760" s="273" t="s">
        <v>2412</v>
      </c>
      <c r="C760" s="274"/>
      <c r="D760" s="252"/>
      <c r="E760" s="252"/>
      <c r="F760" s="252"/>
      <c r="G760" s="252"/>
      <c r="H760" s="252"/>
      <c r="I760" s="252"/>
      <c r="J760" s="252"/>
    </row>
    <row r="761">
      <c r="A761" s="155" t="s">
        <v>344</v>
      </c>
      <c r="B761" s="259" t="s">
        <v>2070</v>
      </c>
      <c r="C761" s="259" t="s">
        <v>2084</v>
      </c>
      <c r="D761" s="251" t="s">
        <v>2085</v>
      </c>
      <c r="E761" s="252"/>
      <c r="F761" s="252"/>
      <c r="G761" s="252"/>
      <c r="H761" s="252"/>
      <c r="I761" s="252"/>
      <c r="J761" s="252"/>
    </row>
    <row r="762">
      <c r="A762" s="153" t="s">
        <v>364</v>
      </c>
      <c r="B762" s="273" t="s">
        <v>2079</v>
      </c>
      <c r="C762" s="274"/>
      <c r="D762" s="252"/>
      <c r="E762" s="252"/>
      <c r="F762" s="252"/>
      <c r="G762" s="252"/>
      <c r="H762" s="252"/>
      <c r="I762" s="252"/>
      <c r="J762" s="252"/>
    </row>
    <row r="763">
      <c r="A763" s="155" t="s">
        <v>389</v>
      </c>
      <c r="B763" s="259" t="s">
        <v>2206</v>
      </c>
      <c r="C763" s="274"/>
      <c r="D763" s="252"/>
      <c r="E763" s="252"/>
      <c r="F763" s="252"/>
      <c r="G763" s="252"/>
      <c r="H763" s="252"/>
      <c r="I763" s="252"/>
      <c r="J763" s="252"/>
    </row>
    <row r="764">
      <c r="A764" s="153" t="s">
        <v>417</v>
      </c>
      <c r="B764" s="273" t="s">
        <v>2085</v>
      </c>
      <c r="C764" s="274"/>
      <c r="D764" s="252"/>
      <c r="E764" s="252"/>
      <c r="F764" s="252"/>
      <c r="G764" s="252"/>
      <c r="H764" s="252"/>
      <c r="I764" s="252"/>
      <c r="J764" s="252"/>
    </row>
    <row r="765">
      <c r="A765" s="155" t="s">
        <v>444</v>
      </c>
      <c r="B765" s="259" t="s">
        <v>2084</v>
      </c>
      <c r="C765" s="274"/>
      <c r="D765" s="252"/>
      <c r="E765" s="252"/>
      <c r="F765" s="252"/>
      <c r="G765" s="252"/>
      <c r="H765" s="252"/>
      <c r="I765" s="252"/>
      <c r="J765" s="252"/>
    </row>
    <row r="766">
      <c r="A766" s="153" t="s">
        <v>471</v>
      </c>
      <c r="B766" s="273" t="s">
        <v>2070</v>
      </c>
      <c r="C766" s="274"/>
      <c r="D766" s="252"/>
      <c r="E766" s="252"/>
      <c r="F766" s="252"/>
      <c r="G766" s="252"/>
      <c r="H766" s="252"/>
      <c r="I766" s="252"/>
      <c r="J766" s="252"/>
    </row>
    <row r="767">
      <c r="A767" s="155" t="s">
        <v>501</v>
      </c>
      <c r="B767" s="274"/>
      <c r="C767" s="274"/>
      <c r="D767" s="252"/>
      <c r="E767" s="252"/>
      <c r="F767" s="252"/>
      <c r="G767" s="252"/>
      <c r="H767" s="252"/>
      <c r="I767" s="252"/>
      <c r="J767" s="252"/>
    </row>
    <row r="768">
      <c r="A768" s="153" t="s">
        <v>523</v>
      </c>
      <c r="B768" s="273" t="s">
        <v>2206</v>
      </c>
      <c r="C768" s="273" t="s">
        <v>2413</v>
      </c>
      <c r="D768" s="252"/>
      <c r="E768" s="252"/>
      <c r="F768" s="252"/>
      <c r="G768" s="252"/>
      <c r="H768" s="252"/>
      <c r="I768" s="252"/>
      <c r="J768" s="252"/>
    </row>
    <row r="769">
      <c r="A769" s="155" t="s">
        <v>542</v>
      </c>
      <c r="B769" s="259" t="s">
        <v>2070</v>
      </c>
      <c r="C769" s="259" t="s">
        <v>2074</v>
      </c>
      <c r="D769" s="252"/>
      <c r="E769" s="252"/>
      <c r="F769" s="252"/>
      <c r="G769" s="252"/>
      <c r="H769" s="252"/>
      <c r="I769" s="252"/>
      <c r="J769" s="252"/>
    </row>
    <row r="770">
      <c r="A770" s="153" t="s">
        <v>562</v>
      </c>
      <c r="B770" s="273" t="s">
        <v>2070</v>
      </c>
      <c r="C770" s="274"/>
      <c r="D770" s="252"/>
      <c r="E770" s="252"/>
      <c r="F770" s="252"/>
      <c r="G770" s="252"/>
      <c r="H770" s="252"/>
      <c r="I770" s="252"/>
      <c r="J770" s="252"/>
    </row>
    <row r="771">
      <c r="A771" s="155" t="s">
        <v>585</v>
      </c>
      <c r="B771" s="259" t="s">
        <v>2264</v>
      </c>
      <c r="C771" s="274"/>
      <c r="D771" s="252"/>
      <c r="E771" s="252"/>
      <c r="F771" s="252"/>
      <c r="G771" s="252"/>
      <c r="H771" s="252"/>
      <c r="I771" s="252"/>
      <c r="J771" s="252"/>
    </row>
    <row r="772">
      <c r="A772" s="153" t="s">
        <v>608</v>
      </c>
      <c r="B772" s="273" t="s">
        <v>2414</v>
      </c>
      <c r="C772" s="274"/>
      <c r="D772" s="252"/>
      <c r="E772" s="252"/>
      <c r="F772" s="252"/>
      <c r="G772" s="252"/>
      <c r="H772" s="252"/>
      <c r="I772" s="252"/>
      <c r="J772" s="252"/>
    </row>
    <row r="773">
      <c r="A773" s="155" t="s">
        <v>629</v>
      </c>
      <c r="B773" s="259" t="s">
        <v>2074</v>
      </c>
      <c r="C773" s="274"/>
      <c r="D773" s="252"/>
      <c r="E773" s="252"/>
      <c r="F773" s="252"/>
      <c r="G773" s="252"/>
      <c r="H773" s="252"/>
      <c r="I773" s="252"/>
      <c r="J773" s="252"/>
    </row>
    <row r="774">
      <c r="A774" s="153" t="s">
        <v>654</v>
      </c>
      <c r="B774" s="273" t="s">
        <v>2074</v>
      </c>
      <c r="C774" s="274"/>
      <c r="D774" s="252"/>
      <c r="E774" s="252"/>
      <c r="F774" s="252"/>
      <c r="G774" s="252"/>
      <c r="H774" s="252"/>
      <c r="I774" s="252"/>
      <c r="J774" s="252"/>
    </row>
    <row r="775">
      <c r="A775" s="155" t="s">
        <v>669</v>
      </c>
      <c r="B775" s="259" t="s">
        <v>2070</v>
      </c>
      <c r="C775" s="274"/>
      <c r="D775" s="252"/>
      <c r="E775" s="252"/>
      <c r="F775" s="252"/>
      <c r="G775" s="252"/>
      <c r="H775" s="252"/>
      <c r="I775" s="252"/>
      <c r="J775" s="252"/>
    </row>
    <row r="776">
      <c r="A776" s="153" t="s">
        <v>683</v>
      </c>
      <c r="B776" s="273" t="s">
        <v>2415</v>
      </c>
      <c r="C776" s="274"/>
      <c r="D776" s="252"/>
      <c r="E776" s="252"/>
      <c r="F776" s="252"/>
      <c r="G776" s="252"/>
      <c r="H776" s="252"/>
      <c r="I776" s="252"/>
      <c r="J776" s="252"/>
    </row>
    <row r="777">
      <c r="A777" s="155" t="s">
        <v>698</v>
      </c>
      <c r="B777" s="259" t="s">
        <v>2084</v>
      </c>
      <c r="C777" s="274"/>
      <c r="D777" s="252"/>
      <c r="E777" s="252"/>
      <c r="F777" s="252"/>
      <c r="G777" s="252"/>
      <c r="H777" s="252"/>
      <c r="I777" s="252"/>
      <c r="J777" s="252"/>
    </row>
    <row r="778">
      <c r="A778" s="153" t="s">
        <v>717</v>
      </c>
      <c r="B778" s="273" t="s">
        <v>2206</v>
      </c>
      <c r="C778" s="274"/>
      <c r="D778" s="252"/>
      <c r="E778" s="252"/>
      <c r="F778" s="252"/>
      <c r="G778" s="252"/>
      <c r="H778" s="252"/>
      <c r="I778" s="252"/>
      <c r="J778" s="252"/>
    </row>
    <row r="779">
      <c r="A779" s="155" t="s">
        <v>735</v>
      </c>
      <c r="B779" s="259" t="s">
        <v>2206</v>
      </c>
      <c r="C779" s="274"/>
      <c r="D779" s="252"/>
      <c r="E779" s="252"/>
      <c r="F779" s="252"/>
      <c r="G779" s="252"/>
      <c r="H779" s="252"/>
      <c r="I779" s="252"/>
      <c r="J779" s="252"/>
    </row>
    <row r="780">
      <c r="A780" s="153" t="s">
        <v>753</v>
      </c>
      <c r="B780" s="273" t="s">
        <v>2206</v>
      </c>
      <c r="C780" s="274"/>
      <c r="D780" s="252"/>
      <c r="E780" s="252"/>
      <c r="F780" s="252"/>
      <c r="G780" s="252"/>
      <c r="H780" s="252"/>
      <c r="I780" s="252"/>
      <c r="J780" s="252"/>
    </row>
    <row r="781">
      <c r="A781" s="155" t="s">
        <v>765</v>
      </c>
      <c r="B781" s="274"/>
      <c r="C781" s="274"/>
      <c r="D781" s="252"/>
      <c r="E781" s="252"/>
      <c r="F781" s="252"/>
      <c r="G781" s="252"/>
      <c r="H781" s="252"/>
      <c r="I781" s="252"/>
      <c r="J781" s="252"/>
    </row>
    <row r="782">
      <c r="A782" s="153" t="s">
        <v>774</v>
      </c>
      <c r="B782" s="274"/>
      <c r="C782" s="274"/>
      <c r="D782" s="252"/>
      <c r="E782" s="252"/>
      <c r="F782" s="252"/>
      <c r="G782" s="252"/>
      <c r="H782" s="252"/>
      <c r="I782" s="252"/>
      <c r="J782" s="252"/>
    </row>
    <row r="783">
      <c r="A783" s="155" t="s">
        <v>780</v>
      </c>
      <c r="B783" s="274"/>
      <c r="C783" s="274"/>
      <c r="D783" s="252"/>
      <c r="E783" s="252"/>
      <c r="F783" s="252"/>
      <c r="G783" s="252"/>
      <c r="H783" s="252"/>
      <c r="I783" s="252"/>
      <c r="J783" s="252"/>
    </row>
    <row r="784">
      <c r="A784" s="153" t="s">
        <v>785</v>
      </c>
      <c r="B784" s="274"/>
      <c r="C784" s="274"/>
      <c r="D784" s="252"/>
      <c r="E784" s="252"/>
      <c r="F784" s="252"/>
      <c r="G784" s="252"/>
      <c r="H784" s="252"/>
      <c r="I784" s="252"/>
      <c r="J784" s="252"/>
    </row>
    <row r="785">
      <c r="A785" s="155" t="s">
        <v>790</v>
      </c>
      <c r="B785" s="274"/>
      <c r="C785" s="274"/>
      <c r="D785" s="252"/>
      <c r="E785" s="252"/>
      <c r="F785" s="252"/>
      <c r="G785" s="252"/>
      <c r="H785" s="252"/>
      <c r="I785" s="252"/>
      <c r="J785" s="252"/>
    </row>
    <row r="786">
      <c r="A786" s="153" t="s">
        <v>503</v>
      </c>
      <c r="B786" s="274"/>
      <c r="C786" s="274"/>
      <c r="D786" s="252"/>
      <c r="E786" s="252"/>
      <c r="F786" s="252"/>
      <c r="G786" s="252"/>
      <c r="H786" s="252"/>
      <c r="I786" s="252"/>
      <c r="J786" s="252"/>
    </row>
    <row r="787">
      <c r="A787" s="155" t="s">
        <v>511</v>
      </c>
      <c r="B787" s="274"/>
      <c r="C787" s="274"/>
      <c r="D787" s="252"/>
      <c r="E787" s="252"/>
      <c r="F787" s="252"/>
      <c r="G787" s="252"/>
      <c r="H787" s="252"/>
      <c r="I787" s="252"/>
      <c r="J787" s="252"/>
    </row>
    <row r="788">
      <c r="A788" s="153" t="s">
        <v>516</v>
      </c>
      <c r="B788" s="274"/>
      <c r="C788" s="274"/>
      <c r="D788" s="252"/>
      <c r="E788" s="252"/>
      <c r="F788" s="252"/>
      <c r="G788" s="252"/>
      <c r="H788" s="252"/>
      <c r="I788" s="252"/>
      <c r="J788" s="252"/>
    </row>
    <row r="789">
      <c r="A789" s="155"/>
      <c r="B789" s="274"/>
      <c r="C789" s="274"/>
      <c r="D789" s="252"/>
      <c r="E789" s="252"/>
      <c r="F789" s="252"/>
      <c r="G789" s="252"/>
      <c r="H789" s="252"/>
      <c r="I789" s="252"/>
      <c r="J789" s="252"/>
    </row>
    <row r="790">
      <c r="A790" s="153"/>
      <c r="B790" s="274"/>
      <c r="C790" s="274"/>
      <c r="D790" s="252"/>
      <c r="E790" s="252"/>
      <c r="F790" s="252"/>
      <c r="G790" s="252"/>
      <c r="H790" s="252"/>
      <c r="I790" s="252"/>
      <c r="J790" s="252"/>
    </row>
    <row r="791">
      <c r="A791" s="155"/>
      <c r="B791" s="274"/>
      <c r="C791" s="274"/>
      <c r="D791" s="252"/>
      <c r="E791" s="252"/>
      <c r="F791" s="252"/>
      <c r="G791" s="252"/>
      <c r="H791" s="252"/>
      <c r="I791" s="252"/>
      <c r="J791" s="252"/>
    </row>
    <row r="792">
      <c r="A792" s="153"/>
      <c r="B792" s="274"/>
      <c r="C792" s="274"/>
      <c r="D792" s="252"/>
      <c r="E792" s="252"/>
      <c r="F792" s="252"/>
      <c r="G792" s="252"/>
      <c r="H792" s="252"/>
      <c r="I792" s="252"/>
      <c r="J792" s="252"/>
    </row>
    <row r="793">
      <c r="A793" s="155"/>
      <c r="B793" s="274"/>
      <c r="C793" s="274"/>
      <c r="D793" s="252"/>
      <c r="E793" s="252"/>
      <c r="F793" s="252"/>
      <c r="G793" s="252"/>
      <c r="H793" s="252"/>
      <c r="I793" s="252"/>
      <c r="J793" s="252"/>
    </row>
    <row r="794">
      <c r="A794" s="153"/>
      <c r="B794" s="274"/>
      <c r="C794" s="274"/>
      <c r="D794" s="252"/>
      <c r="E794" s="252"/>
      <c r="F794" s="252"/>
      <c r="G794" s="252"/>
      <c r="H794" s="252"/>
      <c r="I794" s="252"/>
      <c r="J794" s="252"/>
    </row>
    <row r="795">
      <c r="A795" s="155"/>
      <c r="B795" s="274"/>
      <c r="C795" s="274"/>
      <c r="D795" s="252"/>
      <c r="E795" s="252"/>
      <c r="F795" s="252"/>
      <c r="G795" s="252"/>
      <c r="H795" s="252"/>
      <c r="I795" s="252"/>
      <c r="J795" s="252"/>
    </row>
    <row r="796">
      <c r="A796" s="153"/>
      <c r="B796" s="274"/>
      <c r="C796" s="274"/>
      <c r="D796" s="252"/>
      <c r="E796" s="252"/>
      <c r="F796" s="252"/>
      <c r="G796" s="252"/>
      <c r="H796" s="252"/>
      <c r="I796" s="252"/>
      <c r="J796" s="252"/>
    </row>
    <row r="797">
      <c r="A797" s="155"/>
      <c r="B797" s="274"/>
      <c r="C797" s="274"/>
      <c r="D797" s="252"/>
      <c r="E797" s="252"/>
      <c r="F797" s="252"/>
      <c r="G797" s="252"/>
      <c r="H797" s="252"/>
      <c r="I797" s="252"/>
      <c r="J797" s="252"/>
    </row>
    <row r="798">
      <c r="A798" s="153"/>
      <c r="B798" s="274"/>
      <c r="C798" s="274"/>
      <c r="D798" s="252"/>
      <c r="E798" s="252"/>
      <c r="F798" s="252"/>
      <c r="G798" s="252"/>
      <c r="H798" s="252"/>
      <c r="I798" s="252"/>
      <c r="J798" s="252"/>
    </row>
    <row r="799">
      <c r="A799" s="155"/>
      <c r="B799" s="274"/>
      <c r="C799" s="274"/>
      <c r="D799" s="252"/>
      <c r="E799" s="252"/>
      <c r="F799" s="252"/>
      <c r="G799" s="252"/>
      <c r="H799" s="252"/>
      <c r="I799" s="252"/>
      <c r="J799" s="252"/>
    </row>
    <row r="800">
      <c r="A800" s="162"/>
      <c r="B800" s="274"/>
      <c r="C800" s="274"/>
      <c r="D800" s="252"/>
      <c r="E800" s="252"/>
      <c r="F800" s="252"/>
      <c r="G800" s="252"/>
      <c r="H800" s="252"/>
      <c r="I800" s="252"/>
      <c r="J800" s="252"/>
    </row>
    <row r="801">
      <c r="A801" s="150" t="str">
        <f t="array" ref="A801:A850">'Up Names'!Q2:Q51</f>
        <v>Switcheroo</v>
      </c>
      <c r="B801" s="189"/>
      <c r="C801" s="189"/>
      <c r="D801" s="189"/>
      <c r="E801" s="189"/>
      <c r="F801" s="189"/>
      <c r="G801" s="189"/>
      <c r="H801" s="189"/>
      <c r="I801" s="189"/>
      <c r="J801" s="189"/>
    </row>
    <row r="802">
      <c r="A802" s="153" t="s">
        <v>166</v>
      </c>
      <c r="B802" s="259" t="s">
        <v>2172</v>
      </c>
      <c r="C802" s="259" t="s">
        <v>2206</v>
      </c>
      <c r="D802" s="252"/>
      <c r="E802" s="252"/>
      <c r="F802" s="252"/>
      <c r="G802" s="252"/>
      <c r="H802" s="252"/>
      <c r="I802" s="252"/>
      <c r="J802" s="252"/>
    </row>
    <row r="803">
      <c r="A803" s="155" t="s">
        <v>186</v>
      </c>
      <c r="B803" s="273" t="s">
        <v>2318</v>
      </c>
      <c r="C803" s="273" t="s">
        <v>2366</v>
      </c>
      <c r="D803" s="252"/>
      <c r="E803" s="252"/>
      <c r="F803" s="252"/>
      <c r="G803" s="252"/>
      <c r="H803" s="252"/>
      <c r="I803" s="252"/>
      <c r="J803" s="252"/>
    </row>
    <row r="804">
      <c r="A804" s="153" t="s">
        <v>206</v>
      </c>
      <c r="B804" s="259" t="s">
        <v>2064</v>
      </c>
      <c r="C804" s="259" t="s">
        <v>2084</v>
      </c>
      <c r="D804" s="251" t="s">
        <v>2068</v>
      </c>
      <c r="E804" s="251" t="s">
        <v>2074</v>
      </c>
      <c r="F804" s="252"/>
      <c r="G804" s="252"/>
      <c r="H804" s="252"/>
      <c r="I804" s="252"/>
      <c r="J804" s="252"/>
    </row>
    <row r="805">
      <c r="A805" s="155" t="s">
        <v>225</v>
      </c>
      <c r="B805" s="273" t="s">
        <v>2116</v>
      </c>
      <c r="C805" s="274"/>
      <c r="D805" s="252"/>
      <c r="E805" s="252"/>
      <c r="F805" s="252"/>
      <c r="G805" s="252"/>
      <c r="H805" s="252"/>
      <c r="I805" s="252"/>
      <c r="J805" s="252"/>
    </row>
    <row r="806">
      <c r="A806" s="153" t="s">
        <v>245</v>
      </c>
      <c r="B806" s="259" t="s">
        <v>12</v>
      </c>
      <c r="C806" s="259" t="s">
        <v>2318</v>
      </c>
      <c r="D806" s="252"/>
      <c r="E806" s="252"/>
      <c r="F806" s="252"/>
      <c r="G806" s="252"/>
      <c r="H806" s="252"/>
      <c r="I806" s="252"/>
      <c r="J806" s="252"/>
    </row>
    <row r="807">
      <c r="A807" s="155" t="s">
        <v>265</v>
      </c>
      <c r="B807" s="274"/>
      <c r="C807" s="274"/>
      <c r="D807" s="252"/>
      <c r="E807" s="252"/>
      <c r="F807" s="252"/>
      <c r="G807" s="252"/>
      <c r="H807" s="252"/>
      <c r="I807" s="252"/>
      <c r="J807" s="252"/>
    </row>
    <row r="808">
      <c r="A808" s="153" t="s">
        <v>285</v>
      </c>
      <c r="B808" s="259" t="s">
        <v>2318</v>
      </c>
      <c r="C808" s="259" t="s">
        <v>2366</v>
      </c>
      <c r="D808" s="252"/>
      <c r="E808" s="252"/>
      <c r="F808" s="252"/>
      <c r="G808" s="252"/>
      <c r="H808" s="252"/>
      <c r="I808" s="252"/>
      <c r="J808" s="252"/>
    </row>
    <row r="809">
      <c r="A809" s="155" t="s">
        <v>305</v>
      </c>
      <c r="B809" s="273" t="s">
        <v>12</v>
      </c>
      <c r="C809" s="273" t="s">
        <v>2068</v>
      </c>
      <c r="D809" s="253" t="s">
        <v>2070</v>
      </c>
      <c r="E809" s="252"/>
      <c r="F809" s="252"/>
      <c r="G809" s="252"/>
      <c r="H809" s="252"/>
      <c r="I809" s="252"/>
      <c r="J809" s="252"/>
    </row>
    <row r="810">
      <c r="A810" s="153" t="s">
        <v>325</v>
      </c>
      <c r="B810" s="259" t="s">
        <v>12</v>
      </c>
      <c r="C810" s="259" t="s">
        <v>2116</v>
      </c>
      <c r="D810" s="252"/>
      <c r="E810" s="252"/>
      <c r="F810" s="252"/>
      <c r="G810" s="252"/>
      <c r="H810" s="252"/>
      <c r="I810" s="252"/>
      <c r="J810" s="252"/>
    </row>
    <row r="811">
      <c r="A811" s="155" t="s">
        <v>345</v>
      </c>
      <c r="B811" s="273" t="s">
        <v>2264</v>
      </c>
      <c r="C811" s="274"/>
      <c r="D811" s="252"/>
      <c r="E811" s="252"/>
      <c r="F811" s="252"/>
      <c r="G811" s="252"/>
      <c r="H811" s="252"/>
      <c r="I811" s="252"/>
      <c r="J811" s="252"/>
    </row>
    <row r="812">
      <c r="A812" s="153" t="s">
        <v>365</v>
      </c>
      <c r="B812" s="259" t="s">
        <v>2083</v>
      </c>
      <c r="C812" s="274"/>
      <c r="D812" s="252"/>
      <c r="E812" s="252"/>
      <c r="F812" s="252"/>
      <c r="G812" s="252"/>
      <c r="H812" s="252"/>
      <c r="I812" s="252"/>
      <c r="J812" s="252"/>
    </row>
    <row r="813">
      <c r="A813" s="155" t="s">
        <v>390</v>
      </c>
      <c r="B813" s="274"/>
      <c r="C813" s="274"/>
      <c r="D813" s="252"/>
      <c r="E813" s="252"/>
      <c r="F813" s="252"/>
      <c r="G813" s="252"/>
      <c r="H813" s="252"/>
      <c r="I813" s="252"/>
      <c r="J813" s="252"/>
    </row>
    <row r="814">
      <c r="A814" s="153" t="s">
        <v>418</v>
      </c>
      <c r="B814" s="259" t="s">
        <v>12</v>
      </c>
      <c r="C814" s="259" t="s">
        <v>2068</v>
      </c>
      <c r="D814" s="251" t="s">
        <v>2070</v>
      </c>
      <c r="E814" s="252"/>
      <c r="F814" s="252"/>
      <c r="G814" s="252"/>
      <c r="H814" s="252"/>
      <c r="I814" s="252"/>
      <c r="J814" s="252"/>
    </row>
    <row r="815">
      <c r="A815" s="155" t="s">
        <v>445</v>
      </c>
      <c r="B815" s="273" t="s">
        <v>2064</v>
      </c>
      <c r="C815" s="273" t="s">
        <v>2172</v>
      </c>
      <c r="D815" s="253" t="s">
        <v>2070</v>
      </c>
      <c r="E815" s="252"/>
      <c r="F815" s="252"/>
      <c r="G815" s="252"/>
      <c r="H815" s="252"/>
      <c r="I815" s="252"/>
      <c r="J815" s="252"/>
    </row>
    <row r="816">
      <c r="A816" s="153" t="s">
        <v>473</v>
      </c>
      <c r="B816" s="259" t="s">
        <v>2172</v>
      </c>
      <c r="C816" s="259" t="s">
        <v>2070</v>
      </c>
      <c r="D816" s="252"/>
      <c r="E816" s="252"/>
      <c r="F816" s="252"/>
      <c r="G816" s="252"/>
      <c r="H816" s="252"/>
      <c r="I816" s="252"/>
      <c r="J816" s="252"/>
    </row>
    <row r="817">
      <c r="A817" s="155" t="s">
        <v>502</v>
      </c>
      <c r="B817" s="273" t="s">
        <v>2079</v>
      </c>
      <c r="C817" s="274"/>
      <c r="D817" s="252"/>
      <c r="E817" s="252"/>
      <c r="F817" s="252"/>
      <c r="G817" s="252"/>
      <c r="H817" s="252"/>
      <c r="I817" s="252"/>
      <c r="J817" s="252"/>
    </row>
    <row r="818">
      <c r="A818" s="153" t="s">
        <v>524</v>
      </c>
      <c r="B818" s="259" t="s">
        <v>2172</v>
      </c>
      <c r="C818" s="274"/>
      <c r="D818" s="252"/>
      <c r="E818" s="252"/>
      <c r="F818" s="252"/>
      <c r="G818" s="252"/>
      <c r="H818" s="252"/>
      <c r="I818" s="252"/>
      <c r="J818" s="252"/>
    </row>
    <row r="819">
      <c r="A819" s="155" t="s">
        <v>543</v>
      </c>
      <c r="B819" s="273" t="s">
        <v>2416</v>
      </c>
      <c r="C819" s="274"/>
      <c r="D819" s="252"/>
      <c r="E819" s="252"/>
      <c r="F819" s="252"/>
      <c r="G819" s="252"/>
      <c r="H819" s="252"/>
      <c r="I819" s="252"/>
      <c r="J819" s="252"/>
    </row>
    <row r="820">
      <c r="A820" s="153" t="s">
        <v>564</v>
      </c>
      <c r="B820" s="259" t="s">
        <v>2417</v>
      </c>
      <c r="C820" s="274"/>
      <c r="D820" s="252"/>
      <c r="E820" s="252"/>
      <c r="F820" s="252"/>
      <c r="G820" s="252"/>
      <c r="H820" s="252"/>
      <c r="I820" s="252"/>
      <c r="J820" s="252"/>
    </row>
    <row r="821">
      <c r="A821" s="155" t="s">
        <v>586</v>
      </c>
      <c r="B821" s="273" t="s">
        <v>2108</v>
      </c>
      <c r="C821" s="274"/>
      <c r="D821" s="252"/>
      <c r="E821" s="252"/>
      <c r="F821" s="252"/>
      <c r="G821" s="252"/>
      <c r="H821" s="252"/>
      <c r="I821" s="252"/>
      <c r="J821" s="252"/>
    </row>
    <row r="822">
      <c r="A822" s="153" t="s">
        <v>609</v>
      </c>
      <c r="B822" s="274"/>
      <c r="C822" s="274"/>
      <c r="D822" s="252"/>
      <c r="E822" s="252"/>
      <c r="F822" s="252"/>
      <c r="G822" s="252"/>
      <c r="H822" s="252"/>
      <c r="I822" s="252"/>
      <c r="J822" s="252"/>
    </row>
    <row r="823">
      <c r="A823" s="155" t="s">
        <v>631</v>
      </c>
      <c r="B823" s="273" t="s">
        <v>2318</v>
      </c>
      <c r="C823" s="274"/>
      <c r="D823" s="252"/>
      <c r="E823" s="252"/>
      <c r="F823" s="252"/>
      <c r="G823" s="252"/>
      <c r="H823" s="252"/>
      <c r="I823" s="252"/>
      <c r="J823" s="252"/>
    </row>
    <row r="824">
      <c r="A824" s="153" t="s">
        <v>655</v>
      </c>
      <c r="B824" s="259" t="s">
        <v>2116</v>
      </c>
      <c r="C824" s="274"/>
      <c r="D824" s="252"/>
      <c r="E824" s="252"/>
      <c r="F824" s="252"/>
      <c r="G824" s="252"/>
      <c r="H824" s="252"/>
      <c r="I824" s="252"/>
      <c r="J824" s="252"/>
    </row>
    <row r="825">
      <c r="A825" s="155" t="s">
        <v>670</v>
      </c>
      <c r="B825" s="273" t="s">
        <v>2264</v>
      </c>
      <c r="C825" s="274"/>
      <c r="D825" s="252"/>
      <c r="E825" s="252"/>
      <c r="F825" s="252"/>
      <c r="G825" s="252"/>
      <c r="H825" s="252"/>
      <c r="I825" s="252"/>
      <c r="J825" s="252"/>
    </row>
    <row r="826">
      <c r="A826" s="153" t="s">
        <v>684</v>
      </c>
      <c r="B826" s="259" t="s">
        <v>2068</v>
      </c>
      <c r="C826" s="259" t="s">
        <v>12</v>
      </c>
      <c r="D826" s="252"/>
      <c r="E826" s="252"/>
      <c r="F826" s="252"/>
      <c r="G826" s="252"/>
      <c r="H826" s="252"/>
      <c r="I826" s="252"/>
      <c r="J826" s="252"/>
    </row>
    <row r="827">
      <c r="A827" s="155" t="s">
        <v>699</v>
      </c>
      <c r="B827" s="273" t="s">
        <v>2418</v>
      </c>
      <c r="C827" s="274"/>
      <c r="D827" s="252"/>
      <c r="E827" s="252"/>
      <c r="F827" s="252"/>
      <c r="G827" s="252"/>
      <c r="H827" s="252"/>
      <c r="I827" s="252"/>
      <c r="J827" s="252"/>
    </row>
    <row r="828">
      <c r="A828" s="153" t="s">
        <v>719</v>
      </c>
      <c r="B828" s="274"/>
      <c r="C828" s="274"/>
      <c r="D828" s="252"/>
      <c r="E828" s="252"/>
      <c r="F828" s="252"/>
      <c r="G828" s="252"/>
      <c r="H828" s="252"/>
      <c r="I828" s="252"/>
      <c r="J828" s="252"/>
    </row>
    <row r="829">
      <c r="A829" s="155" t="s">
        <v>737</v>
      </c>
      <c r="B829" s="274"/>
      <c r="C829" s="274"/>
      <c r="D829" s="252"/>
      <c r="E829" s="252"/>
      <c r="F829" s="252"/>
      <c r="G829" s="252"/>
      <c r="H829" s="252"/>
      <c r="I829" s="252"/>
      <c r="J829" s="252"/>
    </row>
    <row r="830">
      <c r="A830" s="153" t="s">
        <v>754</v>
      </c>
      <c r="B830" s="259" t="s">
        <v>2084</v>
      </c>
      <c r="C830" s="274"/>
      <c r="D830" s="252"/>
      <c r="E830" s="252"/>
      <c r="F830" s="252"/>
      <c r="G830" s="252"/>
      <c r="H830" s="252"/>
      <c r="I830" s="252"/>
      <c r="J830" s="252"/>
    </row>
    <row r="831">
      <c r="A831" s="155" t="s">
        <v>766</v>
      </c>
      <c r="B831" s="273" t="s">
        <v>2085</v>
      </c>
      <c r="C831" s="274"/>
      <c r="D831" s="252"/>
      <c r="E831" s="252"/>
      <c r="F831" s="252"/>
      <c r="G831" s="252"/>
      <c r="H831" s="252"/>
      <c r="I831" s="252"/>
      <c r="J831" s="252"/>
    </row>
    <row r="832">
      <c r="A832" s="153" t="s">
        <v>775</v>
      </c>
      <c r="B832" s="259" t="s">
        <v>2097</v>
      </c>
      <c r="C832" s="259" t="s">
        <v>2419</v>
      </c>
      <c r="D832" s="252"/>
      <c r="E832" s="252"/>
      <c r="F832" s="252"/>
      <c r="G832" s="252"/>
      <c r="H832" s="252"/>
      <c r="I832" s="252"/>
      <c r="J832" s="252"/>
    </row>
    <row r="833">
      <c r="A833" s="155" t="s">
        <v>781</v>
      </c>
      <c r="B833" s="273" t="s">
        <v>2085</v>
      </c>
      <c r="C833" s="274"/>
      <c r="D833" s="252"/>
      <c r="E833" s="252"/>
      <c r="F833" s="252"/>
      <c r="G833" s="252"/>
      <c r="H833" s="252"/>
      <c r="I833" s="252"/>
      <c r="J833" s="252"/>
    </row>
    <row r="834">
      <c r="A834" s="153" t="s">
        <v>786</v>
      </c>
      <c r="B834" s="259" t="s">
        <v>2419</v>
      </c>
      <c r="C834" s="274"/>
      <c r="D834" s="252"/>
      <c r="E834" s="252"/>
      <c r="F834" s="252"/>
      <c r="G834" s="252"/>
      <c r="H834" s="252"/>
      <c r="I834" s="252"/>
      <c r="J834" s="252"/>
    </row>
    <row r="835">
      <c r="A835" s="155" t="s">
        <v>791</v>
      </c>
      <c r="B835" s="274"/>
      <c r="C835" s="274"/>
      <c r="D835" s="252"/>
      <c r="E835" s="252"/>
      <c r="F835" s="252"/>
      <c r="G835" s="252"/>
      <c r="H835" s="252"/>
      <c r="I835" s="252"/>
      <c r="J835" s="252"/>
    </row>
    <row r="836">
      <c r="A836" s="153" t="s">
        <v>797</v>
      </c>
      <c r="B836" s="274"/>
      <c r="C836" s="274"/>
      <c r="D836" s="252"/>
      <c r="E836" s="252"/>
      <c r="F836" s="252"/>
      <c r="G836" s="252"/>
      <c r="H836" s="252"/>
      <c r="I836" s="252"/>
      <c r="J836" s="252"/>
    </row>
    <row r="837">
      <c r="A837" s="155"/>
      <c r="B837" s="274"/>
      <c r="C837" s="274"/>
      <c r="D837" s="252"/>
      <c r="E837" s="252"/>
      <c r="F837" s="252"/>
      <c r="G837" s="252"/>
      <c r="H837" s="252"/>
      <c r="I837" s="252"/>
      <c r="J837" s="252"/>
    </row>
    <row r="838">
      <c r="A838" s="153"/>
      <c r="B838" s="274"/>
      <c r="C838" s="274"/>
      <c r="D838" s="252"/>
      <c r="E838" s="252"/>
      <c r="F838" s="252"/>
      <c r="G838" s="252"/>
      <c r="H838" s="252"/>
      <c r="I838" s="252"/>
      <c r="J838" s="252"/>
    </row>
    <row r="839">
      <c r="A839" s="155"/>
      <c r="B839" s="274"/>
      <c r="C839" s="274"/>
      <c r="D839" s="252"/>
      <c r="E839" s="252"/>
      <c r="F839" s="252"/>
      <c r="G839" s="252"/>
      <c r="H839" s="252"/>
      <c r="I839" s="252"/>
      <c r="J839" s="252"/>
    </row>
    <row r="840">
      <c r="A840" s="153"/>
      <c r="B840" s="274"/>
      <c r="C840" s="274"/>
      <c r="D840" s="252"/>
      <c r="E840" s="252"/>
      <c r="F840" s="252"/>
      <c r="G840" s="252"/>
      <c r="H840" s="252"/>
      <c r="I840" s="252"/>
      <c r="J840" s="252"/>
    </row>
    <row r="841">
      <c r="A841" s="155"/>
      <c r="B841" s="274"/>
      <c r="C841" s="274"/>
      <c r="D841" s="252"/>
      <c r="E841" s="252"/>
      <c r="F841" s="252"/>
      <c r="G841" s="252"/>
      <c r="H841" s="252"/>
      <c r="I841" s="252"/>
      <c r="J841" s="252"/>
    </row>
    <row r="842">
      <c r="A842" s="153"/>
      <c r="B842" s="274"/>
      <c r="C842" s="274"/>
      <c r="D842" s="252"/>
      <c r="E842" s="252"/>
      <c r="F842" s="252"/>
      <c r="G842" s="252"/>
      <c r="H842" s="252"/>
      <c r="I842" s="252"/>
      <c r="J842" s="252"/>
    </row>
    <row r="843">
      <c r="A843" s="155"/>
      <c r="B843" s="274"/>
      <c r="C843" s="274"/>
      <c r="D843" s="252"/>
      <c r="E843" s="252"/>
      <c r="F843" s="252"/>
      <c r="G843" s="252"/>
      <c r="H843" s="252"/>
      <c r="I843" s="252"/>
      <c r="J843" s="252"/>
    </row>
    <row r="844">
      <c r="A844" s="153"/>
      <c r="B844" s="274"/>
      <c r="C844" s="274"/>
      <c r="D844" s="252"/>
      <c r="E844" s="252"/>
      <c r="F844" s="252"/>
      <c r="G844" s="252"/>
      <c r="H844" s="252"/>
      <c r="I844" s="252"/>
      <c r="J844" s="252"/>
    </row>
    <row r="845">
      <c r="A845" s="155"/>
      <c r="B845" s="274"/>
      <c r="C845" s="274"/>
      <c r="D845" s="252"/>
      <c r="E845" s="252"/>
      <c r="F845" s="252"/>
      <c r="G845" s="252"/>
      <c r="H845" s="252"/>
      <c r="I845" s="252"/>
      <c r="J845" s="252"/>
    </row>
    <row r="846">
      <c r="A846" s="153"/>
      <c r="B846" s="274"/>
      <c r="C846" s="274"/>
      <c r="D846" s="252"/>
      <c r="E846" s="252"/>
      <c r="F846" s="252"/>
      <c r="G846" s="252"/>
      <c r="H846" s="252"/>
      <c r="I846" s="252"/>
      <c r="J846" s="252"/>
    </row>
    <row r="847">
      <c r="A847" s="155"/>
      <c r="B847" s="274"/>
      <c r="C847" s="274"/>
      <c r="D847" s="252"/>
      <c r="E847" s="252"/>
      <c r="F847" s="252"/>
      <c r="G847" s="252"/>
      <c r="H847" s="252"/>
      <c r="I847" s="252"/>
      <c r="J847" s="252"/>
    </row>
    <row r="848">
      <c r="A848" s="153"/>
      <c r="B848" s="274"/>
      <c r="C848" s="274"/>
      <c r="D848" s="252"/>
      <c r="E848" s="252"/>
      <c r="F848" s="252"/>
      <c r="G848" s="252"/>
      <c r="H848" s="252"/>
      <c r="I848" s="252"/>
      <c r="J848" s="252"/>
    </row>
    <row r="849">
      <c r="A849" s="155"/>
      <c r="B849" s="274"/>
      <c r="C849" s="274"/>
      <c r="D849" s="252"/>
      <c r="E849" s="252"/>
      <c r="F849" s="252"/>
      <c r="G849" s="252"/>
      <c r="H849" s="252"/>
      <c r="I849" s="252"/>
      <c r="J849" s="252"/>
    </row>
    <row r="850">
      <c r="A850" s="162"/>
      <c r="B850" s="274"/>
      <c r="C850" s="274"/>
      <c r="D850" s="252"/>
      <c r="E850" s="252"/>
      <c r="F850" s="252"/>
      <c r="G850" s="252"/>
      <c r="H850" s="252"/>
      <c r="I850" s="252"/>
      <c r="J850" s="252"/>
    </row>
    <row r="851">
      <c r="A851" s="150" t="str">
        <f t="array" ref="A851:A900">'Up Names'!R2:R51</f>
        <v>Modular Construction</v>
      </c>
      <c r="B851" s="259" t="s">
        <v>2318</v>
      </c>
      <c r="C851" s="259" t="s">
        <v>2366</v>
      </c>
      <c r="D851" s="251" t="s">
        <v>2097</v>
      </c>
      <c r="E851" s="252"/>
      <c r="F851" s="252"/>
      <c r="G851" s="252"/>
      <c r="H851" s="252"/>
      <c r="I851" s="252"/>
      <c r="J851" s="252"/>
    </row>
    <row r="852">
      <c r="A852" s="153" t="s">
        <v>167</v>
      </c>
      <c r="B852" s="273" t="s">
        <v>2318</v>
      </c>
      <c r="C852" s="273" t="s">
        <v>2366</v>
      </c>
      <c r="D852" s="252"/>
      <c r="E852" s="252"/>
      <c r="F852" s="252"/>
      <c r="G852" s="252"/>
      <c r="H852" s="252"/>
      <c r="I852" s="252"/>
      <c r="J852" s="252"/>
    </row>
    <row r="853">
      <c r="A853" s="155" t="s">
        <v>187</v>
      </c>
      <c r="B853" s="259" t="s">
        <v>2149</v>
      </c>
      <c r="C853" s="259" t="s">
        <v>2085</v>
      </c>
      <c r="D853" s="251" t="s">
        <v>2420</v>
      </c>
      <c r="E853" s="252"/>
      <c r="F853" s="252"/>
      <c r="G853" s="252"/>
      <c r="H853" s="252"/>
      <c r="I853" s="252"/>
      <c r="J853" s="252"/>
    </row>
    <row r="854">
      <c r="A854" s="153" t="s">
        <v>207</v>
      </c>
      <c r="B854" s="273" t="s">
        <v>2085</v>
      </c>
      <c r="C854" s="273" t="s">
        <v>12</v>
      </c>
      <c r="D854" s="252"/>
      <c r="E854" s="252"/>
      <c r="F854" s="252"/>
      <c r="G854" s="252"/>
      <c r="H854" s="252"/>
      <c r="I854" s="252"/>
      <c r="J854" s="252"/>
    </row>
    <row r="855">
      <c r="A855" s="155" t="s">
        <v>226</v>
      </c>
      <c r="B855" s="259" t="s">
        <v>2097</v>
      </c>
      <c r="C855" s="259" t="s">
        <v>2225</v>
      </c>
      <c r="D855" s="252"/>
      <c r="E855" s="252"/>
      <c r="F855" s="252"/>
      <c r="G855" s="252"/>
      <c r="H855" s="252"/>
      <c r="I855" s="252"/>
      <c r="J855" s="252"/>
    </row>
    <row r="856">
      <c r="A856" s="153" t="s">
        <v>246</v>
      </c>
      <c r="B856" s="273" t="s">
        <v>2274</v>
      </c>
      <c r="C856" s="273" t="s">
        <v>2085</v>
      </c>
      <c r="D856" s="253" t="s">
        <v>2091</v>
      </c>
      <c r="E856" s="253" t="s">
        <v>2213</v>
      </c>
      <c r="F856" s="252"/>
      <c r="G856" s="252"/>
      <c r="H856" s="252"/>
      <c r="I856" s="252"/>
      <c r="J856" s="252"/>
    </row>
    <row r="857">
      <c r="A857" s="155" t="s">
        <v>266</v>
      </c>
      <c r="B857" s="259" t="s">
        <v>2421</v>
      </c>
      <c r="C857" s="274"/>
      <c r="D857" s="252"/>
      <c r="E857" s="252"/>
      <c r="F857" s="252"/>
      <c r="G857" s="252"/>
      <c r="H857" s="252"/>
      <c r="I857" s="252"/>
      <c r="J857" s="252"/>
    </row>
    <row r="858">
      <c r="A858" s="153" t="s">
        <v>286</v>
      </c>
      <c r="B858" s="274"/>
      <c r="C858" s="274"/>
      <c r="D858" s="252"/>
      <c r="E858" s="252"/>
      <c r="F858" s="252"/>
      <c r="G858" s="252"/>
      <c r="H858" s="252"/>
      <c r="I858" s="252"/>
      <c r="J858" s="252"/>
    </row>
    <row r="859">
      <c r="A859" s="155" t="s">
        <v>306</v>
      </c>
      <c r="B859" s="259" t="s">
        <v>2070</v>
      </c>
      <c r="C859" s="259" t="s">
        <v>2318</v>
      </c>
      <c r="D859" s="252"/>
      <c r="E859" s="252"/>
      <c r="F859" s="252"/>
      <c r="G859" s="252"/>
      <c r="H859" s="252"/>
      <c r="I859" s="252"/>
      <c r="J859" s="252"/>
    </row>
    <row r="860">
      <c r="A860" s="153" t="s">
        <v>326</v>
      </c>
      <c r="B860" s="273" t="s">
        <v>2422</v>
      </c>
      <c r="C860" s="274"/>
      <c r="D860" s="252"/>
      <c r="E860" s="252"/>
      <c r="F860" s="252"/>
      <c r="G860" s="252"/>
      <c r="H860" s="252"/>
      <c r="I860" s="252"/>
      <c r="J860" s="252"/>
    </row>
    <row r="861">
      <c r="A861" s="155" t="s">
        <v>346</v>
      </c>
      <c r="B861" s="274"/>
      <c r="C861" s="274"/>
      <c r="D861" s="252"/>
      <c r="E861" s="252"/>
      <c r="F861" s="252"/>
      <c r="G861" s="252"/>
      <c r="H861" s="252"/>
      <c r="I861" s="252"/>
      <c r="J861" s="252"/>
    </row>
    <row r="862">
      <c r="A862" s="153" t="s">
        <v>366</v>
      </c>
      <c r="B862" s="273" t="s">
        <v>2070</v>
      </c>
      <c r="C862" s="274"/>
      <c r="D862" s="252"/>
      <c r="E862" s="252"/>
      <c r="F862" s="252"/>
      <c r="G862" s="252"/>
      <c r="H862" s="252"/>
      <c r="I862" s="252"/>
      <c r="J862" s="252"/>
    </row>
    <row r="863">
      <c r="A863" s="155" t="s">
        <v>391</v>
      </c>
      <c r="B863" s="259" t="s">
        <v>2403</v>
      </c>
      <c r="C863" s="274"/>
      <c r="D863" s="252"/>
      <c r="E863" s="252"/>
      <c r="F863" s="252"/>
      <c r="G863" s="252"/>
      <c r="H863" s="252"/>
      <c r="I863" s="252"/>
      <c r="J863" s="252"/>
    </row>
    <row r="864">
      <c r="A864" s="153" t="s">
        <v>419</v>
      </c>
      <c r="B864" s="273" t="s">
        <v>2116</v>
      </c>
      <c r="C864" s="274"/>
      <c r="D864" s="252"/>
      <c r="E864" s="252"/>
      <c r="F864" s="252"/>
      <c r="G864" s="252"/>
      <c r="H864" s="252"/>
      <c r="I864" s="252"/>
      <c r="J864" s="252"/>
    </row>
    <row r="865">
      <c r="A865" s="155" t="s">
        <v>446</v>
      </c>
      <c r="B865" s="274"/>
      <c r="C865" s="274"/>
      <c r="D865" s="252"/>
      <c r="E865" s="252"/>
      <c r="F865" s="252"/>
      <c r="G865" s="252"/>
      <c r="H865" s="252"/>
      <c r="I865" s="252"/>
      <c r="J865" s="252"/>
    </row>
    <row r="866">
      <c r="A866" s="153" t="s">
        <v>475</v>
      </c>
      <c r="B866" s="273" t="s">
        <v>2074</v>
      </c>
      <c r="C866" s="273" t="s">
        <v>2423</v>
      </c>
      <c r="D866" s="252"/>
      <c r="E866" s="252"/>
      <c r="F866" s="252"/>
      <c r="G866" s="252"/>
      <c r="H866" s="252"/>
      <c r="I866" s="252"/>
      <c r="J866" s="252"/>
    </row>
    <row r="867">
      <c r="A867" s="155" t="s">
        <v>504</v>
      </c>
      <c r="B867" s="259" t="s">
        <v>2318</v>
      </c>
      <c r="C867" s="274"/>
      <c r="D867" s="252"/>
      <c r="E867" s="252"/>
      <c r="F867" s="252"/>
      <c r="G867" s="252"/>
      <c r="H867" s="252"/>
      <c r="I867" s="252"/>
      <c r="J867" s="252"/>
    </row>
    <row r="868">
      <c r="A868" s="153" t="s">
        <v>525</v>
      </c>
      <c r="B868" s="273" t="s">
        <v>2108</v>
      </c>
      <c r="C868" s="273" t="s">
        <v>2068</v>
      </c>
      <c r="D868" s="252"/>
      <c r="E868" s="252"/>
      <c r="F868" s="252"/>
      <c r="G868" s="252"/>
      <c r="H868" s="252"/>
      <c r="I868" s="252"/>
      <c r="J868" s="252"/>
    </row>
    <row r="869">
      <c r="A869" s="155" t="s">
        <v>544</v>
      </c>
      <c r="B869" s="259" t="s">
        <v>2068</v>
      </c>
      <c r="C869" s="259" t="s">
        <v>12</v>
      </c>
      <c r="D869" s="252"/>
      <c r="E869" s="252"/>
      <c r="F869" s="252"/>
      <c r="G869" s="252"/>
      <c r="H869" s="252"/>
      <c r="I869" s="252"/>
      <c r="J869" s="252"/>
    </row>
    <row r="870">
      <c r="A870" s="153" t="s">
        <v>565</v>
      </c>
      <c r="B870" s="273" t="s">
        <v>2424</v>
      </c>
      <c r="C870" s="273" t="s">
        <v>12</v>
      </c>
      <c r="D870" s="252"/>
      <c r="E870" s="252"/>
      <c r="F870" s="252"/>
      <c r="G870" s="252"/>
      <c r="H870" s="252"/>
      <c r="I870" s="252"/>
      <c r="J870" s="252"/>
    </row>
    <row r="871">
      <c r="A871" s="155" t="s">
        <v>588</v>
      </c>
      <c r="B871" s="259" t="s">
        <v>2318</v>
      </c>
      <c r="C871" s="274"/>
      <c r="D871" s="252"/>
      <c r="E871" s="252"/>
      <c r="F871" s="252"/>
      <c r="G871" s="252"/>
      <c r="H871" s="252"/>
      <c r="I871" s="252"/>
      <c r="J871" s="252"/>
    </row>
    <row r="872">
      <c r="A872" s="153" t="s">
        <v>610</v>
      </c>
      <c r="B872" s="273" t="s">
        <v>2149</v>
      </c>
      <c r="C872" s="274"/>
      <c r="D872" s="252"/>
      <c r="E872" s="252"/>
      <c r="F872" s="252"/>
      <c r="G872" s="252"/>
      <c r="H872" s="252"/>
      <c r="I872" s="252"/>
      <c r="J872" s="252"/>
    </row>
    <row r="873">
      <c r="A873" s="155" t="s">
        <v>633</v>
      </c>
      <c r="B873" s="259" t="s">
        <v>2425</v>
      </c>
      <c r="C873" s="274"/>
      <c r="D873" s="252"/>
      <c r="E873" s="252"/>
      <c r="F873" s="252"/>
      <c r="G873" s="252"/>
      <c r="H873" s="252"/>
      <c r="I873" s="252"/>
      <c r="J873" s="252"/>
    </row>
    <row r="874">
      <c r="A874" s="153" t="s">
        <v>656</v>
      </c>
      <c r="B874" s="273" t="s">
        <v>2426</v>
      </c>
      <c r="C874" s="273" t="s">
        <v>2427</v>
      </c>
      <c r="D874" s="252"/>
      <c r="E874" s="252"/>
      <c r="F874" s="252"/>
      <c r="G874" s="252"/>
      <c r="H874" s="252"/>
      <c r="I874" s="252"/>
      <c r="J874" s="252"/>
    </row>
    <row r="875">
      <c r="A875" s="155" t="s">
        <v>671</v>
      </c>
      <c r="B875" s="274"/>
      <c r="C875" s="274"/>
      <c r="D875" s="252"/>
      <c r="E875" s="252"/>
      <c r="F875" s="252"/>
      <c r="G875" s="252"/>
      <c r="H875" s="252"/>
      <c r="I875" s="252"/>
      <c r="J875" s="252"/>
    </row>
    <row r="876">
      <c r="A876" s="153" t="s">
        <v>685</v>
      </c>
      <c r="B876" s="274"/>
      <c r="C876" s="274"/>
      <c r="D876" s="252"/>
      <c r="E876" s="252"/>
      <c r="F876" s="252"/>
      <c r="G876" s="252"/>
      <c r="H876" s="252"/>
      <c r="I876" s="252"/>
      <c r="J876" s="252"/>
    </row>
    <row r="877">
      <c r="A877" s="155" t="s">
        <v>701</v>
      </c>
      <c r="B877" s="274"/>
      <c r="C877" s="274"/>
      <c r="D877" s="252"/>
      <c r="E877" s="252"/>
      <c r="F877" s="252"/>
      <c r="G877" s="252"/>
      <c r="H877" s="252"/>
      <c r="I877" s="252"/>
      <c r="J877" s="252"/>
    </row>
    <row r="878">
      <c r="A878" s="153" t="s">
        <v>720</v>
      </c>
      <c r="B878" s="273" t="s">
        <v>2428</v>
      </c>
      <c r="C878" s="273" t="s">
        <v>2429</v>
      </c>
      <c r="D878" s="252"/>
      <c r="E878" s="252"/>
      <c r="F878" s="252"/>
      <c r="G878" s="252"/>
      <c r="H878" s="252"/>
      <c r="I878" s="252"/>
      <c r="J878" s="252"/>
    </row>
    <row r="879">
      <c r="A879" s="155" t="s">
        <v>738</v>
      </c>
      <c r="B879" s="259" t="s">
        <v>12</v>
      </c>
      <c r="C879" s="259" t="s">
        <v>2068</v>
      </c>
      <c r="D879" s="252"/>
      <c r="E879" s="252"/>
      <c r="F879" s="252"/>
      <c r="G879" s="252"/>
      <c r="H879" s="252"/>
      <c r="I879" s="252"/>
      <c r="J879" s="252"/>
    </row>
    <row r="880">
      <c r="A880" s="153" t="s">
        <v>755</v>
      </c>
      <c r="B880" s="273" t="s">
        <v>2430</v>
      </c>
      <c r="C880" s="274"/>
      <c r="D880" s="252"/>
      <c r="E880" s="252"/>
      <c r="F880" s="252"/>
      <c r="G880" s="252"/>
      <c r="H880" s="252"/>
      <c r="I880" s="252"/>
      <c r="J880" s="252"/>
    </row>
    <row r="881">
      <c r="A881" s="155" t="s">
        <v>768</v>
      </c>
      <c r="B881" s="259" t="s">
        <v>2427</v>
      </c>
      <c r="C881" s="274"/>
      <c r="D881" s="252"/>
      <c r="E881" s="252"/>
      <c r="F881" s="252"/>
      <c r="G881" s="252"/>
      <c r="H881" s="252"/>
      <c r="I881" s="252"/>
      <c r="J881" s="252"/>
    </row>
    <row r="882">
      <c r="A882" s="153" t="s">
        <v>776</v>
      </c>
      <c r="B882" s="273" t="s">
        <v>2318</v>
      </c>
      <c r="C882" s="274"/>
      <c r="D882" s="252"/>
      <c r="E882" s="252"/>
      <c r="F882" s="252"/>
      <c r="G882" s="252"/>
      <c r="H882" s="252"/>
      <c r="I882" s="252"/>
      <c r="J882" s="252"/>
    </row>
    <row r="883">
      <c r="A883" s="155" t="s">
        <v>782</v>
      </c>
      <c r="B883" s="259" t="s">
        <v>2318</v>
      </c>
      <c r="C883" s="274"/>
      <c r="D883" s="252"/>
      <c r="E883" s="252"/>
      <c r="F883" s="252"/>
      <c r="G883" s="252"/>
      <c r="H883" s="252"/>
      <c r="I883" s="252"/>
      <c r="J883" s="252"/>
    </row>
    <row r="884">
      <c r="A884" s="153" t="s">
        <v>787</v>
      </c>
      <c r="B884" s="274"/>
      <c r="C884" s="274"/>
      <c r="D884" s="252"/>
      <c r="E884" s="252"/>
      <c r="F884" s="252"/>
      <c r="G884" s="252"/>
      <c r="H884" s="252"/>
      <c r="I884" s="252"/>
      <c r="J884" s="252"/>
    </row>
    <row r="885">
      <c r="A885" s="155" t="s">
        <v>792</v>
      </c>
      <c r="B885" s="274"/>
      <c r="C885" s="274"/>
      <c r="D885" s="252"/>
      <c r="E885" s="252"/>
      <c r="F885" s="252"/>
      <c r="G885" s="252"/>
      <c r="H885" s="252"/>
      <c r="I885" s="252"/>
      <c r="J885" s="252"/>
    </row>
    <row r="886">
      <c r="A886" s="153"/>
      <c r="B886" s="274"/>
      <c r="C886" s="274"/>
      <c r="D886" s="252"/>
      <c r="E886" s="252"/>
      <c r="F886" s="252"/>
      <c r="G886" s="252"/>
      <c r="H886" s="252"/>
      <c r="I886" s="252"/>
      <c r="J886" s="252"/>
    </row>
    <row r="887">
      <c r="A887" s="155"/>
      <c r="B887" s="274"/>
      <c r="C887" s="274"/>
      <c r="D887" s="252"/>
      <c r="E887" s="252"/>
      <c r="F887" s="252"/>
      <c r="G887" s="252"/>
      <c r="H887" s="252"/>
      <c r="I887" s="252"/>
      <c r="J887" s="252"/>
    </row>
    <row r="888">
      <c r="A888" s="153"/>
      <c r="B888" s="274"/>
      <c r="C888" s="274"/>
      <c r="D888" s="252"/>
      <c r="E888" s="252"/>
      <c r="F888" s="252"/>
      <c r="G888" s="252"/>
      <c r="H888" s="252"/>
      <c r="I888" s="252"/>
      <c r="J888" s="252"/>
    </row>
    <row r="889">
      <c r="A889" s="155"/>
      <c r="B889" s="274"/>
      <c r="C889" s="274"/>
      <c r="D889" s="252"/>
      <c r="E889" s="252"/>
      <c r="F889" s="252"/>
      <c r="G889" s="252"/>
      <c r="H889" s="252"/>
      <c r="I889" s="252"/>
      <c r="J889" s="252"/>
    </row>
    <row r="890">
      <c r="A890" s="153"/>
      <c r="B890" s="274"/>
      <c r="C890" s="274"/>
      <c r="D890" s="252"/>
      <c r="E890" s="252"/>
      <c r="F890" s="252"/>
      <c r="G890" s="252"/>
      <c r="H890" s="252"/>
      <c r="I890" s="252"/>
      <c r="J890" s="252"/>
    </row>
    <row r="891">
      <c r="A891" s="155"/>
      <c r="B891" s="274"/>
      <c r="C891" s="274"/>
      <c r="D891" s="252"/>
      <c r="E891" s="252"/>
      <c r="F891" s="252"/>
      <c r="G891" s="252"/>
      <c r="H891" s="252"/>
      <c r="I891" s="252"/>
      <c r="J891" s="252"/>
    </row>
    <row r="892">
      <c r="A892" s="153"/>
      <c r="B892" s="274"/>
      <c r="C892" s="274"/>
      <c r="D892" s="252"/>
      <c r="E892" s="252"/>
      <c r="F892" s="252"/>
      <c r="G892" s="252"/>
      <c r="H892" s="252"/>
      <c r="I892" s="252"/>
      <c r="J892" s="252"/>
    </row>
    <row r="893">
      <c r="A893" s="155"/>
      <c r="B893" s="274"/>
      <c r="C893" s="274"/>
      <c r="D893" s="252"/>
      <c r="E893" s="252"/>
      <c r="F893" s="252"/>
      <c r="G893" s="252"/>
      <c r="H893" s="252"/>
      <c r="I893" s="252"/>
      <c r="J893" s="252"/>
    </row>
    <row r="894">
      <c r="A894" s="153"/>
      <c r="B894" s="274"/>
      <c r="C894" s="274"/>
      <c r="D894" s="252"/>
      <c r="E894" s="252"/>
      <c r="F894" s="252"/>
      <c r="G894" s="252"/>
      <c r="H894" s="252"/>
      <c r="I894" s="252"/>
      <c r="J894" s="252"/>
    </row>
    <row r="895">
      <c r="A895" s="155"/>
      <c r="B895" s="274"/>
      <c r="C895" s="274"/>
      <c r="D895" s="252"/>
      <c r="E895" s="252"/>
      <c r="F895" s="252"/>
      <c r="G895" s="252"/>
      <c r="H895" s="252"/>
      <c r="I895" s="252"/>
      <c r="J895" s="252"/>
    </row>
    <row r="896">
      <c r="A896" s="153"/>
      <c r="B896" s="274"/>
      <c r="C896" s="274"/>
      <c r="D896" s="252"/>
      <c r="E896" s="252"/>
      <c r="F896" s="252"/>
      <c r="G896" s="252"/>
      <c r="H896" s="252"/>
      <c r="I896" s="252"/>
      <c r="J896" s="252"/>
    </row>
    <row r="897">
      <c r="A897" s="155"/>
      <c r="B897" s="274"/>
      <c r="C897" s="274"/>
      <c r="D897" s="252"/>
      <c r="E897" s="252"/>
      <c r="F897" s="252"/>
      <c r="G897" s="252"/>
      <c r="H897" s="252"/>
      <c r="I897" s="252"/>
      <c r="J897" s="252"/>
    </row>
    <row r="898">
      <c r="A898" s="153"/>
      <c r="B898" s="274"/>
      <c r="C898" s="274"/>
      <c r="D898" s="252"/>
      <c r="E898" s="252"/>
      <c r="F898" s="252"/>
      <c r="G898" s="252"/>
      <c r="H898" s="252"/>
      <c r="I898" s="252"/>
      <c r="J898" s="252"/>
    </row>
    <row r="899">
      <c r="A899" s="155"/>
      <c r="B899" s="274"/>
      <c r="C899" s="274"/>
      <c r="D899" s="252"/>
      <c r="E899" s="252"/>
      <c r="F899" s="252"/>
      <c r="G899" s="252"/>
      <c r="H899" s="252"/>
      <c r="I899" s="252"/>
      <c r="J899" s="252"/>
    </row>
    <row r="900">
      <c r="A900" s="162"/>
      <c r="B900" s="274"/>
      <c r="C900" s="274"/>
      <c r="D900" s="252"/>
      <c r="E900" s="252"/>
      <c r="F900" s="252"/>
      <c r="G900" s="252"/>
      <c r="H900" s="252"/>
      <c r="I900" s="252"/>
      <c r="J900" s="252"/>
    </row>
    <row r="901">
      <c r="A901" s="150" t="str">
        <f t="array" ref="A901:A950">'Up Names'!S2:S51</f>
        <v>Upside Down</v>
      </c>
      <c r="B901" s="259" t="s">
        <v>2116</v>
      </c>
      <c r="C901" s="259" t="s">
        <v>2431</v>
      </c>
      <c r="D901" s="251" t="s">
        <v>2432</v>
      </c>
      <c r="E901" s="252"/>
      <c r="F901" s="252"/>
      <c r="G901" s="252"/>
      <c r="H901" s="252"/>
      <c r="I901" s="252"/>
      <c r="J901" s="252"/>
    </row>
    <row r="902">
      <c r="A902" s="153" t="s">
        <v>168</v>
      </c>
      <c r="B902" s="273" t="s">
        <v>2108</v>
      </c>
      <c r="C902" s="274"/>
      <c r="D902" s="252"/>
      <c r="E902" s="252"/>
      <c r="F902" s="252"/>
      <c r="G902" s="252"/>
      <c r="H902" s="252"/>
      <c r="I902" s="252"/>
      <c r="J902" s="252"/>
    </row>
    <row r="903">
      <c r="A903" s="155" t="s">
        <v>188</v>
      </c>
      <c r="B903" s="259" t="s">
        <v>2084</v>
      </c>
      <c r="C903" s="259" t="s">
        <v>2433</v>
      </c>
      <c r="D903" s="252"/>
      <c r="E903" s="252"/>
      <c r="F903" s="252"/>
      <c r="G903" s="252"/>
      <c r="H903" s="252"/>
      <c r="I903" s="252"/>
      <c r="J903" s="252"/>
    </row>
    <row r="904">
      <c r="A904" s="153" t="s">
        <v>208</v>
      </c>
      <c r="B904" s="273" t="s">
        <v>2434</v>
      </c>
      <c r="C904" s="273" t="s">
        <v>2318</v>
      </c>
      <c r="D904" s="253" t="s">
        <v>2366</v>
      </c>
      <c r="E904" s="252"/>
      <c r="F904" s="252"/>
      <c r="G904" s="252"/>
      <c r="H904" s="252"/>
      <c r="I904" s="252"/>
      <c r="J904" s="252"/>
    </row>
    <row r="905">
      <c r="A905" s="155" t="s">
        <v>227</v>
      </c>
      <c r="B905" s="274"/>
      <c r="C905" s="274"/>
      <c r="D905" s="252"/>
      <c r="E905" s="252"/>
      <c r="F905" s="252"/>
      <c r="G905" s="252"/>
      <c r="H905" s="252"/>
      <c r="I905" s="252"/>
      <c r="J905" s="252"/>
    </row>
    <row r="906">
      <c r="A906" s="153" t="s">
        <v>247</v>
      </c>
      <c r="B906" s="273" t="s">
        <v>51</v>
      </c>
      <c r="C906" s="273" t="s">
        <v>12</v>
      </c>
      <c r="D906" s="253" t="s">
        <v>2274</v>
      </c>
      <c r="E906" s="253" t="s">
        <v>2432</v>
      </c>
      <c r="F906" s="253" t="s">
        <v>2431</v>
      </c>
      <c r="G906" s="252"/>
      <c r="H906" s="252"/>
      <c r="I906" s="252"/>
      <c r="J906" s="252"/>
    </row>
    <row r="907">
      <c r="A907" s="155" t="s">
        <v>267</v>
      </c>
      <c r="B907" s="259" t="s">
        <v>2108</v>
      </c>
      <c r="C907" s="259" t="s">
        <v>2070</v>
      </c>
      <c r="D907" s="252"/>
      <c r="E907" s="252"/>
      <c r="F907" s="252"/>
      <c r="G907" s="252"/>
      <c r="H907" s="252"/>
      <c r="I907" s="252"/>
      <c r="J907" s="252"/>
    </row>
    <row r="908">
      <c r="A908" s="153" t="s">
        <v>287</v>
      </c>
      <c r="B908" s="273" t="s">
        <v>2435</v>
      </c>
      <c r="C908" s="273" t="s">
        <v>2070</v>
      </c>
      <c r="D908" s="252"/>
      <c r="E908" s="252"/>
      <c r="F908" s="252"/>
      <c r="G908" s="252"/>
      <c r="H908" s="252"/>
      <c r="I908" s="252"/>
      <c r="J908" s="252"/>
    </row>
    <row r="909">
      <c r="A909" s="155" t="s">
        <v>307</v>
      </c>
      <c r="B909" s="259" t="s">
        <v>2298</v>
      </c>
      <c r="C909" s="259" t="s">
        <v>2436</v>
      </c>
      <c r="D909" s="252"/>
      <c r="E909" s="252"/>
      <c r="F909" s="252"/>
      <c r="G909" s="252"/>
      <c r="H909" s="252"/>
      <c r="I909" s="252"/>
      <c r="J909" s="252"/>
    </row>
    <row r="910">
      <c r="A910" s="153" t="s">
        <v>327</v>
      </c>
      <c r="B910" s="273" t="s">
        <v>2145</v>
      </c>
      <c r="C910" s="274"/>
      <c r="D910" s="252"/>
      <c r="E910" s="252"/>
      <c r="F910" s="252"/>
      <c r="G910" s="252"/>
      <c r="H910" s="252"/>
      <c r="I910" s="252"/>
      <c r="J910" s="252"/>
    </row>
    <row r="911">
      <c r="A911" s="155" t="s">
        <v>347</v>
      </c>
      <c r="B911" s="259" t="s">
        <v>2437</v>
      </c>
      <c r="C911" s="259" t="s">
        <v>2070</v>
      </c>
      <c r="D911" s="252"/>
      <c r="E911" s="252"/>
      <c r="F911" s="252"/>
      <c r="G911" s="252"/>
      <c r="H911" s="252"/>
      <c r="I911" s="252"/>
      <c r="J911" s="252"/>
    </row>
    <row r="912">
      <c r="A912" s="153" t="s">
        <v>367</v>
      </c>
      <c r="B912" s="273" t="s">
        <v>2438</v>
      </c>
      <c r="C912" s="274"/>
      <c r="D912" s="252"/>
      <c r="E912" s="252"/>
      <c r="F912" s="252"/>
      <c r="G912" s="252"/>
      <c r="H912" s="252"/>
      <c r="I912" s="252"/>
      <c r="J912" s="252"/>
    </row>
    <row r="913">
      <c r="A913" s="155" t="s">
        <v>392</v>
      </c>
      <c r="B913" s="259" t="s">
        <v>2340</v>
      </c>
      <c r="C913" s="259" t="s">
        <v>12</v>
      </c>
      <c r="D913" s="252"/>
      <c r="E913" s="252"/>
      <c r="F913" s="252"/>
      <c r="G913" s="252"/>
      <c r="H913" s="252"/>
      <c r="I913" s="252"/>
      <c r="J913" s="252"/>
    </row>
    <row r="914">
      <c r="A914" s="153" t="s">
        <v>420</v>
      </c>
      <c r="B914" s="273" t="s">
        <v>2439</v>
      </c>
      <c r="C914" s="274"/>
      <c r="D914" s="252"/>
      <c r="E914" s="252"/>
      <c r="F914" s="252"/>
      <c r="G914" s="252"/>
      <c r="H914" s="252"/>
      <c r="I914" s="252"/>
      <c r="J914" s="252"/>
    </row>
    <row r="915">
      <c r="A915" s="155" t="s">
        <v>448</v>
      </c>
      <c r="B915" s="259" t="s">
        <v>2213</v>
      </c>
      <c r="C915" s="259" t="s">
        <v>2440</v>
      </c>
      <c r="D915" s="251" t="s">
        <v>2097</v>
      </c>
      <c r="E915" s="252"/>
      <c r="F915" s="252"/>
      <c r="G915" s="252"/>
      <c r="H915" s="252"/>
      <c r="I915" s="252"/>
      <c r="J915" s="252"/>
    </row>
    <row r="916">
      <c r="A916" s="153" t="s">
        <v>476</v>
      </c>
      <c r="B916" s="273" t="s">
        <v>2068</v>
      </c>
      <c r="C916" s="274"/>
      <c r="D916" s="252"/>
      <c r="E916" s="252"/>
      <c r="F916" s="252"/>
      <c r="G916" s="252"/>
      <c r="H916" s="252"/>
      <c r="I916" s="252"/>
      <c r="J916" s="252"/>
    </row>
    <row r="917">
      <c r="A917" s="155" t="s">
        <v>505</v>
      </c>
      <c r="B917" s="259" t="s">
        <v>2418</v>
      </c>
      <c r="C917" s="274"/>
      <c r="D917" s="252"/>
      <c r="E917" s="252"/>
      <c r="F917" s="252"/>
      <c r="G917" s="252"/>
      <c r="H917" s="252"/>
      <c r="I917" s="252"/>
      <c r="J917" s="252"/>
    </row>
    <row r="918">
      <c r="A918" s="153" t="s">
        <v>526</v>
      </c>
      <c r="B918" s="273" t="s">
        <v>2431</v>
      </c>
      <c r="C918" s="273" t="s">
        <v>2432</v>
      </c>
      <c r="D918" s="252"/>
      <c r="E918" s="252"/>
      <c r="F918" s="252"/>
      <c r="G918" s="252"/>
      <c r="H918" s="252"/>
      <c r="I918" s="252"/>
      <c r="J918" s="252"/>
    </row>
    <row r="919">
      <c r="A919" s="155" t="s">
        <v>545</v>
      </c>
      <c r="B919" s="259" t="s">
        <v>2116</v>
      </c>
      <c r="C919" s="274"/>
      <c r="D919" s="252"/>
      <c r="E919" s="252"/>
      <c r="F919" s="252"/>
      <c r="G919" s="252"/>
      <c r="H919" s="252"/>
      <c r="I919" s="252"/>
      <c r="J919" s="252"/>
    </row>
    <row r="920">
      <c r="A920" s="153" t="s">
        <v>566</v>
      </c>
      <c r="B920" s="274"/>
      <c r="C920" s="274"/>
      <c r="D920" s="252"/>
      <c r="E920" s="252"/>
      <c r="F920" s="252"/>
      <c r="G920" s="252"/>
      <c r="H920" s="252"/>
      <c r="I920" s="252"/>
      <c r="J920" s="252"/>
    </row>
    <row r="921">
      <c r="A921" s="155" t="s">
        <v>589</v>
      </c>
      <c r="B921" s="259" t="s">
        <v>2172</v>
      </c>
      <c r="C921" s="259" t="s">
        <v>2070</v>
      </c>
      <c r="D921" s="252"/>
      <c r="E921" s="252"/>
      <c r="F921" s="252"/>
      <c r="G921" s="252"/>
      <c r="H921" s="252"/>
      <c r="I921" s="252"/>
      <c r="J921" s="252"/>
    </row>
    <row r="922">
      <c r="A922" s="153" t="s">
        <v>611</v>
      </c>
      <c r="B922" s="273" t="s">
        <v>2433</v>
      </c>
      <c r="C922" s="274"/>
      <c r="D922" s="252"/>
      <c r="E922" s="252"/>
      <c r="F922" s="252"/>
      <c r="G922" s="252"/>
      <c r="H922" s="252"/>
      <c r="I922" s="252"/>
      <c r="J922" s="252"/>
    </row>
    <row r="923">
      <c r="A923" s="155" t="s">
        <v>634</v>
      </c>
      <c r="B923" s="259" t="s">
        <v>2084</v>
      </c>
      <c r="C923" s="274"/>
      <c r="D923" s="252"/>
      <c r="E923" s="252"/>
      <c r="F923" s="252"/>
      <c r="G923" s="252"/>
      <c r="H923" s="252"/>
      <c r="I923" s="252"/>
      <c r="J923" s="252"/>
    </row>
    <row r="924">
      <c r="A924" s="153" t="s">
        <v>657</v>
      </c>
      <c r="B924" s="273" t="s">
        <v>2435</v>
      </c>
      <c r="C924" s="274"/>
      <c r="D924" s="252"/>
      <c r="E924" s="252"/>
      <c r="F924" s="252"/>
      <c r="G924" s="252"/>
      <c r="H924" s="252"/>
      <c r="I924" s="252"/>
      <c r="J924" s="252"/>
    </row>
    <row r="925">
      <c r="A925" s="155" t="s">
        <v>672</v>
      </c>
      <c r="B925" s="259" t="s">
        <v>2432</v>
      </c>
      <c r="C925" s="259" t="s">
        <v>2441</v>
      </c>
      <c r="D925" s="252"/>
      <c r="E925" s="252"/>
      <c r="F925" s="252"/>
      <c r="G925" s="252"/>
      <c r="H925" s="252"/>
      <c r="I925" s="252"/>
      <c r="J925" s="252"/>
    </row>
    <row r="926">
      <c r="A926" s="153" t="s">
        <v>686</v>
      </c>
      <c r="B926" s="273" t="s">
        <v>2318</v>
      </c>
      <c r="C926" s="274"/>
      <c r="D926" s="252"/>
      <c r="E926" s="252"/>
      <c r="F926" s="252"/>
      <c r="G926" s="252"/>
      <c r="H926" s="252"/>
      <c r="I926" s="252"/>
      <c r="J926" s="252"/>
    </row>
    <row r="927">
      <c r="A927" s="155" t="s">
        <v>702</v>
      </c>
      <c r="B927" s="259" t="s">
        <v>2433</v>
      </c>
      <c r="C927" s="274"/>
      <c r="D927" s="252"/>
      <c r="E927" s="252"/>
      <c r="F927" s="252"/>
      <c r="G927" s="252"/>
      <c r="H927" s="252"/>
      <c r="I927" s="252"/>
      <c r="J927" s="252"/>
    </row>
    <row r="928">
      <c r="A928" s="153" t="s">
        <v>721</v>
      </c>
      <c r="B928" s="273" t="s">
        <v>2442</v>
      </c>
      <c r="C928" s="274"/>
      <c r="D928" s="252"/>
      <c r="E928" s="252"/>
      <c r="F928" s="252"/>
      <c r="G928" s="252"/>
      <c r="H928" s="252"/>
      <c r="I928" s="252"/>
      <c r="J928" s="252"/>
    </row>
    <row r="929">
      <c r="A929" s="155" t="s">
        <v>739</v>
      </c>
      <c r="B929" s="259" t="s">
        <v>2318</v>
      </c>
      <c r="C929" s="274"/>
      <c r="D929" s="252"/>
      <c r="E929" s="252"/>
      <c r="F929" s="252"/>
      <c r="G929" s="252"/>
      <c r="H929" s="252"/>
      <c r="I929" s="252"/>
      <c r="J929" s="252"/>
    </row>
    <row r="930">
      <c r="A930" s="153" t="s">
        <v>757</v>
      </c>
      <c r="B930" s="273" t="s">
        <v>2432</v>
      </c>
      <c r="C930" s="274"/>
      <c r="D930" s="252"/>
      <c r="E930" s="252"/>
      <c r="F930" s="252"/>
      <c r="G930" s="252"/>
      <c r="H930" s="252"/>
      <c r="I930" s="252"/>
      <c r="J930" s="252"/>
    </row>
    <row r="931">
      <c r="A931" s="155" t="s">
        <v>769</v>
      </c>
      <c r="B931" s="259" t="s">
        <v>2116</v>
      </c>
      <c r="C931" s="274"/>
      <c r="D931" s="252"/>
      <c r="E931" s="252"/>
      <c r="F931" s="252"/>
      <c r="G931" s="252"/>
      <c r="H931" s="252"/>
      <c r="I931" s="252"/>
      <c r="J931" s="252"/>
    </row>
    <row r="932">
      <c r="A932" s="153" t="s">
        <v>777</v>
      </c>
      <c r="B932" s="273" t="s">
        <v>2433</v>
      </c>
      <c r="C932" s="274"/>
      <c r="D932" s="252"/>
      <c r="E932" s="252"/>
      <c r="F932" s="252"/>
      <c r="G932" s="252"/>
      <c r="H932" s="252"/>
      <c r="I932" s="252"/>
      <c r="J932" s="252"/>
    </row>
    <row r="933">
      <c r="A933" s="155" t="s">
        <v>783</v>
      </c>
      <c r="B933" s="259" t="s">
        <v>2443</v>
      </c>
      <c r="C933" s="274"/>
      <c r="D933" s="252"/>
      <c r="E933" s="252"/>
      <c r="F933" s="252"/>
      <c r="G933" s="252"/>
      <c r="H933" s="252"/>
      <c r="I933" s="252"/>
      <c r="J933" s="252"/>
    </row>
    <row r="934">
      <c r="A934" s="153" t="s">
        <v>788</v>
      </c>
      <c r="B934" s="274"/>
      <c r="C934" s="274"/>
      <c r="D934" s="252"/>
      <c r="E934" s="252"/>
      <c r="F934" s="252"/>
      <c r="G934" s="252"/>
      <c r="H934" s="252"/>
      <c r="I934" s="252"/>
      <c r="J934" s="252"/>
    </row>
    <row r="935">
      <c r="A935" s="155" t="s">
        <v>793</v>
      </c>
      <c r="B935" s="274"/>
      <c r="C935" s="274"/>
      <c r="D935" s="252"/>
      <c r="E935" s="252"/>
      <c r="F935" s="252"/>
      <c r="G935" s="252"/>
      <c r="H935" s="252"/>
      <c r="I935" s="252"/>
      <c r="J935" s="252"/>
    </row>
    <row r="936">
      <c r="A936" s="153"/>
      <c r="B936" s="274"/>
      <c r="C936" s="274"/>
      <c r="D936" s="252"/>
      <c r="E936" s="252"/>
      <c r="F936" s="252"/>
      <c r="G936" s="252"/>
      <c r="H936" s="252"/>
      <c r="I936" s="252"/>
      <c r="J936" s="252"/>
    </row>
    <row r="937">
      <c r="A937" s="155"/>
      <c r="B937" s="274"/>
      <c r="C937" s="274"/>
      <c r="D937" s="252"/>
      <c r="E937" s="252"/>
      <c r="F937" s="252"/>
      <c r="G937" s="252"/>
      <c r="H937" s="252"/>
      <c r="I937" s="252"/>
      <c r="J937" s="252"/>
    </row>
    <row r="938">
      <c r="A938" s="153"/>
      <c r="B938" s="274"/>
      <c r="C938" s="274"/>
      <c r="D938" s="252"/>
      <c r="E938" s="252"/>
      <c r="F938" s="252"/>
      <c r="G938" s="252"/>
      <c r="H938" s="252"/>
      <c r="I938" s="252"/>
      <c r="J938" s="252"/>
    </row>
    <row r="939">
      <c r="A939" s="155"/>
      <c r="B939" s="274"/>
      <c r="C939" s="274"/>
      <c r="D939" s="252"/>
      <c r="E939" s="252"/>
      <c r="F939" s="252"/>
      <c r="G939" s="252"/>
      <c r="H939" s="252"/>
      <c r="I939" s="252"/>
      <c r="J939" s="252"/>
    </row>
    <row r="940">
      <c r="A940" s="153"/>
      <c r="B940" s="274"/>
      <c r="C940" s="274"/>
      <c r="D940" s="252"/>
      <c r="E940" s="252"/>
      <c r="F940" s="252"/>
      <c r="G940" s="252"/>
      <c r="H940" s="252"/>
      <c r="I940" s="252"/>
      <c r="J940" s="252"/>
    </row>
    <row r="941">
      <c r="A941" s="155"/>
      <c r="B941" s="274"/>
      <c r="C941" s="274"/>
      <c r="D941" s="252"/>
      <c r="E941" s="252"/>
      <c r="F941" s="252"/>
      <c r="G941" s="252"/>
      <c r="H941" s="252"/>
      <c r="I941" s="252"/>
      <c r="J941" s="252"/>
    </row>
    <row r="942">
      <c r="A942" s="153"/>
      <c r="B942" s="274"/>
      <c r="C942" s="274"/>
      <c r="D942" s="252"/>
      <c r="E942" s="252"/>
      <c r="F942" s="252"/>
      <c r="G942" s="252"/>
      <c r="H942" s="252"/>
      <c r="I942" s="252"/>
      <c r="J942" s="252"/>
    </row>
    <row r="943">
      <c r="A943" s="155"/>
      <c r="B943" s="274"/>
      <c r="C943" s="274"/>
      <c r="D943" s="252"/>
      <c r="E943" s="252"/>
      <c r="F943" s="252"/>
      <c r="G943" s="252"/>
      <c r="H943" s="252"/>
      <c r="I943" s="252"/>
      <c r="J943" s="252"/>
    </row>
    <row r="944">
      <c r="A944" s="153"/>
      <c r="B944" s="274"/>
      <c r="C944" s="274"/>
      <c r="D944" s="252"/>
      <c r="E944" s="252"/>
      <c r="F944" s="252"/>
      <c r="G944" s="252"/>
      <c r="H944" s="252"/>
      <c r="I944" s="252"/>
      <c r="J944" s="252"/>
    </row>
    <row r="945">
      <c r="A945" s="155"/>
      <c r="B945" s="274"/>
      <c r="C945" s="274"/>
      <c r="D945" s="252"/>
      <c r="E945" s="252"/>
      <c r="F945" s="252"/>
      <c r="G945" s="252"/>
      <c r="H945" s="252"/>
      <c r="I945" s="252"/>
      <c r="J945" s="252"/>
    </row>
    <row r="946">
      <c r="A946" s="153"/>
      <c r="B946" s="274"/>
      <c r="C946" s="274"/>
      <c r="D946" s="252"/>
      <c r="E946" s="252"/>
      <c r="F946" s="252"/>
      <c r="G946" s="252"/>
      <c r="H946" s="252"/>
      <c r="I946" s="252"/>
      <c r="J946" s="252"/>
    </row>
    <row r="947">
      <c r="A947" s="155"/>
      <c r="B947" s="274"/>
      <c r="C947" s="274"/>
      <c r="D947" s="252"/>
      <c r="E947" s="252"/>
      <c r="F947" s="252"/>
      <c r="G947" s="252"/>
      <c r="H947" s="252"/>
      <c r="I947" s="252"/>
      <c r="J947" s="252"/>
    </row>
    <row r="948">
      <c r="A948" s="153"/>
      <c r="B948" s="274"/>
      <c r="C948" s="274"/>
      <c r="D948" s="252"/>
      <c r="E948" s="252"/>
      <c r="F948" s="252"/>
      <c r="G948" s="252"/>
      <c r="H948" s="252"/>
      <c r="I948" s="252"/>
      <c r="J948" s="252"/>
    </row>
    <row r="949">
      <c r="A949" s="155"/>
      <c r="B949" s="274"/>
      <c r="C949" s="274"/>
      <c r="D949" s="252"/>
      <c r="E949" s="252"/>
      <c r="F949" s="252"/>
      <c r="G949" s="252"/>
      <c r="H949" s="252"/>
      <c r="I949" s="252"/>
      <c r="J949" s="252"/>
    </row>
    <row r="950">
      <c r="A950" s="162"/>
      <c r="B950" s="274"/>
      <c r="C950" s="274"/>
      <c r="D950" s="252"/>
      <c r="E950" s="252"/>
      <c r="F950" s="252"/>
      <c r="G950" s="252"/>
      <c r="H950" s="252"/>
      <c r="I950" s="252"/>
      <c r="J950" s="252"/>
    </row>
    <row r="951">
      <c r="A951" s="150" t="str">
        <f t="array" ref="A951:A1000">'Up Names'!T2:T51</f>
        <v>Attrition Supply</v>
      </c>
      <c r="B951" s="259" t="s">
        <v>2244</v>
      </c>
      <c r="C951" s="259" t="s">
        <v>2318</v>
      </c>
      <c r="D951" s="252"/>
      <c r="E951" s="252"/>
      <c r="F951" s="252"/>
      <c r="G951" s="252"/>
      <c r="H951" s="252"/>
      <c r="I951" s="252"/>
      <c r="J951" s="252"/>
    </row>
    <row r="952">
      <c r="A952" s="153" t="s">
        <v>169</v>
      </c>
      <c r="B952" s="273" t="s">
        <v>2172</v>
      </c>
      <c r="C952" s="274"/>
      <c r="D952" s="252"/>
      <c r="E952" s="252"/>
      <c r="F952" s="252"/>
      <c r="G952" s="252"/>
      <c r="H952" s="252"/>
      <c r="I952" s="252"/>
      <c r="J952" s="252"/>
    </row>
    <row r="953">
      <c r="A953" s="155" t="s">
        <v>189</v>
      </c>
      <c r="B953" s="259" t="s">
        <v>2213</v>
      </c>
      <c r="C953" s="259" t="s">
        <v>12</v>
      </c>
      <c r="D953" s="251" t="s">
        <v>2068</v>
      </c>
      <c r="E953" s="252"/>
      <c r="F953" s="252"/>
      <c r="G953" s="252"/>
      <c r="H953" s="252"/>
      <c r="I953" s="252"/>
      <c r="J953" s="252"/>
    </row>
    <row r="954">
      <c r="A954" s="153" t="s">
        <v>209</v>
      </c>
      <c r="B954" s="273" t="s">
        <v>2444</v>
      </c>
      <c r="C954" s="273" t="s">
        <v>2112</v>
      </c>
      <c r="D954" s="253" t="s">
        <v>2068</v>
      </c>
      <c r="E954" s="252"/>
      <c r="F954" s="252"/>
      <c r="G954" s="252"/>
      <c r="H954" s="252"/>
      <c r="I954" s="252"/>
      <c r="J954" s="252"/>
    </row>
    <row r="955">
      <c r="A955" s="155" t="s">
        <v>228</v>
      </c>
      <c r="B955" s="259" t="s">
        <v>2445</v>
      </c>
      <c r="C955" s="259" t="s">
        <v>2446</v>
      </c>
      <c r="D955" s="251" t="s">
        <v>2075</v>
      </c>
      <c r="E955" s="251" t="s">
        <v>2109</v>
      </c>
      <c r="F955" s="251" t="s">
        <v>2447</v>
      </c>
      <c r="G955" s="251" t="s">
        <v>2084</v>
      </c>
      <c r="H955" s="251" t="s">
        <v>2241</v>
      </c>
      <c r="I955" s="251" t="s">
        <v>2318</v>
      </c>
      <c r="J955" s="251" t="s">
        <v>2149</v>
      </c>
    </row>
    <row r="956">
      <c r="A956" s="153" t="s">
        <v>248</v>
      </c>
      <c r="B956" s="273" t="s">
        <v>2084</v>
      </c>
      <c r="C956" s="274"/>
      <c r="D956" s="252"/>
      <c r="E956" s="252"/>
      <c r="F956" s="252"/>
      <c r="G956" s="252"/>
      <c r="H956" s="252"/>
      <c r="I956" s="252"/>
      <c r="J956" s="252"/>
    </row>
    <row r="957">
      <c r="A957" s="155" t="s">
        <v>268</v>
      </c>
      <c r="B957" s="259" t="s">
        <v>2085</v>
      </c>
      <c r="C957" s="259" t="s">
        <v>2068</v>
      </c>
      <c r="D957" s="251" t="s">
        <v>12</v>
      </c>
      <c r="E957" s="252"/>
      <c r="F957" s="252"/>
      <c r="G957" s="252"/>
      <c r="H957" s="252"/>
      <c r="I957" s="252"/>
      <c r="J957" s="252"/>
    </row>
    <row r="958">
      <c r="A958" s="153" t="s">
        <v>288</v>
      </c>
      <c r="B958" s="273" t="s">
        <v>2172</v>
      </c>
      <c r="C958" s="274"/>
      <c r="D958" s="252"/>
      <c r="E958" s="252"/>
      <c r="F958" s="252"/>
      <c r="G958" s="252"/>
      <c r="H958" s="252"/>
      <c r="I958" s="252"/>
      <c r="J958" s="252"/>
    </row>
    <row r="959">
      <c r="A959" s="155" t="s">
        <v>308</v>
      </c>
      <c r="B959" s="259" t="s">
        <v>2448</v>
      </c>
      <c r="C959" s="274"/>
      <c r="D959" s="252"/>
      <c r="E959" s="252"/>
      <c r="F959" s="252"/>
      <c r="G959" s="252"/>
      <c r="H959" s="252"/>
      <c r="I959" s="252"/>
      <c r="J959" s="252"/>
    </row>
    <row r="960">
      <c r="A960" s="153" t="s">
        <v>328</v>
      </c>
      <c r="B960" s="273" t="s">
        <v>2074</v>
      </c>
      <c r="C960" s="273" t="s">
        <v>2318</v>
      </c>
      <c r="D960" s="252"/>
      <c r="E960" s="252"/>
      <c r="F960" s="252"/>
      <c r="G960" s="252"/>
      <c r="H960" s="252"/>
      <c r="I960" s="252"/>
      <c r="J960" s="252"/>
    </row>
    <row r="961">
      <c r="A961" s="155" t="s">
        <v>348</v>
      </c>
      <c r="B961" s="259" t="s">
        <v>2264</v>
      </c>
      <c r="C961" s="274"/>
      <c r="D961" s="252"/>
      <c r="E961" s="252"/>
      <c r="F961" s="252"/>
      <c r="G961" s="252"/>
      <c r="H961" s="252"/>
      <c r="I961" s="252"/>
      <c r="J961" s="252"/>
    </row>
    <row r="962">
      <c r="A962" s="153" t="s">
        <v>368</v>
      </c>
      <c r="B962" s="273" t="s">
        <v>2172</v>
      </c>
      <c r="C962" s="274"/>
      <c r="D962" s="252"/>
      <c r="E962" s="252"/>
      <c r="F962" s="252"/>
      <c r="G962" s="252"/>
      <c r="H962" s="252"/>
      <c r="I962" s="252"/>
      <c r="J962" s="252"/>
    </row>
    <row r="963">
      <c r="A963" s="155" t="s">
        <v>393</v>
      </c>
      <c r="B963" s="259" t="s">
        <v>2318</v>
      </c>
      <c r="C963" s="274"/>
      <c r="D963" s="252"/>
      <c r="E963" s="252"/>
      <c r="F963" s="252"/>
      <c r="G963" s="252"/>
      <c r="H963" s="252"/>
      <c r="I963" s="252"/>
      <c r="J963" s="252"/>
    </row>
    <row r="964">
      <c r="A964" s="153" t="s">
        <v>422</v>
      </c>
      <c r="B964" s="273" t="s">
        <v>2142</v>
      </c>
      <c r="C964" s="274"/>
      <c r="D964" s="252"/>
      <c r="E964" s="252"/>
      <c r="F964" s="252"/>
      <c r="G964" s="252"/>
      <c r="H964" s="252"/>
      <c r="I964" s="252"/>
      <c r="J964" s="252"/>
    </row>
    <row r="965">
      <c r="A965" s="155" t="s">
        <v>450</v>
      </c>
      <c r="B965" s="259" t="s">
        <v>2449</v>
      </c>
      <c r="C965" s="274"/>
      <c r="D965" s="252"/>
      <c r="E965" s="252"/>
      <c r="F965" s="252"/>
      <c r="G965" s="252"/>
      <c r="H965" s="252"/>
      <c r="I965" s="252"/>
      <c r="J965" s="252"/>
    </row>
    <row r="966">
      <c r="A966" s="153" t="s">
        <v>478</v>
      </c>
      <c r="B966" s="273" t="s">
        <v>2172</v>
      </c>
      <c r="C966" s="274"/>
      <c r="D966" s="252"/>
      <c r="E966" s="252"/>
      <c r="F966" s="252"/>
      <c r="G966" s="252"/>
      <c r="H966" s="252"/>
      <c r="I966" s="252"/>
      <c r="J966" s="252"/>
    </row>
    <row r="967">
      <c r="A967" s="155" t="s">
        <v>506</v>
      </c>
      <c r="B967" s="259" t="s">
        <v>2084</v>
      </c>
      <c r="C967" s="274"/>
      <c r="D967" s="252"/>
      <c r="E967" s="252"/>
      <c r="F967" s="252"/>
      <c r="G967" s="252"/>
      <c r="H967" s="252"/>
      <c r="I967" s="252"/>
      <c r="J967" s="252"/>
    </row>
    <row r="968">
      <c r="A968" s="153" t="s">
        <v>527</v>
      </c>
      <c r="B968" s="273" t="s">
        <v>2149</v>
      </c>
      <c r="C968" s="274"/>
      <c r="D968" s="252"/>
      <c r="E968" s="252"/>
      <c r="F968" s="252"/>
      <c r="G968" s="252"/>
      <c r="H968" s="252"/>
      <c r="I968" s="252"/>
      <c r="J968" s="252"/>
    </row>
    <row r="969">
      <c r="A969" s="155" t="s">
        <v>546</v>
      </c>
      <c r="B969" s="259" t="s">
        <v>2070</v>
      </c>
      <c r="C969" s="259" t="s">
        <v>2070</v>
      </c>
      <c r="D969" s="252"/>
      <c r="E969" s="252"/>
      <c r="F969" s="252"/>
      <c r="G969" s="252"/>
      <c r="H969" s="252"/>
      <c r="I969" s="252"/>
      <c r="J969" s="252"/>
    </row>
    <row r="970">
      <c r="A970" s="153" t="s">
        <v>568</v>
      </c>
      <c r="B970" s="273" t="s">
        <v>2149</v>
      </c>
      <c r="C970" s="274"/>
      <c r="D970" s="252"/>
      <c r="E970" s="252"/>
      <c r="F970" s="252"/>
      <c r="G970" s="252"/>
      <c r="H970" s="252"/>
      <c r="I970" s="252"/>
      <c r="J970" s="252"/>
    </row>
    <row r="971">
      <c r="A971" s="155" t="s">
        <v>590</v>
      </c>
      <c r="B971" s="259" t="s">
        <v>2246</v>
      </c>
      <c r="C971" s="274"/>
      <c r="D971" s="252"/>
      <c r="E971" s="252"/>
      <c r="F971" s="252"/>
      <c r="G971" s="252"/>
      <c r="H971" s="252"/>
      <c r="I971" s="252"/>
      <c r="J971" s="252"/>
    </row>
    <row r="972">
      <c r="A972" s="153" t="s">
        <v>612</v>
      </c>
      <c r="B972" s="273" t="s">
        <v>2084</v>
      </c>
      <c r="C972" s="274"/>
      <c r="D972" s="252"/>
      <c r="E972" s="252"/>
      <c r="F972" s="252"/>
      <c r="G972" s="252"/>
      <c r="H972" s="252"/>
      <c r="I972" s="252"/>
      <c r="J972" s="252"/>
    </row>
    <row r="973">
      <c r="A973" s="155" t="s">
        <v>636</v>
      </c>
      <c r="B973" s="274"/>
      <c r="C973" s="274"/>
      <c r="D973" s="252"/>
      <c r="E973" s="252"/>
      <c r="F973" s="252"/>
      <c r="G973" s="252"/>
      <c r="H973" s="252"/>
      <c r="I973" s="252"/>
      <c r="J973" s="252"/>
    </row>
    <row r="974">
      <c r="A974" s="153" t="s">
        <v>658</v>
      </c>
      <c r="B974" s="273" t="s">
        <v>2084</v>
      </c>
      <c r="C974" s="274"/>
      <c r="D974" s="252"/>
      <c r="E974" s="252"/>
      <c r="F974" s="252"/>
      <c r="G974" s="252"/>
      <c r="H974" s="252"/>
      <c r="I974" s="252"/>
      <c r="J974" s="252"/>
    </row>
    <row r="975">
      <c r="A975" s="155" t="s">
        <v>673</v>
      </c>
      <c r="B975" s="274"/>
      <c r="C975" s="274"/>
      <c r="D975" s="252"/>
      <c r="E975" s="252"/>
      <c r="F975" s="252"/>
      <c r="G975" s="252"/>
      <c r="H975" s="252"/>
      <c r="I975" s="252"/>
      <c r="J975" s="252"/>
    </row>
    <row r="976">
      <c r="A976" s="153" t="s">
        <v>687</v>
      </c>
      <c r="B976" s="273" t="s">
        <v>2068</v>
      </c>
      <c r="C976" s="273" t="s">
        <v>2108</v>
      </c>
      <c r="D976" s="252"/>
      <c r="E976" s="252"/>
      <c r="F976" s="252"/>
      <c r="G976" s="252"/>
      <c r="H976" s="252"/>
      <c r="I976" s="252"/>
      <c r="J976" s="252"/>
    </row>
    <row r="977">
      <c r="A977" s="155" t="s">
        <v>703</v>
      </c>
      <c r="B977" s="259" t="s">
        <v>2445</v>
      </c>
      <c r="C977" s="259" t="s">
        <v>2068</v>
      </c>
      <c r="D977" s="252"/>
      <c r="E977" s="252"/>
      <c r="F977" s="252"/>
      <c r="G977" s="252"/>
      <c r="H977" s="252"/>
      <c r="I977" s="252"/>
      <c r="J977" s="252"/>
    </row>
    <row r="978">
      <c r="A978" s="153" t="s">
        <v>722</v>
      </c>
      <c r="B978" s="273" t="s">
        <v>2450</v>
      </c>
      <c r="C978" s="273" t="s">
        <v>2318</v>
      </c>
      <c r="D978" s="252"/>
      <c r="E978" s="252"/>
      <c r="F978" s="252"/>
      <c r="G978" s="252"/>
      <c r="H978" s="252"/>
      <c r="I978" s="252"/>
      <c r="J978" s="252"/>
    </row>
    <row r="979">
      <c r="A979" s="155" t="s">
        <v>741</v>
      </c>
      <c r="B979" s="259" t="s">
        <v>2445</v>
      </c>
      <c r="C979" s="259" t="s">
        <v>2068</v>
      </c>
      <c r="D979" s="252"/>
      <c r="E979" s="252"/>
      <c r="F979" s="252"/>
      <c r="G979" s="252"/>
      <c r="H979" s="252"/>
      <c r="I979" s="252"/>
      <c r="J979" s="252"/>
    </row>
    <row r="980">
      <c r="A980" s="153" t="s">
        <v>758</v>
      </c>
      <c r="B980" s="273" t="s">
        <v>2449</v>
      </c>
      <c r="C980" s="274"/>
      <c r="D980" s="252"/>
      <c r="E980" s="252"/>
      <c r="F980" s="252"/>
      <c r="G980" s="252"/>
      <c r="H980" s="252"/>
      <c r="I980" s="252"/>
      <c r="J980" s="252"/>
    </row>
    <row r="981">
      <c r="A981" s="155" t="s">
        <v>771</v>
      </c>
      <c r="B981" s="259" t="s">
        <v>2149</v>
      </c>
      <c r="C981" s="274"/>
      <c r="D981" s="252"/>
      <c r="E981" s="252"/>
      <c r="F981" s="252"/>
      <c r="G981" s="252"/>
      <c r="H981" s="252"/>
      <c r="I981" s="252"/>
      <c r="J981" s="252"/>
    </row>
    <row r="982">
      <c r="A982" s="153" t="s">
        <v>778</v>
      </c>
      <c r="B982" s="273" t="s">
        <v>2318</v>
      </c>
      <c r="C982" s="274"/>
      <c r="D982" s="252"/>
      <c r="E982" s="252"/>
      <c r="F982" s="252"/>
      <c r="G982" s="252"/>
      <c r="H982" s="252"/>
      <c r="I982" s="252"/>
      <c r="J982" s="252"/>
    </row>
    <row r="983">
      <c r="A983" s="155" t="s">
        <v>784</v>
      </c>
      <c r="B983" s="259" t="s">
        <v>2450</v>
      </c>
      <c r="C983" s="274"/>
      <c r="D983" s="252"/>
      <c r="E983" s="252"/>
      <c r="F983" s="252"/>
      <c r="G983" s="252"/>
      <c r="H983" s="252"/>
      <c r="I983" s="252"/>
      <c r="J983" s="252"/>
    </row>
    <row r="984">
      <c r="A984" s="153" t="s">
        <v>789</v>
      </c>
      <c r="B984" s="274"/>
      <c r="C984" s="274"/>
      <c r="D984" s="252"/>
      <c r="E984" s="252"/>
      <c r="F984" s="252"/>
      <c r="G984" s="252"/>
      <c r="H984" s="252"/>
      <c r="I984" s="252"/>
      <c r="J984" s="252"/>
    </row>
    <row r="985">
      <c r="A985" s="155" t="s">
        <v>794</v>
      </c>
      <c r="B985" s="274"/>
      <c r="C985" s="274"/>
      <c r="D985" s="252"/>
      <c r="E985" s="252"/>
      <c r="F985" s="252"/>
      <c r="G985" s="252"/>
      <c r="H985" s="252"/>
      <c r="I985" s="252"/>
      <c r="J985" s="252"/>
    </row>
    <row r="986">
      <c r="A986" s="153"/>
      <c r="B986" s="274"/>
      <c r="C986" s="274"/>
      <c r="D986" s="252"/>
      <c r="E986" s="252"/>
      <c r="F986" s="252"/>
      <c r="G986" s="252"/>
      <c r="H986" s="252"/>
      <c r="I986" s="252"/>
      <c r="J986" s="252"/>
    </row>
    <row r="987">
      <c r="A987" s="155"/>
      <c r="B987" s="274"/>
      <c r="C987" s="274"/>
      <c r="D987" s="252"/>
      <c r="E987" s="252"/>
      <c r="F987" s="252"/>
      <c r="G987" s="252"/>
      <c r="H987" s="252"/>
      <c r="I987" s="252"/>
      <c r="J987" s="252"/>
    </row>
    <row r="988">
      <c r="A988" s="153"/>
      <c r="B988" s="274"/>
      <c r="C988" s="274"/>
      <c r="D988" s="252"/>
      <c r="E988" s="252"/>
      <c r="F988" s="252"/>
      <c r="G988" s="252"/>
      <c r="H988" s="252"/>
      <c r="I988" s="252"/>
      <c r="J988" s="252"/>
    </row>
    <row r="989">
      <c r="A989" s="155"/>
      <c r="B989" s="274"/>
      <c r="C989" s="274"/>
      <c r="D989" s="252"/>
      <c r="E989" s="252"/>
      <c r="F989" s="252"/>
      <c r="G989" s="252"/>
      <c r="H989" s="252"/>
      <c r="I989" s="252"/>
      <c r="J989" s="252"/>
    </row>
    <row r="990">
      <c r="A990" s="153"/>
      <c r="B990" s="274"/>
      <c r="C990" s="274"/>
      <c r="D990" s="252"/>
      <c r="E990" s="252"/>
      <c r="F990" s="252"/>
      <c r="G990" s="252"/>
      <c r="H990" s="252"/>
      <c r="I990" s="252"/>
      <c r="J990" s="252"/>
    </row>
    <row r="991">
      <c r="A991" s="155"/>
      <c r="B991" s="274"/>
      <c r="C991" s="274"/>
      <c r="D991" s="252"/>
      <c r="E991" s="252"/>
      <c r="F991" s="252"/>
      <c r="G991" s="252"/>
      <c r="H991" s="252"/>
      <c r="I991" s="252"/>
      <c r="J991" s="252"/>
    </row>
    <row r="992">
      <c r="A992" s="153"/>
      <c r="B992" s="274"/>
      <c r="C992" s="274"/>
      <c r="D992" s="252"/>
      <c r="E992" s="252"/>
      <c r="F992" s="252"/>
      <c r="G992" s="252"/>
      <c r="H992" s="252"/>
      <c r="I992" s="252"/>
      <c r="J992" s="252"/>
    </row>
    <row r="993">
      <c r="A993" s="155"/>
      <c r="B993" s="274"/>
      <c r="C993" s="274"/>
      <c r="D993" s="252"/>
      <c r="E993" s="252"/>
      <c r="F993" s="252"/>
      <c r="G993" s="252"/>
      <c r="H993" s="252"/>
      <c r="I993" s="252"/>
      <c r="J993" s="252"/>
    </row>
    <row r="994">
      <c r="A994" s="153"/>
      <c r="B994" s="274"/>
      <c r="C994" s="274"/>
      <c r="D994" s="252"/>
      <c r="E994" s="252"/>
      <c r="F994" s="252"/>
      <c r="G994" s="252"/>
      <c r="H994" s="252"/>
      <c r="I994" s="252"/>
      <c r="J994" s="252"/>
    </row>
    <row r="995">
      <c r="A995" s="155"/>
      <c r="B995" s="274"/>
      <c r="C995" s="274"/>
      <c r="D995" s="252"/>
      <c r="E995" s="252"/>
      <c r="F995" s="252"/>
      <c r="G995" s="252"/>
      <c r="H995" s="252"/>
      <c r="I995" s="252"/>
      <c r="J995" s="252"/>
    </row>
    <row r="996">
      <c r="A996" s="153"/>
      <c r="B996" s="274"/>
      <c r="C996" s="274"/>
      <c r="D996" s="252"/>
      <c r="E996" s="252"/>
      <c r="F996" s="252"/>
      <c r="G996" s="252"/>
      <c r="H996" s="252"/>
      <c r="I996" s="252"/>
      <c r="J996" s="252"/>
    </row>
    <row r="997">
      <c r="A997" s="155"/>
      <c r="B997" s="274"/>
      <c r="C997" s="274"/>
      <c r="D997" s="252"/>
      <c r="E997" s="252"/>
      <c r="F997" s="252"/>
      <c r="G997" s="252"/>
      <c r="H997" s="252"/>
      <c r="I997" s="252"/>
      <c r="J997" s="252"/>
    </row>
    <row r="998">
      <c r="A998" s="153"/>
      <c r="B998" s="274"/>
      <c r="C998" s="274"/>
      <c r="D998" s="252"/>
      <c r="E998" s="252"/>
      <c r="F998" s="252"/>
      <c r="G998" s="252"/>
      <c r="H998" s="252"/>
      <c r="I998" s="252"/>
      <c r="J998" s="252"/>
    </row>
    <row r="999">
      <c r="A999" s="155"/>
      <c r="B999" s="274"/>
      <c r="C999" s="274"/>
      <c r="D999" s="252"/>
      <c r="E999" s="252"/>
      <c r="F999" s="252"/>
      <c r="G999" s="252"/>
      <c r="H999" s="252"/>
      <c r="I999" s="252"/>
      <c r="J999" s="252"/>
    </row>
    <row r="1000">
      <c r="A1000" s="162"/>
      <c r="B1000" s="274"/>
      <c r="C1000" s="274"/>
      <c r="D1000" s="252"/>
      <c r="E1000" s="252"/>
      <c r="F1000" s="252"/>
      <c r="G1000" s="252"/>
      <c r="H1000" s="252"/>
      <c r="I1000" s="252"/>
      <c r="J1000" s="252"/>
    </row>
  </sheetData>
  <conditionalFormatting sqref="B1:J1000">
    <cfRule type="containsBlanks" dxfId="17" priority="1">
      <formula>LEN(TRIM(B1))=0</formula>
    </cfRule>
  </conditionalFormatting>
  <drawing r:id="rId1"/>
  <tableParts count="1">
    <tablePart r:id="rId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0" t="str">
        <f t="array" ref="A1:A50">'Up Names'!A2:A51</f>
        <v>Corrode Siphon</v>
      </c>
      <c r="B1" s="260">
        <v>0.18</v>
      </c>
      <c r="C1" s="208">
        <v>3.0</v>
      </c>
      <c r="D1" s="261"/>
      <c r="E1" s="261"/>
      <c r="F1" s="261"/>
      <c r="G1" s="261"/>
      <c r="H1" s="261"/>
      <c r="I1" s="261"/>
      <c r="J1" s="261"/>
    </row>
    <row r="2">
      <c r="A2" s="153" t="s">
        <v>150</v>
      </c>
      <c r="B2" s="205">
        <v>32.0</v>
      </c>
      <c r="C2" s="205">
        <v>1.76</v>
      </c>
      <c r="D2" s="205">
        <v>0.44</v>
      </c>
      <c r="E2" s="261"/>
      <c r="F2" s="261"/>
      <c r="G2" s="261"/>
      <c r="H2" s="261"/>
      <c r="I2" s="261"/>
      <c r="J2" s="261"/>
    </row>
    <row r="3">
      <c r="A3" s="155" t="s">
        <v>170</v>
      </c>
      <c r="B3" s="204">
        <v>3.6</v>
      </c>
      <c r="C3" s="208">
        <v>37.5</v>
      </c>
      <c r="D3" s="261"/>
      <c r="E3" s="261"/>
      <c r="F3" s="261"/>
      <c r="G3" s="261"/>
      <c r="H3" s="261"/>
      <c r="I3" s="261"/>
      <c r="J3" s="261"/>
    </row>
    <row r="4">
      <c r="A4" s="153" t="s">
        <v>190</v>
      </c>
      <c r="B4" s="205">
        <v>8.0</v>
      </c>
      <c r="C4" s="261"/>
      <c r="D4" s="261"/>
      <c r="E4" s="261"/>
      <c r="F4" s="261"/>
      <c r="G4" s="261"/>
      <c r="H4" s="261"/>
      <c r="I4" s="261"/>
      <c r="J4" s="261"/>
    </row>
    <row r="5">
      <c r="A5" s="155" t="s">
        <v>210</v>
      </c>
      <c r="B5" s="204">
        <v>3.12</v>
      </c>
      <c r="C5" s="204">
        <v>1.8</v>
      </c>
      <c r="D5" s="261"/>
      <c r="E5" s="261"/>
      <c r="F5" s="261"/>
      <c r="G5" s="261"/>
      <c r="H5" s="261"/>
      <c r="I5" s="261"/>
      <c r="J5" s="261"/>
    </row>
    <row r="6">
      <c r="A6" s="153" t="s">
        <v>229</v>
      </c>
      <c r="B6" s="206">
        <v>0.8</v>
      </c>
      <c r="C6" s="261"/>
      <c r="D6" s="261"/>
      <c r="E6" s="261"/>
      <c r="F6" s="261"/>
      <c r="G6" s="261"/>
      <c r="H6" s="261"/>
      <c r="I6" s="261"/>
      <c r="J6" s="261"/>
    </row>
    <row r="7">
      <c r="A7" s="155" t="s">
        <v>249</v>
      </c>
      <c r="B7" s="262">
        <v>1.5</v>
      </c>
      <c r="C7" s="204">
        <v>1.35</v>
      </c>
      <c r="D7" s="204">
        <v>0.75</v>
      </c>
      <c r="E7" s="262">
        <v>-0.55</v>
      </c>
      <c r="F7" s="261"/>
      <c r="G7" s="261"/>
      <c r="H7" s="261"/>
      <c r="I7" s="261"/>
      <c r="J7" s="261"/>
    </row>
    <row r="8">
      <c r="A8" s="153" t="s">
        <v>269</v>
      </c>
      <c r="B8" s="206">
        <v>1.06</v>
      </c>
      <c r="C8" s="263">
        <v>-0.0826</v>
      </c>
      <c r="D8" s="261"/>
      <c r="E8" s="261"/>
      <c r="F8" s="261"/>
      <c r="G8" s="261"/>
      <c r="H8" s="261"/>
      <c r="I8" s="261"/>
      <c r="J8" s="261"/>
    </row>
    <row r="9">
      <c r="A9" s="155" t="s">
        <v>289</v>
      </c>
      <c r="B9" s="261"/>
      <c r="C9" s="261"/>
      <c r="D9" s="261"/>
      <c r="E9" s="261"/>
      <c r="F9" s="261"/>
      <c r="G9" s="261"/>
      <c r="H9" s="261"/>
      <c r="I9" s="261"/>
      <c r="J9" s="261"/>
    </row>
    <row r="10">
      <c r="A10" s="153" t="s">
        <v>309</v>
      </c>
      <c r="B10" s="264">
        <v>3.0</v>
      </c>
      <c r="C10" s="264">
        <v>0.4</v>
      </c>
      <c r="D10" s="261"/>
      <c r="E10" s="261"/>
      <c r="F10" s="261"/>
      <c r="G10" s="261"/>
      <c r="H10" s="261"/>
      <c r="I10" s="261"/>
      <c r="J10" s="261"/>
    </row>
    <row r="11">
      <c r="A11" s="155" t="s">
        <v>329</v>
      </c>
      <c r="B11" s="262">
        <v>0.9</v>
      </c>
      <c r="C11" s="265">
        <v>-0.3103</v>
      </c>
      <c r="D11" s="261"/>
      <c r="E11" s="261"/>
      <c r="F11" s="261"/>
      <c r="G11" s="261"/>
      <c r="H11" s="261"/>
      <c r="I11" s="261"/>
      <c r="J11" s="261"/>
    </row>
    <row r="12">
      <c r="A12" s="153" t="s">
        <v>349</v>
      </c>
      <c r="B12" s="206">
        <v>3.75</v>
      </c>
      <c r="C12" s="205">
        <v>3.6</v>
      </c>
      <c r="D12" s="261"/>
      <c r="E12" s="261"/>
      <c r="F12" s="261"/>
      <c r="G12" s="261"/>
      <c r="H12" s="261"/>
      <c r="I12" s="261"/>
      <c r="J12" s="261"/>
    </row>
    <row r="13">
      <c r="A13" s="155" t="s">
        <v>372</v>
      </c>
      <c r="B13" s="204">
        <v>1.69</v>
      </c>
      <c r="C13" s="261"/>
      <c r="D13" s="261"/>
      <c r="E13" s="261"/>
      <c r="F13" s="261"/>
      <c r="G13" s="261"/>
      <c r="H13" s="261"/>
      <c r="I13" s="261"/>
      <c r="J13" s="261"/>
    </row>
    <row r="14">
      <c r="A14" s="153" t="s">
        <v>394</v>
      </c>
      <c r="B14" s="205">
        <v>2.5</v>
      </c>
      <c r="C14" s="205">
        <v>0.7</v>
      </c>
      <c r="D14" s="266">
        <v>0.65</v>
      </c>
      <c r="E14" s="261"/>
      <c r="F14" s="261"/>
      <c r="G14" s="261"/>
      <c r="H14" s="261"/>
      <c r="I14" s="261"/>
      <c r="J14" s="261"/>
    </row>
    <row r="15">
      <c r="A15" s="155" t="s">
        <v>404</v>
      </c>
      <c r="B15" s="204">
        <v>0.3</v>
      </c>
      <c r="C15" s="260">
        <v>0.75</v>
      </c>
      <c r="D15" s="261"/>
      <c r="E15" s="261"/>
      <c r="F15" s="261"/>
      <c r="G15" s="261"/>
      <c r="H15" s="261"/>
      <c r="I15" s="261"/>
      <c r="J15" s="261"/>
    </row>
    <row r="16">
      <c r="A16" s="153" t="s">
        <v>410</v>
      </c>
      <c r="B16" s="205">
        <v>1.85</v>
      </c>
      <c r="C16" s="261"/>
      <c r="D16" s="261"/>
      <c r="E16" s="261"/>
      <c r="F16" s="261"/>
      <c r="G16" s="261"/>
      <c r="H16" s="261"/>
      <c r="I16" s="261"/>
      <c r="J16" s="261"/>
    </row>
    <row r="17">
      <c r="A17" s="155" t="s">
        <v>415</v>
      </c>
      <c r="B17" s="262">
        <v>0.16</v>
      </c>
      <c r="C17" s="204">
        <v>17.0</v>
      </c>
      <c r="D17" s="204">
        <v>0.5</v>
      </c>
      <c r="E17" s="204">
        <v>60.0</v>
      </c>
      <c r="F17" s="204">
        <v>70.0</v>
      </c>
      <c r="G17" s="204">
        <v>80.0</v>
      </c>
      <c r="H17" s="204">
        <v>1.75</v>
      </c>
      <c r="I17" s="204">
        <v>1.75</v>
      </c>
      <c r="J17" s="261"/>
    </row>
    <row r="18">
      <c r="A18" s="153" t="s">
        <v>421</v>
      </c>
      <c r="B18" s="205">
        <v>1.85</v>
      </c>
      <c r="C18" s="261"/>
      <c r="D18" s="261"/>
      <c r="E18" s="261"/>
      <c r="F18" s="261"/>
      <c r="G18" s="261"/>
      <c r="H18" s="261"/>
      <c r="I18" s="261"/>
      <c r="J18" s="261"/>
    </row>
    <row r="19">
      <c r="A19" s="155" t="s">
        <v>426</v>
      </c>
      <c r="B19" s="204">
        <v>1.85</v>
      </c>
      <c r="C19" s="261"/>
      <c r="D19" s="261"/>
      <c r="E19" s="261"/>
      <c r="F19" s="261"/>
      <c r="G19" s="261"/>
      <c r="H19" s="261"/>
      <c r="I19" s="261"/>
      <c r="J19" s="261"/>
    </row>
    <row r="20">
      <c r="A20" s="153" t="s">
        <v>430</v>
      </c>
      <c r="B20" s="205">
        <v>1.0</v>
      </c>
      <c r="C20" s="264">
        <v>-0.4</v>
      </c>
      <c r="D20" s="263">
        <v>-0.2308</v>
      </c>
      <c r="E20" s="205">
        <v>3.0</v>
      </c>
      <c r="F20" s="261"/>
      <c r="G20" s="261"/>
      <c r="H20" s="261"/>
      <c r="I20" s="261"/>
      <c r="J20" s="261"/>
    </row>
    <row r="21">
      <c r="A21" s="155" t="s">
        <v>435</v>
      </c>
      <c r="B21" s="204">
        <v>0.5</v>
      </c>
      <c r="C21" s="208">
        <v>4.0</v>
      </c>
      <c r="D21" s="208">
        <v>26.0</v>
      </c>
      <c r="E21" s="261"/>
      <c r="F21" s="261"/>
      <c r="G21" s="261"/>
      <c r="H21" s="261"/>
      <c r="I21" s="261"/>
      <c r="J21" s="261"/>
    </row>
    <row r="22">
      <c r="A22" s="153" t="s">
        <v>439</v>
      </c>
      <c r="B22" s="205">
        <v>0.75</v>
      </c>
      <c r="C22" s="261"/>
      <c r="D22" s="261"/>
      <c r="E22" s="261"/>
      <c r="F22" s="261"/>
      <c r="G22" s="261"/>
      <c r="H22" s="261"/>
      <c r="I22" s="261"/>
      <c r="J22" s="261"/>
    </row>
    <row r="23">
      <c r="A23" s="155" t="s">
        <v>443</v>
      </c>
      <c r="B23" s="204">
        <v>9.0</v>
      </c>
      <c r="C23" s="261"/>
      <c r="D23" s="261"/>
      <c r="E23" s="261"/>
      <c r="F23" s="261"/>
      <c r="G23" s="261"/>
      <c r="H23" s="261"/>
      <c r="I23" s="261"/>
      <c r="J23" s="261"/>
    </row>
    <row r="24">
      <c r="A24" s="153" t="s">
        <v>447</v>
      </c>
      <c r="B24" s="205">
        <v>1.85</v>
      </c>
      <c r="C24" s="261"/>
      <c r="D24" s="261"/>
      <c r="E24" s="261"/>
      <c r="F24" s="261"/>
      <c r="G24" s="261"/>
      <c r="H24" s="261"/>
      <c r="I24" s="261"/>
      <c r="J24" s="261"/>
    </row>
    <row r="25">
      <c r="A25" s="155" t="s">
        <v>451</v>
      </c>
      <c r="B25" s="204">
        <v>4.5</v>
      </c>
      <c r="C25" s="204">
        <v>4.5</v>
      </c>
      <c r="D25" s="262">
        <v>0.25</v>
      </c>
      <c r="E25" s="261"/>
      <c r="F25" s="261"/>
      <c r="G25" s="261"/>
      <c r="H25" s="261"/>
      <c r="I25" s="261"/>
      <c r="J25" s="261"/>
    </row>
    <row r="26">
      <c r="A26" s="153" t="s">
        <v>455</v>
      </c>
      <c r="B26" s="205">
        <v>4.0</v>
      </c>
      <c r="C26" s="205">
        <v>0.17</v>
      </c>
      <c r="D26" s="205">
        <v>1.2</v>
      </c>
      <c r="E26" s="261"/>
      <c r="F26" s="261"/>
      <c r="G26" s="261"/>
      <c r="H26" s="261"/>
      <c r="I26" s="261"/>
      <c r="J26" s="261"/>
    </row>
    <row r="27">
      <c r="A27" s="155" t="s">
        <v>459</v>
      </c>
      <c r="B27" s="204">
        <v>17.0</v>
      </c>
      <c r="C27" s="261"/>
      <c r="D27" s="261"/>
      <c r="E27" s="261"/>
      <c r="F27" s="261"/>
      <c r="G27" s="261"/>
      <c r="H27" s="261"/>
      <c r="I27" s="261"/>
      <c r="J27" s="261"/>
    </row>
    <row r="28">
      <c r="A28" s="153" t="s">
        <v>464</v>
      </c>
      <c r="B28" s="263">
        <v>0.4245</v>
      </c>
      <c r="C28" s="261"/>
      <c r="D28" s="261"/>
      <c r="E28" s="261"/>
      <c r="F28" s="261"/>
      <c r="G28" s="261"/>
      <c r="H28" s="261"/>
      <c r="I28" s="261"/>
      <c r="J28" s="261"/>
    </row>
    <row r="29">
      <c r="A29" s="155" t="s">
        <v>468</v>
      </c>
      <c r="B29" s="262">
        <v>0.9</v>
      </c>
      <c r="C29" s="261"/>
      <c r="D29" s="261"/>
      <c r="E29" s="261"/>
      <c r="F29" s="261"/>
      <c r="G29" s="261"/>
      <c r="H29" s="261"/>
      <c r="I29" s="261"/>
      <c r="J29" s="261"/>
    </row>
    <row r="30">
      <c r="A30" s="153" t="s">
        <v>472</v>
      </c>
      <c r="B30" s="205">
        <v>4.0</v>
      </c>
      <c r="C30" s="261"/>
      <c r="D30" s="261"/>
      <c r="E30" s="261"/>
      <c r="F30" s="261"/>
      <c r="G30" s="261"/>
      <c r="H30" s="261"/>
      <c r="I30" s="261"/>
      <c r="J30" s="261"/>
    </row>
    <row r="31">
      <c r="A31" s="155" t="s">
        <v>477</v>
      </c>
      <c r="B31" s="204">
        <v>-9.0</v>
      </c>
      <c r="C31" s="265">
        <v>0.3393</v>
      </c>
      <c r="D31" s="261"/>
      <c r="E31" s="261"/>
      <c r="F31" s="261"/>
      <c r="G31" s="261"/>
      <c r="H31" s="261"/>
      <c r="I31" s="261"/>
      <c r="J31" s="261"/>
    </row>
    <row r="32">
      <c r="A32" s="153" t="s">
        <v>481</v>
      </c>
      <c r="B32" s="264">
        <v>0.2</v>
      </c>
      <c r="C32" s="264">
        <v>-0.12</v>
      </c>
      <c r="D32" s="261"/>
      <c r="E32" s="261"/>
      <c r="F32" s="261"/>
      <c r="G32" s="261"/>
      <c r="H32" s="261"/>
      <c r="I32" s="261"/>
      <c r="J32" s="261"/>
    </row>
    <row r="33">
      <c r="A33" s="155" t="s">
        <v>486</v>
      </c>
      <c r="B33" s="204">
        <v>8.0</v>
      </c>
      <c r="C33" s="261"/>
      <c r="D33" s="261"/>
      <c r="E33" s="261"/>
      <c r="F33" s="261"/>
      <c r="G33" s="261"/>
      <c r="H33" s="261"/>
      <c r="I33" s="261"/>
      <c r="J33" s="261"/>
    </row>
    <row r="34">
      <c r="A34" s="153" t="s">
        <v>492</v>
      </c>
      <c r="B34" s="264">
        <v>-0.8</v>
      </c>
      <c r="C34" s="264">
        <v>-0.8</v>
      </c>
      <c r="D34" s="267">
        <v>-0.187</v>
      </c>
      <c r="E34" s="261"/>
      <c r="F34" s="261"/>
      <c r="G34" s="261"/>
      <c r="H34" s="261"/>
      <c r="I34" s="261"/>
      <c r="J34" s="261"/>
    </row>
    <row r="35">
      <c r="A35" s="155" t="s">
        <v>496</v>
      </c>
      <c r="B35" s="204">
        <v>1.0</v>
      </c>
      <c r="C35" s="261"/>
      <c r="D35" s="261"/>
      <c r="E35" s="261"/>
      <c r="F35" s="261"/>
      <c r="G35" s="261"/>
      <c r="H35" s="261"/>
      <c r="I35" s="261"/>
      <c r="J35" s="261"/>
    </row>
    <row r="36">
      <c r="A36" s="153" t="s">
        <v>499</v>
      </c>
      <c r="B36" s="264">
        <v>-0.42</v>
      </c>
      <c r="C36" s="261"/>
      <c r="D36" s="261"/>
      <c r="E36" s="261"/>
      <c r="F36" s="261"/>
      <c r="G36" s="261"/>
      <c r="H36" s="261"/>
      <c r="I36" s="261"/>
      <c r="J36" s="261"/>
    </row>
    <row r="37">
      <c r="A37" s="155" t="s">
        <v>503</v>
      </c>
      <c r="B37" s="261"/>
      <c r="C37" s="261"/>
      <c r="D37" s="261"/>
      <c r="E37" s="261"/>
      <c r="F37" s="261"/>
      <c r="G37" s="261"/>
      <c r="H37" s="261"/>
      <c r="I37" s="261"/>
      <c r="J37" s="261"/>
    </row>
    <row r="38">
      <c r="A38" s="153" t="s">
        <v>511</v>
      </c>
      <c r="B38" s="261"/>
      <c r="C38" s="261"/>
      <c r="D38" s="261"/>
      <c r="E38" s="261"/>
      <c r="F38" s="261"/>
      <c r="G38" s="261"/>
      <c r="H38" s="261"/>
      <c r="I38" s="261"/>
      <c r="J38" s="261"/>
    </row>
    <row r="39">
      <c r="A39" s="155" t="s">
        <v>516</v>
      </c>
      <c r="B39" s="261"/>
      <c r="C39" s="261"/>
      <c r="D39" s="261"/>
      <c r="E39" s="261"/>
      <c r="F39" s="261"/>
      <c r="G39" s="261"/>
      <c r="H39" s="261"/>
      <c r="I39" s="261"/>
      <c r="J39" s="261"/>
    </row>
    <row r="40">
      <c r="A40" s="153"/>
      <c r="B40" s="261"/>
      <c r="C40" s="268"/>
      <c r="D40" s="261"/>
      <c r="E40" s="261"/>
      <c r="F40" s="261"/>
      <c r="G40" s="261"/>
      <c r="H40" s="261"/>
      <c r="I40" s="261"/>
      <c r="J40" s="261"/>
    </row>
    <row r="41">
      <c r="A41" s="155"/>
      <c r="B41" s="261"/>
      <c r="C41" s="261"/>
      <c r="D41" s="261"/>
      <c r="E41" s="261"/>
      <c r="F41" s="261"/>
      <c r="G41" s="261"/>
      <c r="H41" s="261"/>
      <c r="I41" s="261"/>
      <c r="J41" s="261"/>
    </row>
    <row r="42">
      <c r="A42" s="153"/>
      <c r="B42" s="269"/>
      <c r="C42" s="261"/>
      <c r="D42" s="261"/>
      <c r="E42" s="261"/>
      <c r="F42" s="261"/>
      <c r="G42" s="261"/>
      <c r="H42" s="261"/>
      <c r="I42" s="261"/>
      <c r="J42" s="261"/>
    </row>
    <row r="43">
      <c r="A43" s="155"/>
      <c r="B43" s="261"/>
      <c r="C43" s="261"/>
      <c r="D43" s="261"/>
      <c r="E43" s="261"/>
      <c r="F43" s="261"/>
      <c r="G43" s="261"/>
      <c r="H43" s="261"/>
      <c r="I43" s="261"/>
      <c r="J43" s="261"/>
    </row>
    <row r="44">
      <c r="A44" s="153"/>
      <c r="B44" s="261"/>
      <c r="C44" s="261"/>
      <c r="D44" s="261"/>
      <c r="E44" s="261"/>
      <c r="F44" s="261"/>
      <c r="G44" s="261"/>
      <c r="H44" s="261"/>
      <c r="I44" s="261"/>
      <c r="J44" s="261"/>
    </row>
    <row r="45">
      <c r="A45" s="155"/>
      <c r="B45" s="261"/>
      <c r="C45" s="261"/>
      <c r="D45" s="261"/>
      <c r="E45" s="261"/>
      <c r="F45" s="261"/>
      <c r="G45" s="261"/>
      <c r="H45" s="261"/>
      <c r="I45" s="261"/>
      <c r="J45" s="261"/>
    </row>
    <row r="46">
      <c r="A46" s="153"/>
      <c r="B46" s="261"/>
      <c r="C46" s="261"/>
      <c r="D46" s="261"/>
      <c r="E46" s="261"/>
      <c r="F46" s="261"/>
      <c r="G46" s="261"/>
      <c r="H46" s="261"/>
      <c r="I46" s="261"/>
      <c r="J46" s="261"/>
    </row>
    <row r="47">
      <c r="A47" s="155"/>
      <c r="B47" s="261"/>
      <c r="C47" s="261"/>
      <c r="D47" s="261"/>
      <c r="E47" s="261"/>
      <c r="F47" s="261"/>
      <c r="G47" s="261"/>
      <c r="H47" s="261"/>
      <c r="I47" s="261"/>
      <c r="J47" s="261"/>
    </row>
    <row r="48">
      <c r="A48" s="153"/>
      <c r="B48" s="261"/>
      <c r="C48" s="268"/>
      <c r="D48" s="261"/>
      <c r="E48" s="261"/>
      <c r="F48" s="261"/>
      <c r="G48" s="261"/>
      <c r="H48" s="261"/>
      <c r="I48" s="261"/>
      <c r="J48" s="261"/>
    </row>
    <row r="49">
      <c r="A49" s="155"/>
      <c r="B49" s="261"/>
      <c r="C49" s="261"/>
      <c r="D49" s="261"/>
      <c r="E49" s="261"/>
      <c r="F49" s="261"/>
      <c r="G49" s="261"/>
      <c r="H49" s="261"/>
      <c r="I49" s="261"/>
      <c r="J49" s="261"/>
    </row>
    <row r="50">
      <c r="A50" s="162"/>
      <c r="B50" s="261"/>
      <c r="C50" s="269"/>
      <c r="D50" s="269"/>
      <c r="E50" s="269"/>
      <c r="F50" s="268"/>
      <c r="G50" s="261"/>
      <c r="H50" s="261"/>
      <c r="I50" s="261"/>
      <c r="J50" s="261"/>
    </row>
    <row r="51">
      <c r="A51" s="150" t="str">
        <f t="array" ref="A51:A100">'Up Names'!B2:B51</f>
        <v>All Powdered Up</v>
      </c>
      <c r="B51" s="204">
        <v>49.2</v>
      </c>
      <c r="C51" s="270">
        <v>4.5</v>
      </c>
      <c r="D51" s="269"/>
      <c r="E51" s="261"/>
      <c r="F51" s="261"/>
      <c r="G51" s="261"/>
      <c r="H51" s="261"/>
      <c r="I51" s="261"/>
      <c r="J51" s="261"/>
    </row>
    <row r="52">
      <c r="A52" s="153" t="s">
        <v>151</v>
      </c>
      <c r="B52" s="206">
        <v>0.1</v>
      </c>
      <c r="C52" s="269"/>
      <c r="D52" s="269"/>
      <c r="E52" s="261"/>
      <c r="F52" s="261"/>
      <c r="G52" s="261"/>
      <c r="H52" s="261"/>
      <c r="I52" s="261"/>
      <c r="J52" s="261"/>
    </row>
    <row r="53">
      <c r="A53" s="155" t="s">
        <v>171</v>
      </c>
      <c r="B53" s="208">
        <v>100.0</v>
      </c>
      <c r="C53" s="204">
        <v>10.0</v>
      </c>
      <c r="D53" s="204">
        <v>4.8</v>
      </c>
      <c r="E53" s="204">
        <v>1.0</v>
      </c>
      <c r="F53" s="261"/>
      <c r="G53" s="261"/>
      <c r="H53" s="261"/>
      <c r="I53" s="261"/>
      <c r="J53" s="261"/>
    </row>
    <row r="54">
      <c r="A54" s="153" t="s">
        <v>191</v>
      </c>
      <c r="B54" s="206">
        <v>9.74</v>
      </c>
      <c r="C54" s="263">
        <v>1.2222</v>
      </c>
      <c r="D54" s="206">
        <v>3.0</v>
      </c>
      <c r="E54" s="269"/>
      <c r="F54" s="269"/>
      <c r="G54" s="261"/>
      <c r="H54" s="261"/>
      <c r="I54" s="261"/>
      <c r="J54" s="261"/>
    </row>
    <row r="55">
      <c r="A55" s="155" t="s">
        <v>211</v>
      </c>
      <c r="B55" s="208">
        <v>1.0</v>
      </c>
      <c r="C55" s="261"/>
      <c r="D55" s="261"/>
      <c r="E55" s="261"/>
      <c r="F55" s="261"/>
      <c r="G55" s="261"/>
      <c r="H55" s="261"/>
      <c r="I55" s="261"/>
      <c r="J55" s="261"/>
    </row>
    <row r="56">
      <c r="A56" s="153" t="s">
        <v>230</v>
      </c>
      <c r="B56" s="206">
        <v>2.5</v>
      </c>
      <c r="C56" s="261"/>
      <c r="D56" s="261"/>
      <c r="E56" s="261"/>
      <c r="F56" s="261"/>
      <c r="G56" s="261"/>
      <c r="H56" s="261"/>
      <c r="I56" s="261"/>
      <c r="J56" s="261"/>
    </row>
    <row r="57">
      <c r="A57" s="155" t="s">
        <v>250</v>
      </c>
      <c r="B57" s="269"/>
      <c r="C57" s="269"/>
      <c r="D57" s="261"/>
      <c r="E57" s="261"/>
      <c r="F57" s="261"/>
      <c r="G57" s="261"/>
      <c r="H57" s="261"/>
      <c r="I57" s="261"/>
      <c r="J57" s="261"/>
    </row>
    <row r="58">
      <c r="A58" s="153" t="s">
        <v>270</v>
      </c>
      <c r="B58" s="206">
        <v>0.6</v>
      </c>
      <c r="C58" s="205">
        <v>2.5</v>
      </c>
      <c r="D58" s="261"/>
      <c r="E58" s="261"/>
      <c r="F58" s="261"/>
      <c r="G58" s="261"/>
      <c r="H58" s="261"/>
      <c r="I58" s="261"/>
      <c r="J58" s="261"/>
    </row>
    <row r="59">
      <c r="A59" s="155" t="s">
        <v>290</v>
      </c>
      <c r="B59" s="208">
        <v>0.4</v>
      </c>
      <c r="C59" s="261"/>
      <c r="D59" s="261"/>
      <c r="E59" s="261"/>
      <c r="F59" s="261"/>
      <c r="G59" s="261"/>
      <c r="H59" s="261"/>
      <c r="I59" s="261"/>
      <c r="J59" s="261"/>
    </row>
    <row r="60">
      <c r="A60" s="153" t="s">
        <v>310</v>
      </c>
      <c r="B60" s="205">
        <v>1.0</v>
      </c>
      <c r="C60" s="205">
        <v>3.0</v>
      </c>
      <c r="D60" s="261"/>
      <c r="E60" s="261"/>
      <c r="F60" s="261"/>
      <c r="G60" s="261"/>
      <c r="H60" s="261"/>
      <c r="I60" s="261"/>
      <c r="J60" s="261"/>
    </row>
    <row r="61">
      <c r="A61" s="155" t="s">
        <v>330</v>
      </c>
      <c r="B61" s="261"/>
      <c r="C61" s="261"/>
      <c r="D61" s="261"/>
      <c r="E61" s="261"/>
      <c r="F61" s="261"/>
      <c r="G61" s="261"/>
      <c r="H61" s="261"/>
      <c r="I61" s="261"/>
      <c r="J61" s="261"/>
    </row>
    <row r="62">
      <c r="A62" s="153" t="s">
        <v>350</v>
      </c>
      <c r="B62" s="205">
        <v>1.0</v>
      </c>
      <c r="C62" s="263">
        <v>-0.09</v>
      </c>
      <c r="D62" s="261"/>
      <c r="E62" s="261"/>
      <c r="F62" s="261"/>
      <c r="G62" s="261"/>
      <c r="H62" s="261"/>
      <c r="I62" s="261"/>
      <c r="J62" s="261"/>
    </row>
    <row r="63">
      <c r="A63" s="155" t="s">
        <v>373</v>
      </c>
      <c r="B63" s="204">
        <v>5.0</v>
      </c>
      <c r="C63" s="261"/>
      <c r="D63" s="261"/>
      <c r="E63" s="261"/>
      <c r="F63" s="261"/>
      <c r="G63" s="261"/>
      <c r="H63" s="261"/>
      <c r="I63" s="261"/>
      <c r="J63" s="261"/>
    </row>
    <row r="64">
      <c r="A64" s="153" t="s">
        <v>395</v>
      </c>
      <c r="B64" s="206">
        <v>2.0</v>
      </c>
      <c r="C64" s="264">
        <v>0.45</v>
      </c>
      <c r="D64" s="264">
        <v>-0.2</v>
      </c>
      <c r="E64" s="264">
        <v>-0.2</v>
      </c>
      <c r="F64" s="263">
        <v>1.2222</v>
      </c>
      <c r="G64" s="261"/>
      <c r="H64" s="261"/>
      <c r="I64" s="261"/>
      <c r="J64" s="261"/>
    </row>
    <row r="65">
      <c r="A65" s="155" t="s">
        <v>424</v>
      </c>
      <c r="B65" s="208">
        <v>2.0</v>
      </c>
      <c r="C65" s="204">
        <v>0.28</v>
      </c>
      <c r="D65" s="262">
        <v>1.0</v>
      </c>
      <c r="E65" s="261"/>
      <c r="F65" s="261"/>
      <c r="G65" s="261"/>
      <c r="H65" s="261"/>
      <c r="I65" s="261"/>
      <c r="J65" s="261"/>
    </row>
    <row r="66">
      <c r="A66" s="153" t="s">
        <v>452</v>
      </c>
      <c r="B66" s="264">
        <v>-0.46</v>
      </c>
      <c r="C66" s="264">
        <v>-0.46</v>
      </c>
      <c r="D66" s="264">
        <v>-0.22</v>
      </c>
      <c r="E66" s="261"/>
      <c r="F66" s="261"/>
      <c r="G66" s="261"/>
      <c r="H66" s="261"/>
      <c r="I66" s="261"/>
      <c r="J66" s="261"/>
    </row>
    <row r="67">
      <c r="A67" s="155" t="s">
        <v>480</v>
      </c>
      <c r="B67" s="261"/>
      <c r="C67" s="261"/>
      <c r="D67" s="261"/>
      <c r="E67" s="261"/>
      <c r="F67" s="261"/>
      <c r="G67" s="261"/>
      <c r="H67" s="261"/>
      <c r="I67" s="261"/>
      <c r="J67" s="261"/>
    </row>
    <row r="68">
      <c r="A68" s="153" t="s">
        <v>507</v>
      </c>
      <c r="B68" s="263">
        <v>-0.2105</v>
      </c>
      <c r="C68" s="264">
        <v>0.7</v>
      </c>
      <c r="D68" s="264">
        <v>0.05</v>
      </c>
      <c r="E68" s="264">
        <v>0.1</v>
      </c>
      <c r="F68" s="264">
        <v>0.1</v>
      </c>
      <c r="G68" s="261"/>
      <c r="H68" s="261"/>
      <c r="I68" s="261"/>
      <c r="J68" s="261"/>
    </row>
    <row r="69">
      <c r="A69" s="155" t="s">
        <v>528</v>
      </c>
      <c r="B69" s="262">
        <v>0.25</v>
      </c>
      <c r="C69" s="261"/>
      <c r="D69" s="269"/>
      <c r="E69" s="261"/>
      <c r="F69" s="261"/>
      <c r="G69" s="261"/>
      <c r="H69" s="261"/>
      <c r="I69" s="261"/>
      <c r="J69" s="261"/>
    </row>
    <row r="70">
      <c r="A70" s="153" t="s">
        <v>547</v>
      </c>
      <c r="B70" s="263">
        <v>2.3333</v>
      </c>
      <c r="C70" s="261"/>
      <c r="D70" s="261"/>
      <c r="E70" s="261"/>
      <c r="F70" s="261"/>
      <c r="G70" s="261"/>
      <c r="H70" s="261"/>
      <c r="I70" s="261"/>
      <c r="J70" s="261"/>
    </row>
    <row r="71">
      <c r="A71" s="155" t="s">
        <v>570</v>
      </c>
      <c r="B71" s="262">
        <v>1.5</v>
      </c>
      <c r="C71" s="262">
        <v>-0.65</v>
      </c>
      <c r="D71" s="261"/>
      <c r="E71" s="261"/>
      <c r="F71" s="261"/>
      <c r="G71" s="261"/>
      <c r="H71" s="261"/>
      <c r="I71" s="261"/>
      <c r="J71" s="261"/>
    </row>
    <row r="72">
      <c r="A72" s="153" t="s">
        <v>592</v>
      </c>
      <c r="B72" s="267">
        <v>0.667</v>
      </c>
      <c r="C72" s="205">
        <v>6.0</v>
      </c>
      <c r="D72" s="205">
        <v>6.0</v>
      </c>
      <c r="E72" s="205">
        <v>6.0</v>
      </c>
      <c r="F72" s="261"/>
      <c r="G72" s="261"/>
      <c r="H72" s="261"/>
      <c r="I72" s="261"/>
      <c r="J72" s="261"/>
    </row>
    <row r="73">
      <c r="A73" s="155" t="s">
        <v>613</v>
      </c>
      <c r="B73" s="262">
        <v>1.5</v>
      </c>
      <c r="C73" s="261"/>
      <c r="D73" s="261"/>
      <c r="E73" s="261"/>
      <c r="F73" s="261"/>
      <c r="G73" s="261"/>
      <c r="H73" s="261"/>
      <c r="I73" s="261"/>
      <c r="J73" s="261"/>
    </row>
    <row r="74">
      <c r="A74" s="153" t="s">
        <v>628</v>
      </c>
      <c r="B74" s="205">
        <v>3.0</v>
      </c>
      <c r="C74" s="205">
        <v>19.5</v>
      </c>
      <c r="D74" s="261"/>
      <c r="E74" s="261"/>
      <c r="F74" s="261"/>
      <c r="G74" s="261"/>
      <c r="H74" s="261"/>
      <c r="I74" s="261"/>
      <c r="J74" s="261"/>
    </row>
    <row r="75">
      <c r="A75" s="155" t="s">
        <v>630</v>
      </c>
      <c r="B75" s="204">
        <v>1.0</v>
      </c>
      <c r="C75" s="261"/>
      <c r="D75" s="261"/>
      <c r="E75" s="261"/>
      <c r="F75" s="261"/>
      <c r="G75" s="261"/>
      <c r="H75" s="261"/>
      <c r="I75" s="261"/>
      <c r="J75" s="261"/>
    </row>
    <row r="76">
      <c r="A76" s="153" t="s">
        <v>635</v>
      </c>
      <c r="B76" s="205">
        <v>1.0</v>
      </c>
      <c r="C76" s="268"/>
      <c r="D76" s="261"/>
      <c r="E76" s="261"/>
      <c r="F76" s="261"/>
      <c r="G76" s="261"/>
      <c r="H76" s="261"/>
      <c r="I76" s="261"/>
      <c r="J76" s="261"/>
    </row>
    <row r="77">
      <c r="A77" s="155" t="s">
        <v>638</v>
      </c>
      <c r="B77" s="208">
        <v>1.0</v>
      </c>
      <c r="C77" s="261"/>
      <c r="D77" s="261"/>
      <c r="E77" s="261"/>
      <c r="F77" s="261"/>
      <c r="G77" s="261"/>
      <c r="H77" s="261"/>
      <c r="I77" s="261"/>
      <c r="J77" s="261"/>
    </row>
    <row r="78">
      <c r="A78" s="153" t="s">
        <v>642</v>
      </c>
      <c r="B78" s="264">
        <v>-0.2</v>
      </c>
      <c r="C78" s="264">
        <v>-0.22</v>
      </c>
      <c r="D78" s="261"/>
      <c r="E78" s="261"/>
      <c r="F78" s="261"/>
      <c r="G78" s="261"/>
      <c r="H78" s="261"/>
      <c r="I78" s="261"/>
      <c r="J78" s="261"/>
    </row>
    <row r="79">
      <c r="A79" s="155" t="s">
        <v>646</v>
      </c>
      <c r="B79" s="262">
        <v>-0.18</v>
      </c>
      <c r="C79" s="261"/>
      <c r="D79" s="261"/>
      <c r="E79" s="261"/>
      <c r="F79" s="261"/>
      <c r="G79" s="261"/>
      <c r="H79" s="261"/>
      <c r="I79" s="261"/>
      <c r="J79" s="261"/>
    </row>
    <row r="80">
      <c r="A80" s="153" t="s">
        <v>650</v>
      </c>
      <c r="B80" s="205">
        <v>2.75</v>
      </c>
      <c r="C80" s="269"/>
      <c r="D80" s="261"/>
      <c r="E80" s="261"/>
      <c r="F80" s="261"/>
      <c r="G80" s="261"/>
      <c r="H80" s="261"/>
      <c r="I80" s="261"/>
      <c r="J80" s="261"/>
    </row>
    <row r="81">
      <c r="A81" s="155" t="s">
        <v>503</v>
      </c>
      <c r="B81" s="261"/>
      <c r="C81" s="261"/>
      <c r="D81" s="261"/>
      <c r="E81" s="261"/>
      <c r="F81" s="261"/>
      <c r="G81" s="261"/>
      <c r="H81" s="261"/>
      <c r="I81" s="261"/>
      <c r="J81" s="261"/>
    </row>
    <row r="82">
      <c r="A82" s="153" t="s">
        <v>511</v>
      </c>
      <c r="B82" s="261"/>
      <c r="C82" s="269"/>
      <c r="D82" s="269"/>
      <c r="E82" s="268"/>
      <c r="F82" s="269"/>
      <c r="G82" s="269"/>
      <c r="H82" s="261"/>
      <c r="I82" s="261"/>
      <c r="J82" s="261"/>
    </row>
    <row r="83">
      <c r="A83" s="155" t="s">
        <v>516</v>
      </c>
      <c r="B83" s="261"/>
      <c r="C83" s="261"/>
      <c r="D83" s="261"/>
      <c r="E83" s="261"/>
      <c r="F83" s="261"/>
      <c r="G83" s="261"/>
      <c r="H83" s="261"/>
      <c r="I83" s="261"/>
      <c r="J83" s="261"/>
    </row>
    <row r="84">
      <c r="A84" s="153"/>
      <c r="B84" s="261"/>
      <c r="C84" s="261"/>
      <c r="D84" s="261"/>
      <c r="E84" s="261"/>
      <c r="F84" s="261"/>
      <c r="G84" s="261"/>
      <c r="H84" s="261"/>
      <c r="I84" s="261"/>
      <c r="J84" s="261"/>
    </row>
    <row r="85">
      <c r="A85" s="155"/>
      <c r="B85" s="269"/>
      <c r="C85" s="269"/>
      <c r="D85" s="268"/>
      <c r="E85" s="269"/>
      <c r="F85" s="269"/>
      <c r="G85" s="261"/>
      <c r="H85" s="261"/>
      <c r="I85" s="261"/>
      <c r="J85" s="261"/>
    </row>
    <row r="86">
      <c r="A86" s="153"/>
      <c r="B86" s="269"/>
      <c r="C86" s="269"/>
      <c r="D86" s="269"/>
      <c r="E86" s="269"/>
      <c r="F86" s="261"/>
      <c r="G86" s="261"/>
      <c r="H86" s="261"/>
      <c r="I86" s="261"/>
      <c r="J86" s="261"/>
    </row>
    <row r="87">
      <c r="A87" s="155"/>
      <c r="B87" s="261"/>
      <c r="C87" s="268"/>
      <c r="D87" s="261"/>
      <c r="E87" s="261"/>
      <c r="F87" s="261"/>
      <c r="G87" s="261"/>
      <c r="H87" s="261"/>
      <c r="I87" s="261"/>
      <c r="J87" s="261"/>
    </row>
    <row r="88">
      <c r="A88" s="153"/>
      <c r="B88" s="261"/>
      <c r="C88" s="261"/>
      <c r="D88" s="261"/>
      <c r="E88" s="261"/>
      <c r="F88" s="261"/>
      <c r="G88" s="261"/>
      <c r="H88" s="261"/>
      <c r="I88" s="261"/>
      <c r="J88" s="261"/>
    </row>
    <row r="89">
      <c r="A89" s="155"/>
      <c r="B89" s="269"/>
      <c r="C89" s="269"/>
      <c r="D89" s="269"/>
      <c r="E89" s="261"/>
      <c r="F89" s="261"/>
      <c r="G89" s="261"/>
      <c r="H89" s="261"/>
      <c r="I89" s="261"/>
      <c r="J89" s="261"/>
    </row>
    <row r="90">
      <c r="A90" s="153"/>
      <c r="B90" s="268"/>
      <c r="C90" s="261"/>
      <c r="D90" s="261"/>
      <c r="E90" s="261"/>
      <c r="F90" s="261"/>
      <c r="G90" s="261"/>
      <c r="H90" s="261"/>
      <c r="I90" s="261"/>
      <c r="J90" s="261"/>
    </row>
    <row r="91">
      <c r="A91" s="155"/>
      <c r="B91" s="269"/>
      <c r="C91" s="269"/>
      <c r="D91" s="261"/>
      <c r="E91" s="261"/>
      <c r="F91" s="261"/>
      <c r="G91" s="261"/>
      <c r="H91" s="261"/>
      <c r="I91" s="261"/>
      <c r="J91" s="261"/>
    </row>
    <row r="92">
      <c r="A92" s="153"/>
      <c r="B92" s="261"/>
      <c r="C92" s="261"/>
      <c r="D92" s="261"/>
      <c r="E92" s="261"/>
      <c r="F92" s="261"/>
      <c r="G92" s="261"/>
      <c r="H92" s="261"/>
      <c r="I92" s="261"/>
      <c r="J92" s="261"/>
    </row>
    <row r="93">
      <c r="A93" s="155"/>
      <c r="B93" s="261"/>
      <c r="C93" s="261"/>
      <c r="D93" s="261"/>
      <c r="E93" s="261"/>
      <c r="F93" s="261"/>
      <c r="G93" s="261"/>
      <c r="H93" s="261"/>
      <c r="I93" s="261"/>
      <c r="J93" s="261"/>
    </row>
    <row r="94">
      <c r="A94" s="153"/>
      <c r="B94" s="268"/>
      <c r="C94" s="269"/>
      <c r="D94" s="269"/>
      <c r="E94" s="261"/>
      <c r="F94" s="261"/>
      <c r="G94" s="261"/>
      <c r="H94" s="261"/>
      <c r="I94" s="261"/>
      <c r="J94" s="261"/>
    </row>
    <row r="95">
      <c r="A95" s="155"/>
      <c r="B95" s="261"/>
      <c r="C95" s="261"/>
      <c r="D95" s="261"/>
      <c r="E95" s="261"/>
      <c r="F95" s="261"/>
      <c r="G95" s="261"/>
      <c r="H95" s="261"/>
      <c r="I95" s="261"/>
      <c r="J95" s="261"/>
    </row>
    <row r="96">
      <c r="A96" s="153"/>
      <c r="B96" s="269"/>
      <c r="C96" s="269"/>
      <c r="D96" s="261"/>
      <c r="E96" s="261"/>
      <c r="F96" s="261"/>
      <c r="G96" s="261"/>
      <c r="H96" s="261"/>
      <c r="I96" s="261"/>
      <c r="J96" s="261"/>
    </row>
    <row r="97">
      <c r="A97" s="155"/>
      <c r="B97" s="269"/>
      <c r="C97" s="261"/>
      <c r="D97" s="261"/>
      <c r="E97" s="261"/>
      <c r="F97" s="261"/>
      <c r="G97" s="261"/>
      <c r="H97" s="261"/>
      <c r="I97" s="261"/>
      <c r="J97" s="261"/>
    </row>
    <row r="98">
      <c r="A98" s="153"/>
      <c r="B98" s="261"/>
      <c r="C98" s="269"/>
      <c r="D98" s="261"/>
      <c r="E98" s="261"/>
      <c r="F98" s="261"/>
      <c r="G98" s="261"/>
      <c r="H98" s="261"/>
      <c r="I98" s="261"/>
      <c r="J98" s="261"/>
    </row>
    <row r="99">
      <c r="A99" s="155"/>
      <c r="B99" s="269"/>
      <c r="C99" s="261"/>
      <c r="D99" s="269"/>
      <c r="E99" s="261"/>
      <c r="F99" s="268"/>
      <c r="G99" s="269"/>
      <c r="H99" s="261"/>
      <c r="I99" s="269"/>
      <c r="J99" s="261"/>
    </row>
    <row r="100">
      <c r="A100" s="162"/>
      <c r="B100" s="261"/>
      <c r="C100" s="261"/>
      <c r="D100" s="261"/>
      <c r="E100" s="268"/>
      <c r="F100" s="261"/>
      <c r="G100" s="261"/>
      <c r="H100" s="261"/>
      <c r="I100" s="261"/>
      <c r="J100" s="261"/>
    </row>
    <row r="101">
      <c r="A101" s="150" t="str">
        <f t="array" ref="A101:A150">'Up Names'!C2:C51</f>
        <v>Breeding Season</v>
      </c>
      <c r="B101" s="208">
        <v>18.0</v>
      </c>
      <c r="C101" s="204"/>
      <c r="D101" s="261"/>
      <c r="E101" s="261"/>
      <c r="F101" s="261"/>
      <c r="G101" s="261"/>
      <c r="H101" s="261"/>
      <c r="I101" s="261"/>
      <c r="J101" s="261"/>
    </row>
    <row r="102">
      <c r="A102" s="153" t="s">
        <v>152</v>
      </c>
      <c r="B102" s="264">
        <v>-0.54</v>
      </c>
      <c r="C102" s="205">
        <v>0.47</v>
      </c>
      <c r="D102" s="261"/>
      <c r="E102" s="261"/>
      <c r="F102" s="261"/>
      <c r="G102" s="261"/>
      <c r="H102" s="261"/>
      <c r="I102" s="261"/>
      <c r="J102" s="261"/>
    </row>
    <row r="103">
      <c r="A103" s="155" t="s">
        <v>172</v>
      </c>
      <c r="B103" s="265">
        <v>0.015</v>
      </c>
      <c r="C103" s="204">
        <v>0.77</v>
      </c>
      <c r="D103" s="262">
        <v>0.6</v>
      </c>
      <c r="E103" s="261"/>
      <c r="F103" s="261"/>
      <c r="G103" s="261"/>
      <c r="H103" s="261"/>
      <c r="I103" s="261"/>
      <c r="J103" s="261"/>
    </row>
    <row r="104">
      <c r="A104" s="153" t="s">
        <v>192</v>
      </c>
      <c r="B104" s="206">
        <v>-60.0</v>
      </c>
      <c r="C104" s="206">
        <v>6.6</v>
      </c>
      <c r="D104" s="261"/>
      <c r="E104" s="261"/>
      <c r="F104" s="261"/>
      <c r="G104" s="261"/>
      <c r="H104" s="261"/>
      <c r="I104" s="261"/>
      <c r="J104" s="261"/>
    </row>
    <row r="105">
      <c r="A105" s="155" t="s">
        <v>212</v>
      </c>
      <c r="B105" s="204">
        <v>1.0</v>
      </c>
      <c r="C105" s="262">
        <v>0.84</v>
      </c>
      <c r="D105" s="261"/>
      <c r="E105" s="261"/>
      <c r="F105" s="261"/>
      <c r="G105" s="261"/>
      <c r="H105" s="261"/>
      <c r="I105" s="261"/>
      <c r="J105" s="261"/>
    </row>
    <row r="106">
      <c r="A106" s="153" t="s">
        <v>231</v>
      </c>
      <c r="B106" s="205">
        <v>1.0</v>
      </c>
      <c r="C106" s="261"/>
      <c r="D106" s="261"/>
      <c r="E106" s="261"/>
      <c r="F106" s="261"/>
      <c r="G106" s="261"/>
      <c r="H106" s="261"/>
      <c r="I106" s="261"/>
      <c r="J106" s="261"/>
    </row>
    <row r="107">
      <c r="A107" s="155" t="s">
        <v>251</v>
      </c>
      <c r="B107" s="269"/>
      <c r="C107" s="261"/>
      <c r="D107" s="261"/>
      <c r="E107" s="261"/>
      <c r="F107" s="261"/>
      <c r="G107" s="261"/>
      <c r="H107" s="261"/>
      <c r="I107" s="261"/>
      <c r="J107" s="261"/>
    </row>
    <row r="108">
      <c r="A108" s="153" t="s">
        <v>271</v>
      </c>
      <c r="B108" s="206">
        <v>0.82</v>
      </c>
      <c r="C108" s="206">
        <v>1.2</v>
      </c>
      <c r="D108" s="269"/>
      <c r="E108" s="261"/>
      <c r="F108" s="261"/>
      <c r="G108" s="261"/>
      <c r="H108" s="261"/>
      <c r="I108" s="261"/>
      <c r="J108" s="261"/>
    </row>
    <row r="109">
      <c r="A109" s="155" t="s">
        <v>291</v>
      </c>
      <c r="B109" s="204">
        <v>-60.0</v>
      </c>
      <c r="C109" s="204">
        <v>0.05</v>
      </c>
      <c r="D109" s="261"/>
      <c r="E109" s="261"/>
      <c r="F109" s="261"/>
      <c r="G109" s="261"/>
      <c r="H109" s="261"/>
      <c r="I109" s="261"/>
      <c r="J109" s="261"/>
    </row>
    <row r="110">
      <c r="A110" s="153" t="s">
        <v>311</v>
      </c>
      <c r="B110" s="205">
        <v>8.7</v>
      </c>
      <c r="C110" s="263">
        <v>-0.1667</v>
      </c>
      <c r="D110" s="261"/>
      <c r="E110" s="261"/>
      <c r="F110" s="261"/>
      <c r="G110" s="261"/>
      <c r="H110" s="261"/>
      <c r="I110" s="261"/>
      <c r="J110" s="261"/>
    </row>
    <row r="111">
      <c r="A111" s="155" t="s">
        <v>331</v>
      </c>
      <c r="B111" s="262">
        <v>-0.75</v>
      </c>
      <c r="C111" s="268"/>
      <c r="D111" s="261"/>
      <c r="E111" s="261"/>
      <c r="F111" s="261"/>
      <c r="G111" s="261"/>
      <c r="H111" s="261"/>
      <c r="I111" s="261"/>
      <c r="J111" s="261"/>
    </row>
    <row r="112">
      <c r="A112" s="153" t="s">
        <v>351</v>
      </c>
      <c r="B112" s="264">
        <v>-0.57</v>
      </c>
      <c r="C112" s="205">
        <v>30.0</v>
      </c>
      <c r="D112" s="261"/>
      <c r="E112" s="261"/>
      <c r="F112" s="261"/>
      <c r="G112" s="261"/>
      <c r="H112" s="261"/>
      <c r="I112" s="261"/>
      <c r="J112" s="261"/>
    </row>
    <row r="113">
      <c r="A113" s="155" t="s">
        <v>374</v>
      </c>
      <c r="B113" s="204">
        <v>6.75</v>
      </c>
      <c r="C113" s="261"/>
      <c r="D113" s="261"/>
      <c r="E113" s="261"/>
      <c r="F113" s="261"/>
      <c r="G113" s="261"/>
      <c r="H113" s="261"/>
      <c r="I113" s="261"/>
      <c r="J113" s="261"/>
    </row>
    <row r="114">
      <c r="A114" s="153" t="s">
        <v>396</v>
      </c>
      <c r="B114" s="205">
        <v>4.6</v>
      </c>
      <c r="C114" s="264">
        <v>0.4</v>
      </c>
      <c r="D114" s="261"/>
      <c r="E114" s="261"/>
      <c r="F114" s="261"/>
      <c r="G114" s="261"/>
      <c r="H114" s="261"/>
      <c r="I114" s="261"/>
      <c r="J114" s="261"/>
    </row>
    <row r="115">
      <c r="A115" s="155" t="s">
        <v>425</v>
      </c>
      <c r="B115" s="208">
        <v>17.34</v>
      </c>
      <c r="C115" s="269"/>
      <c r="D115" s="261"/>
      <c r="E115" s="261"/>
      <c r="F115" s="261"/>
      <c r="G115" s="261"/>
      <c r="H115" s="261"/>
      <c r="I115" s="261"/>
      <c r="J115" s="261"/>
    </row>
    <row r="116">
      <c r="A116" s="153" t="s">
        <v>453</v>
      </c>
      <c r="B116" s="205">
        <v>1.0</v>
      </c>
      <c r="C116" s="264">
        <v>-0.8</v>
      </c>
      <c r="D116" s="264">
        <v>-0.8</v>
      </c>
      <c r="E116" s="263">
        <v>-0.2593</v>
      </c>
      <c r="F116" s="264">
        <v>17.0</v>
      </c>
      <c r="G116" s="264">
        <v>-0.55</v>
      </c>
      <c r="H116" s="261"/>
      <c r="I116" s="261"/>
      <c r="J116" s="261"/>
    </row>
    <row r="117">
      <c r="A117" s="155" t="s">
        <v>482</v>
      </c>
      <c r="B117" s="208">
        <v>1.8</v>
      </c>
      <c r="C117" s="269"/>
      <c r="D117" s="261"/>
      <c r="E117" s="261"/>
      <c r="F117" s="261"/>
      <c r="G117" s="261"/>
      <c r="H117" s="261"/>
      <c r="I117" s="261"/>
      <c r="J117" s="261"/>
    </row>
    <row r="118">
      <c r="A118" s="153" t="s">
        <v>508</v>
      </c>
      <c r="B118" s="206">
        <v>4.0</v>
      </c>
      <c r="C118" s="269"/>
      <c r="D118" s="261"/>
      <c r="E118" s="261"/>
      <c r="F118" s="261"/>
      <c r="G118" s="261"/>
      <c r="H118" s="261"/>
      <c r="I118" s="261"/>
      <c r="J118" s="261"/>
    </row>
    <row r="119">
      <c r="A119" s="155" t="s">
        <v>529</v>
      </c>
      <c r="B119" s="262">
        <v>0.75</v>
      </c>
      <c r="C119" s="262">
        <v>-0.64</v>
      </c>
      <c r="D119" s="265">
        <v>-0.6316</v>
      </c>
      <c r="E119" s="262">
        <v>-0.7</v>
      </c>
      <c r="F119" s="262">
        <v>-0.7</v>
      </c>
      <c r="G119" s="261"/>
      <c r="H119" s="261"/>
      <c r="I119" s="261"/>
      <c r="J119" s="261"/>
    </row>
    <row r="120">
      <c r="A120" s="153" t="s">
        <v>548</v>
      </c>
      <c r="B120" s="264">
        <v>0.62</v>
      </c>
      <c r="C120" s="264">
        <v>-0.25</v>
      </c>
      <c r="D120" s="264">
        <v>-0.25</v>
      </c>
      <c r="E120" s="264">
        <v>-0.4</v>
      </c>
      <c r="F120" s="269"/>
      <c r="G120" s="261"/>
      <c r="H120" s="269"/>
      <c r="I120" s="261"/>
      <c r="J120" s="261"/>
    </row>
    <row r="121">
      <c r="A121" s="155" t="s">
        <v>571</v>
      </c>
      <c r="B121" s="204">
        <v>4.0</v>
      </c>
      <c r="C121" s="265">
        <v>-0.7407</v>
      </c>
      <c r="D121" s="204">
        <v>24.0</v>
      </c>
      <c r="E121" s="204">
        <v>24.0</v>
      </c>
      <c r="F121" s="261"/>
      <c r="G121" s="261"/>
      <c r="H121" s="261"/>
      <c r="I121" s="261"/>
      <c r="J121" s="261"/>
    </row>
    <row r="122">
      <c r="A122" s="153" t="s">
        <v>594</v>
      </c>
      <c r="B122" s="206">
        <v>4.0</v>
      </c>
      <c r="C122" s="205">
        <v>1.0</v>
      </c>
      <c r="D122" s="261"/>
      <c r="E122" s="261"/>
      <c r="F122" s="261"/>
      <c r="G122" s="261"/>
      <c r="H122" s="261"/>
      <c r="I122" s="261"/>
      <c r="J122" s="261"/>
    </row>
    <row r="123">
      <c r="A123" s="155" t="s">
        <v>615</v>
      </c>
      <c r="B123" s="262">
        <v>0.7</v>
      </c>
      <c r="C123" s="262">
        <v>0.85</v>
      </c>
      <c r="D123" s="262">
        <v>0.85</v>
      </c>
      <c r="E123" s="261"/>
      <c r="F123" s="261"/>
      <c r="G123" s="261"/>
      <c r="H123" s="261"/>
      <c r="I123" s="261"/>
      <c r="J123" s="261"/>
    </row>
    <row r="124">
      <c r="A124" s="153" t="s">
        <v>640</v>
      </c>
      <c r="B124" s="263">
        <v>-0.3243</v>
      </c>
      <c r="C124" s="261"/>
      <c r="D124" s="261"/>
      <c r="E124" s="261"/>
      <c r="F124" s="261"/>
      <c r="G124" s="261"/>
      <c r="H124" s="261"/>
      <c r="I124" s="261"/>
      <c r="J124" s="261"/>
    </row>
    <row r="125">
      <c r="A125" s="155" t="s">
        <v>659</v>
      </c>
      <c r="B125" s="262">
        <v>0.2</v>
      </c>
      <c r="C125" s="262">
        <v>0.16</v>
      </c>
      <c r="D125" s="261"/>
      <c r="E125" s="261"/>
      <c r="F125" s="261"/>
      <c r="G125" s="261"/>
      <c r="H125" s="261"/>
      <c r="I125" s="261"/>
      <c r="J125" s="261"/>
    </row>
    <row r="126">
      <c r="A126" s="153" t="s">
        <v>674</v>
      </c>
      <c r="B126" s="206">
        <v>7.0</v>
      </c>
      <c r="C126" s="269"/>
      <c r="D126" s="261"/>
      <c r="E126" s="261"/>
      <c r="F126" s="261"/>
      <c r="G126" s="261"/>
      <c r="H126" s="261"/>
      <c r="I126" s="261"/>
      <c r="J126" s="261"/>
    </row>
    <row r="127">
      <c r="A127" s="155" t="s">
        <v>688</v>
      </c>
      <c r="B127" s="208">
        <v>9.0</v>
      </c>
      <c r="C127" s="261"/>
      <c r="D127" s="261"/>
      <c r="E127" s="261"/>
      <c r="F127" s="261"/>
      <c r="G127" s="261"/>
      <c r="H127" s="261"/>
      <c r="I127" s="261"/>
      <c r="J127" s="261"/>
    </row>
    <row r="128">
      <c r="A128" s="153" t="s">
        <v>705</v>
      </c>
      <c r="B128" s="263">
        <v>0.3889</v>
      </c>
      <c r="C128" s="264">
        <v>0.7</v>
      </c>
      <c r="D128" s="264">
        <v>0.7</v>
      </c>
      <c r="E128" s="261"/>
      <c r="F128" s="261"/>
      <c r="G128" s="261"/>
      <c r="H128" s="261"/>
      <c r="I128" s="261"/>
      <c r="J128" s="261"/>
    </row>
    <row r="129">
      <c r="A129" s="155" t="s">
        <v>724</v>
      </c>
      <c r="B129" s="204">
        <v>40.0</v>
      </c>
      <c r="C129" s="261"/>
      <c r="D129" s="261"/>
      <c r="E129" s="261"/>
      <c r="F129" s="261"/>
      <c r="G129" s="261"/>
      <c r="H129" s="261"/>
      <c r="I129" s="261"/>
      <c r="J129" s="261"/>
    </row>
    <row r="130">
      <c r="A130" s="153" t="s">
        <v>742</v>
      </c>
      <c r="B130" s="264">
        <v>-0.4</v>
      </c>
      <c r="C130" s="264">
        <v>-0.4</v>
      </c>
      <c r="D130" s="261"/>
      <c r="E130" s="261"/>
      <c r="F130" s="261"/>
      <c r="G130" s="261"/>
      <c r="H130" s="261"/>
      <c r="I130" s="261"/>
      <c r="J130" s="261"/>
    </row>
    <row r="131">
      <c r="A131" s="155" t="s">
        <v>503</v>
      </c>
      <c r="B131" s="261"/>
      <c r="C131" s="261"/>
      <c r="D131" s="261"/>
      <c r="E131" s="261"/>
      <c r="F131" s="261"/>
      <c r="G131" s="261"/>
      <c r="H131" s="261"/>
      <c r="I131" s="261"/>
      <c r="J131" s="261"/>
    </row>
    <row r="132">
      <c r="A132" s="153" t="s">
        <v>511</v>
      </c>
      <c r="B132" s="261"/>
      <c r="C132" s="261"/>
      <c r="D132" s="261"/>
      <c r="E132" s="261"/>
      <c r="F132" s="261"/>
      <c r="G132" s="261"/>
      <c r="H132" s="261"/>
      <c r="I132" s="261"/>
      <c r="J132" s="261"/>
    </row>
    <row r="133">
      <c r="A133" s="155" t="s">
        <v>516</v>
      </c>
      <c r="B133" s="269"/>
      <c r="C133" s="261"/>
      <c r="D133" s="261"/>
      <c r="E133" s="261"/>
      <c r="F133" s="261"/>
      <c r="G133" s="261"/>
      <c r="H133" s="261"/>
      <c r="I133" s="261"/>
      <c r="J133" s="261"/>
    </row>
    <row r="134">
      <c r="A134" s="153"/>
      <c r="B134" s="269"/>
      <c r="C134" s="269"/>
      <c r="D134" s="261"/>
      <c r="E134" s="261"/>
      <c r="F134" s="261"/>
      <c r="G134" s="261"/>
      <c r="H134" s="261"/>
      <c r="I134" s="261"/>
      <c r="J134" s="261"/>
    </row>
    <row r="135">
      <c r="A135" s="155"/>
      <c r="B135" s="261"/>
      <c r="C135" s="261"/>
      <c r="D135" s="261"/>
      <c r="E135" s="261"/>
      <c r="F135" s="261"/>
      <c r="G135" s="261"/>
      <c r="H135" s="261"/>
      <c r="I135" s="261"/>
      <c r="J135" s="261"/>
    </row>
    <row r="136">
      <c r="A136" s="153"/>
      <c r="B136" s="261"/>
      <c r="C136" s="261"/>
      <c r="D136" s="261"/>
      <c r="E136" s="261"/>
      <c r="F136" s="261"/>
      <c r="G136" s="261"/>
      <c r="H136" s="261"/>
      <c r="I136" s="261"/>
      <c r="J136" s="261"/>
    </row>
    <row r="137">
      <c r="A137" s="155"/>
      <c r="B137" s="261"/>
      <c r="C137" s="261"/>
      <c r="D137" s="261"/>
      <c r="E137" s="261"/>
      <c r="F137" s="261"/>
      <c r="G137" s="261"/>
      <c r="H137" s="261"/>
      <c r="I137" s="261"/>
      <c r="J137" s="261"/>
    </row>
    <row r="138">
      <c r="A138" s="153"/>
      <c r="B138" s="268"/>
      <c r="C138" s="261"/>
      <c r="D138" s="269"/>
      <c r="E138" s="269"/>
      <c r="F138" s="269"/>
      <c r="G138" s="269"/>
      <c r="H138" s="261"/>
      <c r="I138" s="261"/>
      <c r="J138" s="261"/>
    </row>
    <row r="139">
      <c r="A139" s="155"/>
      <c r="B139" s="261"/>
      <c r="C139" s="261"/>
      <c r="D139" s="261"/>
      <c r="E139" s="261"/>
      <c r="F139" s="261"/>
      <c r="G139" s="261"/>
      <c r="H139" s="261"/>
      <c r="I139" s="261"/>
      <c r="J139" s="261"/>
    </row>
    <row r="140">
      <c r="A140" s="153"/>
      <c r="B140" s="261"/>
      <c r="C140" s="261"/>
      <c r="D140" s="261"/>
      <c r="E140" s="261"/>
      <c r="F140" s="261"/>
      <c r="G140" s="261"/>
      <c r="H140" s="261"/>
      <c r="I140" s="261"/>
      <c r="J140" s="261"/>
    </row>
    <row r="141">
      <c r="A141" s="155"/>
      <c r="B141" s="269"/>
      <c r="C141" s="268"/>
      <c r="D141" s="261"/>
      <c r="E141" s="261"/>
      <c r="F141" s="261"/>
      <c r="G141" s="261"/>
      <c r="H141" s="261"/>
      <c r="I141" s="261"/>
      <c r="J141" s="261"/>
    </row>
    <row r="142">
      <c r="A142" s="153"/>
      <c r="B142" s="261"/>
      <c r="C142" s="261"/>
      <c r="D142" s="261"/>
      <c r="E142" s="261"/>
      <c r="F142" s="261"/>
      <c r="G142" s="261"/>
      <c r="H142" s="261"/>
      <c r="I142" s="261"/>
      <c r="J142" s="261"/>
    </row>
    <row r="143">
      <c r="A143" s="155"/>
      <c r="B143" s="261"/>
      <c r="C143" s="261"/>
      <c r="D143" s="261"/>
      <c r="E143" s="261"/>
      <c r="F143" s="261"/>
      <c r="G143" s="261"/>
      <c r="H143" s="261"/>
      <c r="I143" s="261"/>
      <c r="J143" s="261"/>
    </row>
    <row r="144">
      <c r="A144" s="153"/>
      <c r="B144" s="261"/>
      <c r="C144" s="261"/>
      <c r="D144" s="261"/>
      <c r="E144" s="261"/>
      <c r="F144" s="261"/>
      <c r="G144" s="261"/>
      <c r="H144" s="261"/>
      <c r="I144" s="261"/>
      <c r="J144" s="261"/>
    </row>
    <row r="145">
      <c r="A145" s="155"/>
      <c r="B145" s="261"/>
      <c r="C145" s="261"/>
      <c r="D145" s="261"/>
      <c r="E145" s="261"/>
      <c r="F145" s="261"/>
      <c r="G145" s="261"/>
      <c r="H145" s="261"/>
      <c r="I145" s="261"/>
      <c r="J145" s="261"/>
    </row>
    <row r="146">
      <c r="A146" s="153"/>
      <c r="B146" s="269"/>
      <c r="C146" s="261"/>
      <c r="D146" s="261"/>
      <c r="E146" s="261"/>
      <c r="F146" s="261"/>
      <c r="G146" s="261"/>
      <c r="H146" s="261"/>
      <c r="I146" s="261"/>
      <c r="J146" s="261"/>
    </row>
    <row r="147">
      <c r="A147" s="155"/>
      <c r="B147" s="269"/>
      <c r="C147" s="261"/>
      <c r="D147" s="261"/>
      <c r="E147" s="261"/>
      <c r="F147" s="261"/>
      <c r="G147" s="261"/>
      <c r="H147" s="261"/>
      <c r="I147" s="261"/>
      <c r="J147" s="261"/>
    </row>
    <row r="148">
      <c r="A148" s="153"/>
      <c r="B148" s="269"/>
      <c r="C148" s="261"/>
      <c r="D148" s="261"/>
      <c r="E148" s="261"/>
      <c r="F148" s="261"/>
      <c r="G148" s="261"/>
      <c r="H148" s="261"/>
      <c r="I148" s="261"/>
      <c r="J148" s="261"/>
    </row>
    <row r="149">
      <c r="A149" s="155"/>
      <c r="B149" s="269"/>
      <c r="C149" s="261"/>
      <c r="D149" s="261"/>
      <c r="E149" s="261"/>
      <c r="F149" s="261"/>
      <c r="G149" s="261"/>
      <c r="H149" s="261"/>
      <c r="I149" s="261"/>
      <c r="J149" s="261"/>
    </row>
    <row r="150">
      <c r="A150" s="162"/>
      <c r="B150" s="261"/>
      <c r="C150" s="269"/>
      <c r="D150" s="261"/>
      <c r="E150" s="261"/>
      <c r="F150" s="261"/>
      <c r="G150" s="261"/>
      <c r="H150" s="261"/>
      <c r="I150" s="261"/>
      <c r="J150" s="261"/>
    </row>
    <row r="151">
      <c r="A151" s="150" t="str">
        <f t="array" ref="A151:A200">'Up Names'!D2:D51</f>
        <v>Arc Lightning</v>
      </c>
      <c r="B151" s="262">
        <v>0.35</v>
      </c>
      <c r="C151" s="261"/>
      <c r="D151" s="261"/>
      <c r="E151" s="261"/>
      <c r="F151" s="261"/>
      <c r="G151" s="261"/>
      <c r="H151" s="261"/>
      <c r="I151" s="261"/>
      <c r="J151" s="261"/>
    </row>
    <row r="152">
      <c r="A152" s="153" t="s">
        <v>153</v>
      </c>
      <c r="B152" s="206">
        <v>2.75</v>
      </c>
      <c r="C152" s="264">
        <v>0.06</v>
      </c>
      <c r="D152" s="261"/>
      <c r="E152" s="261"/>
      <c r="F152" s="261"/>
      <c r="G152" s="261"/>
      <c r="H152" s="261"/>
      <c r="I152" s="261"/>
      <c r="J152" s="261"/>
    </row>
    <row r="153">
      <c r="A153" s="155" t="s">
        <v>173</v>
      </c>
      <c r="B153" s="262">
        <v>-0.55</v>
      </c>
      <c r="C153" s="262">
        <v>0.0</v>
      </c>
      <c r="D153" s="262">
        <v>-0.3</v>
      </c>
      <c r="E153" s="204">
        <v>0.1</v>
      </c>
      <c r="F153" s="265">
        <v>-0.2481</v>
      </c>
      <c r="G153" s="262">
        <v>1.5</v>
      </c>
      <c r="H153" s="204">
        <v>1.0</v>
      </c>
      <c r="I153" s="262">
        <v>-0.5</v>
      </c>
      <c r="J153" s="261"/>
    </row>
    <row r="154">
      <c r="A154" s="153" t="s">
        <v>193</v>
      </c>
      <c r="B154" s="206">
        <v>20.0</v>
      </c>
      <c r="C154" s="206">
        <v>3.0</v>
      </c>
      <c r="D154" s="205">
        <v>8.0</v>
      </c>
      <c r="E154" s="263">
        <v>-0.1684</v>
      </c>
      <c r="F154" s="261"/>
      <c r="G154" s="261"/>
      <c r="H154" s="261"/>
      <c r="I154" s="261"/>
      <c r="J154" s="261"/>
    </row>
    <row r="155">
      <c r="A155" s="155" t="s">
        <v>213</v>
      </c>
      <c r="B155" s="262">
        <v>-0.4</v>
      </c>
      <c r="C155" s="261"/>
      <c r="D155" s="261"/>
      <c r="E155" s="261"/>
      <c r="F155" s="261"/>
      <c r="G155" s="261"/>
      <c r="H155" s="261"/>
      <c r="I155" s="261"/>
      <c r="J155" s="261"/>
    </row>
    <row r="156">
      <c r="A156" s="153" t="s">
        <v>232</v>
      </c>
      <c r="B156" s="264">
        <v>0.9</v>
      </c>
      <c r="C156" s="261"/>
      <c r="D156" s="261"/>
      <c r="E156" s="261"/>
      <c r="F156" s="261"/>
      <c r="G156" s="261"/>
      <c r="H156" s="261"/>
      <c r="I156" s="261"/>
      <c r="J156" s="261"/>
    </row>
    <row r="157">
      <c r="A157" s="155" t="s">
        <v>252</v>
      </c>
      <c r="B157" s="208">
        <v>21.0</v>
      </c>
      <c r="C157" s="204" t="s">
        <v>2313</v>
      </c>
      <c r="D157" s="261"/>
      <c r="E157" s="261"/>
      <c r="F157" s="261"/>
      <c r="G157" s="261"/>
      <c r="H157" s="261"/>
      <c r="I157" s="261"/>
      <c r="J157" s="261"/>
    </row>
    <row r="158">
      <c r="A158" s="153" t="s">
        <v>272</v>
      </c>
      <c r="B158" s="264">
        <v>0.3</v>
      </c>
      <c r="C158" s="206">
        <v>1.0</v>
      </c>
      <c r="D158" s="261"/>
      <c r="E158" s="261"/>
      <c r="F158" s="261"/>
      <c r="G158" s="261"/>
      <c r="H158" s="261"/>
      <c r="I158" s="261"/>
      <c r="J158" s="261"/>
    </row>
    <row r="159">
      <c r="A159" s="155" t="s">
        <v>292</v>
      </c>
      <c r="B159" s="204">
        <v>3.5</v>
      </c>
      <c r="C159" s="261"/>
      <c r="D159" s="261"/>
      <c r="E159" s="261"/>
      <c r="F159" s="261"/>
      <c r="G159" s="261"/>
      <c r="H159" s="261"/>
      <c r="I159" s="261"/>
      <c r="J159" s="261"/>
    </row>
    <row r="160">
      <c r="A160" s="153" t="s">
        <v>312</v>
      </c>
      <c r="B160" s="205">
        <v>0.43</v>
      </c>
      <c r="C160" s="261"/>
      <c r="D160" s="261"/>
      <c r="E160" s="261"/>
      <c r="F160" s="261"/>
      <c r="G160" s="261"/>
      <c r="H160" s="261"/>
      <c r="I160" s="261"/>
      <c r="J160" s="261"/>
    </row>
    <row r="161">
      <c r="A161" s="155" t="s">
        <v>332</v>
      </c>
      <c r="B161" s="262">
        <v>1.04</v>
      </c>
      <c r="C161" s="269"/>
      <c r="D161" s="269"/>
      <c r="E161" s="261"/>
      <c r="F161" s="261"/>
      <c r="G161" s="261"/>
      <c r="H161" s="261"/>
      <c r="I161" s="261"/>
      <c r="J161" s="261"/>
    </row>
    <row r="162">
      <c r="A162" s="153" t="s">
        <v>352</v>
      </c>
      <c r="B162" s="264">
        <v>2.8</v>
      </c>
      <c r="C162" s="264">
        <v>2.8</v>
      </c>
      <c r="D162" s="264">
        <v>1.0</v>
      </c>
      <c r="E162" s="261"/>
      <c r="F162" s="261"/>
      <c r="G162" s="261"/>
      <c r="H162" s="261"/>
      <c r="I162" s="261"/>
      <c r="J162" s="261"/>
    </row>
    <row r="163">
      <c r="A163" s="155" t="s">
        <v>375</v>
      </c>
      <c r="B163" s="208">
        <v>7.0</v>
      </c>
      <c r="C163" s="261"/>
      <c r="D163" s="261"/>
      <c r="E163" s="261"/>
      <c r="F163" s="261"/>
      <c r="G163" s="261"/>
      <c r="H163" s="261"/>
      <c r="I163" s="261"/>
      <c r="J163" s="261"/>
    </row>
    <row r="164">
      <c r="A164" s="153" t="s">
        <v>398</v>
      </c>
      <c r="B164" s="269"/>
      <c r="C164" s="261"/>
      <c r="D164" s="261"/>
      <c r="E164" s="261"/>
      <c r="F164" s="261"/>
      <c r="G164" s="261"/>
      <c r="H164" s="261"/>
      <c r="I164" s="261"/>
      <c r="J164" s="261"/>
    </row>
    <row r="165">
      <c r="A165" s="155" t="s">
        <v>427</v>
      </c>
      <c r="B165" s="262">
        <v>0.8</v>
      </c>
      <c r="C165" s="265">
        <v>-0.4048</v>
      </c>
      <c r="D165" s="261"/>
      <c r="E165" s="269"/>
      <c r="F165" s="269"/>
      <c r="G165" s="261"/>
      <c r="H165" s="261"/>
      <c r="I165" s="261"/>
      <c r="J165" s="261"/>
    </row>
    <row r="166">
      <c r="A166" s="153" t="s">
        <v>454</v>
      </c>
      <c r="B166" s="205">
        <v>7.0</v>
      </c>
      <c r="C166" s="261"/>
      <c r="D166" s="261"/>
      <c r="E166" s="261"/>
      <c r="F166" s="261"/>
      <c r="G166" s="261"/>
      <c r="H166" s="261"/>
      <c r="I166" s="261"/>
      <c r="J166" s="261"/>
    </row>
    <row r="167">
      <c r="A167" s="155" t="s">
        <v>484</v>
      </c>
      <c r="B167" s="269"/>
      <c r="C167" s="269"/>
      <c r="D167" s="261"/>
      <c r="E167" s="261"/>
      <c r="F167" s="261"/>
      <c r="G167" s="261"/>
      <c r="H167" s="261"/>
      <c r="I167" s="261"/>
      <c r="J167" s="261"/>
    </row>
    <row r="168">
      <c r="A168" s="153" t="s">
        <v>509</v>
      </c>
      <c r="B168" s="205">
        <v>3.5</v>
      </c>
      <c r="C168" s="269"/>
      <c r="D168" s="269"/>
      <c r="E168" s="269"/>
      <c r="F168" s="261"/>
      <c r="G168" s="268"/>
      <c r="H168" s="261"/>
      <c r="I168" s="261"/>
      <c r="J168" s="261"/>
    </row>
    <row r="169">
      <c r="A169" s="155" t="s">
        <v>530</v>
      </c>
      <c r="B169" s="262">
        <v>-0.6</v>
      </c>
      <c r="C169" s="262">
        <v>0.8</v>
      </c>
      <c r="D169" s="261"/>
      <c r="E169" s="261"/>
      <c r="F169" s="261"/>
      <c r="G169" s="261"/>
      <c r="H169" s="261"/>
      <c r="I169" s="261"/>
      <c r="J169" s="261"/>
    </row>
    <row r="170">
      <c r="A170" s="153" t="s">
        <v>549</v>
      </c>
      <c r="B170" s="205">
        <v>7.0</v>
      </c>
      <c r="C170" s="268"/>
      <c r="D170" s="269"/>
      <c r="E170" s="269"/>
      <c r="F170" s="269"/>
      <c r="G170" s="261"/>
      <c r="H170" s="261"/>
      <c r="I170" s="261"/>
      <c r="J170" s="261"/>
    </row>
    <row r="171">
      <c r="A171" s="155" t="s">
        <v>572</v>
      </c>
      <c r="B171" s="262">
        <v>0.35</v>
      </c>
      <c r="C171" s="262">
        <v>-0.25</v>
      </c>
      <c r="D171" s="261"/>
      <c r="E171" s="261"/>
      <c r="F171" s="261"/>
      <c r="G171" s="261"/>
      <c r="H171" s="261"/>
      <c r="I171" s="261"/>
      <c r="J171" s="261"/>
    </row>
    <row r="172">
      <c r="A172" s="153" t="s">
        <v>595</v>
      </c>
      <c r="B172" s="271">
        <v>0.55</v>
      </c>
      <c r="C172" s="264">
        <v>0.25</v>
      </c>
      <c r="D172" s="261"/>
      <c r="E172" s="261"/>
      <c r="F172" s="261"/>
      <c r="G172" s="261"/>
      <c r="H172" s="261"/>
      <c r="I172" s="261"/>
      <c r="J172" s="261"/>
    </row>
    <row r="173">
      <c r="A173" s="155" t="s">
        <v>616</v>
      </c>
      <c r="B173" s="208">
        <v>3.0</v>
      </c>
      <c r="C173" s="204" t="s">
        <v>2313</v>
      </c>
      <c r="D173" s="261"/>
      <c r="E173" s="261"/>
      <c r="F173" s="261"/>
      <c r="G173" s="261"/>
      <c r="H173" s="261"/>
      <c r="I173" s="261"/>
      <c r="J173" s="261"/>
    </row>
    <row r="174">
      <c r="A174" s="153" t="s">
        <v>641</v>
      </c>
      <c r="B174" s="205">
        <v>3.0</v>
      </c>
      <c r="C174" s="205">
        <v>0.17</v>
      </c>
      <c r="D174" s="264">
        <v>2.25</v>
      </c>
      <c r="E174" s="264">
        <v>-0.55</v>
      </c>
      <c r="F174" s="264">
        <v>-0.65</v>
      </c>
      <c r="G174" s="205">
        <v>1.0</v>
      </c>
      <c r="H174" s="264">
        <v>-0.25</v>
      </c>
      <c r="I174" s="261"/>
      <c r="J174" s="261"/>
    </row>
    <row r="175">
      <c r="A175" s="155" t="s">
        <v>660</v>
      </c>
      <c r="B175" s="272" t="s">
        <v>2313</v>
      </c>
      <c r="C175" s="204">
        <v>5.0</v>
      </c>
      <c r="D175" s="261"/>
      <c r="E175" s="261"/>
      <c r="F175" s="261"/>
      <c r="G175" s="261"/>
      <c r="H175" s="261"/>
      <c r="I175" s="261"/>
      <c r="J175" s="261"/>
    </row>
    <row r="176">
      <c r="A176" s="153" t="s">
        <v>675</v>
      </c>
      <c r="B176" s="264">
        <v>0.75</v>
      </c>
      <c r="C176" s="261"/>
      <c r="D176" s="261"/>
      <c r="E176" s="261"/>
      <c r="F176" s="261"/>
      <c r="G176" s="261"/>
      <c r="H176" s="261"/>
      <c r="I176" s="261"/>
      <c r="J176" s="261"/>
    </row>
    <row r="177">
      <c r="A177" s="155" t="s">
        <v>689</v>
      </c>
      <c r="B177" s="262">
        <v>0.08</v>
      </c>
      <c r="C177" s="268"/>
      <c r="D177" s="268"/>
      <c r="E177" s="269"/>
      <c r="F177" s="261"/>
      <c r="G177" s="261"/>
      <c r="H177" s="261"/>
      <c r="I177" s="261"/>
      <c r="J177" s="261"/>
    </row>
    <row r="178">
      <c r="A178" s="153" t="s">
        <v>707</v>
      </c>
      <c r="B178" s="206">
        <v>85.0</v>
      </c>
      <c r="C178" s="266">
        <v>-0.4</v>
      </c>
      <c r="D178" s="266">
        <v>-0.4</v>
      </c>
      <c r="E178" s="261"/>
      <c r="F178" s="261"/>
      <c r="G178" s="261"/>
      <c r="H178" s="261"/>
      <c r="I178" s="261"/>
      <c r="J178" s="261"/>
    </row>
    <row r="179">
      <c r="A179" s="155" t="s">
        <v>725</v>
      </c>
      <c r="B179" s="262">
        <v>-0.2</v>
      </c>
      <c r="C179" s="262">
        <v>0.25</v>
      </c>
      <c r="D179" s="269"/>
      <c r="E179" s="261"/>
      <c r="F179" s="261"/>
      <c r="G179" s="261"/>
      <c r="H179" s="261"/>
      <c r="I179" s="261"/>
      <c r="J179" s="261"/>
    </row>
    <row r="180">
      <c r="A180" s="153" t="s">
        <v>743</v>
      </c>
      <c r="B180" s="264">
        <v>0.1</v>
      </c>
      <c r="C180" s="264">
        <v>-0.33</v>
      </c>
      <c r="D180" s="269"/>
      <c r="E180" s="269"/>
      <c r="F180" s="269"/>
      <c r="G180" s="261"/>
      <c r="H180" s="261"/>
      <c r="I180" s="261"/>
      <c r="J180" s="261"/>
    </row>
    <row r="181">
      <c r="A181" s="155" t="s">
        <v>760</v>
      </c>
      <c r="B181" s="266">
        <v>0.17</v>
      </c>
      <c r="C181" s="261"/>
      <c r="D181" s="261"/>
      <c r="E181" s="261"/>
      <c r="F181" s="261"/>
      <c r="G181" s="261"/>
      <c r="H181" s="261"/>
      <c r="I181" s="261"/>
      <c r="J181" s="261"/>
    </row>
    <row r="182">
      <c r="A182" s="153" t="s">
        <v>773</v>
      </c>
      <c r="B182" s="266">
        <v>0.09</v>
      </c>
      <c r="C182" s="269"/>
      <c r="D182" s="261"/>
      <c r="E182" s="261"/>
      <c r="F182" s="261"/>
      <c r="G182" s="261"/>
      <c r="H182" s="261"/>
      <c r="I182" s="261"/>
      <c r="J182" s="261"/>
    </row>
    <row r="183">
      <c r="A183" s="155" t="s">
        <v>779</v>
      </c>
      <c r="B183" s="266">
        <v>-0.27</v>
      </c>
      <c r="C183" s="266">
        <v>0.22</v>
      </c>
      <c r="D183" s="261"/>
      <c r="E183" s="261"/>
      <c r="F183" s="261"/>
      <c r="G183" s="261"/>
      <c r="H183" s="261"/>
      <c r="I183" s="261"/>
      <c r="J183" s="261"/>
    </row>
    <row r="184">
      <c r="A184" s="153" t="s">
        <v>503</v>
      </c>
      <c r="B184" s="269"/>
      <c r="C184" s="269"/>
      <c r="D184" s="269"/>
      <c r="E184" s="269"/>
      <c r="F184" s="261"/>
      <c r="G184" s="261"/>
      <c r="H184" s="261"/>
      <c r="I184" s="261"/>
      <c r="J184" s="261"/>
    </row>
    <row r="185">
      <c r="A185" s="155" t="s">
        <v>511</v>
      </c>
      <c r="B185" s="268"/>
      <c r="C185" s="261"/>
      <c r="D185" s="261"/>
      <c r="E185" s="261"/>
      <c r="F185" s="261"/>
      <c r="G185" s="261"/>
      <c r="H185" s="261"/>
      <c r="I185" s="261"/>
      <c r="J185" s="261"/>
    </row>
    <row r="186">
      <c r="A186" s="153" t="s">
        <v>516</v>
      </c>
      <c r="B186" s="269"/>
      <c r="C186" s="269"/>
      <c r="D186" s="261"/>
      <c r="E186" s="261"/>
      <c r="F186" s="261"/>
      <c r="G186" s="261"/>
      <c r="H186" s="261"/>
      <c r="I186" s="261"/>
      <c r="J186" s="261"/>
    </row>
    <row r="187">
      <c r="A187" s="155"/>
      <c r="B187" s="261"/>
      <c r="C187" s="261"/>
      <c r="D187" s="261"/>
      <c r="E187" s="269"/>
      <c r="F187" s="269"/>
      <c r="G187" s="268"/>
      <c r="H187" s="269"/>
      <c r="I187" s="261"/>
      <c r="J187" s="261"/>
    </row>
    <row r="188">
      <c r="A188" s="153"/>
      <c r="B188" s="261"/>
      <c r="C188" s="261"/>
      <c r="D188" s="261"/>
      <c r="E188" s="261"/>
      <c r="F188" s="261"/>
      <c r="G188" s="261"/>
      <c r="H188" s="261"/>
      <c r="I188" s="261"/>
      <c r="J188" s="261"/>
    </row>
    <row r="189">
      <c r="A189" s="155"/>
      <c r="B189" s="269"/>
      <c r="C189" s="261"/>
      <c r="D189" s="261"/>
      <c r="E189" s="261"/>
      <c r="F189" s="261"/>
      <c r="G189" s="261"/>
      <c r="H189" s="261"/>
      <c r="I189" s="261"/>
      <c r="J189" s="261"/>
    </row>
    <row r="190">
      <c r="A190" s="153"/>
      <c r="B190" s="261"/>
      <c r="C190" s="261"/>
      <c r="D190" s="261"/>
      <c r="E190" s="261"/>
      <c r="F190" s="261"/>
      <c r="G190" s="261"/>
      <c r="H190" s="261"/>
      <c r="I190" s="261"/>
      <c r="J190" s="261"/>
    </row>
    <row r="191">
      <c r="A191" s="155"/>
      <c r="B191" s="261"/>
      <c r="C191" s="261"/>
      <c r="D191" s="269"/>
      <c r="E191" s="261"/>
      <c r="F191" s="261"/>
      <c r="G191" s="261"/>
      <c r="H191" s="261"/>
      <c r="I191" s="261"/>
      <c r="J191" s="261"/>
    </row>
    <row r="192">
      <c r="A192" s="153"/>
      <c r="B192" s="269"/>
      <c r="C192" s="269"/>
      <c r="D192" s="261"/>
      <c r="E192" s="261"/>
      <c r="F192" s="261"/>
      <c r="G192" s="261"/>
      <c r="H192" s="261"/>
      <c r="I192" s="261"/>
      <c r="J192" s="261"/>
    </row>
    <row r="193">
      <c r="A193" s="155"/>
      <c r="B193" s="261"/>
      <c r="C193" s="261"/>
      <c r="D193" s="261"/>
      <c r="E193" s="261"/>
      <c r="F193" s="261"/>
      <c r="G193" s="261"/>
      <c r="H193" s="261"/>
      <c r="I193" s="261"/>
      <c r="J193" s="261"/>
    </row>
    <row r="194">
      <c r="A194" s="153"/>
      <c r="B194" s="268"/>
      <c r="C194" s="261"/>
      <c r="D194" s="261"/>
      <c r="E194" s="261"/>
      <c r="F194" s="261"/>
      <c r="G194" s="261"/>
      <c r="H194" s="261"/>
      <c r="I194" s="261"/>
      <c r="J194" s="261"/>
    </row>
    <row r="195">
      <c r="A195" s="155"/>
      <c r="B195" s="261"/>
      <c r="C195" s="261"/>
      <c r="D195" s="261"/>
      <c r="E195" s="261"/>
      <c r="F195" s="261"/>
      <c r="G195" s="261"/>
      <c r="H195" s="261"/>
      <c r="I195" s="261"/>
      <c r="J195" s="261"/>
    </row>
    <row r="196">
      <c r="A196" s="153"/>
      <c r="B196" s="261"/>
      <c r="C196" s="261"/>
      <c r="D196" s="261"/>
      <c r="E196" s="261"/>
      <c r="F196" s="261"/>
      <c r="G196" s="261"/>
      <c r="H196" s="261"/>
      <c r="I196" s="261"/>
      <c r="J196" s="261"/>
    </row>
    <row r="197">
      <c r="A197" s="155"/>
      <c r="B197" s="261"/>
      <c r="C197" s="261"/>
      <c r="D197" s="261"/>
      <c r="E197" s="261"/>
      <c r="F197" s="261"/>
      <c r="G197" s="261"/>
      <c r="H197" s="261"/>
      <c r="I197" s="261"/>
      <c r="J197" s="261"/>
    </row>
    <row r="198">
      <c r="A198" s="153"/>
      <c r="B198" s="261"/>
      <c r="C198" s="261"/>
      <c r="D198" s="261"/>
      <c r="E198" s="261"/>
      <c r="F198" s="261"/>
      <c r="G198" s="261"/>
      <c r="H198" s="261"/>
      <c r="I198" s="261"/>
      <c r="J198" s="261"/>
    </row>
    <row r="199">
      <c r="A199" s="155"/>
      <c r="B199" s="261"/>
      <c r="C199" s="261"/>
      <c r="D199" s="261"/>
      <c r="E199" s="261"/>
      <c r="F199" s="261"/>
      <c r="G199" s="261"/>
      <c r="H199" s="261"/>
      <c r="I199" s="261"/>
      <c r="J199" s="261"/>
    </row>
    <row r="200">
      <c r="A200" s="162"/>
      <c r="B200" s="261"/>
      <c r="C200" s="261"/>
      <c r="D200" s="261"/>
      <c r="E200" s="261"/>
      <c r="F200" s="261"/>
      <c r="G200" s="261"/>
      <c r="H200" s="261"/>
      <c r="I200" s="261"/>
      <c r="J200" s="261"/>
    </row>
    <row r="201">
      <c r="A201" s="150" t="str">
        <f t="array" ref="A201:A250">'Up Names'!E2:E51</f>
        <v>Big Fat Doobie</v>
      </c>
      <c r="B201" s="204">
        <v>1.0</v>
      </c>
      <c r="C201" s="204">
        <v>123.0</v>
      </c>
      <c r="D201" s="204">
        <v>0.4</v>
      </c>
      <c r="E201" s="262">
        <v>0.75</v>
      </c>
      <c r="F201" s="262">
        <v>0.75</v>
      </c>
      <c r="G201" s="265">
        <v>-0.5833</v>
      </c>
      <c r="H201" s="262">
        <v>-0.21</v>
      </c>
      <c r="I201" s="266">
        <v>-0.77</v>
      </c>
      <c r="J201" s="261"/>
    </row>
    <row r="202">
      <c r="A202" s="153" t="s">
        <v>154</v>
      </c>
      <c r="B202" s="206">
        <v>20.0</v>
      </c>
      <c r="C202" s="261"/>
      <c r="D202" s="261"/>
      <c r="E202" s="261"/>
      <c r="F202" s="261"/>
      <c r="G202" s="261"/>
      <c r="H202" s="261"/>
      <c r="I202" s="261"/>
      <c r="J202" s="261"/>
    </row>
    <row r="203">
      <c r="A203" s="155" t="s">
        <v>174</v>
      </c>
      <c r="B203" s="262">
        <v>0.81</v>
      </c>
      <c r="C203" s="204">
        <v>1.0</v>
      </c>
      <c r="D203" s="269"/>
      <c r="E203" s="269"/>
      <c r="F203" s="268"/>
      <c r="G203" s="261"/>
      <c r="H203" s="261"/>
      <c r="I203" s="261"/>
      <c r="J203" s="261"/>
    </row>
    <row r="204">
      <c r="A204" s="153" t="s">
        <v>194</v>
      </c>
      <c r="B204" s="205">
        <v>3.0</v>
      </c>
      <c r="C204" s="205" t="s">
        <v>2313</v>
      </c>
      <c r="D204" s="261"/>
      <c r="E204" s="261"/>
      <c r="F204" s="261"/>
      <c r="G204" s="261"/>
      <c r="H204" s="261"/>
      <c r="I204" s="261"/>
      <c r="J204" s="261"/>
    </row>
    <row r="205">
      <c r="A205" s="155" t="s">
        <v>214</v>
      </c>
      <c r="B205" s="204">
        <v>0.27</v>
      </c>
      <c r="C205" s="204">
        <v>114.0</v>
      </c>
      <c r="D205" s="262">
        <v>1.5</v>
      </c>
      <c r="E205" s="261"/>
      <c r="F205" s="261"/>
      <c r="G205" s="261"/>
      <c r="H205" s="261"/>
      <c r="I205" s="261"/>
      <c r="J205" s="261"/>
    </row>
    <row r="206">
      <c r="A206" s="153" t="s">
        <v>233</v>
      </c>
      <c r="B206" s="264">
        <v>-0.99</v>
      </c>
      <c r="C206" s="264">
        <v>1.0</v>
      </c>
      <c r="D206" s="205">
        <v>2.0</v>
      </c>
      <c r="E206" s="261"/>
      <c r="F206" s="268"/>
      <c r="G206" s="269"/>
      <c r="H206" s="261"/>
      <c r="I206" s="261"/>
      <c r="J206" s="261"/>
    </row>
    <row r="207">
      <c r="A207" s="155" t="s">
        <v>253</v>
      </c>
      <c r="B207" s="208">
        <v>1.6</v>
      </c>
      <c r="C207" s="204">
        <v>11.0</v>
      </c>
      <c r="D207" s="261"/>
      <c r="E207" s="261"/>
      <c r="F207" s="261"/>
      <c r="G207" s="261"/>
      <c r="H207" s="261"/>
      <c r="I207" s="261"/>
      <c r="J207" s="261"/>
    </row>
    <row r="208">
      <c r="A208" s="153" t="s">
        <v>273</v>
      </c>
      <c r="B208" s="263">
        <v>-0.5434</v>
      </c>
      <c r="C208" s="261"/>
      <c r="D208" s="261"/>
      <c r="E208" s="261"/>
      <c r="F208" s="261"/>
      <c r="G208" s="261"/>
      <c r="H208" s="261"/>
      <c r="I208" s="261"/>
      <c r="J208" s="261"/>
    </row>
    <row r="209">
      <c r="A209" s="155" t="s">
        <v>293</v>
      </c>
      <c r="B209" s="208">
        <v>1.0</v>
      </c>
      <c r="C209" s="261"/>
      <c r="D209" s="261"/>
      <c r="E209" s="261"/>
      <c r="F209" s="261"/>
      <c r="G209" s="261"/>
      <c r="H209" s="261"/>
      <c r="I209" s="261"/>
      <c r="J209" s="261"/>
    </row>
    <row r="210">
      <c r="A210" s="153" t="s">
        <v>313</v>
      </c>
      <c r="B210" s="206">
        <v>3.4</v>
      </c>
      <c r="C210" s="269"/>
      <c r="D210" s="269"/>
      <c r="E210" s="269"/>
      <c r="F210" s="269"/>
      <c r="G210" s="261"/>
      <c r="H210" s="261"/>
      <c r="I210" s="261"/>
      <c r="J210" s="261"/>
    </row>
    <row r="211">
      <c r="A211" s="155" t="s">
        <v>333</v>
      </c>
      <c r="B211" s="208">
        <v>3.0</v>
      </c>
      <c r="C211" s="204">
        <v>72.8</v>
      </c>
      <c r="D211" s="204">
        <v>4.44</v>
      </c>
      <c r="E211" s="261"/>
      <c r="F211" s="261"/>
      <c r="G211" s="261"/>
      <c r="H211" s="261"/>
      <c r="I211" s="261"/>
      <c r="J211" s="261"/>
    </row>
    <row r="212">
      <c r="A212" s="153" t="s">
        <v>353</v>
      </c>
      <c r="B212" s="206">
        <v>1.65</v>
      </c>
      <c r="C212" s="261"/>
      <c r="D212" s="261"/>
      <c r="E212" s="261"/>
      <c r="F212" s="261"/>
      <c r="G212" s="261"/>
      <c r="H212" s="261"/>
      <c r="I212" s="261"/>
      <c r="J212" s="261"/>
    </row>
    <row r="213">
      <c r="A213" s="155" t="s">
        <v>376</v>
      </c>
      <c r="B213" s="208">
        <v>0.85</v>
      </c>
      <c r="C213" s="269"/>
      <c r="D213" s="269"/>
      <c r="E213" s="261"/>
      <c r="F213" s="261"/>
      <c r="G213" s="261"/>
      <c r="H213" s="261"/>
      <c r="I213" s="261"/>
      <c r="J213" s="261"/>
    </row>
    <row r="214">
      <c r="A214" s="153" t="s">
        <v>399</v>
      </c>
      <c r="B214" s="206">
        <v>5.0</v>
      </c>
      <c r="C214" s="206">
        <v>0.4</v>
      </c>
      <c r="D214" s="261"/>
      <c r="E214" s="261"/>
      <c r="F214" s="261"/>
      <c r="G214" s="261"/>
      <c r="H214" s="261"/>
      <c r="I214" s="261"/>
      <c r="J214" s="261"/>
    </row>
    <row r="215">
      <c r="A215" s="155" t="s">
        <v>428</v>
      </c>
      <c r="B215" s="204">
        <v>1.0</v>
      </c>
      <c r="C215" s="261"/>
      <c r="D215" s="261"/>
      <c r="E215" s="261"/>
      <c r="F215" s="261"/>
      <c r="G215" s="261"/>
      <c r="H215" s="261"/>
      <c r="I215" s="261"/>
      <c r="J215" s="261"/>
    </row>
    <row r="216">
      <c r="A216" s="153" t="s">
        <v>456</v>
      </c>
      <c r="B216" s="205">
        <v>3.0</v>
      </c>
      <c r="C216" s="261"/>
      <c r="D216" s="261"/>
      <c r="E216" s="261"/>
      <c r="F216" s="261"/>
      <c r="G216" s="261"/>
      <c r="H216" s="261"/>
      <c r="I216" s="261"/>
      <c r="J216" s="261"/>
    </row>
    <row r="217">
      <c r="A217" s="155" t="s">
        <v>485</v>
      </c>
      <c r="B217" s="262">
        <v>-0.4</v>
      </c>
      <c r="C217" s="262">
        <v>-0.4</v>
      </c>
      <c r="D217" s="262">
        <v>-0.16</v>
      </c>
      <c r="E217" s="261"/>
      <c r="F217" s="261"/>
      <c r="G217" s="261"/>
      <c r="H217" s="261"/>
      <c r="I217" s="261"/>
      <c r="J217" s="261"/>
    </row>
    <row r="218">
      <c r="A218" s="153" t="s">
        <v>510</v>
      </c>
      <c r="B218" s="205">
        <v>15.0</v>
      </c>
      <c r="C218" s="206">
        <v>1.5</v>
      </c>
      <c r="D218" s="268"/>
      <c r="E218" s="261"/>
      <c r="F218" s="261"/>
      <c r="G218" s="261"/>
      <c r="H218" s="261"/>
      <c r="I218" s="261"/>
      <c r="J218" s="261"/>
    </row>
    <row r="219">
      <c r="A219" s="155" t="s">
        <v>531</v>
      </c>
      <c r="B219" s="204">
        <v>20.0</v>
      </c>
      <c r="C219" s="261"/>
      <c r="D219" s="261"/>
      <c r="E219" s="261"/>
      <c r="F219" s="261"/>
      <c r="G219" s="261"/>
      <c r="H219" s="261"/>
      <c r="I219" s="261"/>
      <c r="J219" s="261"/>
    </row>
    <row r="220">
      <c r="A220" s="153" t="s">
        <v>550</v>
      </c>
      <c r="B220" s="205">
        <v>15.0</v>
      </c>
      <c r="C220" s="205">
        <v>1.5</v>
      </c>
      <c r="D220" s="261"/>
      <c r="E220" s="261"/>
      <c r="F220" s="261"/>
      <c r="G220" s="261"/>
      <c r="H220" s="261"/>
      <c r="I220" s="261"/>
      <c r="J220" s="261"/>
    </row>
    <row r="221">
      <c r="A221" s="155" t="s">
        <v>574</v>
      </c>
      <c r="B221" s="265">
        <v>0.2325</v>
      </c>
      <c r="C221" s="265">
        <v>-0.5575</v>
      </c>
      <c r="D221" s="261"/>
      <c r="E221" s="261"/>
      <c r="F221" s="261"/>
      <c r="G221" s="261"/>
      <c r="H221" s="261"/>
      <c r="I221" s="261"/>
      <c r="J221" s="261"/>
    </row>
    <row r="222">
      <c r="A222" s="153" t="s">
        <v>596</v>
      </c>
      <c r="B222" s="264">
        <v>0.39</v>
      </c>
      <c r="C222" s="264">
        <v>0.35</v>
      </c>
      <c r="D222" s="264">
        <v>0.08</v>
      </c>
      <c r="E222" s="205">
        <v>2.5</v>
      </c>
      <c r="F222" s="261"/>
      <c r="G222" s="261"/>
      <c r="H222" s="261"/>
      <c r="I222" s="261"/>
      <c r="J222" s="261"/>
    </row>
    <row r="223">
      <c r="A223" s="155" t="s">
        <v>617</v>
      </c>
      <c r="B223" s="262">
        <v>0.13</v>
      </c>
      <c r="C223" s="262">
        <v>1.26</v>
      </c>
      <c r="D223" s="261"/>
      <c r="E223" s="261"/>
      <c r="F223" s="261"/>
      <c r="G223" s="261"/>
      <c r="H223" s="261"/>
      <c r="I223" s="261"/>
      <c r="J223" s="261"/>
    </row>
    <row r="224">
      <c r="A224" s="153" t="s">
        <v>643</v>
      </c>
      <c r="B224" s="205">
        <v>1.6</v>
      </c>
      <c r="C224" s="206">
        <v>9.0</v>
      </c>
      <c r="D224" s="261"/>
      <c r="E224" s="261"/>
      <c r="F224" s="261"/>
      <c r="G224" s="261"/>
      <c r="H224" s="261"/>
      <c r="I224" s="261"/>
      <c r="J224" s="261"/>
    </row>
    <row r="225">
      <c r="A225" s="155" t="s">
        <v>661</v>
      </c>
      <c r="B225" s="204">
        <v>0.3</v>
      </c>
      <c r="C225" s="262">
        <v>1.1</v>
      </c>
      <c r="D225" s="261"/>
      <c r="E225" s="261"/>
      <c r="F225" s="261"/>
      <c r="G225" s="261"/>
      <c r="H225" s="261"/>
      <c r="I225" s="261"/>
      <c r="J225" s="261"/>
    </row>
    <row r="226">
      <c r="A226" s="153" t="s">
        <v>676</v>
      </c>
      <c r="B226" s="271">
        <v>-0.75</v>
      </c>
      <c r="C226" s="205">
        <v>2.0</v>
      </c>
      <c r="D226" s="205">
        <v>10.0</v>
      </c>
      <c r="E226" s="261"/>
      <c r="F226" s="261"/>
      <c r="G226" s="261"/>
      <c r="H226" s="261"/>
      <c r="I226" s="261"/>
      <c r="J226" s="261"/>
    </row>
    <row r="227">
      <c r="A227" s="155" t="s">
        <v>690</v>
      </c>
      <c r="B227" s="204">
        <v>15.0</v>
      </c>
      <c r="C227" s="269"/>
      <c r="D227" s="261"/>
      <c r="E227" s="261"/>
      <c r="F227" s="261"/>
      <c r="G227" s="261"/>
      <c r="H227" s="261"/>
      <c r="I227" s="261"/>
      <c r="J227" s="261"/>
    </row>
    <row r="228">
      <c r="A228" s="153" t="s">
        <v>708</v>
      </c>
      <c r="B228" s="206">
        <v>16.0</v>
      </c>
      <c r="C228" s="261"/>
      <c r="D228" s="261"/>
      <c r="E228" s="261"/>
      <c r="F228" s="261"/>
      <c r="G228" s="261"/>
      <c r="H228" s="261"/>
      <c r="I228" s="261"/>
      <c r="J228" s="261"/>
    </row>
    <row r="229">
      <c r="A229" s="155" t="s">
        <v>727</v>
      </c>
      <c r="B229" s="204">
        <v>8.0</v>
      </c>
      <c r="C229" s="261"/>
      <c r="D229" s="261"/>
      <c r="E229" s="261"/>
      <c r="F229" s="261"/>
      <c r="G229" s="261"/>
      <c r="H229" s="261"/>
      <c r="I229" s="261"/>
      <c r="J229" s="261"/>
    </row>
    <row r="230">
      <c r="A230" s="153" t="s">
        <v>744</v>
      </c>
      <c r="B230" s="205">
        <v>1.0</v>
      </c>
      <c r="C230" s="261"/>
      <c r="D230" s="261"/>
      <c r="E230" s="261"/>
      <c r="F230" s="261"/>
      <c r="G230" s="261"/>
      <c r="H230" s="261"/>
      <c r="I230" s="261"/>
      <c r="J230" s="261"/>
    </row>
    <row r="231">
      <c r="A231" s="155" t="s">
        <v>761</v>
      </c>
      <c r="B231" s="262">
        <v>0.08</v>
      </c>
      <c r="C231" s="261"/>
      <c r="D231" s="261"/>
      <c r="E231" s="261"/>
      <c r="F231" s="261"/>
      <c r="G231" s="261"/>
      <c r="H231" s="261"/>
      <c r="I231" s="261"/>
      <c r="J231" s="261"/>
    </row>
    <row r="232">
      <c r="A232" s="153" t="s">
        <v>503</v>
      </c>
      <c r="B232" s="261"/>
      <c r="C232" s="261"/>
      <c r="D232" s="261"/>
      <c r="E232" s="261"/>
      <c r="F232" s="261"/>
      <c r="G232" s="261"/>
      <c r="H232" s="261"/>
      <c r="I232" s="261"/>
      <c r="J232" s="261"/>
    </row>
    <row r="233">
      <c r="A233" s="155" t="s">
        <v>511</v>
      </c>
      <c r="B233" s="261"/>
      <c r="C233" s="261"/>
      <c r="D233" s="261"/>
      <c r="E233" s="261"/>
      <c r="F233" s="261"/>
      <c r="G233" s="261"/>
      <c r="H233" s="261"/>
      <c r="I233" s="261"/>
      <c r="J233" s="261"/>
    </row>
    <row r="234">
      <c r="A234" s="153" t="s">
        <v>516</v>
      </c>
      <c r="B234" s="269"/>
      <c r="C234" s="261"/>
      <c r="D234" s="261"/>
      <c r="E234" s="261"/>
      <c r="F234" s="261"/>
      <c r="G234" s="261"/>
      <c r="H234" s="261"/>
      <c r="I234" s="261"/>
      <c r="J234" s="261"/>
    </row>
    <row r="235">
      <c r="A235" s="155"/>
      <c r="B235" s="261"/>
      <c r="C235" s="261"/>
      <c r="D235" s="261"/>
      <c r="E235" s="261"/>
      <c r="F235" s="261"/>
      <c r="G235" s="261"/>
      <c r="H235" s="261"/>
      <c r="I235" s="261"/>
      <c r="J235" s="261"/>
    </row>
    <row r="236">
      <c r="A236" s="153"/>
      <c r="B236" s="269"/>
      <c r="C236" s="261"/>
      <c r="D236" s="261"/>
      <c r="E236" s="261"/>
      <c r="F236" s="261"/>
      <c r="G236" s="261"/>
      <c r="H236" s="261"/>
      <c r="I236" s="261"/>
      <c r="J236" s="261"/>
    </row>
    <row r="237">
      <c r="A237" s="155"/>
      <c r="B237" s="261"/>
      <c r="C237" s="261"/>
      <c r="D237" s="261"/>
      <c r="E237" s="261"/>
      <c r="F237" s="261"/>
      <c r="G237" s="261"/>
      <c r="H237" s="261"/>
      <c r="I237" s="261"/>
      <c r="J237" s="261"/>
    </row>
    <row r="238">
      <c r="A238" s="153"/>
      <c r="B238" s="261"/>
      <c r="C238" s="261"/>
      <c r="D238" s="261"/>
      <c r="E238" s="261"/>
      <c r="F238" s="261"/>
      <c r="G238" s="261"/>
      <c r="H238" s="261"/>
      <c r="I238" s="261"/>
      <c r="J238" s="261"/>
    </row>
    <row r="239">
      <c r="A239" s="155"/>
      <c r="B239" s="269"/>
      <c r="C239" s="269"/>
      <c r="D239" s="269"/>
      <c r="E239" s="261"/>
      <c r="F239" s="261"/>
      <c r="G239" s="261"/>
      <c r="H239" s="261"/>
      <c r="I239" s="261"/>
      <c r="J239" s="261"/>
    </row>
    <row r="240">
      <c r="A240" s="153"/>
      <c r="B240" s="261"/>
      <c r="C240" s="261"/>
      <c r="D240" s="261"/>
      <c r="E240" s="261"/>
      <c r="F240" s="261"/>
      <c r="G240" s="261"/>
      <c r="H240" s="261"/>
      <c r="I240" s="261"/>
      <c r="J240" s="261"/>
    </row>
    <row r="241">
      <c r="A241" s="155"/>
      <c r="B241" s="269"/>
      <c r="C241" s="269"/>
      <c r="D241" s="261"/>
      <c r="E241" s="261"/>
      <c r="F241" s="261"/>
      <c r="G241" s="261"/>
      <c r="H241" s="261"/>
      <c r="I241" s="261"/>
      <c r="J241" s="261"/>
    </row>
    <row r="242">
      <c r="A242" s="258"/>
      <c r="B242" s="269"/>
      <c r="C242" s="261"/>
      <c r="D242" s="261"/>
      <c r="E242" s="261"/>
      <c r="F242" s="261"/>
      <c r="G242" s="261"/>
      <c r="H242" s="261"/>
      <c r="I242" s="261"/>
      <c r="J242" s="261"/>
    </row>
    <row r="243">
      <c r="A243" s="155"/>
      <c r="B243" s="269"/>
      <c r="C243" s="261"/>
      <c r="D243" s="261"/>
      <c r="E243" s="261"/>
      <c r="F243" s="261"/>
      <c r="G243" s="261"/>
      <c r="H243" s="261"/>
      <c r="I243" s="261"/>
      <c r="J243" s="261"/>
    </row>
    <row r="244">
      <c r="A244" s="153"/>
      <c r="B244" s="261"/>
      <c r="C244" s="261"/>
      <c r="D244" s="261"/>
      <c r="E244" s="261"/>
      <c r="F244" s="261"/>
      <c r="G244" s="261"/>
      <c r="H244" s="261"/>
      <c r="I244" s="261"/>
      <c r="J244" s="261"/>
    </row>
    <row r="245">
      <c r="A245" s="155"/>
      <c r="B245" s="269"/>
      <c r="C245" s="261"/>
      <c r="D245" s="261"/>
      <c r="E245" s="261"/>
      <c r="F245" s="261"/>
      <c r="G245" s="261"/>
      <c r="H245" s="261"/>
      <c r="I245" s="261"/>
      <c r="J245" s="261"/>
    </row>
    <row r="246">
      <c r="A246" s="153"/>
      <c r="B246" s="269"/>
      <c r="C246" s="261"/>
      <c r="D246" s="261"/>
      <c r="E246" s="261"/>
      <c r="F246" s="261"/>
      <c r="G246" s="261"/>
      <c r="H246" s="261"/>
      <c r="I246" s="261"/>
      <c r="J246" s="261"/>
    </row>
    <row r="247">
      <c r="A247" s="155"/>
      <c r="B247" s="269"/>
      <c r="C247" s="261"/>
      <c r="D247" s="261"/>
      <c r="E247" s="261"/>
      <c r="F247" s="261"/>
      <c r="G247" s="261"/>
      <c r="H247" s="261"/>
      <c r="I247" s="261"/>
      <c r="J247" s="261"/>
    </row>
    <row r="248">
      <c r="A248" s="153"/>
      <c r="B248" s="261"/>
      <c r="C248" s="261"/>
      <c r="D248" s="261"/>
      <c r="E248" s="261"/>
      <c r="F248" s="261"/>
      <c r="G248" s="261"/>
      <c r="H248" s="261"/>
      <c r="I248" s="261"/>
      <c r="J248" s="261"/>
    </row>
    <row r="249">
      <c r="A249" s="155"/>
      <c r="B249" s="269"/>
      <c r="C249" s="269"/>
      <c r="D249" s="261"/>
      <c r="E249" s="261"/>
      <c r="F249" s="261"/>
      <c r="G249" s="261"/>
      <c r="H249" s="261"/>
      <c r="I249" s="261"/>
      <c r="J249" s="261"/>
    </row>
    <row r="250">
      <c r="A250" s="162"/>
      <c r="B250" s="269"/>
      <c r="C250" s="261"/>
      <c r="D250" s="261"/>
      <c r="E250" s="261"/>
      <c r="F250" s="261"/>
      <c r="G250" s="261"/>
      <c r="H250" s="261"/>
      <c r="I250" s="261"/>
      <c r="J250" s="261"/>
    </row>
    <row r="251">
      <c r="A251" s="150" t="str">
        <f t="array" ref="A251:A300">'Up Names'!F2:F51</f>
        <v>Return to Receiver</v>
      </c>
      <c r="B251" s="262">
        <v>-0.5</v>
      </c>
      <c r="C251" s="261"/>
      <c r="D251" s="261"/>
      <c r="E251" s="261"/>
      <c r="F251" s="261"/>
      <c r="G251" s="261"/>
      <c r="H251" s="261"/>
      <c r="I251" s="261"/>
      <c r="J251" s="261"/>
    </row>
    <row r="252">
      <c r="A252" s="153" t="s">
        <v>155</v>
      </c>
      <c r="B252" s="205">
        <v>11.0</v>
      </c>
      <c r="C252" s="261"/>
      <c r="D252" s="261"/>
      <c r="E252" s="261"/>
      <c r="F252" s="261"/>
      <c r="G252" s="261"/>
      <c r="H252" s="261"/>
      <c r="I252" s="261"/>
      <c r="J252" s="261"/>
    </row>
    <row r="253">
      <c r="A253" s="155" t="s">
        <v>175</v>
      </c>
      <c r="B253" s="208">
        <v>3.0</v>
      </c>
      <c r="C253" s="269"/>
      <c r="D253" s="269"/>
      <c r="E253" s="261"/>
      <c r="F253" s="261"/>
      <c r="G253" s="261"/>
      <c r="H253" s="261"/>
      <c r="I253" s="261"/>
      <c r="J253" s="261"/>
    </row>
    <row r="254">
      <c r="A254" s="153" t="s">
        <v>195</v>
      </c>
      <c r="B254" s="266">
        <v>0.45</v>
      </c>
      <c r="C254" s="270">
        <v>0.3</v>
      </c>
      <c r="D254" s="261"/>
      <c r="E254" s="261"/>
      <c r="F254" s="261"/>
      <c r="G254" s="261"/>
      <c r="H254" s="261"/>
      <c r="I254" s="261"/>
      <c r="J254" s="261"/>
    </row>
    <row r="255">
      <c r="A255" s="155" t="s">
        <v>215</v>
      </c>
      <c r="B255" s="208">
        <v>0.3</v>
      </c>
      <c r="C255" s="204">
        <v>30.0</v>
      </c>
      <c r="D255" s="204">
        <v>15.0</v>
      </c>
      <c r="E255" s="204">
        <v>1.0</v>
      </c>
      <c r="F255" s="261"/>
      <c r="G255" s="261"/>
      <c r="H255" s="261"/>
      <c r="I255" s="261"/>
      <c r="J255" s="261"/>
    </row>
    <row r="256">
      <c r="A256" s="153" t="s">
        <v>234</v>
      </c>
      <c r="B256" s="205">
        <v>3.0</v>
      </c>
      <c r="C256" s="261"/>
      <c r="D256" s="261"/>
      <c r="E256" s="261"/>
      <c r="F256" s="261"/>
      <c r="G256" s="261"/>
      <c r="H256" s="261"/>
      <c r="I256" s="261"/>
      <c r="J256" s="261"/>
    </row>
    <row r="257">
      <c r="A257" s="155" t="s">
        <v>254</v>
      </c>
      <c r="B257" s="265">
        <v>0.015</v>
      </c>
      <c r="C257" s="268"/>
      <c r="D257" s="261"/>
      <c r="E257" s="261"/>
      <c r="F257" s="261"/>
      <c r="G257" s="261"/>
      <c r="H257" s="261"/>
      <c r="I257" s="261"/>
      <c r="J257" s="261"/>
    </row>
    <row r="258">
      <c r="A258" s="153" t="s">
        <v>274</v>
      </c>
      <c r="B258" s="264">
        <v>0.3</v>
      </c>
      <c r="C258" s="264">
        <v>0.6</v>
      </c>
      <c r="D258" s="269"/>
      <c r="E258" s="261"/>
      <c r="F258" s="261"/>
      <c r="G258" s="261"/>
      <c r="H258" s="261"/>
      <c r="I258" s="261"/>
      <c r="J258" s="261"/>
    </row>
    <row r="259">
      <c r="A259" s="155" t="s">
        <v>294</v>
      </c>
      <c r="B259" s="269"/>
      <c r="C259" s="269"/>
      <c r="D259" s="261"/>
      <c r="E259" s="261"/>
      <c r="F259" s="261"/>
      <c r="G259" s="261"/>
      <c r="H259" s="261"/>
      <c r="I259" s="261"/>
      <c r="J259" s="261"/>
    </row>
    <row r="260">
      <c r="A260" s="153" t="s">
        <v>314</v>
      </c>
      <c r="B260" s="205">
        <v>5.0</v>
      </c>
      <c r="C260" s="261"/>
      <c r="D260" s="261"/>
      <c r="E260" s="261"/>
      <c r="F260" s="261"/>
      <c r="G260" s="261"/>
      <c r="H260" s="261"/>
      <c r="I260" s="261"/>
      <c r="J260" s="261"/>
    </row>
    <row r="261">
      <c r="A261" s="155" t="s">
        <v>334</v>
      </c>
      <c r="B261" s="204">
        <v>3.0</v>
      </c>
      <c r="C261" s="208">
        <v>2.5</v>
      </c>
      <c r="D261" s="261"/>
      <c r="E261" s="261"/>
      <c r="F261" s="261"/>
      <c r="G261" s="261"/>
      <c r="H261" s="261"/>
      <c r="I261" s="261"/>
      <c r="J261" s="261"/>
    </row>
    <row r="262">
      <c r="A262" s="153" t="s">
        <v>354</v>
      </c>
      <c r="B262" s="267">
        <v>0.667</v>
      </c>
      <c r="C262" s="205">
        <v>7.0</v>
      </c>
      <c r="D262" s="264">
        <v>-0.3</v>
      </c>
      <c r="E262" s="264">
        <v>-0.4</v>
      </c>
      <c r="F262" s="264">
        <v>-0.4</v>
      </c>
      <c r="G262" s="264">
        <v>-0.35</v>
      </c>
      <c r="H262" s="261"/>
      <c r="I262" s="261"/>
      <c r="J262" s="261"/>
    </row>
    <row r="263">
      <c r="A263" s="155" t="s">
        <v>378</v>
      </c>
      <c r="B263" s="204">
        <v>3.0</v>
      </c>
      <c r="C263" s="204">
        <v>13.5</v>
      </c>
      <c r="D263" s="261"/>
      <c r="E263" s="261"/>
      <c r="F263" s="261"/>
      <c r="G263" s="261"/>
      <c r="H263" s="261"/>
      <c r="I263" s="261"/>
      <c r="J263" s="261"/>
    </row>
    <row r="264">
      <c r="A264" s="153" t="s">
        <v>400</v>
      </c>
      <c r="B264" s="206">
        <v>0.1</v>
      </c>
      <c r="C264" s="261"/>
      <c r="D264" s="261"/>
      <c r="E264" s="261"/>
      <c r="F264" s="261"/>
      <c r="G264" s="261"/>
      <c r="H264" s="261"/>
      <c r="I264" s="261"/>
      <c r="J264" s="261"/>
    </row>
    <row r="265">
      <c r="A265" s="155" t="s">
        <v>429</v>
      </c>
      <c r="B265" s="262">
        <v>0.2</v>
      </c>
      <c r="C265" s="265">
        <v>0.4286</v>
      </c>
      <c r="D265" s="261"/>
      <c r="E265" s="261"/>
      <c r="F265" s="261"/>
      <c r="G265" s="261"/>
      <c r="H265" s="261"/>
      <c r="I265" s="261"/>
      <c r="J265" s="261"/>
    </row>
    <row r="266">
      <c r="A266" s="153" t="s">
        <v>457</v>
      </c>
      <c r="B266" s="261"/>
      <c r="C266" s="261"/>
      <c r="D266" s="261"/>
      <c r="E266" s="261"/>
      <c r="F266" s="261"/>
      <c r="G266" s="261"/>
      <c r="H266" s="261"/>
      <c r="I266" s="261"/>
      <c r="J266" s="261"/>
    </row>
    <row r="267">
      <c r="A267" s="155" t="s">
        <v>487</v>
      </c>
      <c r="B267" s="208">
        <v>1.0</v>
      </c>
      <c r="C267" s="204">
        <v>10.0</v>
      </c>
      <c r="D267" s="261"/>
      <c r="E267" s="261"/>
      <c r="F267" s="261"/>
      <c r="G267" s="261"/>
      <c r="H267" s="261"/>
      <c r="I267" s="261"/>
      <c r="J267" s="261"/>
    </row>
    <row r="268">
      <c r="A268" s="153" t="s">
        <v>512</v>
      </c>
      <c r="B268" s="205">
        <v>10.0</v>
      </c>
      <c r="C268" s="268"/>
      <c r="D268" s="261"/>
      <c r="E268" s="261"/>
      <c r="F268" s="261"/>
      <c r="G268" s="261"/>
      <c r="H268" s="261"/>
      <c r="I268" s="261"/>
      <c r="J268" s="261"/>
    </row>
    <row r="269">
      <c r="A269" s="155" t="s">
        <v>532</v>
      </c>
      <c r="B269" s="208">
        <v>10.0</v>
      </c>
      <c r="C269" s="261"/>
      <c r="D269" s="261"/>
      <c r="E269" s="261"/>
      <c r="F269" s="261"/>
      <c r="G269" s="261"/>
      <c r="H269" s="261"/>
      <c r="I269" s="261"/>
      <c r="J269" s="261"/>
    </row>
    <row r="270">
      <c r="A270" s="153" t="s">
        <v>551</v>
      </c>
      <c r="B270" s="264">
        <v>0.2</v>
      </c>
      <c r="C270" s="205">
        <v>1.0</v>
      </c>
      <c r="D270" s="206">
        <v>1.0</v>
      </c>
      <c r="E270" s="268"/>
      <c r="F270" s="269"/>
      <c r="G270" s="261"/>
      <c r="H270" s="261"/>
      <c r="I270" s="261"/>
      <c r="J270" s="261"/>
    </row>
    <row r="271">
      <c r="A271" s="155" t="s">
        <v>575</v>
      </c>
      <c r="B271" s="262">
        <v>0.2</v>
      </c>
      <c r="C271" s="261"/>
      <c r="D271" s="261"/>
      <c r="E271" s="261"/>
      <c r="F271" s="261"/>
      <c r="G271" s="261"/>
      <c r="H271" s="261"/>
      <c r="I271" s="261"/>
      <c r="J271" s="261"/>
    </row>
    <row r="272">
      <c r="A272" s="153" t="s">
        <v>598</v>
      </c>
      <c r="B272" s="264">
        <v>0.8</v>
      </c>
      <c r="C272" s="261"/>
      <c r="D272" s="261"/>
      <c r="E272" s="261"/>
      <c r="F272" s="261"/>
      <c r="G272" s="261"/>
      <c r="H272" s="261"/>
      <c r="I272" s="261"/>
      <c r="J272" s="261"/>
    </row>
    <row r="273">
      <c r="A273" s="155" t="s">
        <v>619</v>
      </c>
      <c r="B273" s="262">
        <v>0.86</v>
      </c>
      <c r="C273" s="261"/>
      <c r="D273" s="261"/>
      <c r="E273" s="261"/>
      <c r="F273" s="261"/>
      <c r="G273" s="261"/>
      <c r="H273" s="261"/>
      <c r="I273" s="261"/>
      <c r="J273" s="261"/>
    </row>
    <row r="274">
      <c r="A274" s="153" t="s">
        <v>644</v>
      </c>
      <c r="B274" s="205">
        <v>20.0</v>
      </c>
      <c r="C274" s="264">
        <v>-0.14</v>
      </c>
      <c r="D274" s="205">
        <v>1.2</v>
      </c>
      <c r="E274" s="261"/>
      <c r="F274" s="261"/>
      <c r="G274" s="261"/>
      <c r="H274" s="261"/>
      <c r="I274" s="261"/>
      <c r="J274" s="261"/>
    </row>
    <row r="275">
      <c r="A275" s="155" t="s">
        <v>662</v>
      </c>
      <c r="B275" s="208">
        <v>40.0</v>
      </c>
      <c r="C275" s="204">
        <v>150.0</v>
      </c>
      <c r="D275" s="204">
        <v>3.0</v>
      </c>
      <c r="E275" s="261"/>
      <c r="F275" s="261"/>
      <c r="G275" s="261"/>
      <c r="H275" s="261"/>
      <c r="I275" s="261"/>
      <c r="J275" s="261"/>
    </row>
    <row r="276">
      <c r="A276" s="153" t="s">
        <v>677</v>
      </c>
      <c r="B276" s="264">
        <v>0.35</v>
      </c>
      <c r="C276" s="205">
        <v>10.0</v>
      </c>
      <c r="D276" s="205">
        <v>10.0</v>
      </c>
      <c r="E276" s="261"/>
      <c r="F276" s="261"/>
      <c r="G276" s="261"/>
      <c r="H276" s="261"/>
      <c r="I276" s="261"/>
      <c r="J276" s="261"/>
    </row>
    <row r="277">
      <c r="A277" s="155" t="s">
        <v>691</v>
      </c>
      <c r="B277" s="204">
        <v>4.4</v>
      </c>
      <c r="C277" s="262">
        <v>-0.8</v>
      </c>
      <c r="D277" s="261"/>
      <c r="E277" s="261"/>
      <c r="F277" s="261"/>
      <c r="G277" s="261"/>
      <c r="H277" s="261"/>
      <c r="I277" s="261"/>
      <c r="J277" s="261"/>
    </row>
    <row r="278">
      <c r="A278" s="153" t="s">
        <v>709</v>
      </c>
      <c r="B278" s="264">
        <v>0.3</v>
      </c>
      <c r="C278" s="264">
        <v>-0.4</v>
      </c>
      <c r="D278" s="261"/>
      <c r="E278" s="261"/>
      <c r="F278" s="261"/>
      <c r="G278" s="261"/>
      <c r="H278" s="261"/>
      <c r="I278" s="261"/>
      <c r="J278" s="261"/>
    </row>
    <row r="279">
      <c r="A279" s="155" t="s">
        <v>728</v>
      </c>
      <c r="B279" s="208">
        <v>10.0</v>
      </c>
      <c r="C279" s="261"/>
      <c r="D279" s="261"/>
      <c r="E279" s="261"/>
      <c r="F279" s="261"/>
      <c r="G279" s="261"/>
      <c r="H279" s="261"/>
      <c r="I279" s="261"/>
      <c r="J279" s="261"/>
    </row>
    <row r="280">
      <c r="A280" s="153" t="s">
        <v>746</v>
      </c>
      <c r="B280" s="264">
        <v>0.08</v>
      </c>
      <c r="C280" s="261"/>
      <c r="D280" s="261"/>
      <c r="E280" s="261"/>
      <c r="F280" s="261"/>
      <c r="G280" s="261"/>
      <c r="H280" s="261"/>
      <c r="I280" s="261"/>
      <c r="J280" s="261"/>
    </row>
    <row r="281">
      <c r="A281" s="155" t="s">
        <v>503</v>
      </c>
      <c r="B281" s="269"/>
      <c r="C281" s="269"/>
      <c r="D281" s="261"/>
      <c r="E281" s="261"/>
      <c r="F281" s="261"/>
      <c r="G281" s="261"/>
      <c r="H281" s="261"/>
      <c r="I281" s="261"/>
      <c r="J281" s="261"/>
    </row>
    <row r="282">
      <c r="A282" s="153" t="s">
        <v>511</v>
      </c>
      <c r="B282" s="261"/>
      <c r="C282" s="269"/>
      <c r="D282" s="269"/>
      <c r="E282" s="261"/>
      <c r="F282" s="261"/>
      <c r="G282" s="261"/>
      <c r="H282" s="261"/>
      <c r="I282" s="261"/>
      <c r="J282" s="261"/>
    </row>
    <row r="283">
      <c r="A283" s="155" t="s">
        <v>516</v>
      </c>
      <c r="B283" s="269"/>
      <c r="C283" s="261"/>
      <c r="D283" s="261"/>
      <c r="E283" s="261"/>
      <c r="F283" s="261"/>
      <c r="G283" s="261"/>
      <c r="H283" s="261"/>
      <c r="I283" s="261"/>
      <c r="J283" s="261"/>
    </row>
    <row r="284">
      <c r="A284" s="153"/>
      <c r="B284" s="261"/>
      <c r="C284" s="261"/>
      <c r="D284" s="261"/>
      <c r="E284" s="261"/>
      <c r="F284" s="261"/>
      <c r="G284" s="261"/>
      <c r="H284" s="261"/>
      <c r="I284" s="261"/>
      <c r="J284" s="261"/>
    </row>
    <row r="285">
      <c r="A285" s="155"/>
      <c r="B285" s="261"/>
      <c r="C285" s="268"/>
      <c r="D285" s="261"/>
      <c r="E285" s="261"/>
      <c r="F285" s="261"/>
      <c r="G285" s="261"/>
      <c r="H285" s="261"/>
      <c r="I285" s="261"/>
      <c r="J285" s="261"/>
    </row>
    <row r="286">
      <c r="A286" s="153"/>
      <c r="B286" s="268"/>
      <c r="C286" s="269"/>
      <c r="D286" s="261"/>
      <c r="E286" s="261"/>
      <c r="F286" s="261"/>
      <c r="G286" s="261"/>
      <c r="H286" s="261"/>
      <c r="I286" s="261"/>
      <c r="J286" s="261"/>
    </row>
    <row r="287">
      <c r="A287" s="155"/>
      <c r="B287" s="269"/>
      <c r="C287" s="261"/>
      <c r="D287" s="261"/>
      <c r="E287" s="261"/>
      <c r="F287" s="261"/>
      <c r="G287" s="261"/>
      <c r="H287" s="261"/>
      <c r="I287" s="261"/>
      <c r="J287" s="261"/>
    </row>
    <row r="288">
      <c r="A288" s="153"/>
      <c r="B288" s="261"/>
      <c r="C288" s="261"/>
      <c r="D288" s="261"/>
      <c r="E288" s="261"/>
      <c r="F288" s="261"/>
      <c r="G288" s="261"/>
      <c r="H288" s="261"/>
      <c r="I288" s="261"/>
      <c r="J288" s="261"/>
    </row>
    <row r="289">
      <c r="A289" s="155"/>
      <c r="B289" s="269"/>
      <c r="C289" s="261"/>
      <c r="D289" s="261"/>
      <c r="E289" s="261"/>
      <c r="F289" s="261"/>
      <c r="G289" s="261"/>
      <c r="H289" s="261"/>
      <c r="I289" s="261"/>
      <c r="J289" s="261"/>
    </row>
    <row r="290">
      <c r="A290" s="153"/>
      <c r="B290" s="268"/>
      <c r="C290" s="261"/>
      <c r="D290" s="261"/>
      <c r="E290" s="261"/>
      <c r="F290" s="269"/>
      <c r="G290" s="269"/>
      <c r="H290" s="261"/>
      <c r="I290" s="261"/>
      <c r="J290" s="261"/>
    </row>
    <row r="291">
      <c r="A291" s="155"/>
      <c r="B291" s="261"/>
      <c r="C291" s="261"/>
      <c r="D291" s="269"/>
      <c r="E291" s="261"/>
      <c r="F291" s="261"/>
      <c r="G291" s="261"/>
      <c r="H291" s="261"/>
      <c r="I291" s="261"/>
      <c r="J291" s="261"/>
    </row>
    <row r="292">
      <c r="A292" s="153"/>
      <c r="B292" s="261"/>
      <c r="C292" s="261"/>
      <c r="D292" s="261"/>
      <c r="E292" s="261"/>
      <c r="F292" s="261"/>
      <c r="G292" s="261"/>
      <c r="H292" s="261"/>
      <c r="I292" s="261"/>
      <c r="J292" s="261"/>
    </row>
    <row r="293">
      <c r="A293" s="155"/>
      <c r="B293" s="268"/>
      <c r="C293" s="269"/>
      <c r="D293" s="269"/>
      <c r="E293" s="269"/>
      <c r="F293" s="269"/>
      <c r="G293" s="261"/>
      <c r="H293" s="261"/>
      <c r="I293" s="261"/>
      <c r="J293" s="261"/>
    </row>
    <row r="294">
      <c r="A294" s="153"/>
      <c r="B294" s="261"/>
      <c r="C294" s="261"/>
      <c r="D294" s="261"/>
      <c r="E294" s="261"/>
      <c r="F294" s="261"/>
      <c r="G294" s="261"/>
      <c r="H294" s="261"/>
      <c r="I294" s="261"/>
      <c r="J294" s="261"/>
    </row>
    <row r="295">
      <c r="A295" s="155"/>
      <c r="B295" s="261"/>
      <c r="C295" s="261"/>
      <c r="D295" s="261"/>
      <c r="E295" s="261"/>
      <c r="F295" s="261"/>
      <c r="G295" s="261"/>
      <c r="H295" s="261"/>
      <c r="I295" s="261"/>
      <c r="J295" s="261"/>
    </row>
    <row r="296">
      <c r="A296" s="153"/>
      <c r="B296" s="261"/>
      <c r="C296" s="261"/>
      <c r="D296" s="261"/>
      <c r="E296" s="261"/>
      <c r="F296" s="261"/>
      <c r="G296" s="261"/>
      <c r="H296" s="261"/>
      <c r="I296" s="261"/>
      <c r="J296" s="261"/>
    </row>
    <row r="297">
      <c r="A297" s="155"/>
      <c r="B297" s="268"/>
      <c r="C297" s="261"/>
      <c r="D297" s="261"/>
      <c r="E297" s="261"/>
      <c r="F297" s="261"/>
      <c r="G297" s="261"/>
      <c r="H297" s="261"/>
      <c r="I297" s="261"/>
      <c r="J297" s="261"/>
    </row>
    <row r="298">
      <c r="A298" s="153"/>
      <c r="B298" s="261"/>
      <c r="C298" s="269"/>
      <c r="D298" s="261"/>
      <c r="E298" s="269"/>
      <c r="F298" s="261"/>
      <c r="G298" s="261"/>
      <c r="H298" s="261"/>
      <c r="I298" s="261"/>
      <c r="J298" s="261"/>
    </row>
    <row r="299">
      <c r="A299" s="155"/>
      <c r="B299" s="261"/>
      <c r="C299" s="261"/>
      <c r="D299" s="261"/>
      <c r="E299" s="261"/>
      <c r="F299" s="261"/>
      <c r="G299" s="261"/>
      <c r="H299" s="261"/>
      <c r="I299" s="261"/>
      <c r="J299" s="261"/>
    </row>
    <row r="300">
      <c r="A300" s="162"/>
      <c r="B300" s="269"/>
      <c r="C300" s="269"/>
      <c r="D300" s="261"/>
      <c r="E300" s="261"/>
      <c r="F300" s="261"/>
      <c r="G300" s="261"/>
      <c r="H300" s="261"/>
      <c r="I300" s="261"/>
      <c r="J300" s="261"/>
    </row>
    <row r="301">
      <c r="A301" s="150" t="str">
        <f t="array" ref="A301:A350">'Up Names'!G2:G51</f>
        <v>Yellow Prism</v>
      </c>
      <c r="B301" s="262">
        <v>0.5</v>
      </c>
      <c r="C301" s="269"/>
      <c r="D301" s="269"/>
      <c r="E301" s="261"/>
      <c r="F301" s="261"/>
      <c r="G301" s="261"/>
      <c r="H301" s="261"/>
      <c r="I301" s="261"/>
      <c r="J301" s="261"/>
    </row>
    <row r="302">
      <c r="A302" s="153" t="s">
        <v>156</v>
      </c>
      <c r="B302" s="264">
        <v>0.8</v>
      </c>
      <c r="C302" s="264">
        <v>0.8</v>
      </c>
      <c r="D302" s="205">
        <v>15.0</v>
      </c>
      <c r="E302" s="205">
        <v>3.0</v>
      </c>
      <c r="F302" s="261"/>
      <c r="G302" s="261"/>
      <c r="H302" s="261"/>
      <c r="I302" s="261"/>
      <c r="J302" s="261"/>
    </row>
    <row r="303">
      <c r="A303" s="155" t="s">
        <v>176</v>
      </c>
      <c r="B303" s="208">
        <v>6.0</v>
      </c>
      <c r="C303" s="275">
        <v>0.1364</v>
      </c>
      <c r="D303" s="261"/>
      <c r="E303" s="261"/>
      <c r="F303" s="261"/>
      <c r="G303" s="261"/>
      <c r="H303" s="261"/>
      <c r="I303" s="261"/>
      <c r="J303" s="261"/>
    </row>
    <row r="304">
      <c r="A304" s="153" t="s">
        <v>196</v>
      </c>
      <c r="B304" s="205">
        <v>26.0</v>
      </c>
      <c r="C304" s="205">
        <v>0.85</v>
      </c>
      <c r="D304" s="261"/>
      <c r="E304" s="261"/>
      <c r="F304" s="261"/>
      <c r="G304" s="261"/>
      <c r="H304" s="261"/>
      <c r="I304" s="261"/>
      <c r="J304" s="261"/>
    </row>
    <row r="305">
      <c r="A305" s="155" t="s">
        <v>216</v>
      </c>
      <c r="B305" s="204">
        <v>5.0</v>
      </c>
      <c r="C305" s="262">
        <v>0.01</v>
      </c>
      <c r="D305" s="262">
        <v>0.1</v>
      </c>
      <c r="E305" s="261"/>
      <c r="F305" s="261"/>
      <c r="G305" s="261"/>
      <c r="H305" s="261"/>
      <c r="I305" s="261"/>
      <c r="J305" s="261"/>
    </row>
    <row r="306">
      <c r="A306" s="153" t="s">
        <v>235</v>
      </c>
      <c r="B306" s="264">
        <v>0.5</v>
      </c>
      <c r="C306" s="261"/>
      <c r="D306" s="261"/>
      <c r="E306" s="261"/>
      <c r="F306" s="261"/>
      <c r="G306" s="261"/>
      <c r="H306" s="261"/>
      <c r="I306" s="261"/>
      <c r="J306" s="261"/>
    </row>
    <row r="307">
      <c r="A307" s="155" t="s">
        <v>255</v>
      </c>
      <c r="B307" s="262">
        <v>0.9</v>
      </c>
      <c r="C307" s="204">
        <v>10.0</v>
      </c>
      <c r="D307" s="208">
        <v>240.0</v>
      </c>
      <c r="E307" s="261"/>
      <c r="F307" s="261"/>
      <c r="G307" s="261"/>
      <c r="H307" s="261"/>
      <c r="I307" s="261"/>
      <c r="J307" s="261"/>
    </row>
    <row r="308">
      <c r="A308" s="153" t="s">
        <v>275</v>
      </c>
      <c r="B308" s="264">
        <v>0.15</v>
      </c>
      <c r="C308" s="206">
        <v>3.0</v>
      </c>
      <c r="D308" s="261"/>
      <c r="E308" s="261"/>
      <c r="F308" s="261"/>
      <c r="G308" s="261"/>
      <c r="H308" s="261"/>
      <c r="I308" s="261"/>
      <c r="J308" s="261"/>
    </row>
    <row r="309">
      <c r="A309" s="155" t="s">
        <v>295</v>
      </c>
      <c r="B309" s="265">
        <v>0.1111</v>
      </c>
      <c r="C309" s="262">
        <v>-0.1</v>
      </c>
      <c r="D309" s="204">
        <v>50.0</v>
      </c>
      <c r="E309" s="262">
        <v>0.2</v>
      </c>
      <c r="F309" s="262">
        <v>0.4</v>
      </c>
      <c r="G309" s="266">
        <v>-0.45</v>
      </c>
      <c r="H309" s="261"/>
      <c r="I309" s="261"/>
      <c r="J309" s="261"/>
    </row>
    <row r="310">
      <c r="A310" s="153" t="s">
        <v>315</v>
      </c>
      <c r="B310" s="205">
        <v>3.0</v>
      </c>
      <c r="C310" s="261"/>
      <c r="D310" s="261"/>
      <c r="E310" s="261"/>
      <c r="F310" s="261"/>
      <c r="G310" s="261"/>
      <c r="H310" s="261"/>
      <c r="I310" s="261"/>
      <c r="J310" s="261"/>
    </row>
    <row r="311">
      <c r="A311" s="155" t="s">
        <v>335</v>
      </c>
      <c r="B311" s="262">
        <v>0.4</v>
      </c>
      <c r="C311" s="262">
        <v>-0.7</v>
      </c>
      <c r="D311" s="261"/>
      <c r="E311" s="261"/>
      <c r="F311" s="261"/>
      <c r="G311" s="261"/>
      <c r="H311" s="261"/>
      <c r="I311" s="261"/>
      <c r="J311" s="261"/>
    </row>
    <row r="312">
      <c r="A312" s="153" t="s">
        <v>355</v>
      </c>
      <c r="B312" s="205">
        <v>1.0</v>
      </c>
      <c r="C312" s="264">
        <v>-0.92</v>
      </c>
      <c r="D312" s="264">
        <v>0.48</v>
      </c>
      <c r="E312" s="206">
        <v>280.0</v>
      </c>
      <c r="F312" s="205">
        <v>0.9</v>
      </c>
      <c r="G312" s="263">
        <v>-0.7872</v>
      </c>
      <c r="H312" s="261"/>
      <c r="I312" s="261"/>
      <c r="J312" s="261"/>
    </row>
    <row r="313">
      <c r="A313" s="155" t="s">
        <v>379</v>
      </c>
      <c r="B313" s="204">
        <v>0.0</v>
      </c>
      <c r="C313" s="208">
        <v>48.0</v>
      </c>
      <c r="D313" s="261"/>
      <c r="E313" s="261"/>
      <c r="F313" s="261"/>
      <c r="G313" s="261"/>
      <c r="H313" s="261"/>
      <c r="I313" s="261"/>
      <c r="J313" s="261"/>
    </row>
    <row r="314">
      <c r="A314" s="153" t="s">
        <v>402</v>
      </c>
      <c r="B314" s="205">
        <v>3.0</v>
      </c>
      <c r="C314" s="263">
        <v>-0.2308</v>
      </c>
      <c r="D314" s="264">
        <v>-0.67</v>
      </c>
      <c r="E314" s="264">
        <v>3.5</v>
      </c>
      <c r="F314" s="264">
        <v>3.5</v>
      </c>
      <c r="G314" s="261"/>
      <c r="H314" s="261"/>
      <c r="I314" s="261"/>
      <c r="J314" s="261"/>
    </row>
    <row r="315">
      <c r="A315" s="155" t="s">
        <v>431</v>
      </c>
      <c r="B315" s="208">
        <v>30.0</v>
      </c>
      <c r="C315" s="262">
        <v>0.3</v>
      </c>
      <c r="D315" s="261"/>
      <c r="E315" s="261"/>
      <c r="F315" s="261"/>
      <c r="G315" s="261"/>
      <c r="H315" s="261"/>
      <c r="I315" s="261"/>
      <c r="J315" s="261"/>
    </row>
    <row r="316">
      <c r="A316" s="153" t="s">
        <v>458</v>
      </c>
      <c r="B316" s="264">
        <v>0.5</v>
      </c>
      <c r="C316" s="261"/>
      <c r="D316" s="261"/>
      <c r="E316" s="261"/>
      <c r="F316" s="261"/>
      <c r="G316" s="261"/>
      <c r="H316" s="261"/>
      <c r="I316" s="261"/>
      <c r="J316" s="261"/>
    </row>
    <row r="317">
      <c r="A317" s="155" t="s">
        <v>489</v>
      </c>
      <c r="B317" s="262">
        <v>0.4</v>
      </c>
      <c r="C317" s="208">
        <v>3.0</v>
      </c>
      <c r="D317" s="261"/>
      <c r="E317" s="261"/>
      <c r="F317" s="261"/>
      <c r="G317" s="261"/>
      <c r="H317" s="261"/>
      <c r="I317" s="261"/>
      <c r="J317" s="261"/>
    </row>
    <row r="318">
      <c r="A318" s="153" t="s">
        <v>513</v>
      </c>
      <c r="B318" s="205">
        <v>2.0</v>
      </c>
      <c r="C318" s="261"/>
      <c r="D318" s="261"/>
      <c r="E318" s="261"/>
      <c r="F318" s="261"/>
      <c r="G318" s="261"/>
      <c r="H318" s="261"/>
      <c r="I318" s="261"/>
      <c r="J318" s="261"/>
    </row>
    <row r="319">
      <c r="A319" s="155" t="s">
        <v>533</v>
      </c>
      <c r="B319" s="265">
        <v>-0.1667</v>
      </c>
      <c r="C319" s="208">
        <v>0.55</v>
      </c>
      <c r="D319" s="269"/>
      <c r="E319" s="261"/>
      <c r="F319" s="261"/>
      <c r="G319" s="261"/>
      <c r="H319" s="261"/>
      <c r="I319" s="261"/>
      <c r="J319" s="261"/>
    </row>
    <row r="320">
      <c r="A320" s="153" t="s">
        <v>552</v>
      </c>
      <c r="B320" s="271">
        <v>0.15</v>
      </c>
      <c r="C320" s="261"/>
      <c r="D320" s="261"/>
      <c r="E320" s="261"/>
      <c r="F320" s="261"/>
      <c r="G320" s="261"/>
      <c r="H320" s="261"/>
      <c r="I320" s="261"/>
      <c r="J320" s="261"/>
    </row>
    <row r="321">
      <c r="A321" s="155" t="s">
        <v>576</v>
      </c>
      <c r="B321" s="262">
        <v>0.8</v>
      </c>
      <c r="C321" s="265">
        <v>-0.2308</v>
      </c>
      <c r="D321" s="265">
        <v>0.5385</v>
      </c>
      <c r="E321" s="262">
        <v>-0.6</v>
      </c>
      <c r="F321" s="261"/>
      <c r="G321" s="261"/>
      <c r="H321" s="261"/>
      <c r="I321" s="261"/>
      <c r="J321" s="261"/>
    </row>
    <row r="322">
      <c r="A322" s="153" t="s">
        <v>599</v>
      </c>
      <c r="B322" s="264">
        <v>-0.5</v>
      </c>
      <c r="C322" s="263">
        <v>0.5873</v>
      </c>
      <c r="D322" s="261"/>
      <c r="E322" s="261"/>
      <c r="F322" s="261"/>
      <c r="G322" s="261"/>
      <c r="H322" s="261"/>
      <c r="I322" s="261"/>
      <c r="J322" s="261"/>
    </row>
    <row r="323">
      <c r="A323" s="155" t="s">
        <v>620</v>
      </c>
      <c r="B323" s="262">
        <v>0.3</v>
      </c>
      <c r="C323" s="262">
        <v>2.2</v>
      </c>
      <c r="D323" s="262">
        <v>2.2</v>
      </c>
      <c r="E323" s="261"/>
      <c r="F323" s="261"/>
      <c r="G323" s="261"/>
      <c r="H323" s="261"/>
      <c r="I323" s="261"/>
      <c r="J323" s="261"/>
    </row>
    <row r="324">
      <c r="A324" s="153" t="s">
        <v>645</v>
      </c>
      <c r="B324" s="205">
        <v>5.0</v>
      </c>
      <c r="C324" s="205">
        <v>0.26</v>
      </c>
      <c r="D324" s="264">
        <v>5.25</v>
      </c>
      <c r="E324" s="264">
        <v>-0.92</v>
      </c>
      <c r="F324" s="264">
        <v>0.09</v>
      </c>
      <c r="G324" s="266">
        <v>-0.35</v>
      </c>
      <c r="H324" s="261"/>
      <c r="I324" s="261"/>
      <c r="J324" s="261"/>
    </row>
    <row r="325">
      <c r="A325" s="155" t="s">
        <v>663</v>
      </c>
      <c r="B325" s="262">
        <v>0.5</v>
      </c>
      <c r="C325" s="261"/>
      <c r="D325" s="261"/>
      <c r="E325" s="261"/>
      <c r="F325" s="261"/>
      <c r="G325" s="261"/>
      <c r="H325" s="261"/>
      <c r="I325" s="261"/>
      <c r="J325" s="261"/>
    </row>
    <row r="326">
      <c r="A326" s="153" t="s">
        <v>678</v>
      </c>
      <c r="B326" s="264">
        <v>-0.3</v>
      </c>
      <c r="C326" s="264">
        <v>-0.3</v>
      </c>
      <c r="D326" s="261"/>
      <c r="E326" s="261"/>
      <c r="F326" s="261"/>
      <c r="G326" s="261"/>
      <c r="H326" s="261"/>
      <c r="I326" s="261"/>
      <c r="J326" s="261"/>
    </row>
    <row r="327">
      <c r="A327" s="155" t="s">
        <v>692</v>
      </c>
      <c r="B327" s="262">
        <v>0.23</v>
      </c>
      <c r="C327" s="261"/>
      <c r="D327" s="261"/>
      <c r="E327" s="261"/>
      <c r="F327" s="261"/>
      <c r="G327" s="261"/>
      <c r="H327" s="261"/>
      <c r="I327" s="261"/>
      <c r="J327" s="261"/>
    </row>
    <row r="328">
      <c r="A328" s="153" t="s">
        <v>711</v>
      </c>
      <c r="B328" s="264">
        <v>0.15</v>
      </c>
      <c r="C328" s="264">
        <v>-0.92</v>
      </c>
      <c r="D328" s="264">
        <v>-0.88</v>
      </c>
      <c r="E328" s="264">
        <v>-0.7</v>
      </c>
      <c r="F328" s="261"/>
      <c r="G328" s="261"/>
      <c r="H328" s="261"/>
      <c r="I328" s="261"/>
      <c r="J328" s="261"/>
    </row>
    <row r="329">
      <c r="A329" s="155" t="s">
        <v>729</v>
      </c>
      <c r="B329" s="265">
        <v>0.2346</v>
      </c>
      <c r="C329" s="261"/>
      <c r="D329" s="261"/>
      <c r="E329" s="261"/>
      <c r="F329" s="261"/>
      <c r="G329" s="261"/>
      <c r="H329" s="261"/>
      <c r="I329" s="261"/>
      <c r="J329" s="261"/>
    </row>
    <row r="330">
      <c r="A330" s="153" t="s">
        <v>747</v>
      </c>
      <c r="B330" s="264">
        <v>-0.2</v>
      </c>
      <c r="C330" s="264">
        <v>-0.2</v>
      </c>
      <c r="D330" s="261"/>
      <c r="E330" s="261"/>
      <c r="F330" s="261"/>
      <c r="G330" s="261"/>
      <c r="H330" s="261"/>
      <c r="I330" s="261"/>
      <c r="J330" s="261"/>
    </row>
    <row r="331">
      <c r="A331" s="155" t="s">
        <v>503</v>
      </c>
      <c r="B331" s="261"/>
      <c r="C331" s="261"/>
      <c r="D331" s="261"/>
      <c r="E331" s="261"/>
      <c r="F331" s="261"/>
      <c r="G331" s="261"/>
      <c r="H331" s="261"/>
      <c r="I331" s="261"/>
      <c r="J331" s="261"/>
    </row>
    <row r="332">
      <c r="A332" s="153" t="s">
        <v>511</v>
      </c>
      <c r="B332" s="261"/>
      <c r="C332" s="261"/>
      <c r="D332" s="261"/>
      <c r="E332" s="261"/>
      <c r="F332" s="261"/>
      <c r="G332" s="261"/>
      <c r="H332" s="261"/>
      <c r="I332" s="261"/>
      <c r="J332" s="261"/>
    </row>
    <row r="333">
      <c r="A333" s="155" t="s">
        <v>516</v>
      </c>
      <c r="B333" s="261"/>
      <c r="C333" s="261"/>
      <c r="D333" s="261"/>
      <c r="E333" s="261"/>
      <c r="F333" s="261"/>
      <c r="G333" s="261"/>
      <c r="H333" s="261"/>
      <c r="I333" s="261"/>
      <c r="J333" s="261"/>
    </row>
    <row r="334">
      <c r="A334" s="153"/>
      <c r="B334" s="261"/>
      <c r="C334" s="261"/>
      <c r="D334" s="261"/>
      <c r="E334" s="261"/>
      <c r="F334" s="261"/>
      <c r="G334" s="261"/>
      <c r="H334" s="261"/>
      <c r="I334" s="261"/>
      <c r="J334" s="261"/>
    </row>
    <row r="335">
      <c r="A335" s="155"/>
      <c r="B335" s="269"/>
      <c r="C335" s="261"/>
      <c r="D335" s="261"/>
      <c r="E335" s="261"/>
      <c r="F335" s="261"/>
      <c r="G335" s="261"/>
      <c r="H335" s="261"/>
      <c r="I335" s="261"/>
      <c r="J335" s="261"/>
    </row>
    <row r="336">
      <c r="A336" s="153"/>
      <c r="B336" s="269"/>
      <c r="C336" s="261"/>
      <c r="D336" s="261"/>
      <c r="E336" s="261"/>
      <c r="F336" s="261"/>
      <c r="G336" s="261"/>
      <c r="H336" s="261"/>
      <c r="I336" s="261"/>
      <c r="J336" s="261"/>
    </row>
    <row r="337">
      <c r="A337" s="155"/>
      <c r="B337" s="269"/>
      <c r="C337" s="261"/>
      <c r="D337" s="261"/>
      <c r="E337" s="261"/>
      <c r="F337" s="261"/>
      <c r="G337" s="261"/>
      <c r="H337" s="261"/>
      <c r="I337" s="261"/>
      <c r="J337" s="261"/>
    </row>
    <row r="338">
      <c r="A338" s="153"/>
      <c r="B338" s="261"/>
      <c r="C338" s="261"/>
      <c r="D338" s="261"/>
      <c r="E338" s="261"/>
      <c r="F338" s="261"/>
      <c r="G338" s="261"/>
      <c r="H338" s="261"/>
      <c r="I338" s="261"/>
      <c r="J338" s="261"/>
    </row>
    <row r="339">
      <c r="A339" s="155"/>
      <c r="B339" s="268"/>
      <c r="C339" s="261"/>
      <c r="D339" s="261"/>
      <c r="E339" s="261"/>
      <c r="F339" s="261"/>
      <c r="G339" s="261"/>
      <c r="H339" s="261"/>
      <c r="I339" s="261"/>
      <c r="J339" s="261"/>
    </row>
    <row r="340">
      <c r="A340" s="153"/>
      <c r="B340" s="261"/>
      <c r="C340" s="261"/>
      <c r="D340" s="261"/>
      <c r="E340" s="261"/>
      <c r="F340" s="261"/>
      <c r="G340" s="261"/>
      <c r="H340" s="261"/>
      <c r="I340" s="261"/>
      <c r="J340" s="261"/>
    </row>
    <row r="341">
      <c r="A341" s="155"/>
      <c r="B341" s="269"/>
      <c r="C341" s="261"/>
      <c r="D341" s="261"/>
      <c r="E341" s="261"/>
      <c r="F341" s="261"/>
      <c r="G341" s="261"/>
      <c r="H341" s="261"/>
      <c r="I341" s="261"/>
      <c r="J341" s="261"/>
    </row>
    <row r="342">
      <c r="A342" s="153"/>
      <c r="B342" s="261"/>
      <c r="C342" s="261"/>
      <c r="D342" s="261"/>
      <c r="E342" s="261"/>
      <c r="F342" s="261"/>
      <c r="G342" s="261"/>
      <c r="H342" s="261"/>
      <c r="I342" s="261"/>
      <c r="J342" s="261"/>
    </row>
    <row r="343">
      <c r="A343" s="155"/>
      <c r="B343" s="261"/>
      <c r="C343" s="261"/>
      <c r="D343" s="261"/>
      <c r="E343" s="261"/>
      <c r="F343" s="261"/>
      <c r="G343" s="261"/>
      <c r="H343" s="261"/>
      <c r="I343" s="261"/>
      <c r="J343" s="261"/>
    </row>
    <row r="344">
      <c r="A344" s="153"/>
      <c r="B344" s="261"/>
      <c r="C344" s="261"/>
      <c r="D344" s="261"/>
      <c r="E344" s="261"/>
      <c r="F344" s="261"/>
      <c r="G344" s="261"/>
      <c r="H344" s="261"/>
      <c r="I344" s="261"/>
      <c r="J344" s="261"/>
    </row>
    <row r="345">
      <c r="A345" s="155"/>
      <c r="B345" s="261"/>
      <c r="C345" s="261"/>
      <c r="D345" s="261"/>
      <c r="E345" s="261"/>
      <c r="F345" s="261"/>
      <c r="G345" s="261"/>
      <c r="H345" s="261"/>
      <c r="I345" s="261"/>
      <c r="J345" s="261"/>
    </row>
    <row r="346">
      <c r="A346" s="153"/>
      <c r="B346" s="269"/>
      <c r="C346" s="261"/>
      <c r="D346" s="261"/>
      <c r="E346" s="261"/>
      <c r="F346" s="261"/>
      <c r="G346" s="261"/>
      <c r="H346" s="261"/>
      <c r="I346" s="261"/>
      <c r="J346" s="261"/>
    </row>
    <row r="347">
      <c r="A347" s="155"/>
      <c r="B347" s="261"/>
      <c r="C347" s="269"/>
      <c r="D347" s="261"/>
      <c r="E347" s="261"/>
      <c r="F347" s="261"/>
      <c r="G347" s="261"/>
      <c r="H347" s="261"/>
      <c r="I347" s="261"/>
      <c r="J347" s="261"/>
    </row>
    <row r="348">
      <c r="A348" s="153"/>
      <c r="B348" s="269"/>
      <c r="C348" s="261"/>
      <c r="D348" s="261"/>
      <c r="E348" s="261"/>
      <c r="F348" s="261"/>
      <c r="G348" s="261"/>
      <c r="H348" s="261"/>
      <c r="I348" s="261"/>
      <c r="J348" s="261"/>
    </row>
    <row r="349">
      <c r="A349" s="155"/>
      <c r="B349" s="261"/>
      <c r="C349" s="261"/>
      <c r="D349" s="261"/>
      <c r="E349" s="269"/>
      <c r="F349" s="261"/>
      <c r="G349" s="261"/>
      <c r="H349" s="261"/>
      <c r="I349" s="261"/>
      <c r="J349" s="261"/>
    </row>
    <row r="350">
      <c r="A350" s="162"/>
      <c r="B350" s="269"/>
      <c r="C350" s="268"/>
      <c r="D350" s="261"/>
      <c r="E350" s="261"/>
      <c r="F350" s="261"/>
      <c r="G350" s="261"/>
      <c r="H350" s="261"/>
      <c r="I350" s="261"/>
      <c r="J350" s="261"/>
    </row>
    <row r="351">
      <c r="A351" s="150" t="str">
        <f t="array" ref="A351:A400">'Up Names'!H2:H51</f>
        <v>Bailing Water</v>
      </c>
      <c r="B351" s="208">
        <v>5.75</v>
      </c>
      <c r="C351" s="265">
        <v>0.3333</v>
      </c>
      <c r="D351" s="261"/>
      <c r="E351" s="261"/>
      <c r="F351" s="261"/>
      <c r="G351" s="261"/>
      <c r="H351" s="261"/>
      <c r="I351" s="261"/>
      <c r="J351" s="261"/>
    </row>
    <row r="352">
      <c r="A352" s="153" t="s">
        <v>157</v>
      </c>
      <c r="B352" s="264">
        <v>0.21</v>
      </c>
      <c r="C352" s="205">
        <v>3.0</v>
      </c>
      <c r="D352" s="205">
        <v>4.0</v>
      </c>
      <c r="E352" s="261"/>
      <c r="F352" s="261"/>
      <c r="G352" s="261"/>
      <c r="H352" s="261"/>
      <c r="I352" s="261"/>
      <c r="J352" s="261"/>
    </row>
    <row r="353">
      <c r="A353" s="155" t="s">
        <v>177</v>
      </c>
      <c r="B353" s="204">
        <v>90.0</v>
      </c>
      <c r="C353" s="208">
        <v>5.0</v>
      </c>
      <c r="D353" s="265">
        <v>2.3333</v>
      </c>
      <c r="E353" s="265">
        <v>-0.2857</v>
      </c>
      <c r="F353" s="262">
        <v>-0.2</v>
      </c>
      <c r="G353" s="261"/>
      <c r="H353" s="261"/>
      <c r="I353" s="261"/>
      <c r="J353" s="261"/>
    </row>
    <row r="354">
      <c r="A354" s="153" t="s">
        <v>197</v>
      </c>
      <c r="B354" s="206">
        <v>2.1</v>
      </c>
      <c r="C354" s="261"/>
      <c r="D354" s="261"/>
      <c r="E354" s="261"/>
      <c r="F354" s="261"/>
      <c r="G354" s="261"/>
      <c r="H354" s="261"/>
      <c r="I354" s="261"/>
      <c r="J354" s="261"/>
    </row>
    <row r="355">
      <c r="A355" s="155" t="s">
        <v>217</v>
      </c>
      <c r="B355" s="208">
        <v>0.6</v>
      </c>
      <c r="C355" s="261"/>
      <c r="D355" s="261"/>
      <c r="E355" s="261"/>
      <c r="F355" s="261"/>
      <c r="G355" s="261"/>
      <c r="H355" s="261"/>
      <c r="I355" s="261"/>
      <c r="J355" s="261"/>
    </row>
    <row r="356">
      <c r="A356" s="153" t="s">
        <v>236</v>
      </c>
      <c r="B356" s="264">
        <v>0.7</v>
      </c>
      <c r="C356" s="205">
        <v>2.0</v>
      </c>
      <c r="D356" s="261"/>
      <c r="E356" s="261"/>
      <c r="F356" s="261"/>
      <c r="G356" s="261"/>
      <c r="H356" s="261"/>
      <c r="I356" s="261"/>
      <c r="J356" s="261"/>
    </row>
    <row r="357">
      <c r="A357" s="155" t="s">
        <v>256</v>
      </c>
      <c r="B357" s="208">
        <v>2.0</v>
      </c>
      <c r="C357" s="208">
        <v>8.26</v>
      </c>
      <c r="D357" s="261"/>
      <c r="E357" s="261"/>
      <c r="F357" s="261"/>
      <c r="G357" s="261"/>
      <c r="H357" s="261"/>
      <c r="I357" s="261"/>
      <c r="J357" s="261"/>
    </row>
    <row r="358">
      <c r="A358" s="153" t="s">
        <v>276</v>
      </c>
      <c r="B358" s="263">
        <v>0.2821</v>
      </c>
      <c r="C358" s="205">
        <v>0.95</v>
      </c>
      <c r="D358" s="261"/>
      <c r="E358" s="261"/>
      <c r="F358" s="261"/>
      <c r="G358" s="261"/>
      <c r="H358" s="261"/>
      <c r="I358" s="261"/>
      <c r="J358" s="261"/>
    </row>
    <row r="359">
      <c r="A359" s="155" t="s">
        <v>296</v>
      </c>
      <c r="B359" s="204">
        <v>0.6</v>
      </c>
      <c r="C359" s="269"/>
      <c r="D359" s="261"/>
      <c r="E359" s="261"/>
      <c r="F359" s="261"/>
      <c r="G359" s="261"/>
      <c r="H359" s="261"/>
      <c r="I359" s="261"/>
      <c r="J359" s="261"/>
    </row>
    <row r="360">
      <c r="A360" s="153" t="s">
        <v>316</v>
      </c>
      <c r="B360" s="205">
        <v>20.0</v>
      </c>
      <c r="C360" s="205">
        <v>3.87</v>
      </c>
      <c r="D360" s="261"/>
      <c r="E360" s="261"/>
      <c r="F360" s="261"/>
      <c r="G360" s="261"/>
      <c r="H360" s="261"/>
      <c r="I360" s="261"/>
      <c r="J360" s="261"/>
    </row>
    <row r="361">
      <c r="A361" s="155" t="s">
        <v>336</v>
      </c>
      <c r="B361" s="262">
        <v>0.25</v>
      </c>
      <c r="C361" s="204">
        <v>37.0</v>
      </c>
      <c r="D361" s="261"/>
      <c r="E361" s="261"/>
      <c r="F361" s="261"/>
      <c r="G361" s="261"/>
      <c r="H361" s="261"/>
      <c r="I361" s="261"/>
      <c r="J361" s="261"/>
    </row>
    <row r="362">
      <c r="A362" s="153" t="s">
        <v>356</v>
      </c>
      <c r="B362" s="264">
        <v>0.3</v>
      </c>
      <c r="C362" s="261"/>
      <c r="D362" s="269"/>
      <c r="E362" s="261"/>
      <c r="F362" s="261"/>
      <c r="G362" s="261"/>
      <c r="H362" s="261"/>
      <c r="I362" s="261"/>
      <c r="J362" s="261"/>
    </row>
    <row r="363">
      <c r="A363" s="155" t="s">
        <v>380</v>
      </c>
      <c r="B363" s="204">
        <v>1.6</v>
      </c>
      <c r="C363" s="204">
        <v>8.8</v>
      </c>
      <c r="D363" s="261"/>
      <c r="E363" s="261"/>
      <c r="F363" s="261"/>
      <c r="G363" s="261"/>
      <c r="H363" s="261"/>
      <c r="I363" s="261"/>
      <c r="J363" s="261"/>
    </row>
    <row r="364">
      <c r="A364" s="153" t="s">
        <v>403</v>
      </c>
      <c r="B364" s="264">
        <v>0.03</v>
      </c>
      <c r="C364" s="264">
        <v>0.15</v>
      </c>
      <c r="D364" s="261"/>
      <c r="E364" s="261"/>
      <c r="F364" s="261"/>
      <c r="G364" s="261"/>
      <c r="H364" s="261"/>
      <c r="I364" s="261"/>
      <c r="J364" s="261"/>
    </row>
    <row r="365">
      <c r="A365" s="155" t="s">
        <v>432</v>
      </c>
      <c r="B365" s="208">
        <v>120.0</v>
      </c>
      <c r="C365" s="262">
        <v>0.12</v>
      </c>
      <c r="D365" s="262">
        <v>0.12</v>
      </c>
      <c r="E365" s="261"/>
      <c r="F365" s="261"/>
      <c r="G365" s="261"/>
      <c r="H365" s="261"/>
      <c r="I365" s="261"/>
      <c r="J365" s="261"/>
    </row>
    <row r="366">
      <c r="A366" s="153" t="s">
        <v>460</v>
      </c>
      <c r="B366" s="264">
        <v>-0.5</v>
      </c>
      <c r="C366" s="205">
        <v>2.0</v>
      </c>
      <c r="D366" s="261"/>
      <c r="E366" s="261"/>
      <c r="F366" s="261"/>
      <c r="G366" s="261"/>
      <c r="H366" s="261"/>
      <c r="I366" s="261"/>
      <c r="J366" s="261"/>
    </row>
    <row r="367">
      <c r="A367" s="155" t="s">
        <v>490</v>
      </c>
      <c r="B367" s="208">
        <v>1.0</v>
      </c>
      <c r="C367" s="261"/>
      <c r="D367" s="261"/>
      <c r="E367" s="261"/>
      <c r="F367" s="261"/>
      <c r="G367" s="261"/>
      <c r="H367" s="261"/>
      <c r="I367" s="261"/>
      <c r="J367" s="261"/>
    </row>
    <row r="368">
      <c r="A368" s="153" t="s">
        <v>514</v>
      </c>
      <c r="B368" s="205">
        <v>0.15</v>
      </c>
      <c r="C368" s="263">
        <v>0.2987</v>
      </c>
      <c r="D368" s="261"/>
      <c r="E368" s="261"/>
      <c r="F368" s="261"/>
      <c r="G368" s="261"/>
      <c r="H368" s="261"/>
      <c r="I368" s="261"/>
      <c r="J368" s="261"/>
    </row>
    <row r="369">
      <c r="A369" s="155" t="s">
        <v>534</v>
      </c>
      <c r="B369" s="265">
        <v>-0.3333</v>
      </c>
      <c r="C369" s="262">
        <v>1.2</v>
      </c>
      <c r="D369" s="261"/>
      <c r="E369" s="261"/>
      <c r="F369" s="261"/>
      <c r="G369" s="261"/>
      <c r="H369" s="261"/>
      <c r="I369" s="261"/>
      <c r="J369" s="261"/>
    </row>
    <row r="370">
      <c r="A370" s="153" t="s">
        <v>553</v>
      </c>
      <c r="B370" s="264">
        <v>3.0</v>
      </c>
      <c r="C370" s="261"/>
      <c r="D370" s="261"/>
      <c r="E370" s="261"/>
      <c r="F370" s="261"/>
      <c r="G370" s="261"/>
      <c r="H370" s="261"/>
      <c r="I370" s="261"/>
      <c r="J370" s="261"/>
    </row>
    <row r="371">
      <c r="A371" s="155" t="s">
        <v>577</v>
      </c>
      <c r="B371" s="204">
        <v>18.0</v>
      </c>
      <c r="C371" s="261"/>
      <c r="D371" s="261"/>
      <c r="E371" s="261"/>
      <c r="F371" s="261"/>
      <c r="G371" s="261"/>
      <c r="H371" s="261"/>
      <c r="I371" s="261"/>
      <c r="J371" s="261"/>
    </row>
    <row r="372">
      <c r="A372" s="153" t="s">
        <v>601</v>
      </c>
      <c r="B372" s="264">
        <v>1.85</v>
      </c>
      <c r="C372" s="261"/>
      <c r="D372" s="261"/>
      <c r="E372" s="261"/>
      <c r="F372" s="261"/>
      <c r="G372" s="261"/>
      <c r="H372" s="261"/>
      <c r="I372" s="261"/>
      <c r="J372" s="261"/>
    </row>
    <row r="373">
      <c r="A373" s="155" t="s">
        <v>621</v>
      </c>
      <c r="B373" s="265">
        <v>-0.0909</v>
      </c>
      <c r="C373" s="204">
        <v>40.0</v>
      </c>
      <c r="D373" s="204">
        <v>40.0</v>
      </c>
      <c r="E373" s="204">
        <v>40.0</v>
      </c>
      <c r="F373" s="262">
        <v>-0.63</v>
      </c>
      <c r="G373" s="262">
        <v>-0.53</v>
      </c>
      <c r="H373" s="261"/>
      <c r="I373" s="261"/>
      <c r="J373" s="261"/>
    </row>
    <row r="374">
      <c r="A374" s="153" t="s">
        <v>647</v>
      </c>
      <c r="B374" s="205">
        <v>4.0</v>
      </c>
      <c r="C374" s="205">
        <v>0.23</v>
      </c>
      <c r="D374" s="264">
        <v>1.0</v>
      </c>
      <c r="E374" s="205">
        <v>6.0</v>
      </c>
      <c r="F374" s="261"/>
      <c r="G374" s="261"/>
      <c r="H374" s="261"/>
      <c r="I374" s="261"/>
      <c r="J374" s="261"/>
    </row>
    <row r="375">
      <c r="A375" s="155" t="s">
        <v>664</v>
      </c>
      <c r="B375" s="208">
        <v>24.0</v>
      </c>
      <c r="C375" s="208">
        <v>36.0</v>
      </c>
      <c r="D375" s="261"/>
      <c r="E375" s="261"/>
      <c r="F375" s="261"/>
      <c r="G375" s="261"/>
      <c r="H375" s="261"/>
      <c r="I375" s="261"/>
      <c r="J375" s="261"/>
    </row>
    <row r="376">
      <c r="A376" s="153" t="s">
        <v>679</v>
      </c>
      <c r="B376" s="263">
        <v>0.4286</v>
      </c>
      <c r="C376" s="264">
        <v>0.4</v>
      </c>
      <c r="D376" s="264">
        <v>0.4</v>
      </c>
      <c r="E376" s="264">
        <v>0.85</v>
      </c>
      <c r="F376" s="264">
        <v>0.85</v>
      </c>
      <c r="G376" s="261"/>
      <c r="H376" s="261"/>
      <c r="I376" s="261"/>
      <c r="J376" s="261"/>
    </row>
    <row r="377">
      <c r="A377" s="155" t="s">
        <v>693</v>
      </c>
      <c r="B377" s="208">
        <v>15.0</v>
      </c>
      <c r="C377" s="261"/>
      <c r="D377" s="261"/>
      <c r="E377" s="261"/>
      <c r="F377" s="261"/>
      <c r="G377" s="261"/>
      <c r="H377" s="261"/>
      <c r="I377" s="261"/>
      <c r="J377" s="261"/>
    </row>
    <row r="378">
      <c r="A378" s="153" t="s">
        <v>712</v>
      </c>
      <c r="B378" s="206">
        <v>3.0</v>
      </c>
      <c r="C378" s="261"/>
      <c r="D378" s="261"/>
      <c r="E378" s="261"/>
      <c r="F378" s="261"/>
      <c r="G378" s="261"/>
      <c r="H378" s="261"/>
      <c r="I378" s="261"/>
      <c r="J378" s="261"/>
    </row>
    <row r="379">
      <c r="A379" s="155" t="s">
        <v>731</v>
      </c>
      <c r="B379" s="261"/>
      <c r="C379" s="261"/>
      <c r="D379" s="261"/>
      <c r="E379" s="261"/>
      <c r="F379" s="261"/>
      <c r="G379" s="261"/>
      <c r="H379" s="261"/>
      <c r="I379" s="261"/>
      <c r="J379" s="261"/>
    </row>
    <row r="380">
      <c r="A380" s="153" t="s">
        <v>748</v>
      </c>
      <c r="B380" s="267">
        <v>0.075</v>
      </c>
      <c r="C380" s="261"/>
      <c r="D380" s="261"/>
      <c r="E380" s="261"/>
      <c r="F380" s="261"/>
      <c r="G380" s="261"/>
      <c r="H380" s="261"/>
      <c r="I380" s="261"/>
      <c r="J380" s="261"/>
    </row>
    <row r="381">
      <c r="A381" s="155" t="s">
        <v>503</v>
      </c>
      <c r="B381" s="261"/>
      <c r="C381" s="261"/>
      <c r="D381" s="261"/>
      <c r="E381" s="261"/>
      <c r="F381" s="261"/>
      <c r="G381" s="261"/>
      <c r="H381" s="261"/>
      <c r="I381" s="261"/>
      <c r="J381" s="261"/>
    </row>
    <row r="382">
      <c r="A382" s="153" t="s">
        <v>511</v>
      </c>
      <c r="B382" s="269"/>
      <c r="C382" s="261"/>
      <c r="D382" s="261"/>
      <c r="E382" s="261"/>
      <c r="F382" s="261"/>
      <c r="G382" s="261"/>
      <c r="H382" s="261"/>
      <c r="I382" s="261"/>
      <c r="J382" s="261"/>
    </row>
    <row r="383">
      <c r="A383" s="155" t="s">
        <v>516</v>
      </c>
      <c r="B383" s="261"/>
      <c r="C383" s="261"/>
      <c r="D383" s="261"/>
      <c r="E383" s="261"/>
      <c r="F383" s="261"/>
      <c r="G383" s="261"/>
      <c r="H383" s="261"/>
      <c r="I383" s="261"/>
      <c r="J383" s="261"/>
    </row>
    <row r="384">
      <c r="A384" s="153"/>
      <c r="B384" s="261"/>
      <c r="C384" s="261"/>
      <c r="D384" s="261"/>
      <c r="E384" s="261"/>
      <c r="F384" s="261"/>
      <c r="G384" s="261"/>
      <c r="H384" s="261"/>
      <c r="I384" s="261"/>
      <c r="J384" s="261"/>
    </row>
    <row r="385">
      <c r="A385" s="155"/>
      <c r="B385" s="269"/>
      <c r="C385" s="261"/>
      <c r="D385" s="261"/>
      <c r="E385" s="261"/>
      <c r="F385" s="261"/>
      <c r="G385" s="261"/>
      <c r="H385" s="261"/>
      <c r="I385" s="261"/>
      <c r="J385" s="261"/>
    </row>
    <row r="386">
      <c r="A386" s="153"/>
      <c r="B386" s="269"/>
      <c r="C386" s="261"/>
      <c r="D386" s="261"/>
      <c r="E386" s="261"/>
      <c r="F386" s="261"/>
      <c r="G386" s="261"/>
      <c r="H386" s="261"/>
      <c r="I386" s="261"/>
      <c r="J386" s="261"/>
    </row>
    <row r="387">
      <c r="A387" s="155"/>
      <c r="B387" s="269"/>
      <c r="C387" s="261"/>
      <c r="D387" s="261"/>
      <c r="E387" s="261"/>
      <c r="F387" s="261"/>
      <c r="G387" s="261"/>
      <c r="H387" s="261"/>
      <c r="I387" s="261"/>
      <c r="J387" s="261"/>
    </row>
    <row r="388">
      <c r="A388" s="153"/>
      <c r="B388" s="261"/>
      <c r="C388" s="261"/>
      <c r="D388" s="261"/>
      <c r="E388" s="261"/>
      <c r="F388" s="261"/>
      <c r="G388" s="261"/>
      <c r="H388" s="261"/>
      <c r="I388" s="261"/>
      <c r="J388" s="261"/>
    </row>
    <row r="389">
      <c r="A389" s="155"/>
      <c r="B389" s="269"/>
      <c r="C389" s="261"/>
      <c r="D389" s="261"/>
      <c r="E389" s="261"/>
      <c r="F389" s="261"/>
      <c r="G389" s="261"/>
      <c r="H389" s="261"/>
      <c r="I389" s="261"/>
      <c r="J389" s="261"/>
    </row>
    <row r="390">
      <c r="A390" s="153"/>
      <c r="B390" s="269"/>
      <c r="C390" s="261"/>
      <c r="D390" s="268"/>
      <c r="E390" s="261"/>
      <c r="F390" s="261"/>
      <c r="G390" s="261"/>
      <c r="H390" s="261"/>
      <c r="I390" s="261"/>
      <c r="J390" s="261"/>
    </row>
    <row r="391">
      <c r="A391" s="155"/>
      <c r="B391" s="261"/>
      <c r="C391" s="261"/>
      <c r="D391" s="261"/>
      <c r="E391" s="261"/>
      <c r="F391" s="261"/>
      <c r="G391" s="261"/>
      <c r="H391" s="261"/>
      <c r="I391" s="261"/>
      <c r="J391" s="261"/>
    </row>
    <row r="392">
      <c r="A392" s="153"/>
      <c r="B392" s="261"/>
      <c r="C392" s="268"/>
      <c r="D392" s="261"/>
      <c r="E392" s="261"/>
      <c r="F392" s="261"/>
      <c r="G392" s="261"/>
      <c r="H392" s="261"/>
      <c r="I392" s="261"/>
      <c r="J392" s="261"/>
    </row>
    <row r="393">
      <c r="A393" s="155"/>
      <c r="B393" s="261"/>
      <c r="C393" s="261"/>
      <c r="D393" s="261"/>
      <c r="E393" s="261"/>
      <c r="F393" s="261"/>
      <c r="G393" s="261"/>
      <c r="H393" s="261"/>
      <c r="I393" s="261"/>
      <c r="J393" s="261"/>
    </row>
    <row r="394">
      <c r="A394" s="153"/>
      <c r="B394" s="268"/>
      <c r="C394" s="261"/>
      <c r="D394" s="261"/>
      <c r="E394" s="261"/>
      <c r="F394" s="261"/>
      <c r="G394" s="261"/>
      <c r="H394" s="261"/>
      <c r="I394" s="261"/>
      <c r="J394" s="261"/>
    </row>
    <row r="395">
      <c r="A395" s="155"/>
      <c r="B395" s="261"/>
      <c r="C395" s="261"/>
      <c r="D395" s="261"/>
      <c r="E395" s="261"/>
      <c r="F395" s="261"/>
      <c r="G395" s="261"/>
      <c r="H395" s="261"/>
      <c r="I395" s="261"/>
      <c r="J395" s="261"/>
    </row>
    <row r="396">
      <c r="A396" s="153"/>
      <c r="B396" s="261"/>
      <c r="C396" s="261"/>
      <c r="D396" s="261"/>
      <c r="E396" s="261"/>
      <c r="F396" s="261"/>
      <c r="G396" s="261"/>
      <c r="H396" s="261"/>
      <c r="I396" s="261"/>
      <c r="J396" s="261"/>
    </row>
    <row r="397">
      <c r="A397" s="155"/>
      <c r="B397" s="261"/>
      <c r="C397" s="261"/>
      <c r="D397" s="261"/>
      <c r="E397" s="261"/>
      <c r="F397" s="261"/>
      <c r="G397" s="261"/>
      <c r="H397" s="261"/>
      <c r="I397" s="261"/>
      <c r="J397" s="261"/>
    </row>
    <row r="398">
      <c r="A398" s="153"/>
      <c r="B398" s="269"/>
      <c r="C398" s="261"/>
      <c r="D398" s="261"/>
      <c r="E398" s="261"/>
      <c r="F398" s="261"/>
      <c r="G398" s="261"/>
      <c r="H398" s="261"/>
      <c r="I398" s="261"/>
      <c r="J398" s="261"/>
    </row>
    <row r="399">
      <c r="A399" s="155"/>
      <c r="B399" s="261"/>
      <c r="C399" s="261"/>
      <c r="D399" s="261"/>
      <c r="E399" s="261"/>
      <c r="F399" s="261"/>
      <c r="G399" s="261"/>
      <c r="H399" s="261"/>
      <c r="I399" s="261"/>
      <c r="J399" s="261"/>
    </row>
    <row r="400">
      <c r="A400" s="162"/>
      <c r="B400" s="261"/>
      <c r="C400" s="261"/>
      <c r="D400" s="261"/>
      <c r="E400" s="261"/>
      <c r="F400" s="261"/>
      <c r="G400" s="261"/>
      <c r="H400" s="261"/>
      <c r="I400" s="261"/>
      <c r="J400" s="261"/>
    </row>
    <row r="401">
      <c r="A401" s="150" t="str">
        <f t="array" ref="A401:A450">'Up Names'!I2:I51</f>
        <v>Flood</v>
      </c>
      <c r="B401" s="208">
        <v>19.0</v>
      </c>
      <c r="C401" s="265">
        <v>-0.5495</v>
      </c>
      <c r="D401" s="204">
        <v>0.0</v>
      </c>
      <c r="E401" s="262">
        <v>-0.76</v>
      </c>
      <c r="F401" s="261"/>
      <c r="G401" s="261"/>
      <c r="H401" s="261"/>
      <c r="I401" s="261"/>
      <c r="J401" s="261"/>
    </row>
    <row r="402">
      <c r="A402" s="153" t="s">
        <v>158</v>
      </c>
      <c r="B402" s="205">
        <v>-11.0</v>
      </c>
      <c r="C402" s="205">
        <v>0.2</v>
      </c>
      <c r="D402" s="205">
        <v>0.2</v>
      </c>
      <c r="E402" s="261"/>
      <c r="F402" s="261"/>
      <c r="G402" s="261"/>
      <c r="H402" s="261"/>
      <c r="I402" s="261"/>
      <c r="J402" s="261"/>
    </row>
    <row r="403">
      <c r="A403" s="155" t="s">
        <v>178</v>
      </c>
      <c r="B403" s="260">
        <v>0.12</v>
      </c>
      <c r="C403" s="262">
        <v>3.8</v>
      </c>
      <c r="D403" s="261"/>
      <c r="E403" s="261"/>
      <c r="F403" s="261"/>
      <c r="G403" s="261"/>
      <c r="H403" s="261"/>
      <c r="I403" s="261"/>
      <c r="J403" s="261"/>
    </row>
    <row r="404">
      <c r="A404" s="153" t="s">
        <v>198</v>
      </c>
      <c r="B404" s="205">
        <v>0.21</v>
      </c>
      <c r="C404" s="206">
        <v>0.54</v>
      </c>
      <c r="D404" s="266">
        <v>0.5</v>
      </c>
      <c r="E404" s="261"/>
      <c r="F404" s="261"/>
      <c r="G404" s="261"/>
      <c r="H404" s="261"/>
      <c r="I404" s="261"/>
      <c r="J404" s="261"/>
    </row>
    <row r="405">
      <c r="A405" s="155" t="s">
        <v>218</v>
      </c>
      <c r="B405" s="262">
        <v>0.6</v>
      </c>
      <c r="C405" s="261"/>
      <c r="D405" s="261"/>
      <c r="E405" s="261"/>
      <c r="F405" s="261"/>
      <c r="G405" s="261"/>
      <c r="H405" s="261"/>
      <c r="I405" s="261"/>
      <c r="J405" s="261"/>
    </row>
    <row r="406">
      <c r="A406" s="153" t="s">
        <v>237</v>
      </c>
      <c r="B406" s="205">
        <v>0.8</v>
      </c>
      <c r="C406" s="205">
        <v>0.9</v>
      </c>
      <c r="D406" s="264">
        <v>-0.7</v>
      </c>
      <c r="E406" s="264">
        <v>-0.4</v>
      </c>
      <c r="F406" s="263">
        <v>-0.2188</v>
      </c>
      <c r="G406" s="261"/>
      <c r="H406" s="261"/>
      <c r="I406" s="261"/>
      <c r="J406" s="261"/>
    </row>
    <row r="407">
      <c r="A407" s="155" t="s">
        <v>257</v>
      </c>
      <c r="B407" s="208">
        <v>0.75</v>
      </c>
      <c r="C407" s="261"/>
      <c r="D407" s="261"/>
      <c r="E407" s="261"/>
      <c r="F407" s="261"/>
      <c r="G407" s="261"/>
      <c r="H407" s="261"/>
      <c r="I407" s="261"/>
      <c r="J407" s="261"/>
    </row>
    <row r="408">
      <c r="A408" s="153" t="s">
        <v>277</v>
      </c>
      <c r="B408" s="205">
        <v>0.09</v>
      </c>
      <c r="C408" s="205">
        <v>1.0</v>
      </c>
      <c r="D408" s="261"/>
      <c r="E408" s="261"/>
      <c r="F408" s="261"/>
      <c r="G408" s="261"/>
      <c r="H408" s="261"/>
      <c r="I408" s="261"/>
      <c r="J408" s="261"/>
    </row>
    <row r="409">
      <c r="A409" s="155" t="s">
        <v>297</v>
      </c>
      <c r="B409" s="208">
        <v>7.0</v>
      </c>
      <c r="C409" s="204">
        <v>7.0</v>
      </c>
      <c r="D409" s="204" t="s">
        <v>2411</v>
      </c>
      <c r="E409" s="204">
        <v>3.0</v>
      </c>
      <c r="F409" s="265">
        <v>-0.2248</v>
      </c>
      <c r="G409" s="262">
        <v>-0.2</v>
      </c>
      <c r="H409" s="261"/>
      <c r="I409" s="261"/>
      <c r="J409" s="261"/>
    </row>
    <row r="410">
      <c r="A410" s="153" t="s">
        <v>317</v>
      </c>
      <c r="B410" s="271">
        <v>0.26</v>
      </c>
      <c r="C410" s="261"/>
      <c r="D410" s="261"/>
      <c r="E410" s="261"/>
      <c r="F410" s="261"/>
      <c r="G410" s="261"/>
      <c r="H410" s="261"/>
      <c r="I410" s="261"/>
      <c r="J410" s="261"/>
    </row>
    <row r="411">
      <c r="A411" s="155" t="s">
        <v>337</v>
      </c>
      <c r="B411" s="265">
        <v>-0.2188</v>
      </c>
      <c r="C411" s="204">
        <v>10.0</v>
      </c>
      <c r="D411" s="261"/>
      <c r="E411" s="261"/>
      <c r="F411" s="261"/>
      <c r="G411" s="261"/>
      <c r="H411" s="261"/>
      <c r="I411" s="261"/>
      <c r="J411" s="261"/>
    </row>
    <row r="412">
      <c r="A412" s="153" t="s">
        <v>357</v>
      </c>
      <c r="B412" s="264">
        <v>0.16</v>
      </c>
      <c r="C412" s="261"/>
      <c r="D412" s="261"/>
      <c r="E412" s="261"/>
      <c r="F412" s="261"/>
      <c r="G412" s="261"/>
      <c r="H412" s="261"/>
      <c r="I412" s="261"/>
      <c r="J412" s="261"/>
    </row>
    <row r="413">
      <c r="A413" s="155" t="s">
        <v>381</v>
      </c>
      <c r="B413" s="265">
        <v>0.5152</v>
      </c>
      <c r="C413" s="262">
        <v>0.15</v>
      </c>
      <c r="D413" s="262">
        <v>-0.34</v>
      </c>
      <c r="E413" s="262">
        <v>-0.34</v>
      </c>
      <c r="F413" s="262">
        <v>-0.44</v>
      </c>
      <c r="G413" s="261"/>
      <c r="H413" s="261"/>
      <c r="I413" s="261"/>
      <c r="J413" s="261"/>
    </row>
    <row r="414">
      <c r="A414" s="153" t="s">
        <v>405</v>
      </c>
      <c r="B414" s="264">
        <v>0.6</v>
      </c>
      <c r="C414" s="261"/>
      <c r="D414" s="261"/>
      <c r="E414" s="261"/>
      <c r="F414" s="261"/>
      <c r="G414" s="261"/>
      <c r="H414" s="261"/>
      <c r="I414" s="261"/>
      <c r="J414" s="261"/>
    </row>
    <row r="415">
      <c r="A415" s="155" t="s">
        <v>433</v>
      </c>
      <c r="B415" s="265">
        <v>-0.1803</v>
      </c>
      <c r="C415" s="204">
        <v>5.0</v>
      </c>
      <c r="D415" s="261"/>
      <c r="E415" s="261"/>
      <c r="F415" s="261"/>
      <c r="G415" s="261"/>
      <c r="H415" s="261"/>
      <c r="I415" s="261"/>
      <c r="J415" s="261"/>
    </row>
    <row r="416">
      <c r="A416" s="153" t="s">
        <v>462</v>
      </c>
      <c r="B416" s="264">
        <v>0.26</v>
      </c>
      <c r="C416" s="264">
        <v>0.5</v>
      </c>
      <c r="D416" s="264">
        <v>0.5</v>
      </c>
      <c r="E416" s="261"/>
      <c r="F416" s="261"/>
      <c r="G416" s="261"/>
      <c r="H416" s="261"/>
      <c r="I416" s="261"/>
      <c r="J416" s="261"/>
    </row>
    <row r="417">
      <c r="A417" s="155" t="s">
        <v>491</v>
      </c>
      <c r="B417" s="262">
        <v>0.8</v>
      </c>
      <c r="C417" s="262">
        <v>0.2</v>
      </c>
      <c r="D417" s="261"/>
      <c r="E417" s="261"/>
      <c r="F417" s="261"/>
      <c r="G417" s="261"/>
      <c r="H417" s="261"/>
      <c r="I417" s="261"/>
      <c r="J417" s="261"/>
    </row>
    <row r="418">
      <c r="A418" s="153" t="s">
        <v>515</v>
      </c>
      <c r="B418" s="206">
        <v>0.18</v>
      </c>
      <c r="C418" s="269"/>
      <c r="D418" s="261"/>
      <c r="E418" s="261"/>
      <c r="F418" s="261"/>
      <c r="G418" s="261"/>
      <c r="H418" s="261"/>
      <c r="I418" s="261"/>
      <c r="J418" s="261"/>
    </row>
    <row r="419">
      <c r="A419" s="155" t="s">
        <v>535</v>
      </c>
      <c r="B419" s="204">
        <v>0.0</v>
      </c>
      <c r="C419" s="204">
        <v>0.0</v>
      </c>
      <c r="D419" s="261"/>
      <c r="E419" s="261"/>
      <c r="F419" s="261"/>
      <c r="G419" s="261"/>
      <c r="H419" s="261"/>
      <c r="I419" s="261"/>
      <c r="J419" s="261"/>
    </row>
    <row r="420">
      <c r="A420" s="153" t="s">
        <v>554</v>
      </c>
      <c r="B420" s="264">
        <v>0.28</v>
      </c>
      <c r="C420" s="205">
        <v>0.28</v>
      </c>
      <c r="D420" s="261"/>
      <c r="E420" s="261"/>
      <c r="F420" s="261"/>
      <c r="G420" s="261"/>
      <c r="H420" s="261"/>
      <c r="I420" s="261"/>
      <c r="J420" s="261"/>
    </row>
    <row r="421">
      <c r="A421" s="155" t="s">
        <v>578</v>
      </c>
      <c r="B421" s="208">
        <v>1.0</v>
      </c>
      <c r="C421" s="262">
        <v>0.85</v>
      </c>
      <c r="D421" s="265">
        <v>0.3333</v>
      </c>
      <c r="E421" s="261"/>
      <c r="F421" s="261"/>
      <c r="G421" s="261"/>
      <c r="H421" s="261"/>
      <c r="I421" s="261"/>
      <c r="J421" s="261"/>
    </row>
    <row r="422">
      <c r="A422" s="153" t="s">
        <v>602</v>
      </c>
      <c r="B422" s="206">
        <v>2.5</v>
      </c>
      <c r="C422" s="261"/>
      <c r="D422" s="261"/>
      <c r="E422" s="261"/>
      <c r="F422" s="261"/>
      <c r="G422" s="261"/>
      <c r="H422" s="261"/>
      <c r="I422" s="261"/>
      <c r="J422" s="261"/>
    </row>
    <row r="423">
      <c r="A423" s="155" t="s">
        <v>623</v>
      </c>
      <c r="B423" s="204">
        <v>2.0</v>
      </c>
      <c r="C423" s="261"/>
      <c r="D423" s="261"/>
      <c r="E423" s="261"/>
      <c r="F423" s="261"/>
      <c r="G423" s="261"/>
      <c r="H423" s="261"/>
      <c r="I423" s="261"/>
      <c r="J423" s="261"/>
    </row>
    <row r="424">
      <c r="A424" s="153" t="s">
        <v>648</v>
      </c>
      <c r="B424" s="264">
        <v>-0.6</v>
      </c>
      <c r="C424" s="205">
        <v>6.0</v>
      </c>
      <c r="D424" s="261"/>
      <c r="E424" s="261"/>
      <c r="F424" s="261"/>
      <c r="G424" s="261"/>
      <c r="H424" s="261"/>
      <c r="I424" s="261"/>
      <c r="J424" s="261"/>
    </row>
    <row r="425">
      <c r="A425" s="155" t="s">
        <v>665</v>
      </c>
      <c r="B425" s="262">
        <v>-0.4</v>
      </c>
      <c r="C425" s="204">
        <v>7.0</v>
      </c>
      <c r="D425" s="261"/>
      <c r="E425" s="261"/>
      <c r="F425" s="261"/>
      <c r="G425" s="261"/>
      <c r="H425" s="261"/>
      <c r="I425" s="261"/>
      <c r="J425" s="261"/>
    </row>
    <row r="426">
      <c r="A426" s="153" t="s">
        <v>503</v>
      </c>
      <c r="B426" s="261"/>
      <c r="C426" s="261"/>
      <c r="D426" s="269"/>
      <c r="E426" s="261"/>
      <c r="F426" s="261"/>
      <c r="G426" s="261"/>
      <c r="H426" s="261"/>
      <c r="I426" s="261"/>
      <c r="J426" s="261"/>
    </row>
    <row r="427">
      <c r="A427" s="155" t="s">
        <v>511</v>
      </c>
      <c r="B427" s="261"/>
      <c r="C427" s="261"/>
      <c r="D427" s="261"/>
      <c r="E427" s="261"/>
      <c r="F427" s="261"/>
      <c r="G427" s="261"/>
      <c r="H427" s="261"/>
      <c r="I427" s="261"/>
      <c r="J427" s="261"/>
    </row>
    <row r="428">
      <c r="A428" s="153" t="s">
        <v>516</v>
      </c>
      <c r="B428" s="261"/>
      <c r="C428" s="261"/>
      <c r="D428" s="261"/>
      <c r="E428" s="261"/>
      <c r="F428" s="261"/>
      <c r="G428" s="261"/>
      <c r="H428" s="261"/>
      <c r="I428" s="261"/>
      <c r="J428" s="261"/>
    </row>
    <row r="429">
      <c r="A429" s="155"/>
      <c r="B429" s="261"/>
      <c r="C429" s="268"/>
      <c r="D429" s="261"/>
      <c r="E429" s="261"/>
      <c r="F429" s="261"/>
      <c r="G429" s="261"/>
      <c r="H429" s="261"/>
      <c r="I429" s="261"/>
      <c r="J429" s="261"/>
    </row>
    <row r="430">
      <c r="A430" s="153"/>
      <c r="B430" s="261"/>
      <c r="C430" s="261"/>
      <c r="D430" s="261"/>
      <c r="E430" s="261"/>
      <c r="F430" s="261"/>
      <c r="G430" s="261"/>
      <c r="H430" s="261"/>
      <c r="I430" s="261"/>
      <c r="J430" s="261"/>
    </row>
    <row r="431">
      <c r="A431" s="155"/>
      <c r="B431" s="261"/>
      <c r="C431" s="261"/>
      <c r="D431" s="261"/>
      <c r="E431" s="261"/>
      <c r="F431" s="261"/>
      <c r="G431" s="261"/>
      <c r="H431" s="261"/>
      <c r="I431" s="261"/>
      <c r="J431" s="261"/>
    </row>
    <row r="432">
      <c r="A432" s="153"/>
      <c r="B432" s="261"/>
      <c r="C432" s="261"/>
      <c r="D432" s="261"/>
      <c r="E432" s="261"/>
      <c r="F432" s="261"/>
      <c r="G432" s="261"/>
      <c r="H432" s="261"/>
      <c r="I432" s="261"/>
      <c r="J432" s="261"/>
    </row>
    <row r="433">
      <c r="A433" s="155"/>
      <c r="B433" s="261"/>
      <c r="C433" s="261"/>
      <c r="D433" s="261"/>
      <c r="E433" s="261"/>
      <c r="F433" s="261"/>
      <c r="G433" s="261"/>
      <c r="H433" s="261"/>
      <c r="I433" s="261"/>
      <c r="J433" s="261"/>
    </row>
    <row r="434">
      <c r="A434" s="153"/>
      <c r="B434" s="261"/>
      <c r="C434" s="261"/>
      <c r="D434" s="261"/>
      <c r="E434" s="261"/>
      <c r="F434" s="261"/>
      <c r="G434" s="261"/>
      <c r="H434" s="261"/>
      <c r="I434" s="261"/>
      <c r="J434" s="261"/>
    </row>
    <row r="435">
      <c r="A435" s="155"/>
      <c r="B435" s="261"/>
      <c r="C435" s="261"/>
      <c r="D435" s="261"/>
      <c r="E435" s="261"/>
      <c r="F435" s="261"/>
      <c r="G435" s="261"/>
      <c r="H435" s="261"/>
      <c r="I435" s="261"/>
      <c r="J435" s="261"/>
    </row>
    <row r="436">
      <c r="A436" s="153"/>
      <c r="B436" s="269"/>
      <c r="C436" s="269"/>
      <c r="D436" s="261"/>
      <c r="E436" s="261"/>
      <c r="F436" s="261"/>
      <c r="G436" s="261"/>
      <c r="H436" s="261"/>
      <c r="I436" s="261"/>
      <c r="J436" s="261"/>
    </row>
    <row r="437">
      <c r="A437" s="155"/>
      <c r="B437" s="268"/>
      <c r="C437" s="261"/>
      <c r="D437" s="261"/>
      <c r="E437" s="261"/>
      <c r="F437" s="261"/>
      <c r="G437" s="261"/>
      <c r="H437" s="261"/>
      <c r="I437" s="261"/>
      <c r="J437" s="261"/>
    </row>
    <row r="438">
      <c r="A438" s="153"/>
      <c r="B438" s="261"/>
      <c r="C438" s="261"/>
      <c r="D438" s="261"/>
      <c r="E438" s="261"/>
      <c r="F438" s="261"/>
      <c r="G438" s="261"/>
      <c r="H438" s="261"/>
      <c r="I438" s="261"/>
      <c r="J438" s="261"/>
    </row>
    <row r="439">
      <c r="A439" s="155"/>
      <c r="B439" s="269"/>
      <c r="C439" s="269"/>
      <c r="D439" s="261"/>
      <c r="E439" s="261"/>
      <c r="F439" s="261"/>
      <c r="G439" s="261"/>
      <c r="H439" s="261"/>
      <c r="I439" s="261"/>
      <c r="J439" s="261"/>
    </row>
    <row r="440">
      <c r="A440" s="153"/>
      <c r="B440" s="269"/>
      <c r="C440" s="269"/>
      <c r="D440" s="261"/>
      <c r="E440" s="261"/>
      <c r="F440" s="261"/>
      <c r="G440" s="261"/>
      <c r="H440" s="261"/>
      <c r="I440" s="261"/>
      <c r="J440" s="261"/>
    </row>
    <row r="441">
      <c r="A441" s="155"/>
      <c r="B441" s="269"/>
      <c r="C441" s="261"/>
      <c r="D441" s="261"/>
      <c r="E441" s="261"/>
      <c r="F441" s="261"/>
      <c r="G441" s="261"/>
      <c r="H441" s="261"/>
      <c r="I441" s="261"/>
      <c r="J441" s="261"/>
    </row>
    <row r="442">
      <c r="A442" s="153"/>
      <c r="B442" s="261"/>
      <c r="C442" s="261"/>
      <c r="D442" s="261"/>
      <c r="E442" s="261"/>
      <c r="F442" s="261"/>
      <c r="G442" s="261"/>
      <c r="H442" s="261"/>
      <c r="I442" s="261"/>
      <c r="J442" s="261"/>
    </row>
    <row r="443">
      <c r="A443" s="155"/>
      <c r="B443" s="269"/>
      <c r="C443" s="261"/>
      <c r="D443" s="261"/>
      <c r="E443" s="261"/>
      <c r="F443" s="261"/>
      <c r="G443" s="261"/>
      <c r="H443" s="261"/>
      <c r="I443" s="261"/>
      <c r="J443" s="261"/>
    </row>
    <row r="444">
      <c r="A444" s="153"/>
      <c r="B444" s="269"/>
      <c r="C444" s="261"/>
      <c r="D444" s="261"/>
      <c r="E444" s="261"/>
      <c r="F444" s="261"/>
      <c r="G444" s="261"/>
      <c r="H444" s="261"/>
      <c r="I444" s="261"/>
      <c r="J444" s="261"/>
    </row>
    <row r="445">
      <c r="A445" s="155"/>
      <c r="B445" s="261"/>
      <c r="C445" s="261"/>
      <c r="D445" s="261"/>
      <c r="E445" s="261"/>
      <c r="F445" s="261"/>
      <c r="G445" s="261"/>
      <c r="H445" s="261"/>
      <c r="I445" s="261"/>
      <c r="J445" s="261"/>
    </row>
    <row r="446">
      <c r="A446" s="153"/>
      <c r="B446" s="261"/>
      <c r="C446" s="261"/>
      <c r="D446" s="261"/>
      <c r="E446" s="261"/>
      <c r="F446" s="261"/>
      <c r="G446" s="261"/>
      <c r="H446" s="261"/>
      <c r="I446" s="261"/>
      <c r="J446" s="261"/>
    </row>
    <row r="447">
      <c r="A447" s="155"/>
      <c r="B447" s="261"/>
      <c r="C447" s="261"/>
      <c r="D447" s="261"/>
      <c r="E447" s="261"/>
      <c r="F447" s="261"/>
      <c r="G447" s="261"/>
      <c r="H447" s="261"/>
      <c r="I447" s="261"/>
      <c r="J447" s="261"/>
    </row>
    <row r="448">
      <c r="A448" s="153"/>
      <c r="B448" s="269"/>
      <c r="C448" s="269"/>
      <c r="D448" s="261"/>
      <c r="E448" s="261"/>
      <c r="F448" s="261"/>
      <c r="G448" s="261"/>
      <c r="H448" s="261"/>
      <c r="I448" s="261"/>
      <c r="J448" s="261"/>
    </row>
    <row r="449">
      <c r="A449" s="155"/>
      <c r="B449" s="269"/>
      <c r="C449" s="269"/>
      <c r="D449" s="261"/>
      <c r="E449" s="261"/>
      <c r="F449" s="261"/>
      <c r="G449" s="261"/>
      <c r="H449" s="261"/>
      <c r="I449" s="261"/>
      <c r="J449" s="261"/>
    </row>
    <row r="450">
      <c r="A450" s="162"/>
      <c r="B450" s="269"/>
      <c r="C450" s="261"/>
      <c r="D450" s="261"/>
      <c r="E450" s="261"/>
      <c r="F450" s="261"/>
      <c r="G450" s="261"/>
      <c r="H450" s="261"/>
      <c r="I450" s="261"/>
      <c r="J450" s="261"/>
    </row>
    <row r="451">
      <c r="A451" s="150" t="str">
        <f t="array" ref="A451:A500">'Up Names'!J2:J51</f>
        <v>Deflector</v>
      </c>
      <c r="B451" s="204">
        <v>2.0</v>
      </c>
      <c r="C451" s="266">
        <v>0.11</v>
      </c>
      <c r="D451" s="261"/>
      <c r="E451" s="261"/>
      <c r="F451" s="261"/>
      <c r="G451" s="261"/>
      <c r="H451" s="261"/>
      <c r="I451" s="261"/>
      <c r="J451" s="261"/>
    </row>
    <row r="452">
      <c r="A452" s="153" t="s">
        <v>159</v>
      </c>
      <c r="B452" s="206">
        <v>5.5</v>
      </c>
      <c r="C452" s="263">
        <v>0.113</v>
      </c>
      <c r="D452" s="261"/>
      <c r="E452" s="261"/>
      <c r="F452" s="261"/>
      <c r="G452" s="261"/>
      <c r="H452" s="261"/>
      <c r="I452" s="261"/>
      <c r="J452" s="261"/>
    </row>
    <row r="453">
      <c r="A453" s="155" t="s">
        <v>179</v>
      </c>
      <c r="B453" s="208">
        <v>0.5</v>
      </c>
      <c r="C453" s="204">
        <v>0.32</v>
      </c>
      <c r="D453" s="208">
        <v>0.25</v>
      </c>
      <c r="E453" s="261"/>
      <c r="F453" s="261"/>
      <c r="G453" s="261"/>
      <c r="H453" s="261"/>
      <c r="I453" s="261"/>
      <c r="J453" s="261"/>
    </row>
    <row r="454">
      <c r="A454" s="153" t="s">
        <v>199</v>
      </c>
      <c r="B454" s="205">
        <v>10.0</v>
      </c>
      <c r="C454" s="205">
        <v>8.0</v>
      </c>
      <c r="D454" s="269"/>
      <c r="E454" s="261"/>
      <c r="F454" s="261"/>
      <c r="G454" s="261"/>
      <c r="H454" s="261"/>
      <c r="I454" s="261"/>
      <c r="J454" s="261"/>
    </row>
    <row r="455">
      <c r="A455" s="155" t="s">
        <v>219</v>
      </c>
      <c r="B455" s="204">
        <v>7.0</v>
      </c>
      <c r="C455" s="262">
        <v>-0.4</v>
      </c>
      <c r="D455" s="266">
        <v>0.03</v>
      </c>
      <c r="E455" s="261"/>
      <c r="F455" s="261"/>
      <c r="G455" s="261"/>
      <c r="H455" s="261"/>
      <c r="I455" s="261"/>
      <c r="J455" s="261"/>
    </row>
    <row r="456">
      <c r="A456" s="153" t="s">
        <v>238</v>
      </c>
      <c r="B456" s="263">
        <v>0.005</v>
      </c>
      <c r="C456" s="269"/>
      <c r="D456" s="261"/>
      <c r="E456" s="261"/>
      <c r="F456" s="261"/>
      <c r="G456" s="261"/>
      <c r="H456" s="261"/>
      <c r="I456" s="261"/>
      <c r="J456" s="261"/>
    </row>
    <row r="457">
      <c r="A457" s="155" t="s">
        <v>258</v>
      </c>
      <c r="B457" s="208">
        <v>0.7</v>
      </c>
      <c r="C457" s="269"/>
      <c r="D457" s="261"/>
      <c r="E457" s="261"/>
      <c r="F457" s="261"/>
      <c r="G457" s="261"/>
      <c r="H457" s="261"/>
      <c r="I457" s="261"/>
      <c r="J457" s="261"/>
    </row>
    <row r="458">
      <c r="A458" s="153" t="s">
        <v>278</v>
      </c>
      <c r="B458" s="205">
        <v>0.3</v>
      </c>
      <c r="C458" s="261"/>
      <c r="D458" s="261"/>
      <c r="E458" s="261"/>
      <c r="F458" s="261"/>
      <c r="G458" s="261"/>
      <c r="H458" s="261"/>
      <c r="I458" s="261"/>
      <c r="J458" s="261"/>
    </row>
    <row r="459">
      <c r="A459" s="155" t="s">
        <v>298</v>
      </c>
      <c r="B459" s="204">
        <v>1.56</v>
      </c>
      <c r="C459" s="204">
        <v>0.12</v>
      </c>
      <c r="D459" s="261"/>
      <c r="E459" s="269"/>
      <c r="F459" s="269"/>
      <c r="G459" s="261"/>
      <c r="H459" s="261"/>
      <c r="I459" s="261"/>
      <c r="J459" s="261"/>
    </row>
    <row r="460">
      <c r="A460" s="153" t="s">
        <v>318</v>
      </c>
      <c r="B460" s="205">
        <v>1.5</v>
      </c>
      <c r="C460" s="205">
        <v>4.6</v>
      </c>
      <c r="D460" s="205">
        <v>1.6</v>
      </c>
      <c r="E460" s="261"/>
      <c r="F460" s="261"/>
      <c r="G460" s="261"/>
      <c r="H460" s="261"/>
      <c r="I460" s="261"/>
      <c r="J460" s="261"/>
    </row>
    <row r="461">
      <c r="A461" s="155" t="s">
        <v>338</v>
      </c>
      <c r="B461" s="269"/>
      <c r="C461" s="261"/>
      <c r="D461" s="261"/>
      <c r="E461" s="261"/>
      <c r="F461" s="261"/>
      <c r="G461" s="261"/>
      <c r="H461" s="261"/>
      <c r="I461" s="261"/>
      <c r="J461" s="261"/>
    </row>
    <row r="462">
      <c r="A462" s="153" t="s">
        <v>358</v>
      </c>
      <c r="B462" s="264">
        <v>0.2</v>
      </c>
      <c r="C462" s="205">
        <v>3.0</v>
      </c>
      <c r="D462" s="261"/>
      <c r="E462" s="261"/>
      <c r="F462" s="261"/>
      <c r="G462" s="261"/>
      <c r="H462" s="261"/>
      <c r="I462" s="261"/>
      <c r="J462" s="261"/>
    </row>
    <row r="463">
      <c r="A463" s="155" t="s">
        <v>382</v>
      </c>
      <c r="B463" s="204">
        <v>5.0</v>
      </c>
      <c r="C463" s="208">
        <v>7.0</v>
      </c>
      <c r="D463" s="261"/>
      <c r="E463" s="261"/>
      <c r="F463" s="261"/>
      <c r="G463" s="261"/>
      <c r="H463" s="261"/>
      <c r="I463" s="261"/>
      <c r="J463" s="261"/>
    </row>
    <row r="464">
      <c r="A464" s="153" t="s">
        <v>407</v>
      </c>
      <c r="B464" s="264">
        <v>0.01</v>
      </c>
      <c r="C464" s="261"/>
      <c r="D464" s="261"/>
      <c r="E464" s="261"/>
      <c r="F464" s="261"/>
      <c r="G464" s="261"/>
      <c r="H464" s="261"/>
      <c r="I464" s="261"/>
      <c r="J464" s="261"/>
    </row>
    <row r="465">
      <c r="A465" s="155" t="s">
        <v>434</v>
      </c>
      <c r="B465" s="204">
        <v>0.14</v>
      </c>
      <c r="C465" s="261"/>
      <c r="D465" s="261"/>
      <c r="E465" s="261"/>
      <c r="F465" s="261"/>
      <c r="G465" s="261"/>
      <c r="H465" s="261"/>
      <c r="I465" s="261"/>
      <c r="J465" s="261"/>
    </row>
    <row r="466">
      <c r="A466" s="153" t="s">
        <v>463</v>
      </c>
      <c r="B466" s="206">
        <v>4.0</v>
      </c>
      <c r="C466" s="205">
        <v>3.0</v>
      </c>
      <c r="D466" s="261"/>
      <c r="E466" s="261"/>
      <c r="F466" s="261"/>
      <c r="G466" s="261"/>
      <c r="H466" s="261"/>
      <c r="I466" s="261"/>
      <c r="J466" s="261"/>
    </row>
    <row r="467">
      <c r="A467" s="155" t="s">
        <v>493</v>
      </c>
      <c r="B467" s="262">
        <v>0.3</v>
      </c>
      <c r="C467" s="262">
        <v>0.8</v>
      </c>
      <c r="D467" s="262">
        <v>-0.7</v>
      </c>
      <c r="E467" s="261"/>
      <c r="F467" s="261"/>
      <c r="G467" s="261"/>
      <c r="H467" s="261"/>
      <c r="I467" s="261"/>
      <c r="J467" s="261"/>
    </row>
    <row r="468">
      <c r="A468" s="153" t="s">
        <v>517</v>
      </c>
      <c r="B468" s="206">
        <v>30.0</v>
      </c>
      <c r="C468" s="261"/>
      <c r="D468" s="261"/>
      <c r="E468" s="261"/>
      <c r="F468" s="261"/>
      <c r="G468" s="261"/>
      <c r="H468" s="261"/>
      <c r="I468" s="261"/>
      <c r="J468" s="261"/>
    </row>
    <row r="469">
      <c r="A469" s="155" t="s">
        <v>536</v>
      </c>
      <c r="B469" s="260">
        <v>0.13</v>
      </c>
      <c r="C469" s="262">
        <v>1.25</v>
      </c>
      <c r="D469" s="261"/>
      <c r="E469" s="261"/>
      <c r="F469" s="261"/>
      <c r="G469" s="261"/>
      <c r="H469" s="261"/>
      <c r="I469" s="261"/>
      <c r="J469" s="261"/>
    </row>
    <row r="470">
      <c r="A470" s="153" t="s">
        <v>555</v>
      </c>
      <c r="B470" s="264">
        <v>0.25</v>
      </c>
      <c r="C470" s="261"/>
      <c r="D470" s="261"/>
      <c r="E470" s="261"/>
      <c r="F470" s="261"/>
      <c r="G470" s="261"/>
      <c r="H470" s="261"/>
      <c r="I470" s="261"/>
      <c r="J470" s="261"/>
    </row>
    <row r="471">
      <c r="A471" s="155" t="s">
        <v>579</v>
      </c>
      <c r="B471" s="262">
        <v>0.08</v>
      </c>
      <c r="C471" s="269"/>
      <c r="D471" s="261"/>
      <c r="E471" s="261"/>
      <c r="F471" s="261"/>
      <c r="G471" s="261"/>
      <c r="H471" s="261"/>
      <c r="I471" s="261"/>
      <c r="J471" s="261"/>
    </row>
    <row r="472">
      <c r="A472" s="153" t="s">
        <v>603</v>
      </c>
      <c r="B472" s="205">
        <v>0.5</v>
      </c>
      <c r="C472" s="261"/>
      <c r="D472" s="261"/>
      <c r="E472" s="261"/>
      <c r="F472" s="261"/>
      <c r="G472" s="261"/>
      <c r="H472" s="261"/>
      <c r="I472" s="261"/>
      <c r="J472" s="261"/>
    </row>
    <row r="473">
      <c r="A473" s="155" t="s">
        <v>624</v>
      </c>
      <c r="B473" s="262">
        <v>0.09</v>
      </c>
      <c r="C473" s="261"/>
      <c r="D473" s="261"/>
      <c r="E473" s="261"/>
      <c r="F473" s="261"/>
      <c r="G473" s="261"/>
      <c r="H473" s="261"/>
      <c r="I473" s="261"/>
      <c r="J473" s="261"/>
    </row>
    <row r="474">
      <c r="A474" s="153" t="s">
        <v>649</v>
      </c>
      <c r="B474" s="264">
        <v>0.5</v>
      </c>
      <c r="C474" s="261"/>
      <c r="D474" s="261"/>
      <c r="E474" s="261"/>
      <c r="F474" s="261"/>
      <c r="G474" s="261"/>
      <c r="H474" s="261"/>
      <c r="I474" s="261"/>
      <c r="J474" s="261"/>
    </row>
    <row r="475">
      <c r="A475" s="155" t="s">
        <v>666</v>
      </c>
      <c r="B475" s="262">
        <v>0.15</v>
      </c>
      <c r="C475" s="261"/>
      <c r="D475" s="261"/>
      <c r="E475" s="261"/>
      <c r="F475" s="261"/>
      <c r="G475" s="261"/>
      <c r="H475" s="261"/>
      <c r="I475" s="261"/>
      <c r="J475" s="261"/>
    </row>
    <row r="476">
      <c r="A476" s="153" t="s">
        <v>680</v>
      </c>
      <c r="B476" s="266">
        <v>0.09</v>
      </c>
      <c r="C476" s="270">
        <v>16.0</v>
      </c>
      <c r="D476" s="261"/>
      <c r="E476" s="261"/>
      <c r="F476" s="261"/>
      <c r="G476" s="261"/>
      <c r="H476" s="261"/>
      <c r="I476" s="261"/>
      <c r="J476" s="261"/>
    </row>
    <row r="477">
      <c r="A477" s="155" t="s">
        <v>694</v>
      </c>
      <c r="B477" s="270">
        <v>23.0</v>
      </c>
      <c r="C477" s="266">
        <v>-0.93</v>
      </c>
      <c r="D477" s="261"/>
      <c r="E477" s="261"/>
      <c r="F477" s="261"/>
      <c r="G477" s="261"/>
      <c r="H477" s="261"/>
      <c r="I477" s="261"/>
      <c r="J477" s="261"/>
    </row>
    <row r="478">
      <c r="A478" s="153" t="s">
        <v>503</v>
      </c>
      <c r="B478" s="269"/>
      <c r="C478" s="269"/>
      <c r="D478" s="261"/>
      <c r="E478" s="261"/>
      <c r="F478" s="261"/>
      <c r="G478" s="261"/>
      <c r="H478" s="261"/>
      <c r="I478" s="261"/>
      <c r="J478" s="261"/>
    </row>
    <row r="479">
      <c r="A479" s="155" t="s">
        <v>511</v>
      </c>
      <c r="B479" s="269"/>
      <c r="C479" s="261"/>
      <c r="D479" s="261"/>
      <c r="E479" s="261"/>
      <c r="F479" s="261"/>
      <c r="G479" s="261"/>
      <c r="H479" s="261"/>
      <c r="I479" s="261"/>
      <c r="J479" s="261"/>
    </row>
    <row r="480">
      <c r="A480" s="153" t="s">
        <v>516</v>
      </c>
      <c r="B480" s="269"/>
      <c r="C480" s="261"/>
      <c r="D480" s="261"/>
      <c r="E480" s="261"/>
      <c r="F480" s="261"/>
      <c r="G480" s="261"/>
      <c r="H480" s="261"/>
      <c r="I480" s="261"/>
      <c r="J480" s="261"/>
    </row>
    <row r="481">
      <c r="A481" s="155"/>
      <c r="B481" s="261"/>
      <c r="C481" s="261"/>
      <c r="D481" s="261"/>
      <c r="E481" s="261"/>
      <c r="F481" s="261"/>
      <c r="G481" s="261"/>
      <c r="H481" s="261"/>
      <c r="I481" s="261"/>
      <c r="J481" s="261"/>
    </row>
    <row r="482">
      <c r="A482" s="153"/>
      <c r="B482" s="268"/>
      <c r="C482" s="261"/>
      <c r="D482" s="261"/>
      <c r="E482" s="261"/>
      <c r="F482" s="261"/>
      <c r="G482" s="261"/>
      <c r="H482" s="261"/>
      <c r="I482" s="261"/>
      <c r="J482" s="261"/>
    </row>
    <row r="483">
      <c r="A483" s="155"/>
      <c r="B483" s="269"/>
      <c r="C483" s="261"/>
      <c r="D483" s="261"/>
      <c r="E483" s="261"/>
      <c r="F483" s="261"/>
      <c r="G483" s="261"/>
      <c r="H483" s="261"/>
      <c r="I483" s="261"/>
      <c r="J483" s="261"/>
    </row>
    <row r="484">
      <c r="A484" s="153"/>
      <c r="B484" s="269"/>
      <c r="C484" s="261"/>
      <c r="D484" s="261"/>
      <c r="E484" s="261"/>
      <c r="F484" s="261"/>
      <c r="G484" s="261"/>
      <c r="H484" s="261"/>
      <c r="I484" s="261"/>
      <c r="J484" s="261"/>
    </row>
    <row r="485">
      <c r="A485" s="155"/>
      <c r="B485" s="269"/>
      <c r="C485" s="261"/>
      <c r="D485" s="261"/>
      <c r="E485" s="261"/>
      <c r="F485" s="261"/>
      <c r="G485" s="261"/>
      <c r="H485" s="261"/>
      <c r="I485" s="261"/>
      <c r="J485" s="261"/>
    </row>
    <row r="486">
      <c r="A486" s="153"/>
      <c r="B486" s="269"/>
      <c r="C486" s="261"/>
      <c r="D486" s="261"/>
      <c r="E486" s="261"/>
      <c r="F486" s="261"/>
      <c r="G486" s="261"/>
      <c r="H486" s="261"/>
      <c r="I486" s="261"/>
      <c r="J486" s="261"/>
    </row>
    <row r="487">
      <c r="A487" s="155"/>
      <c r="B487" s="269"/>
      <c r="C487" s="268"/>
      <c r="D487" s="261"/>
      <c r="E487" s="261"/>
      <c r="F487" s="261"/>
      <c r="G487" s="261"/>
      <c r="H487" s="261"/>
      <c r="I487" s="261"/>
      <c r="J487" s="261"/>
    </row>
    <row r="488">
      <c r="A488" s="153"/>
      <c r="B488" s="261"/>
      <c r="C488" s="261"/>
      <c r="D488" s="261"/>
      <c r="E488" s="261"/>
      <c r="F488" s="261"/>
      <c r="G488" s="261"/>
      <c r="H488" s="261"/>
      <c r="I488" s="261"/>
      <c r="J488" s="261"/>
    </row>
    <row r="489">
      <c r="A489" s="155"/>
      <c r="B489" s="261"/>
      <c r="C489" s="261"/>
      <c r="D489" s="261"/>
      <c r="E489" s="261"/>
      <c r="F489" s="261"/>
      <c r="G489" s="261"/>
      <c r="H489" s="261"/>
      <c r="I489" s="261"/>
      <c r="J489" s="261"/>
    </row>
    <row r="490">
      <c r="A490" s="153"/>
      <c r="B490" s="261"/>
      <c r="C490" s="261"/>
      <c r="D490" s="269"/>
      <c r="E490" s="261"/>
      <c r="F490" s="261"/>
      <c r="G490" s="261"/>
      <c r="H490" s="261"/>
      <c r="I490" s="261"/>
      <c r="J490" s="261"/>
    </row>
    <row r="491">
      <c r="A491" s="155"/>
      <c r="B491" s="261"/>
      <c r="C491" s="269"/>
      <c r="D491" s="268"/>
      <c r="E491" s="261"/>
      <c r="F491" s="269"/>
      <c r="G491" s="269"/>
      <c r="H491" s="269"/>
      <c r="I491" s="268"/>
      <c r="J491" s="269"/>
    </row>
    <row r="492">
      <c r="A492" s="153"/>
      <c r="B492" s="261"/>
      <c r="C492" s="261"/>
      <c r="D492" s="261"/>
      <c r="E492" s="261"/>
      <c r="F492" s="261"/>
      <c r="G492" s="261"/>
      <c r="H492" s="261"/>
      <c r="I492" s="261"/>
      <c r="J492" s="261"/>
    </row>
    <row r="493">
      <c r="A493" s="155"/>
      <c r="B493" s="261"/>
      <c r="C493" s="269"/>
      <c r="D493" s="261"/>
      <c r="E493" s="261"/>
      <c r="F493" s="261"/>
      <c r="G493" s="261"/>
      <c r="H493" s="261"/>
      <c r="I493" s="261"/>
      <c r="J493" s="261"/>
    </row>
    <row r="494">
      <c r="A494" s="153"/>
      <c r="B494" s="269"/>
      <c r="C494" s="261"/>
      <c r="D494" s="261"/>
      <c r="E494" s="261"/>
      <c r="F494" s="261"/>
      <c r="G494" s="261"/>
      <c r="H494" s="261"/>
      <c r="I494" s="261"/>
      <c r="J494" s="261"/>
    </row>
    <row r="495">
      <c r="A495" s="155"/>
      <c r="B495" s="269"/>
      <c r="C495" s="261"/>
      <c r="D495" s="261"/>
      <c r="E495" s="261"/>
      <c r="F495" s="261"/>
      <c r="G495" s="261"/>
      <c r="H495" s="261"/>
      <c r="I495" s="261"/>
      <c r="J495" s="261"/>
    </row>
    <row r="496">
      <c r="A496" s="153"/>
      <c r="B496" s="261"/>
      <c r="C496" s="268"/>
      <c r="D496" s="261"/>
      <c r="E496" s="261"/>
      <c r="F496" s="261"/>
      <c r="G496" s="261"/>
      <c r="H496" s="261"/>
      <c r="I496" s="261"/>
      <c r="J496" s="261"/>
    </row>
    <row r="497">
      <c r="A497" s="155"/>
      <c r="B497" s="261"/>
      <c r="C497" s="261"/>
      <c r="D497" s="261"/>
      <c r="E497" s="261"/>
      <c r="F497" s="261"/>
      <c r="G497" s="261"/>
      <c r="H497" s="261"/>
      <c r="I497" s="261"/>
      <c r="J497" s="261"/>
    </row>
    <row r="498">
      <c r="A498" s="153"/>
      <c r="B498" s="261"/>
      <c r="C498" s="261"/>
      <c r="D498" s="261"/>
      <c r="E498" s="261"/>
      <c r="F498" s="261"/>
      <c r="G498" s="261"/>
      <c r="H498" s="261"/>
      <c r="I498" s="261"/>
      <c r="J498" s="261"/>
    </row>
    <row r="499">
      <c r="A499" s="155"/>
      <c r="B499" s="269"/>
      <c r="C499" s="261"/>
      <c r="D499" s="261"/>
      <c r="E499" s="261"/>
      <c r="F499" s="261"/>
      <c r="G499" s="261"/>
      <c r="H499" s="261"/>
      <c r="I499" s="261"/>
      <c r="J499" s="261"/>
    </row>
    <row r="500">
      <c r="A500" s="162"/>
      <c r="B500" s="269"/>
      <c r="C500" s="261"/>
      <c r="D500" s="261"/>
      <c r="E500" s="261"/>
      <c r="F500" s="261"/>
      <c r="G500" s="261"/>
      <c r="H500" s="261"/>
      <c r="I500" s="261"/>
      <c r="J500" s="261"/>
    </row>
    <row r="501">
      <c r="A501" s="153" t="str">
        <f t="array" ref="A501:A550">'Up Names'!K2:K51</f>
        <v>Auger Subroutine</v>
      </c>
      <c r="B501" s="270">
        <v>0.91</v>
      </c>
      <c r="C501" s="270">
        <v>37.0</v>
      </c>
      <c r="D501" s="270">
        <v>0.59</v>
      </c>
      <c r="E501" s="270">
        <v>2.6</v>
      </c>
      <c r="F501" s="270">
        <v>37.2</v>
      </c>
      <c r="G501" s="261"/>
      <c r="H501" s="261"/>
      <c r="I501" s="261"/>
      <c r="J501" s="261"/>
    </row>
    <row r="502">
      <c r="A502" s="153" t="s">
        <v>160</v>
      </c>
      <c r="B502" s="269"/>
      <c r="C502" s="261"/>
      <c r="D502" s="261"/>
      <c r="E502" s="261"/>
      <c r="F502" s="261"/>
      <c r="G502" s="261"/>
      <c r="H502" s="261"/>
      <c r="I502" s="261"/>
      <c r="J502" s="261"/>
    </row>
    <row r="503">
      <c r="A503" s="153" t="s">
        <v>180</v>
      </c>
      <c r="B503" s="270">
        <v>6.4</v>
      </c>
      <c r="C503" s="266">
        <v>0.3</v>
      </c>
      <c r="D503" s="266">
        <v>0.3</v>
      </c>
      <c r="E503" s="266">
        <v>0.6</v>
      </c>
      <c r="F503" s="261"/>
      <c r="G503" s="261"/>
      <c r="H503" s="261"/>
      <c r="I503" s="261"/>
      <c r="J503" s="261"/>
    </row>
    <row r="504">
      <c r="A504" s="153" t="s">
        <v>200</v>
      </c>
      <c r="B504" s="266">
        <v>0.23</v>
      </c>
      <c r="C504" s="270">
        <v>2.8</v>
      </c>
      <c r="D504" s="270">
        <v>12.0</v>
      </c>
      <c r="E504" s="270" t="s">
        <v>2313</v>
      </c>
      <c r="F504" s="261"/>
      <c r="G504" s="261"/>
      <c r="H504" s="261"/>
      <c r="I504" s="261"/>
      <c r="J504" s="261"/>
    </row>
    <row r="505">
      <c r="A505" s="153" t="s">
        <v>220</v>
      </c>
      <c r="B505" s="266">
        <v>1.5</v>
      </c>
      <c r="C505" s="266">
        <v>1.6</v>
      </c>
      <c r="D505" s="261"/>
      <c r="E505" s="261"/>
      <c r="F505" s="261"/>
      <c r="G505" s="261"/>
      <c r="H505" s="261"/>
      <c r="I505" s="261"/>
      <c r="J505" s="261"/>
    </row>
    <row r="506">
      <c r="A506" s="153" t="s">
        <v>239</v>
      </c>
      <c r="B506" s="270">
        <v>3.6</v>
      </c>
      <c r="C506" s="266">
        <v>-0.08</v>
      </c>
      <c r="D506" s="261"/>
      <c r="E506" s="261"/>
      <c r="F506" s="261"/>
      <c r="G506" s="261"/>
      <c r="H506" s="261"/>
      <c r="I506" s="261"/>
      <c r="J506" s="261"/>
    </row>
    <row r="507">
      <c r="A507" s="153" t="s">
        <v>259</v>
      </c>
      <c r="B507" s="270">
        <v>30.0</v>
      </c>
      <c r="C507" s="266">
        <v>1.0</v>
      </c>
      <c r="D507" s="266">
        <v>1.0</v>
      </c>
      <c r="E507" s="261"/>
      <c r="F507" s="261"/>
      <c r="G507" s="261"/>
      <c r="H507" s="261"/>
      <c r="I507" s="261"/>
      <c r="J507" s="261"/>
    </row>
    <row r="508">
      <c r="A508" s="153" t="s">
        <v>279</v>
      </c>
      <c r="B508" s="266"/>
      <c r="C508" s="266"/>
      <c r="D508" s="270"/>
      <c r="E508" s="261"/>
      <c r="F508" s="261"/>
      <c r="G508" s="261"/>
      <c r="H508" s="261"/>
      <c r="I508" s="261"/>
      <c r="J508" s="261"/>
    </row>
    <row r="509">
      <c r="A509" s="153" t="s">
        <v>299</v>
      </c>
      <c r="B509" s="266">
        <v>0.2</v>
      </c>
      <c r="C509" s="266">
        <v>0.96</v>
      </c>
      <c r="D509" s="270">
        <v>2.0</v>
      </c>
      <c r="E509" s="261"/>
      <c r="F509" s="261"/>
      <c r="G509" s="261"/>
      <c r="H509" s="261"/>
      <c r="I509" s="261"/>
      <c r="J509" s="261"/>
    </row>
    <row r="510">
      <c r="A510" s="153" t="s">
        <v>319</v>
      </c>
      <c r="B510" s="270">
        <v>4.85</v>
      </c>
      <c r="C510" s="270">
        <v>2.0</v>
      </c>
      <c r="D510" s="266">
        <v>0.2</v>
      </c>
      <c r="E510" s="261"/>
      <c r="F510" s="261"/>
      <c r="G510" s="261"/>
      <c r="H510" s="261"/>
      <c r="I510" s="261"/>
      <c r="J510" s="261"/>
    </row>
    <row r="511">
      <c r="A511" s="153" t="s">
        <v>339</v>
      </c>
      <c r="B511" s="266">
        <v>0.13</v>
      </c>
      <c r="C511" s="261"/>
      <c r="D511" s="261"/>
      <c r="E511" s="261"/>
      <c r="F511" s="261"/>
      <c r="G511" s="261"/>
      <c r="H511" s="261"/>
      <c r="I511" s="261"/>
      <c r="J511" s="261"/>
    </row>
    <row r="512">
      <c r="A512" s="153" t="s">
        <v>359</v>
      </c>
      <c r="B512" s="270">
        <v>10.0</v>
      </c>
      <c r="C512" s="270">
        <v>160.0</v>
      </c>
      <c r="D512" s="261"/>
      <c r="E512" s="261"/>
      <c r="F512" s="261"/>
      <c r="G512" s="261"/>
      <c r="H512" s="261"/>
      <c r="I512" s="261"/>
      <c r="J512" s="261"/>
    </row>
    <row r="513">
      <c r="A513" s="153" t="s">
        <v>383</v>
      </c>
      <c r="B513" s="270">
        <v>4.85</v>
      </c>
      <c r="C513" s="270">
        <v>2.0</v>
      </c>
      <c r="D513" s="270">
        <v>15.5</v>
      </c>
      <c r="E513" s="261"/>
      <c r="F513" s="261"/>
      <c r="G513" s="261"/>
      <c r="H513" s="261"/>
      <c r="I513" s="261"/>
      <c r="J513" s="261"/>
    </row>
    <row r="514">
      <c r="A514" s="153" t="s">
        <v>408</v>
      </c>
      <c r="B514" s="270">
        <v>0.7</v>
      </c>
      <c r="C514" s="261"/>
      <c r="D514" s="261"/>
      <c r="E514" s="261"/>
      <c r="F514" s="261"/>
      <c r="G514" s="261"/>
      <c r="H514" s="261"/>
      <c r="I514" s="261"/>
      <c r="J514" s="261"/>
    </row>
    <row r="515">
      <c r="A515" s="153" t="s">
        <v>436</v>
      </c>
      <c r="B515" s="270">
        <v>1.28</v>
      </c>
      <c r="C515" s="266">
        <v>-0.55</v>
      </c>
      <c r="D515" s="261"/>
      <c r="E515" s="261"/>
      <c r="F515" s="261"/>
      <c r="G515" s="261"/>
      <c r="H515" s="261"/>
      <c r="I515" s="261"/>
      <c r="J515" s="261"/>
    </row>
    <row r="516">
      <c r="A516" s="153" t="s">
        <v>465</v>
      </c>
      <c r="B516" s="270">
        <v>2.4</v>
      </c>
      <c r="C516" s="270">
        <v>9.0</v>
      </c>
      <c r="D516" s="266">
        <v>0.5</v>
      </c>
      <c r="E516" s="261"/>
      <c r="F516" s="261"/>
      <c r="G516" s="261"/>
      <c r="H516" s="261"/>
      <c r="I516" s="261"/>
      <c r="J516" s="261"/>
    </row>
    <row r="517">
      <c r="A517" s="153" t="s">
        <v>494</v>
      </c>
      <c r="B517" s="266">
        <v>-0.19</v>
      </c>
      <c r="C517" s="266">
        <v>-0.4</v>
      </c>
      <c r="D517" s="261"/>
      <c r="E517" s="261"/>
      <c r="F517" s="261"/>
      <c r="G517" s="261"/>
      <c r="H517" s="261"/>
      <c r="I517" s="261"/>
      <c r="J517" s="261"/>
    </row>
    <row r="518">
      <c r="A518" s="153" t="s">
        <v>518</v>
      </c>
      <c r="B518" s="270">
        <v>3.7</v>
      </c>
      <c r="C518" s="261"/>
      <c r="D518" s="261"/>
      <c r="E518" s="261"/>
      <c r="F518" s="261"/>
      <c r="G518" s="261"/>
      <c r="H518" s="261"/>
      <c r="I518" s="261"/>
      <c r="J518" s="261"/>
    </row>
    <row r="519">
      <c r="A519" s="153" t="s">
        <v>537</v>
      </c>
      <c r="B519" s="269"/>
      <c r="C519" s="261"/>
      <c r="D519" s="261"/>
      <c r="E519" s="261"/>
      <c r="F519" s="261"/>
      <c r="G519" s="261"/>
      <c r="H519" s="261"/>
      <c r="I519" s="261"/>
      <c r="J519" s="261"/>
    </row>
    <row r="520">
      <c r="A520" s="153" t="s">
        <v>557</v>
      </c>
      <c r="B520" s="270">
        <v>0.85</v>
      </c>
      <c r="C520" s="266">
        <v>1.75</v>
      </c>
      <c r="D520" s="266">
        <v>1.1</v>
      </c>
      <c r="E520" s="266">
        <v>0.9</v>
      </c>
      <c r="F520" s="261"/>
      <c r="G520" s="261"/>
      <c r="H520" s="261"/>
      <c r="I520" s="261"/>
      <c r="J520" s="261"/>
    </row>
    <row r="521">
      <c r="A521" s="153" t="s">
        <v>580</v>
      </c>
      <c r="B521" s="266">
        <v>-0.91</v>
      </c>
      <c r="C521" s="261"/>
      <c r="D521" s="261"/>
      <c r="E521" s="261"/>
      <c r="F521" s="261"/>
      <c r="G521" s="261"/>
      <c r="H521" s="261"/>
      <c r="I521" s="261"/>
      <c r="J521" s="261"/>
    </row>
    <row r="522">
      <c r="A522" s="153" t="s">
        <v>604</v>
      </c>
      <c r="B522" s="270">
        <v>0.15</v>
      </c>
      <c r="C522" s="266">
        <v>0.6</v>
      </c>
      <c r="D522" s="266">
        <v>0.5</v>
      </c>
      <c r="E522" s="266">
        <v>0.5</v>
      </c>
      <c r="F522" s="261"/>
      <c r="G522" s="261"/>
      <c r="H522" s="261"/>
      <c r="I522" s="261"/>
      <c r="J522" s="261"/>
    </row>
    <row r="523">
      <c r="A523" s="153" t="s">
        <v>625</v>
      </c>
      <c r="B523" s="266">
        <v>-0.29</v>
      </c>
      <c r="C523" s="270">
        <v>1.1</v>
      </c>
      <c r="D523" s="261"/>
      <c r="E523" s="261"/>
      <c r="F523" s="261"/>
      <c r="G523" s="261"/>
      <c r="H523" s="261"/>
      <c r="I523" s="261"/>
      <c r="J523" s="261"/>
    </row>
    <row r="524">
      <c r="A524" s="153" t="s">
        <v>651</v>
      </c>
      <c r="B524" s="270">
        <v>2.0</v>
      </c>
      <c r="C524" s="270">
        <v>55.0</v>
      </c>
      <c r="D524" s="270">
        <v>55.0</v>
      </c>
      <c r="E524" s="261"/>
      <c r="F524" s="261"/>
      <c r="G524" s="261"/>
      <c r="H524" s="261"/>
      <c r="I524" s="261"/>
      <c r="J524" s="261"/>
    </row>
    <row r="525">
      <c r="A525" s="153" t="s">
        <v>667</v>
      </c>
      <c r="B525" s="270">
        <v>0.6</v>
      </c>
      <c r="C525" s="270">
        <v>15.68</v>
      </c>
      <c r="D525" s="261"/>
      <c r="E525" s="261"/>
      <c r="F525" s="261"/>
      <c r="G525" s="261"/>
      <c r="H525" s="261"/>
      <c r="I525" s="261"/>
      <c r="J525" s="261"/>
    </row>
    <row r="526">
      <c r="A526" s="153" t="s">
        <v>681</v>
      </c>
      <c r="B526" s="270">
        <v>8.5</v>
      </c>
      <c r="C526" s="266">
        <v>0.35</v>
      </c>
      <c r="D526" s="261"/>
      <c r="E526" s="261"/>
      <c r="F526" s="261"/>
      <c r="G526" s="261"/>
      <c r="H526" s="261"/>
      <c r="I526" s="261"/>
      <c r="J526" s="261"/>
    </row>
    <row r="527">
      <c r="A527" s="153" t="s">
        <v>695</v>
      </c>
      <c r="B527" s="270">
        <v>1.0</v>
      </c>
      <c r="C527" s="261"/>
      <c r="D527" s="261"/>
      <c r="E527" s="261"/>
      <c r="F527" s="261"/>
      <c r="G527" s="261"/>
      <c r="H527" s="261"/>
      <c r="I527" s="261"/>
      <c r="J527" s="261"/>
    </row>
    <row r="528">
      <c r="A528" s="153" t="s">
        <v>714</v>
      </c>
      <c r="B528" s="270">
        <v>2.85</v>
      </c>
      <c r="C528" s="261"/>
      <c r="D528" s="261"/>
      <c r="E528" s="261"/>
      <c r="F528" s="261"/>
      <c r="G528" s="261"/>
      <c r="H528" s="261"/>
      <c r="I528" s="261"/>
      <c r="J528" s="261"/>
    </row>
    <row r="529">
      <c r="A529" s="153" t="s">
        <v>732</v>
      </c>
      <c r="B529" s="270">
        <v>4.0</v>
      </c>
      <c r="C529" s="261"/>
      <c r="D529" s="261"/>
      <c r="E529" s="261"/>
      <c r="F529" s="261"/>
      <c r="G529" s="261"/>
      <c r="H529" s="261"/>
      <c r="I529" s="261"/>
      <c r="J529" s="261"/>
    </row>
    <row r="530">
      <c r="A530" s="153" t="s">
        <v>750</v>
      </c>
      <c r="B530" s="275">
        <v>0.1111</v>
      </c>
      <c r="C530" s="261"/>
      <c r="D530" s="261"/>
      <c r="E530" s="261"/>
      <c r="F530" s="261"/>
      <c r="G530" s="261"/>
      <c r="H530" s="261"/>
      <c r="I530" s="261"/>
      <c r="J530" s="261"/>
    </row>
    <row r="531">
      <c r="A531" s="153" t="s">
        <v>763</v>
      </c>
      <c r="B531" s="270">
        <v>1.0</v>
      </c>
      <c r="C531" s="261"/>
      <c r="D531" s="261"/>
      <c r="E531" s="261"/>
      <c r="F531" s="261"/>
      <c r="G531" s="261"/>
      <c r="H531" s="261"/>
      <c r="I531" s="261"/>
      <c r="J531" s="261"/>
    </row>
    <row r="532">
      <c r="A532" s="153" t="s">
        <v>503</v>
      </c>
      <c r="B532" s="269"/>
      <c r="C532" s="261"/>
      <c r="D532" s="261"/>
      <c r="E532" s="261"/>
      <c r="F532" s="261"/>
      <c r="G532" s="261"/>
      <c r="H532" s="261"/>
      <c r="I532" s="261"/>
      <c r="J532" s="261"/>
    </row>
    <row r="533">
      <c r="A533" s="153" t="s">
        <v>511</v>
      </c>
      <c r="B533" s="269"/>
      <c r="C533" s="261"/>
      <c r="D533" s="261"/>
      <c r="E533" s="261"/>
      <c r="F533" s="261"/>
      <c r="G533" s="261"/>
      <c r="H533" s="261"/>
      <c r="I533" s="261"/>
      <c r="J533" s="261"/>
    </row>
    <row r="534">
      <c r="A534" s="153" t="s">
        <v>516</v>
      </c>
      <c r="B534" s="269"/>
      <c r="C534" s="261"/>
      <c r="D534" s="261"/>
      <c r="E534" s="261"/>
      <c r="F534" s="261"/>
      <c r="G534" s="261"/>
      <c r="H534" s="261"/>
      <c r="I534" s="261"/>
      <c r="J534" s="261"/>
    </row>
    <row r="535">
      <c r="A535" s="153"/>
      <c r="B535" s="269"/>
      <c r="C535" s="261"/>
      <c r="D535" s="261"/>
      <c r="E535" s="261"/>
      <c r="F535" s="261"/>
      <c r="G535" s="261"/>
      <c r="H535" s="261"/>
      <c r="I535" s="261"/>
      <c r="J535" s="261"/>
    </row>
    <row r="536">
      <c r="A536" s="153"/>
      <c r="B536" s="269"/>
      <c r="C536" s="261"/>
      <c r="D536" s="261"/>
      <c r="E536" s="261"/>
      <c r="F536" s="261"/>
      <c r="G536" s="261"/>
      <c r="H536" s="261"/>
      <c r="I536" s="261"/>
      <c r="J536" s="261"/>
    </row>
    <row r="537">
      <c r="A537" s="153"/>
      <c r="B537" s="269"/>
      <c r="C537" s="261"/>
      <c r="D537" s="261"/>
      <c r="E537" s="261"/>
      <c r="F537" s="261"/>
      <c r="G537" s="261"/>
      <c r="H537" s="261"/>
      <c r="I537" s="261"/>
      <c r="J537" s="261"/>
    </row>
    <row r="538">
      <c r="A538" s="153"/>
      <c r="B538" s="269"/>
      <c r="C538" s="261"/>
      <c r="D538" s="261"/>
      <c r="E538" s="261"/>
      <c r="F538" s="261"/>
      <c r="G538" s="261"/>
      <c r="H538" s="261"/>
      <c r="I538" s="261"/>
      <c r="J538" s="261"/>
    </row>
    <row r="539">
      <c r="A539" s="153"/>
      <c r="B539" s="269"/>
      <c r="C539" s="261"/>
      <c r="D539" s="261"/>
      <c r="E539" s="261"/>
      <c r="F539" s="261"/>
      <c r="G539" s="261"/>
      <c r="H539" s="261"/>
      <c r="I539" s="261"/>
      <c r="J539" s="261"/>
    </row>
    <row r="540">
      <c r="A540" s="153"/>
      <c r="B540" s="269"/>
      <c r="C540" s="261"/>
      <c r="D540" s="261"/>
      <c r="E540" s="261"/>
      <c r="F540" s="261"/>
      <c r="G540" s="261"/>
      <c r="H540" s="261"/>
      <c r="I540" s="261"/>
      <c r="J540" s="261"/>
    </row>
    <row r="541">
      <c r="A541" s="153"/>
      <c r="B541" s="269"/>
      <c r="C541" s="261"/>
      <c r="D541" s="261"/>
      <c r="E541" s="261"/>
      <c r="F541" s="261"/>
      <c r="G541" s="261"/>
      <c r="H541" s="261"/>
      <c r="I541" s="261"/>
      <c r="J541" s="261"/>
    </row>
    <row r="542">
      <c r="A542" s="153"/>
      <c r="B542" s="269"/>
      <c r="C542" s="261"/>
      <c r="D542" s="261"/>
      <c r="E542" s="261"/>
      <c r="F542" s="261"/>
      <c r="G542" s="261"/>
      <c r="H542" s="261"/>
      <c r="I542" s="261"/>
      <c r="J542" s="261"/>
    </row>
    <row r="543">
      <c r="A543" s="153"/>
      <c r="B543" s="269"/>
      <c r="C543" s="261"/>
      <c r="D543" s="261"/>
      <c r="E543" s="261"/>
      <c r="F543" s="261"/>
      <c r="G543" s="261"/>
      <c r="H543" s="261"/>
      <c r="I543" s="261"/>
      <c r="J543" s="261"/>
    </row>
    <row r="544">
      <c r="A544" s="153"/>
      <c r="B544" s="269"/>
      <c r="C544" s="261"/>
      <c r="D544" s="261"/>
      <c r="E544" s="261"/>
      <c r="F544" s="261"/>
      <c r="G544" s="261"/>
      <c r="H544" s="261"/>
      <c r="I544" s="261"/>
      <c r="J544" s="261"/>
    </row>
    <row r="545">
      <c r="A545" s="153"/>
      <c r="B545" s="269"/>
      <c r="C545" s="261"/>
      <c r="D545" s="261"/>
      <c r="E545" s="261"/>
      <c r="F545" s="261"/>
      <c r="G545" s="261"/>
      <c r="H545" s="261"/>
      <c r="I545" s="261"/>
      <c r="J545" s="261"/>
    </row>
    <row r="546">
      <c r="A546" s="153"/>
      <c r="B546" s="269"/>
      <c r="C546" s="261"/>
      <c r="D546" s="261"/>
      <c r="E546" s="261"/>
      <c r="F546" s="261"/>
      <c r="G546" s="261"/>
      <c r="H546" s="261"/>
      <c r="I546" s="261"/>
      <c r="J546" s="261"/>
    </row>
    <row r="547">
      <c r="A547" s="153"/>
      <c r="B547" s="269"/>
      <c r="C547" s="261"/>
      <c r="D547" s="261"/>
      <c r="E547" s="261"/>
      <c r="F547" s="261"/>
      <c r="G547" s="261"/>
      <c r="H547" s="261"/>
      <c r="I547" s="261"/>
      <c r="J547" s="261"/>
    </row>
    <row r="548">
      <c r="A548" s="153"/>
      <c r="B548" s="269"/>
      <c r="C548" s="261"/>
      <c r="D548" s="261"/>
      <c r="E548" s="261"/>
      <c r="F548" s="261"/>
      <c r="G548" s="261"/>
      <c r="H548" s="261"/>
      <c r="I548" s="261"/>
      <c r="J548" s="261"/>
    </row>
    <row r="549">
      <c r="A549" s="153"/>
      <c r="B549" s="269"/>
      <c r="C549" s="261"/>
      <c r="D549" s="261"/>
      <c r="E549" s="261"/>
      <c r="F549" s="261"/>
      <c r="G549" s="261"/>
      <c r="H549" s="261"/>
      <c r="I549" s="261"/>
      <c r="J549" s="261"/>
    </row>
    <row r="550">
      <c r="A550" s="153"/>
      <c r="B550" s="269"/>
      <c r="C550" s="261"/>
      <c r="D550" s="261"/>
      <c r="E550" s="261"/>
      <c r="F550" s="261"/>
      <c r="G550" s="261"/>
      <c r="H550" s="261"/>
      <c r="I550" s="261"/>
      <c r="J550" s="261"/>
    </row>
    <row r="551">
      <c r="A551" s="198" t="s">
        <v>141</v>
      </c>
      <c r="B551" s="275">
        <v>-0.815</v>
      </c>
      <c r="C551" s="261"/>
      <c r="D551" s="261"/>
      <c r="E551" s="261"/>
      <c r="F551" s="261"/>
      <c r="G551" s="261"/>
      <c r="H551" s="261"/>
      <c r="I551" s="261"/>
      <c r="J551" s="261"/>
    </row>
    <row r="552">
      <c r="A552" s="146" t="s">
        <v>161</v>
      </c>
      <c r="B552" s="270">
        <v>3.0</v>
      </c>
      <c r="C552" s="270">
        <v>9.0</v>
      </c>
      <c r="D552" s="270">
        <v>5.0</v>
      </c>
      <c r="E552" s="261"/>
      <c r="F552" s="261"/>
      <c r="G552" s="261"/>
      <c r="H552" s="261"/>
      <c r="I552" s="261"/>
      <c r="J552" s="261"/>
    </row>
    <row r="553">
      <c r="A553" s="144" t="s">
        <v>181</v>
      </c>
      <c r="B553" s="275">
        <v>0.455</v>
      </c>
      <c r="C553" s="270">
        <v>53.0</v>
      </c>
      <c r="D553" s="270">
        <v>2.8</v>
      </c>
      <c r="E553" s="277">
        <v>18.0</v>
      </c>
      <c r="F553" s="261"/>
      <c r="G553" s="261"/>
      <c r="H553" s="261"/>
      <c r="I553" s="261"/>
      <c r="J553" s="261"/>
    </row>
    <row r="554">
      <c r="A554" s="146" t="s">
        <v>201</v>
      </c>
      <c r="B554" s="278">
        <v>0.13</v>
      </c>
      <c r="C554" s="261"/>
      <c r="D554" s="261"/>
      <c r="E554" s="261"/>
      <c r="F554" s="261"/>
      <c r="G554" s="261"/>
      <c r="H554" s="261"/>
      <c r="I554" s="261"/>
      <c r="J554" s="261"/>
    </row>
    <row r="555">
      <c r="A555" s="144" t="s">
        <v>221</v>
      </c>
      <c r="B555" s="275">
        <v>0.029</v>
      </c>
      <c r="C555" s="270">
        <v>35.0</v>
      </c>
      <c r="D555" s="275">
        <v>-0.971</v>
      </c>
      <c r="E555" s="261"/>
      <c r="F555" s="261"/>
      <c r="G555" s="261"/>
      <c r="H555" s="261"/>
      <c r="I555" s="261"/>
      <c r="J555" s="261"/>
    </row>
    <row r="556">
      <c r="A556" s="146" t="s">
        <v>240</v>
      </c>
      <c r="B556" s="278">
        <v>0.9</v>
      </c>
      <c r="C556" s="277">
        <v>3.7</v>
      </c>
      <c r="D556" s="261"/>
      <c r="E556" s="261"/>
      <c r="F556" s="261"/>
      <c r="G556" s="261"/>
      <c r="H556" s="261"/>
      <c r="I556" s="261"/>
      <c r="J556" s="261"/>
    </row>
    <row r="557">
      <c r="A557" s="144" t="s">
        <v>260</v>
      </c>
      <c r="B557" s="269"/>
      <c r="C557" s="261"/>
      <c r="D557" s="261"/>
      <c r="E557" s="261"/>
      <c r="F557" s="261"/>
      <c r="G557" s="261"/>
      <c r="H557" s="261"/>
      <c r="I557" s="261"/>
      <c r="J557" s="261"/>
    </row>
    <row r="558">
      <c r="A558" s="146" t="s">
        <v>280</v>
      </c>
      <c r="B558" s="275">
        <v>0.13</v>
      </c>
      <c r="C558" s="270">
        <v>3.8</v>
      </c>
      <c r="D558" s="275">
        <v>-0.1228</v>
      </c>
      <c r="E558" s="261"/>
      <c r="F558" s="261"/>
      <c r="G558" s="261"/>
      <c r="H558" s="261"/>
      <c r="I558" s="261"/>
      <c r="J558" s="261"/>
    </row>
    <row r="559">
      <c r="A559" s="144" t="s">
        <v>300</v>
      </c>
      <c r="B559" s="269"/>
      <c r="C559" s="261"/>
      <c r="D559" s="261"/>
      <c r="E559" s="261"/>
      <c r="F559" s="261"/>
      <c r="G559" s="261"/>
      <c r="H559" s="261"/>
      <c r="I559" s="261"/>
      <c r="J559" s="261"/>
    </row>
    <row r="560">
      <c r="A560" s="146" t="s">
        <v>320</v>
      </c>
      <c r="B560" s="270">
        <v>2.85</v>
      </c>
      <c r="C560" s="270">
        <v>6.3</v>
      </c>
      <c r="D560" s="270">
        <v>5.5</v>
      </c>
      <c r="E560" s="270">
        <v>2.9</v>
      </c>
      <c r="F560" s="261"/>
      <c r="G560" s="261"/>
      <c r="H560" s="261"/>
      <c r="I560" s="261"/>
      <c r="J560" s="261"/>
    </row>
    <row r="561">
      <c r="A561" s="144" t="s">
        <v>340</v>
      </c>
      <c r="B561" s="275">
        <v>0.385</v>
      </c>
      <c r="C561" s="275">
        <v>0.12</v>
      </c>
      <c r="D561" s="277">
        <v>6.2</v>
      </c>
      <c r="E561" s="261"/>
      <c r="F561" s="261"/>
      <c r="G561" s="261"/>
      <c r="H561" s="261"/>
      <c r="I561" s="261"/>
      <c r="J561" s="261"/>
    </row>
    <row r="562">
      <c r="A562" s="146" t="s">
        <v>360</v>
      </c>
      <c r="B562" s="277">
        <v>3.9</v>
      </c>
      <c r="C562" s="277">
        <v>1.9</v>
      </c>
      <c r="D562" s="270">
        <v>2.0</v>
      </c>
      <c r="E562" s="275">
        <v>-0.2806</v>
      </c>
      <c r="F562" s="275">
        <v>-0.61</v>
      </c>
      <c r="G562" s="275">
        <v>-0.37</v>
      </c>
      <c r="H562" s="278">
        <v>-0.47</v>
      </c>
      <c r="I562" s="261"/>
      <c r="J562" s="261"/>
    </row>
    <row r="563">
      <c r="A563" s="144" t="s">
        <v>384</v>
      </c>
      <c r="B563" s="278">
        <v>0.1</v>
      </c>
      <c r="C563" s="270">
        <v>3.9</v>
      </c>
      <c r="D563" s="261"/>
      <c r="E563" s="261"/>
      <c r="F563" s="261"/>
      <c r="G563" s="261"/>
      <c r="H563" s="261"/>
      <c r="I563" s="261"/>
      <c r="J563" s="261"/>
    </row>
    <row r="564">
      <c r="A564" s="146" t="s">
        <v>409</v>
      </c>
      <c r="B564" s="269"/>
      <c r="C564" s="261"/>
      <c r="D564" s="261"/>
      <c r="E564" s="261"/>
      <c r="F564" s="261"/>
      <c r="G564" s="261"/>
      <c r="H564" s="261"/>
      <c r="I564" s="261"/>
      <c r="J564" s="261"/>
    </row>
    <row r="565">
      <c r="A565" s="144" t="s">
        <v>438</v>
      </c>
      <c r="B565" s="277">
        <v>4.0</v>
      </c>
      <c r="C565" s="261"/>
      <c r="D565" s="261"/>
      <c r="E565" s="261"/>
      <c r="F565" s="261"/>
      <c r="G565" s="261"/>
      <c r="H565" s="261"/>
      <c r="I565" s="261"/>
      <c r="J565" s="261"/>
    </row>
    <row r="566">
      <c r="A566" s="146" t="s">
        <v>466</v>
      </c>
      <c r="B566" s="270">
        <v>0.38</v>
      </c>
      <c r="C566" s="270">
        <v>1.67</v>
      </c>
      <c r="D566" s="261"/>
      <c r="E566" s="261"/>
      <c r="F566" s="261"/>
      <c r="G566" s="261"/>
      <c r="H566" s="261"/>
      <c r="I566" s="261"/>
      <c r="J566" s="261"/>
    </row>
    <row r="567">
      <c r="A567" s="144" t="s">
        <v>495</v>
      </c>
      <c r="B567" s="270">
        <v>0.04</v>
      </c>
      <c r="C567" s="261"/>
      <c r="D567" s="261"/>
      <c r="E567" s="261"/>
      <c r="F567" s="261"/>
      <c r="G567" s="261"/>
      <c r="H567" s="261"/>
      <c r="I567" s="261"/>
      <c r="J567" s="261"/>
    </row>
    <row r="568">
      <c r="A568" s="146" t="s">
        <v>519</v>
      </c>
      <c r="B568" s="275">
        <v>0.05</v>
      </c>
      <c r="C568" s="275">
        <v>0.06</v>
      </c>
      <c r="D568" s="277">
        <v>2.9</v>
      </c>
      <c r="E568" s="270">
        <v>4.0</v>
      </c>
      <c r="F568" s="261"/>
      <c r="G568" s="261"/>
      <c r="H568" s="261"/>
      <c r="I568" s="261"/>
      <c r="J568" s="261"/>
    </row>
    <row r="569">
      <c r="A569" s="144" t="s">
        <v>538</v>
      </c>
      <c r="B569" s="277">
        <v>1.2</v>
      </c>
      <c r="C569" s="261"/>
      <c r="D569" s="261"/>
      <c r="E569" s="261"/>
      <c r="F569" s="261"/>
      <c r="G569" s="261"/>
      <c r="H569" s="261"/>
      <c r="I569" s="261"/>
      <c r="J569" s="261"/>
    </row>
    <row r="570">
      <c r="A570" s="146" t="s">
        <v>558</v>
      </c>
      <c r="B570" s="277">
        <v>13.0</v>
      </c>
      <c r="C570" s="261"/>
      <c r="D570" s="261"/>
      <c r="E570" s="261"/>
      <c r="F570" s="261"/>
      <c r="G570" s="261"/>
      <c r="H570" s="261"/>
      <c r="I570" s="261"/>
      <c r="J570" s="261"/>
    </row>
    <row r="571">
      <c r="A571" s="144" t="s">
        <v>582</v>
      </c>
      <c r="B571" s="270">
        <v>5.0</v>
      </c>
      <c r="C571" s="270">
        <v>0.0</v>
      </c>
      <c r="D571" s="261"/>
      <c r="E571" s="261"/>
      <c r="F571" s="261"/>
      <c r="G571" s="261"/>
      <c r="H571" s="261"/>
      <c r="I571" s="261"/>
      <c r="J571" s="261"/>
    </row>
    <row r="572">
      <c r="A572" s="146" t="s">
        <v>606</v>
      </c>
      <c r="B572" s="278">
        <v>0.17</v>
      </c>
      <c r="C572" s="277">
        <v>0.9</v>
      </c>
      <c r="D572" s="261"/>
      <c r="E572" s="261"/>
      <c r="F572" s="261"/>
      <c r="G572" s="261"/>
      <c r="H572" s="261"/>
      <c r="I572" s="261"/>
      <c r="J572" s="261"/>
    </row>
    <row r="573">
      <c r="A573" s="144" t="s">
        <v>626</v>
      </c>
      <c r="B573" s="277">
        <v>5.6</v>
      </c>
      <c r="C573" s="277">
        <v>2.9</v>
      </c>
      <c r="D573" s="261"/>
      <c r="E573" s="261"/>
      <c r="F573" s="261"/>
      <c r="G573" s="261"/>
      <c r="H573" s="261"/>
      <c r="I573" s="261"/>
      <c r="J573" s="261"/>
    </row>
    <row r="574">
      <c r="A574" s="146" t="s">
        <v>652</v>
      </c>
      <c r="B574" s="279">
        <v>9.0</v>
      </c>
      <c r="C574" s="261"/>
      <c r="D574" s="261"/>
      <c r="E574" s="261"/>
      <c r="F574" s="261"/>
      <c r="G574" s="261"/>
      <c r="H574" s="261"/>
      <c r="I574" s="261"/>
      <c r="J574" s="261"/>
    </row>
    <row r="575">
      <c r="A575" s="144" t="s">
        <v>668</v>
      </c>
      <c r="B575" s="277">
        <v>1.8</v>
      </c>
      <c r="C575" s="277">
        <v>2.4</v>
      </c>
      <c r="D575" s="270">
        <v>5.0</v>
      </c>
      <c r="E575" s="261"/>
      <c r="F575" s="261"/>
      <c r="G575" s="261"/>
      <c r="H575" s="261"/>
      <c r="I575" s="261"/>
      <c r="J575" s="261"/>
    </row>
    <row r="576">
      <c r="A576" s="146" t="s">
        <v>682</v>
      </c>
      <c r="B576" s="270">
        <v>0.87</v>
      </c>
      <c r="C576" s="261"/>
      <c r="D576" s="261"/>
      <c r="E576" s="261"/>
      <c r="F576" s="261"/>
      <c r="G576" s="261"/>
      <c r="H576" s="261"/>
      <c r="I576" s="261"/>
      <c r="J576" s="261"/>
    </row>
    <row r="577">
      <c r="A577" s="144" t="s">
        <v>696</v>
      </c>
      <c r="B577" s="277">
        <v>7.0</v>
      </c>
      <c r="C577" s="261"/>
      <c r="D577" s="261"/>
      <c r="E577" s="261"/>
      <c r="F577" s="261"/>
      <c r="G577" s="261"/>
      <c r="H577" s="261"/>
      <c r="I577" s="261"/>
      <c r="J577" s="261"/>
    </row>
    <row r="578">
      <c r="A578" s="146" t="s">
        <v>715</v>
      </c>
      <c r="B578" s="275">
        <v>0.1111</v>
      </c>
      <c r="C578" s="261"/>
      <c r="D578" s="261"/>
      <c r="E578" s="261"/>
      <c r="F578" s="261"/>
      <c r="G578" s="261"/>
      <c r="H578" s="261"/>
      <c r="I578" s="261"/>
      <c r="J578" s="261"/>
    </row>
    <row r="579">
      <c r="A579" s="144" t="s">
        <v>734</v>
      </c>
      <c r="B579" s="275">
        <v>0.13</v>
      </c>
      <c r="C579" s="275">
        <v>-0.54</v>
      </c>
      <c r="D579" s="261"/>
      <c r="E579" s="261"/>
      <c r="F579" s="261"/>
      <c r="G579" s="261"/>
      <c r="H579" s="261"/>
      <c r="I579" s="261"/>
      <c r="J579" s="261"/>
    </row>
    <row r="580">
      <c r="A580" s="146" t="s">
        <v>751</v>
      </c>
      <c r="B580" s="275">
        <v>0.12</v>
      </c>
      <c r="C580" s="261"/>
      <c r="D580" s="261"/>
      <c r="E580" s="261"/>
      <c r="F580" s="261"/>
      <c r="G580" s="261"/>
      <c r="H580" s="261"/>
      <c r="I580" s="261"/>
      <c r="J580" s="261"/>
    </row>
    <row r="581">
      <c r="A581" s="144" t="s">
        <v>764</v>
      </c>
      <c r="B581" s="270">
        <v>8.0</v>
      </c>
      <c r="C581" s="261"/>
      <c r="D581" s="261"/>
      <c r="E581" s="261"/>
      <c r="F581" s="261"/>
      <c r="G581" s="261"/>
      <c r="H581" s="261"/>
      <c r="I581" s="261"/>
      <c r="J581" s="261"/>
    </row>
    <row r="582">
      <c r="A582" s="153"/>
      <c r="B582" s="269"/>
      <c r="C582" s="261"/>
      <c r="D582" s="261"/>
      <c r="E582" s="261"/>
      <c r="F582" s="261"/>
      <c r="G582" s="261"/>
      <c r="H582" s="261"/>
      <c r="I582" s="261"/>
      <c r="J582" s="261"/>
    </row>
    <row r="583">
      <c r="A583" s="153"/>
      <c r="B583" s="269"/>
      <c r="C583" s="261"/>
      <c r="D583" s="261"/>
      <c r="E583" s="261"/>
      <c r="F583" s="261"/>
      <c r="G583" s="261"/>
      <c r="H583" s="261"/>
      <c r="I583" s="261"/>
      <c r="J583" s="261"/>
    </row>
    <row r="584">
      <c r="A584" s="153"/>
      <c r="B584" s="269"/>
      <c r="C584" s="261"/>
      <c r="D584" s="261"/>
      <c r="E584" s="261"/>
      <c r="F584" s="261"/>
      <c r="G584" s="261"/>
      <c r="H584" s="261"/>
      <c r="I584" s="261"/>
      <c r="J584" s="261"/>
    </row>
    <row r="585">
      <c r="A585" s="153"/>
      <c r="B585" s="269"/>
      <c r="C585" s="261"/>
      <c r="D585" s="261"/>
      <c r="E585" s="261"/>
      <c r="F585" s="261"/>
      <c r="G585" s="261"/>
      <c r="H585" s="261"/>
      <c r="I585" s="261"/>
      <c r="J585" s="261"/>
    </row>
    <row r="586">
      <c r="A586" s="153"/>
      <c r="B586" s="269"/>
      <c r="C586" s="261"/>
      <c r="D586" s="261"/>
      <c r="E586" s="261"/>
      <c r="F586" s="261"/>
      <c r="G586" s="261"/>
      <c r="H586" s="261"/>
      <c r="I586" s="261"/>
      <c r="J586" s="261"/>
    </row>
    <row r="587">
      <c r="A587" s="153"/>
      <c r="B587" s="269"/>
      <c r="C587" s="261"/>
      <c r="D587" s="261"/>
      <c r="E587" s="261"/>
      <c r="F587" s="261"/>
      <c r="G587" s="261"/>
      <c r="H587" s="261"/>
      <c r="I587" s="261"/>
      <c r="J587" s="261"/>
    </row>
    <row r="588">
      <c r="A588" s="153"/>
      <c r="B588" s="269"/>
      <c r="C588" s="261"/>
      <c r="D588" s="261"/>
      <c r="E588" s="261"/>
      <c r="F588" s="261"/>
      <c r="G588" s="261"/>
      <c r="H588" s="261"/>
      <c r="I588" s="261"/>
      <c r="J588" s="261"/>
    </row>
    <row r="589">
      <c r="A589" s="153"/>
      <c r="B589" s="269"/>
      <c r="C589" s="261"/>
      <c r="D589" s="261"/>
      <c r="E589" s="261"/>
      <c r="F589" s="261"/>
      <c r="G589" s="261"/>
      <c r="H589" s="261"/>
      <c r="I589" s="261"/>
      <c r="J589" s="261"/>
    </row>
    <row r="590">
      <c r="A590" s="153"/>
      <c r="B590" s="269"/>
      <c r="C590" s="261"/>
      <c r="D590" s="261"/>
      <c r="E590" s="261"/>
      <c r="F590" s="261"/>
      <c r="G590" s="261"/>
      <c r="H590" s="261"/>
      <c r="I590" s="261"/>
      <c r="J590" s="261"/>
    </row>
    <row r="591">
      <c r="A591" s="153"/>
      <c r="B591" s="269"/>
      <c r="C591" s="261"/>
      <c r="D591" s="261"/>
      <c r="E591" s="261"/>
      <c r="F591" s="261"/>
      <c r="G591" s="261"/>
      <c r="H591" s="261"/>
      <c r="I591" s="261"/>
      <c r="J591" s="261"/>
    </row>
    <row r="592">
      <c r="A592" s="153"/>
      <c r="B592" s="269"/>
      <c r="C592" s="261"/>
      <c r="D592" s="261"/>
      <c r="E592" s="261"/>
      <c r="F592" s="261"/>
      <c r="G592" s="261"/>
      <c r="H592" s="261"/>
      <c r="I592" s="261"/>
      <c r="J592" s="261"/>
    </row>
    <row r="593">
      <c r="A593" s="153"/>
      <c r="B593" s="269"/>
      <c r="C593" s="261"/>
      <c r="D593" s="261"/>
      <c r="E593" s="261"/>
      <c r="F593" s="261"/>
      <c r="G593" s="261"/>
      <c r="H593" s="261"/>
      <c r="I593" s="261"/>
      <c r="J593" s="261"/>
    </row>
    <row r="594">
      <c r="A594" s="153"/>
      <c r="B594" s="269"/>
      <c r="C594" s="261"/>
      <c r="D594" s="261"/>
      <c r="E594" s="261"/>
      <c r="F594" s="261"/>
      <c r="G594" s="261"/>
      <c r="H594" s="261"/>
      <c r="I594" s="261"/>
      <c r="J594" s="261"/>
    </row>
    <row r="595">
      <c r="A595" s="153"/>
      <c r="B595" s="269"/>
      <c r="C595" s="261"/>
      <c r="D595" s="261"/>
      <c r="E595" s="261"/>
      <c r="F595" s="261"/>
      <c r="G595" s="261"/>
      <c r="H595" s="261"/>
      <c r="I595" s="261"/>
      <c r="J595" s="261"/>
    </row>
    <row r="596">
      <c r="A596" s="153"/>
      <c r="B596" s="269"/>
      <c r="C596" s="261"/>
      <c r="D596" s="261"/>
      <c r="E596" s="261"/>
      <c r="F596" s="261"/>
      <c r="G596" s="261"/>
      <c r="H596" s="261"/>
      <c r="I596" s="261"/>
      <c r="J596" s="261"/>
    </row>
    <row r="597">
      <c r="A597" s="153"/>
      <c r="B597" s="269"/>
      <c r="C597" s="261"/>
      <c r="D597" s="261"/>
      <c r="E597" s="261"/>
      <c r="F597" s="261"/>
      <c r="G597" s="261"/>
      <c r="H597" s="261"/>
      <c r="I597" s="261"/>
      <c r="J597" s="261"/>
    </row>
    <row r="598">
      <c r="A598" s="153"/>
      <c r="B598" s="269"/>
      <c r="C598" s="261"/>
      <c r="D598" s="261"/>
      <c r="E598" s="261"/>
      <c r="F598" s="261"/>
      <c r="G598" s="261"/>
      <c r="H598" s="261"/>
      <c r="I598" s="261"/>
      <c r="J598" s="261"/>
    </row>
    <row r="599">
      <c r="A599" s="153"/>
      <c r="B599" s="269"/>
      <c r="C599" s="261"/>
      <c r="D599" s="261"/>
      <c r="E599" s="261"/>
      <c r="F599" s="261"/>
      <c r="G599" s="261"/>
      <c r="H599" s="261"/>
      <c r="I599" s="261"/>
      <c r="J599" s="261"/>
    </row>
    <row r="600">
      <c r="A600" s="153"/>
      <c r="B600" s="269"/>
      <c r="C600" s="261"/>
      <c r="D600" s="261"/>
      <c r="E600" s="261"/>
      <c r="F600" s="261"/>
      <c r="G600" s="261"/>
      <c r="H600" s="261"/>
      <c r="I600" s="261"/>
      <c r="J600" s="261"/>
    </row>
    <row r="601">
      <c r="A601" s="150" t="str">
        <f t="array" ref="A601:A650">'Up Names'!M2:M51</f>
        <v>Cluster Bomb</v>
      </c>
      <c r="B601" s="208">
        <v>3.0</v>
      </c>
      <c r="C601" s="261"/>
      <c r="D601" s="261"/>
      <c r="E601" s="261"/>
      <c r="F601" s="261"/>
      <c r="G601" s="261"/>
      <c r="H601" s="261"/>
      <c r="I601" s="261"/>
      <c r="J601" s="261"/>
    </row>
    <row r="602">
      <c r="A602" s="153" t="s">
        <v>162</v>
      </c>
      <c r="B602" s="271">
        <v>1.0</v>
      </c>
      <c r="C602" s="264">
        <v>-0.15</v>
      </c>
      <c r="D602" s="261"/>
      <c r="E602" s="261"/>
      <c r="F602" s="261"/>
      <c r="G602" s="261"/>
      <c r="H602" s="261"/>
      <c r="I602" s="261"/>
      <c r="J602" s="261"/>
    </row>
    <row r="603">
      <c r="A603" s="155" t="s">
        <v>182</v>
      </c>
      <c r="B603" s="260">
        <v>2.5</v>
      </c>
      <c r="C603" s="204">
        <v>15.0</v>
      </c>
      <c r="D603" s="204">
        <v>13.0</v>
      </c>
      <c r="E603" s="261"/>
      <c r="F603" s="261"/>
      <c r="G603" s="261"/>
      <c r="H603" s="261"/>
      <c r="I603" s="261"/>
      <c r="J603" s="261"/>
    </row>
    <row r="604">
      <c r="A604" s="153" t="s">
        <v>202</v>
      </c>
      <c r="B604" s="264">
        <v>0.4</v>
      </c>
      <c r="C604" s="264">
        <v>0.03</v>
      </c>
      <c r="D604" s="264">
        <v>0.03</v>
      </c>
      <c r="E604" s="261"/>
      <c r="F604" s="261"/>
      <c r="G604" s="261"/>
      <c r="H604" s="261"/>
      <c r="I604" s="261"/>
      <c r="J604" s="261"/>
    </row>
    <row r="605">
      <c r="A605" s="155" t="s">
        <v>222</v>
      </c>
      <c r="B605" s="262">
        <v>0.25</v>
      </c>
      <c r="C605" s="262">
        <v>0.18</v>
      </c>
      <c r="D605" s="261"/>
      <c r="E605" s="261"/>
      <c r="F605" s="261"/>
      <c r="G605" s="261"/>
      <c r="H605" s="261"/>
      <c r="I605" s="261"/>
      <c r="J605" s="261"/>
    </row>
    <row r="606">
      <c r="A606" s="153" t="s">
        <v>241</v>
      </c>
      <c r="B606" s="264">
        <v>0.23</v>
      </c>
      <c r="C606" s="261"/>
      <c r="D606" s="261"/>
      <c r="E606" s="261"/>
      <c r="F606" s="261"/>
      <c r="G606" s="261"/>
      <c r="H606" s="261"/>
      <c r="I606" s="261"/>
      <c r="J606" s="261"/>
    </row>
    <row r="607">
      <c r="A607" s="155" t="s">
        <v>261</v>
      </c>
      <c r="B607" s="208">
        <v>0.6</v>
      </c>
      <c r="C607" s="261"/>
      <c r="D607" s="261"/>
      <c r="E607" s="261"/>
      <c r="F607" s="261"/>
      <c r="G607" s="261"/>
      <c r="H607" s="261"/>
      <c r="I607" s="261"/>
      <c r="J607" s="261"/>
    </row>
    <row r="608">
      <c r="A608" s="153" t="s">
        <v>281</v>
      </c>
      <c r="B608" s="269"/>
      <c r="C608" s="261"/>
      <c r="D608" s="261"/>
      <c r="E608" s="261"/>
      <c r="F608" s="261"/>
      <c r="G608" s="261"/>
      <c r="H608" s="261"/>
      <c r="I608" s="261"/>
      <c r="J608" s="261"/>
    </row>
    <row r="609">
      <c r="A609" s="155" t="s">
        <v>301</v>
      </c>
      <c r="B609" s="265">
        <v>-0.0476</v>
      </c>
      <c r="C609" s="204">
        <v>1.0</v>
      </c>
      <c r="D609" s="261"/>
      <c r="E609" s="261"/>
      <c r="F609" s="261"/>
      <c r="G609" s="261"/>
      <c r="H609" s="261"/>
      <c r="I609" s="261"/>
      <c r="J609" s="261"/>
    </row>
    <row r="610">
      <c r="A610" s="153" t="s">
        <v>321</v>
      </c>
      <c r="B610" s="264">
        <v>0.4</v>
      </c>
      <c r="C610" s="261"/>
      <c r="D610" s="261"/>
      <c r="E610" s="261"/>
      <c r="F610" s="261"/>
      <c r="G610" s="261"/>
      <c r="H610" s="261"/>
      <c r="I610" s="261"/>
      <c r="J610" s="261"/>
    </row>
    <row r="611">
      <c r="A611" s="155" t="s">
        <v>341</v>
      </c>
      <c r="B611" s="265">
        <v>0.3158</v>
      </c>
      <c r="C611" s="262">
        <v>0.29</v>
      </c>
      <c r="D611" s="261"/>
      <c r="E611" s="261"/>
      <c r="F611" s="261"/>
      <c r="G611" s="261"/>
      <c r="H611" s="261"/>
      <c r="I611" s="261"/>
      <c r="J611" s="261"/>
    </row>
    <row r="612">
      <c r="A612" s="153" t="s">
        <v>361</v>
      </c>
      <c r="B612" s="264">
        <v>0.38</v>
      </c>
      <c r="C612" s="264">
        <v>14.0</v>
      </c>
      <c r="D612" s="261"/>
      <c r="E612" s="261"/>
      <c r="F612" s="261"/>
      <c r="G612" s="261"/>
      <c r="H612" s="261"/>
      <c r="I612" s="261"/>
      <c r="J612" s="261"/>
    </row>
    <row r="613">
      <c r="A613" s="155" t="s">
        <v>385</v>
      </c>
      <c r="B613" s="261"/>
      <c r="C613" s="269"/>
      <c r="D613" s="261"/>
      <c r="E613" s="261"/>
      <c r="F613" s="261"/>
      <c r="G613" s="261"/>
      <c r="H613" s="261"/>
      <c r="I613" s="261"/>
      <c r="J613" s="261"/>
    </row>
    <row r="614">
      <c r="A614" s="153" t="s">
        <v>412</v>
      </c>
      <c r="B614" s="264">
        <v>0.08</v>
      </c>
      <c r="C614" s="268"/>
      <c r="D614" s="261"/>
      <c r="E614" s="261"/>
      <c r="F614" s="261"/>
      <c r="G614" s="261"/>
      <c r="H614" s="261"/>
      <c r="I614" s="261"/>
      <c r="J614" s="261"/>
    </row>
    <row r="615">
      <c r="A615" s="155" t="s">
        <v>440</v>
      </c>
      <c r="B615" s="204">
        <v>15.0</v>
      </c>
      <c r="C615" s="269"/>
      <c r="D615" s="261"/>
      <c r="E615" s="261"/>
      <c r="F615" s="261"/>
      <c r="G615" s="261"/>
      <c r="H615" s="261"/>
      <c r="I615" s="261"/>
      <c r="J615" s="261"/>
    </row>
    <row r="616">
      <c r="A616" s="153" t="s">
        <v>467</v>
      </c>
      <c r="B616" s="206">
        <v>1.0</v>
      </c>
      <c r="C616" s="261"/>
      <c r="D616" s="261"/>
      <c r="E616" s="261"/>
      <c r="F616" s="261"/>
      <c r="G616" s="261"/>
      <c r="H616" s="261"/>
      <c r="I616" s="261"/>
      <c r="J616" s="261"/>
    </row>
    <row r="617">
      <c r="A617" s="155" t="s">
        <v>497</v>
      </c>
      <c r="B617" s="208">
        <v>12.0</v>
      </c>
      <c r="C617" s="261"/>
      <c r="D617" s="261"/>
      <c r="E617" s="261"/>
      <c r="F617" s="261"/>
      <c r="G617" s="261"/>
      <c r="H617" s="261"/>
      <c r="I617" s="261"/>
      <c r="J617" s="261"/>
    </row>
    <row r="618">
      <c r="A618" s="153" t="s">
        <v>520</v>
      </c>
      <c r="B618" s="264">
        <v>-0.85</v>
      </c>
      <c r="C618" s="261"/>
      <c r="D618" s="261"/>
      <c r="E618" s="261"/>
      <c r="F618" s="261"/>
      <c r="G618" s="261"/>
      <c r="H618" s="261"/>
      <c r="I618" s="261"/>
      <c r="J618" s="261"/>
    </row>
    <row r="619">
      <c r="A619" s="155" t="s">
        <v>539</v>
      </c>
      <c r="B619" s="265">
        <v>0.1364</v>
      </c>
      <c r="C619" s="261"/>
      <c r="D619" s="261"/>
      <c r="E619" s="261"/>
      <c r="F619" s="261"/>
      <c r="G619" s="261"/>
      <c r="H619" s="261"/>
      <c r="I619" s="261"/>
      <c r="J619" s="261"/>
    </row>
    <row r="620">
      <c r="A620" s="153" t="s">
        <v>559</v>
      </c>
      <c r="B620" s="264">
        <v>-0.75</v>
      </c>
      <c r="C620" s="264">
        <v>0.4</v>
      </c>
      <c r="D620" s="261"/>
      <c r="E620" s="261"/>
      <c r="F620" s="261"/>
      <c r="G620" s="261"/>
      <c r="H620" s="261"/>
      <c r="I620" s="261"/>
      <c r="J620" s="261"/>
    </row>
    <row r="621">
      <c r="A621" s="155" t="s">
        <v>583</v>
      </c>
      <c r="B621" s="269"/>
      <c r="C621" s="261"/>
      <c r="D621" s="261"/>
      <c r="E621" s="261"/>
      <c r="F621" s="261"/>
      <c r="G621" s="261"/>
      <c r="H621" s="261"/>
      <c r="I621" s="261"/>
      <c r="J621" s="261"/>
    </row>
    <row r="622">
      <c r="A622" s="153" t="s">
        <v>607</v>
      </c>
      <c r="B622" s="269"/>
      <c r="C622" s="280"/>
      <c r="D622" s="261"/>
      <c r="E622" s="261"/>
      <c r="F622" s="261"/>
      <c r="G622" s="261"/>
      <c r="H622" s="261"/>
      <c r="I622" s="261"/>
      <c r="J622" s="261"/>
    </row>
    <row r="623">
      <c r="A623" s="155" t="s">
        <v>627</v>
      </c>
      <c r="B623" s="280"/>
      <c r="C623" s="269"/>
      <c r="D623" s="261"/>
      <c r="E623" s="261"/>
      <c r="F623" s="261"/>
      <c r="G623" s="261"/>
      <c r="H623" s="261"/>
      <c r="I623" s="261"/>
      <c r="J623" s="261"/>
    </row>
    <row r="624">
      <c r="A624" s="153" t="s">
        <v>653</v>
      </c>
      <c r="B624" s="280"/>
      <c r="C624" s="269"/>
      <c r="D624" s="261"/>
      <c r="E624" s="261"/>
      <c r="F624" s="261"/>
      <c r="G624" s="261"/>
      <c r="H624" s="261"/>
      <c r="I624" s="261"/>
      <c r="J624" s="261"/>
    </row>
    <row r="625">
      <c r="A625" s="155" t="s">
        <v>503</v>
      </c>
      <c r="B625" s="280"/>
      <c r="C625" s="269"/>
      <c r="D625" s="261"/>
      <c r="E625" s="261"/>
      <c r="F625" s="261"/>
      <c r="G625" s="261"/>
      <c r="H625" s="261"/>
      <c r="I625" s="261"/>
      <c r="J625" s="261"/>
    </row>
    <row r="626">
      <c r="A626" s="153" t="s">
        <v>511</v>
      </c>
      <c r="B626" s="280"/>
      <c r="C626" s="269"/>
      <c r="D626" s="261"/>
      <c r="E626" s="261"/>
      <c r="F626" s="261"/>
      <c r="G626" s="261"/>
      <c r="H626" s="261"/>
      <c r="I626" s="261"/>
      <c r="J626" s="261"/>
    </row>
    <row r="627">
      <c r="A627" s="155" t="s">
        <v>516</v>
      </c>
      <c r="B627" s="280"/>
      <c r="C627" s="269"/>
      <c r="D627" s="261"/>
      <c r="E627" s="261"/>
      <c r="F627" s="261"/>
      <c r="G627" s="261"/>
      <c r="H627" s="261"/>
      <c r="I627" s="261"/>
      <c r="J627" s="261"/>
    </row>
    <row r="628">
      <c r="A628" s="153"/>
      <c r="B628" s="280"/>
      <c r="C628" s="269"/>
      <c r="D628" s="261"/>
      <c r="E628" s="261"/>
      <c r="F628" s="261"/>
      <c r="G628" s="261"/>
      <c r="H628" s="261"/>
      <c r="I628" s="261"/>
      <c r="J628" s="261"/>
    </row>
    <row r="629">
      <c r="A629" s="155"/>
      <c r="B629" s="280"/>
      <c r="C629" s="269"/>
      <c r="D629" s="261"/>
      <c r="E629" s="261"/>
      <c r="F629" s="261"/>
      <c r="G629" s="261"/>
      <c r="H629" s="261"/>
      <c r="I629" s="261"/>
      <c r="J629" s="261"/>
    </row>
    <row r="630">
      <c r="A630" s="153"/>
      <c r="B630" s="280"/>
      <c r="C630" s="269"/>
      <c r="D630" s="261"/>
      <c r="E630" s="261"/>
      <c r="F630" s="261"/>
      <c r="G630" s="261"/>
      <c r="H630" s="261"/>
      <c r="I630" s="261"/>
      <c r="J630" s="261"/>
    </row>
    <row r="631">
      <c r="A631" s="155"/>
      <c r="B631" s="280"/>
      <c r="C631" s="269"/>
      <c r="D631" s="261"/>
      <c r="E631" s="261"/>
      <c r="F631" s="261"/>
      <c r="G631" s="261"/>
      <c r="H631" s="261"/>
      <c r="I631" s="261"/>
      <c r="J631" s="261"/>
    </row>
    <row r="632">
      <c r="A632" s="153"/>
      <c r="B632" s="280"/>
      <c r="C632" s="269"/>
      <c r="D632" s="261"/>
      <c r="E632" s="261"/>
      <c r="F632" s="261"/>
      <c r="G632" s="261"/>
      <c r="H632" s="261"/>
      <c r="I632" s="261"/>
      <c r="J632" s="261"/>
    </row>
    <row r="633">
      <c r="A633" s="155"/>
      <c r="B633" s="280"/>
      <c r="C633" s="269"/>
      <c r="D633" s="261"/>
      <c r="E633" s="261"/>
      <c r="F633" s="261"/>
      <c r="G633" s="261"/>
      <c r="H633" s="261"/>
      <c r="I633" s="261"/>
      <c r="J633" s="261"/>
    </row>
    <row r="634">
      <c r="A634" s="153"/>
      <c r="B634" s="280"/>
      <c r="C634" s="269"/>
      <c r="D634" s="261"/>
      <c r="E634" s="261"/>
      <c r="F634" s="261"/>
      <c r="G634" s="261"/>
      <c r="H634" s="261"/>
      <c r="I634" s="261"/>
      <c r="J634" s="261"/>
    </row>
    <row r="635">
      <c r="A635" s="155"/>
      <c r="B635" s="280"/>
      <c r="C635" s="269"/>
      <c r="D635" s="261"/>
      <c r="E635" s="261"/>
      <c r="F635" s="261"/>
      <c r="G635" s="261"/>
      <c r="H635" s="261"/>
      <c r="I635" s="261"/>
      <c r="J635" s="261"/>
    </row>
    <row r="636">
      <c r="A636" s="153"/>
      <c r="B636" s="280"/>
      <c r="C636" s="269"/>
      <c r="D636" s="261"/>
      <c r="E636" s="261"/>
      <c r="F636" s="261"/>
      <c r="G636" s="261"/>
      <c r="H636" s="261"/>
      <c r="I636" s="261"/>
      <c r="J636" s="261"/>
    </row>
    <row r="637">
      <c r="A637" s="155"/>
      <c r="B637" s="280"/>
      <c r="C637" s="269"/>
      <c r="D637" s="261"/>
      <c r="E637" s="261"/>
      <c r="F637" s="261"/>
      <c r="G637" s="261"/>
      <c r="H637" s="261"/>
      <c r="I637" s="261"/>
      <c r="J637" s="261"/>
    </row>
    <row r="638">
      <c r="A638" s="153"/>
      <c r="B638" s="280"/>
      <c r="C638" s="269"/>
      <c r="D638" s="261"/>
      <c r="E638" s="261"/>
      <c r="F638" s="261"/>
      <c r="G638" s="261"/>
      <c r="H638" s="261"/>
      <c r="I638" s="261"/>
      <c r="J638" s="261"/>
    </row>
    <row r="639">
      <c r="A639" s="155"/>
      <c r="B639" s="280"/>
      <c r="C639" s="269"/>
      <c r="D639" s="261"/>
      <c r="E639" s="261"/>
      <c r="F639" s="261"/>
      <c r="G639" s="261"/>
      <c r="H639" s="261"/>
      <c r="I639" s="261"/>
      <c r="J639" s="261"/>
    </row>
    <row r="640">
      <c r="A640" s="153"/>
      <c r="B640" s="280"/>
      <c r="C640" s="269"/>
      <c r="D640" s="261"/>
      <c r="E640" s="261"/>
      <c r="F640" s="261"/>
      <c r="G640" s="261"/>
      <c r="H640" s="261"/>
      <c r="I640" s="261"/>
      <c r="J640" s="261"/>
    </row>
    <row r="641">
      <c r="A641" s="155"/>
      <c r="B641" s="280"/>
      <c r="C641" s="269"/>
      <c r="D641" s="261"/>
      <c r="E641" s="261"/>
      <c r="F641" s="261"/>
      <c r="G641" s="261"/>
      <c r="H641" s="261"/>
      <c r="I641" s="261"/>
      <c r="J641" s="261"/>
    </row>
    <row r="642">
      <c r="A642" s="153"/>
      <c r="B642" s="280"/>
      <c r="C642" s="269"/>
      <c r="D642" s="261"/>
      <c r="E642" s="261"/>
      <c r="F642" s="261"/>
      <c r="G642" s="261"/>
      <c r="H642" s="261"/>
      <c r="I642" s="261"/>
      <c r="J642" s="261"/>
    </row>
    <row r="643">
      <c r="A643" s="155"/>
      <c r="B643" s="280"/>
      <c r="C643" s="269"/>
      <c r="D643" s="261"/>
      <c r="E643" s="261"/>
      <c r="F643" s="261"/>
      <c r="G643" s="261"/>
      <c r="H643" s="261"/>
      <c r="I643" s="261"/>
      <c r="J643" s="261"/>
    </row>
    <row r="644">
      <c r="A644" s="153"/>
      <c r="B644" s="280"/>
      <c r="C644" s="269"/>
      <c r="D644" s="261"/>
      <c r="E644" s="261"/>
      <c r="F644" s="261"/>
      <c r="G644" s="261"/>
      <c r="H644" s="261"/>
      <c r="I644" s="261"/>
      <c r="J644" s="261"/>
    </row>
    <row r="645">
      <c r="A645" s="155"/>
      <c r="B645" s="280"/>
      <c r="C645" s="269"/>
      <c r="D645" s="261"/>
      <c r="E645" s="261"/>
      <c r="F645" s="261"/>
      <c r="G645" s="261"/>
      <c r="H645" s="261"/>
      <c r="I645" s="261"/>
      <c r="J645" s="261"/>
    </row>
    <row r="646">
      <c r="A646" s="153"/>
      <c r="B646" s="280"/>
      <c r="C646" s="269"/>
      <c r="D646" s="261"/>
      <c r="E646" s="261"/>
      <c r="F646" s="261"/>
      <c r="G646" s="261"/>
      <c r="H646" s="261"/>
      <c r="I646" s="261"/>
      <c r="J646" s="261"/>
    </row>
    <row r="647">
      <c r="A647" s="155"/>
      <c r="B647" s="280"/>
      <c r="C647" s="269"/>
      <c r="D647" s="261"/>
      <c r="E647" s="261"/>
      <c r="F647" s="261"/>
      <c r="G647" s="261"/>
      <c r="H647" s="261"/>
      <c r="I647" s="261"/>
      <c r="J647" s="261"/>
    </row>
    <row r="648">
      <c r="A648" s="153"/>
      <c r="B648" s="280"/>
      <c r="C648" s="269"/>
      <c r="D648" s="261"/>
      <c r="E648" s="261"/>
      <c r="F648" s="261"/>
      <c r="G648" s="261"/>
      <c r="H648" s="261"/>
      <c r="I648" s="261"/>
      <c r="J648" s="261"/>
    </row>
    <row r="649">
      <c r="A649" s="155"/>
      <c r="B649" s="280"/>
      <c r="C649" s="269"/>
      <c r="D649" s="261"/>
      <c r="E649" s="261"/>
      <c r="F649" s="261"/>
      <c r="G649" s="261"/>
      <c r="H649" s="261"/>
      <c r="I649" s="261"/>
      <c r="J649" s="261"/>
    </row>
    <row r="650">
      <c r="A650" s="162"/>
      <c r="B650" s="280"/>
      <c r="C650" s="269"/>
      <c r="D650" s="261"/>
      <c r="E650" s="261"/>
      <c r="F650" s="261"/>
      <c r="G650" s="261"/>
      <c r="H650" s="261"/>
      <c r="I650" s="261"/>
      <c r="J650" s="261"/>
    </row>
    <row r="651">
      <c r="A651" s="150" t="str">
        <f t="array" ref="A651:A700">'Up Names'!N2:N51</f>
        <v>Flash Storm</v>
      </c>
      <c r="B651" s="281">
        <v>0.08</v>
      </c>
      <c r="C651" s="269"/>
      <c r="D651" s="261"/>
      <c r="E651" s="261"/>
      <c r="F651" s="261"/>
      <c r="G651" s="261"/>
      <c r="H651" s="261"/>
      <c r="I651" s="261"/>
      <c r="J651" s="261"/>
    </row>
    <row r="652">
      <c r="A652" s="153" t="s">
        <v>163</v>
      </c>
      <c r="B652" s="263">
        <v>26.7778</v>
      </c>
      <c r="C652" s="264">
        <v>-0.77</v>
      </c>
      <c r="D652" s="264">
        <v>-0.82</v>
      </c>
      <c r="E652" s="261"/>
      <c r="F652" s="261"/>
      <c r="G652" s="261"/>
      <c r="H652" s="261"/>
      <c r="I652" s="261"/>
      <c r="J652" s="261"/>
    </row>
    <row r="653">
      <c r="A653" s="155" t="s">
        <v>183</v>
      </c>
      <c r="B653" s="281">
        <v>4.0</v>
      </c>
      <c r="C653" s="208">
        <v>1.3</v>
      </c>
      <c r="D653" s="204">
        <v>2.5</v>
      </c>
      <c r="E653" s="261"/>
      <c r="F653" s="261"/>
      <c r="G653" s="261"/>
      <c r="H653" s="261"/>
      <c r="I653" s="261"/>
      <c r="J653" s="261"/>
    </row>
    <row r="654">
      <c r="A654" s="153" t="s">
        <v>203</v>
      </c>
      <c r="B654" s="276">
        <v>14.0</v>
      </c>
      <c r="C654" s="269"/>
      <c r="D654" s="261"/>
      <c r="E654" s="261"/>
      <c r="F654" s="261"/>
      <c r="G654" s="261"/>
      <c r="H654" s="261"/>
      <c r="I654" s="261"/>
      <c r="J654" s="261"/>
    </row>
    <row r="655">
      <c r="A655" s="155" t="s">
        <v>223</v>
      </c>
      <c r="B655" s="281">
        <v>1.5</v>
      </c>
      <c r="C655" s="269"/>
      <c r="D655" s="261"/>
      <c r="E655" s="261"/>
      <c r="F655" s="261"/>
      <c r="G655" s="261"/>
      <c r="H655" s="261"/>
      <c r="I655" s="261"/>
      <c r="J655" s="261"/>
    </row>
    <row r="656">
      <c r="A656" s="153" t="s">
        <v>242</v>
      </c>
      <c r="B656" s="264">
        <v>0.4</v>
      </c>
      <c r="C656" s="269"/>
      <c r="D656" s="261"/>
      <c r="E656" s="261"/>
      <c r="F656" s="261"/>
      <c r="G656" s="261"/>
      <c r="H656" s="261"/>
      <c r="I656" s="261"/>
      <c r="J656" s="261"/>
    </row>
    <row r="657">
      <c r="A657" s="155" t="s">
        <v>262</v>
      </c>
      <c r="B657" s="281">
        <v>15.0</v>
      </c>
      <c r="C657" s="269"/>
      <c r="D657" s="261"/>
      <c r="E657" s="261"/>
      <c r="F657" s="261"/>
      <c r="G657" s="261"/>
      <c r="H657" s="261"/>
      <c r="I657" s="261"/>
      <c r="J657" s="261"/>
    </row>
    <row r="658">
      <c r="A658" s="153" t="s">
        <v>282</v>
      </c>
      <c r="B658" s="276">
        <v>34.0</v>
      </c>
      <c r="C658" s="269"/>
      <c r="D658" s="261"/>
      <c r="E658" s="261"/>
      <c r="F658" s="261"/>
      <c r="G658" s="261"/>
      <c r="H658" s="261"/>
      <c r="I658" s="261"/>
      <c r="J658" s="261"/>
    </row>
    <row r="659">
      <c r="A659" s="155" t="s">
        <v>302</v>
      </c>
      <c r="B659" s="281">
        <v>6.5</v>
      </c>
      <c r="C659" s="269"/>
      <c r="D659" s="261"/>
      <c r="E659" s="261"/>
      <c r="F659" s="261"/>
      <c r="G659" s="261"/>
      <c r="H659" s="261"/>
      <c r="I659" s="261"/>
      <c r="J659" s="261"/>
    </row>
    <row r="660">
      <c r="A660" s="153" t="s">
        <v>322</v>
      </c>
      <c r="B660" s="276">
        <v>0.6</v>
      </c>
      <c r="C660" s="269"/>
      <c r="D660" s="261"/>
      <c r="E660" s="261"/>
      <c r="F660" s="261"/>
      <c r="G660" s="261"/>
      <c r="H660" s="261"/>
      <c r="I660" s="261"/>
      <c r="J660" s="261"/>
    </row>
    <row r="661">
      <c r="A661" s="155" t="s">
        <v>342</v>
      </c>
      <c r="B661" s="281">
        <v>35.0</v>
      </c>
      <c r="C661" s="269"/>
      <c r="D661" s="261"/>
      <c r="E661" s="261"/>
      <c r="F661" s="261"/>
      <c r="G661" s="261"/>
      <c r="H661" s="261"/>
      <c r="I661" s="261"/>
      <c r="J661" s="261"/>
    </row>
    <row r="662">
      <c r="A662" s="153" t="s">
        <v>362</v>
      </c>
      <c r="B662" s="264">
        <v>0.08</v>
      </c>
      <c r="C662" s="269"/>
      <c r="D662" s="261"/>
      <c r="E662" s="261"/>
      <c r="F662" s="261"/>
      <c r="G662" s="261"/>
      <c r="H662" s="261"/>
      <c r="I662" s="261"/>
      <c r="J662" s="261"/>
    </row>
    <row r="663">
      <c r="A663" s="155" t="s">
        <v>387</v>
      </c>
      <c r="B663" s="272">
        <v>0.185</v>
      </c>
      <c r="C663" s="269"/>
      <c r="D663" s="261"/>
      <c r="E663" s="261"/>
      <c r="F663" s="261"/>
      <c r="G663" s="261"/>
      <c r="H663" s="261"/>
      <c r="I663" s="261"/>
      <c r="J663" s="261"/>
    </row>
    <row r="664">
      <c r="A664" s="153" t="s">
        <v>413</v>
      </c>
      <c r="B664" s="280"/>
      <c r="C664" s="269"/>
      <c r="D664" s="261"/>
      <c r="E664" s="261"/>
      <c r="F664" s="261"/>
      <c r="G664" s="261"/>
      <c r="H664" s="261"/>
      <c r="I664" s="261"/>
      <c r="J664" s="261"/>
    </row>
    <row r="665">
      <c r="A665" s="155" t="s">
        <v>441</v>
      </c>
      <c r="B665" s="281">
        <v>0.5</v>
      </c>
      <c r="C665" s="269"/>
      <c r="D665" s="261"/>
      <c r="E665" s="261"/>
      <c r="F665" s="261"/>
      <c r="G665" s="261"/>
      <c r="H665" s="261"/>
      <c r="I665" s="261"/>
      <c r="J665" s="261"/>
    </row>
    <row r="666">
      <c r="A666" s="153" t="s">
        <v>469</v>
      </c>
      <c r="B666" s="280"/>
      <c r="C666" s="269"/>
      <c r="D666" s="261"/>
      <c r="E666" s="261"/>
      <c r="F666" s="261"/>
      <c r="G666" s="261"/>
      <c r="H666" s="261"/>
      <c r="I666" s="261"/>
      <c r="J666" s="261"/>
    </row>
    <row r="667">
      <c r="A667" s="155" t="s">
        <v>498</v>
      </c>
      <c r="B667" s="280"/>
      <c r="C667" s="269"/>
      <c r="D667" s="261"/>
      <c r="E667" s="261"/>
      <c r="F667" s="261"/>
      <c r="G667" s="261"/>
      <c r="H667" s="261"/>
      <c r="I667" s="261"/>
      <c r="J667" s="261"/>
    </row>
    <row r="668">
      <c r="A668" s="153" t="s">
        <v>521</v>
      </c>
      <c r="B668" s="264">
        <v>0.5</v>
      </c>
      <c r="C668" s="269"/>
      <c r="D668" s="261"/>
      <c r="E668" s="261"/>
      <c r="F668" s="261"/>
      <c r="G668" s="261"/>
      <c r="H668" s="261"/>
      <c r="I668" s="261"/>
      <c r="J668" s="261"/>
    </row>
    <row r="669">
      <c r="A669" s="155" t="s">
        <v>540</v>
      </c>
      <c r="B669" s="262">
        <v>0.3</v>
      </c>
      <c r="C669" s="269"/>
      <c r="D669" s="261"/>
      <c r="E669" s="261"/>
      <c r="F669" s="261"/>
      <c r="G669" s="261"/>
      <c r="H669" s="261"/>
      <c r="I669" s="261"/>
      <c r="J669" s="261"/>
    </row>
    <row r="670">
      <c r="A670" s="153" t="s">
        <v>560</v>
      </c>
      <c r="B670" s="264">
        <v>-0.85</v>
      </c>
      <c r="C670" s="269"/>
      <c r="D670" s="261"/>
      <c r="E670" s="261"/>
      <c r="F670" s="261"/>
      <c r="G670" s="261"/>
      <c r="H670" s="261"/>
      <c r="I670" s="261"/>
      <c r="J670" s="261"/>
    </row>
    <row r="671">
      <c r="A671" s="155" t="s">
        <v>583</v>
      </c>
      <c r="B671" s="280"/>
      <c r="C671" s="269"/>
      <c r="D671" s="261"/>
      <c r="E671" s="261"/>
      <c r="F671" s="261"/>
      <c r="G671" s="261"/>
      <c r="H671" s="261"/>
      <c r="I671" s="261"/>
      <c r="J671" s="261"/>
    </row>
    <row r="672">
      <c r="A672" s="153" t="s">
        <v>607</v>
      </c>
      <c r="B672" s="280"/>
      <c r="C672" s="269"/>
      <c r="D672" s="261"/>
      <c r="E672" s="261"/>
      <c r="F672" s="261"/>
      <c r="G672" s="261"/>
      <c r="H672" s="261"/>
      <c r="I672" s="261"/>
      <c r="J672" s="261"/>
    </row>
    <row r="673">
      <c r="A673" s="155" t="s">
        <v>627</v>
      </c>
      <c r="B673" s="280"/>
      <c r="C673" s="269"/>
      <c r="D673" s="261"/>
      <c r="E673" s="261"/>
      <c r="F673" s="261"/>
      <c r="G673" s="261"/>
      <c r="H673" s="261"/>
      <c r="I673" s="261"/>
      <c r="J673" s="261"/>
    </row>
    <row r="674">
      <c r="A674" s="153" t="s">
        <v>653</v>
      </c>
      <c r="B674" s="280"/>
      <c r="C674" s="269"/>
      <c r="D674" s="261"/>
      <c r="E674" s="261"/>
      <c r="F674" s="261"/>
      <c r="G674" s="261"/>
      <c r="H674" s="261"/>
      <c r="I674" s="261"/>
      <c r="J674" s="261"/>
    </row>
    <row r="675">
      <c r="A675" s="155" t="s">
        <v>503</v>
      </c>
      <c r="B675" s="280"/>
      <c r="C675" s="269"/>
      <c r="D675" s="261"/>
      <c r="E675" s="261"/>
      <c r="F675" s="261"/>
      <c r="G675" s="261"/>
      <c r="H675" s="261"/>
      <c r="I675" s="261"/>
      <c r="J675" s="261"/>
    </row>
    <row r="676">
      <c r="A676" s="153" t="s">
        <v>511</v>
      </c>
      <c r="B676" s="280"/>
      <c r="C676" s="269"/>
      <c r="D676" s="261"/>
      <c r="E676" s="261"/>
      <c r="F676" s="261"/>
      <c r="G676" s="261"/>
      <c r="H676" s="261"/>
      <c r="I676" s="261"/>
      <c r="J676" s="261"/>
    </row>
    <row r="677">
      <c r="A677" s="155" t="s">
        <v>516</v>
      </c>
      <c r="B677" s="280"/>
      <c r="C677" s="269"/>
      <c r="D677" s="261"/>
      <c r="E677" s="261"/>
      <c r="F677" s="261"/>
      <c r="G677" s="261"/>
      <c r="H677" s="261"/>
      <c r="I677" s="261"/>
      <c r="J677" s="261"/>
    </row>
    <row r="678">
      <c r="A678" s="153"/>
      <c r="B678" s="280"/>
      <c r="C678" s="269"/>
      <c r="D678" s="261"/>
      <c r="E678" s="261"/>
      <c r="F678" s="261"/>
      <c r="G678" s="261"/>
      <c r="H678" s="261"/>
      <c r="I678" s="261"/>
      <c r="J678" s="261"/>
    </row>
    <row r="679">
      <c r="A679" s="155"/>
      <c r="B679" s="280"/>
      <c r="C679" s="269"/>
      <c r="D679" s="261"/>
      <c r="E679" s="261"/>
      <c r="F679" s="261"/>
      <c r="G679" s="261"/>
      <c r="H679" s="261"/>
      <c r="I679" s="261"/>
      <c r="J679" s="261"/>
    </row>
    <row r="680">
      <c r="A680" s="153"/>
      <c r="B680" s="280"/>
      <c r="C680" s="269"/>
      <c r="D680" s="261"/>
      <c r="E680" s="261"/>
      <c r="F680" s="261"/>
      <c r="G680" s="261"/>
      <c r="H680" s="261"/>
      <c r="I680" s="261"/>
      <c r="J680" s="261"/>
    </row>
    <row r="681">
      <c r="A681" s="155"/>
      <c r="B681" s="280"/>
      <c r="C681" s="269"/>
      <c r="D681" s="261"/>
      <c r="E681" s="261"/>
      <c r="F681" s="261"/>
      <c r="G681" s="261"/>
      <c r="H681" s="261"/>
      <c r="I681" s="261"/>
      <c r="J681" s="261"/>
    </row>
    <row r="682">
      <c r="A682" s="153"/>
      <c r="B682" s="280"/>
      <c r="C682" s="269"/>
      <c r="D682" s="261"/>
      <c r="E682" s="261"/>
      <c r="F682" s="261"/>
      <c r="G682" s="261"/>
      <c r="H682" s="261"/>
      <c r="I682" s="261"/>
      <c r="J682" s="261"/>
    </row>
    <row r="683">
      <c r="A683" s="155"/>
      <c r="B683" s="280"/>
      <c r="C683" s="269"/>
      <c r="D683" s="261"/>
      <c r="E683" s="261"/>
      <c r="F683" s="261"/>
      <c r="G683" s="261"/>
      <c r="H683" s="261"/>
      <c r="I683" s="261"/>
      <c r="J683" s="261"/>
    </row>
    <row r="684">
      <c r="A684" s="153"/>
      <c r="B684" s="280"/>
      <c r="C684" s="269"/>
      <c r="D684" s="261"/>
      <c r="E684" s="261"/>
      <c r="F684" s="261"/>
      <c r="G684" s="261"/>
      <c r="H684" s="261"/>
      <c r="I684" s="261"/>
      <c r="J684" s="261"/>
    </row>
    <row r="685">
      <c r="A685" s="155"/>
      <c r="B685" s="280"/>
      <c r="C685" s="269"/>
      <c r="D685" s="261"/>
      <c r="E685" s="261"/>
      <c r="F685" s="261"/>
      <c r="G685" s="261"/>
      <c r="H685" s="261"/>
      <c r="I685" s="261"/>
      <c r="J685" s="261"/>
    </row>
    <row r="686">
      <c r="A686" s="153"/>
      <c r="B686" s="280"/>
      <c r="C686" s="269"/>
      <c r="D686" s="261"/>
      <c r="E686" s="261"/>
      <c r="F686" s="261"/>
      <c r="G686" s="261"/>
      <c r="H686" s="261"/>
      <c r="I686" s="261"/>
      <c r="J686" s="261"/>
    </row>
    <row r="687">
      <c r="A687" s="155"/>
      <c r="B687" s="280"/>
      <c r="C687" s="269"/>
      <c r="D687" s="261"/>
      <c r="E687" s="261"/>
      <c r="F687" s="261"/>
      <c r="G687" s="261"/>
      <c r="H687" s="261"/>
      <c r="I687" s="261"/>
      <c r="J687" s="261"/>
    </row>
    <row r="688">
      <c r="A688" s="153"/>
      <c r="B688" s="280"/>
      <c r="C688" s="269"/>
      <c r="D688" s="261"/>
      <c r="E688" s="261"/>
      <c r="F688" s="261"/>
      <c r="G688" s="261"/>
      <c r="H688" s="261"/>
      <c r="I688" s="261"/>
      <c r="J688" s="261"/>
    </row>
    <row r="689">
      <c r="A689" s="155"/>
      <c r="B689" s="280"/>
      <c r="C689" s="269"/>
      <c r="D689" s="261"/>
      <c r="E689" s="261"/>
      <c r="F689" s="261"/>
      <c r="G689" s="261"/>
      <c r="H689" s="261"/>
      <c r="I689" s="261"/>
      <c r="J689" s="261"/>
    </row>
    <row r="690">
      <c r="A690" s="153"/>
      <c r="B690" s="280"/>
      <c r="C690" s="269"/>
      <c r="D690" s="261"/>
      <c r="E690" s="261"/>
      <c r="F690" s="261"/>
      <c r="G690" s="261"/>
      <c r="H690" s="261"/>
      <c r="I690" s="261"/>
      <c r="J690" s="261"/>
    </row>
    <row r="691">
      <c r="A691" s="155"/>
      <c r="B691" s="280"/>
      <c r="C691" s="269"/>
      <c r="D691" s="261"/>
      <c r="E691" s="261"/>
      <c r="F691" s="261"/>
      <c r="G691" s="261"/>
      <c r="H691" s="261"/>
      <c r="I691" s="261"/>
      <c r="J691" s="261"/>
    </row>
    <row r="692">
      <c r="A692" s="153"/>
      <c r="B692" s="280"/>
      <c r="C692" s="269"/>
      <c r="D692" s="261"/>
      <c r="E692" s="261"/>
      <c r="F692" s="261"/>
      <c r="G692" s="261"/>
      <c r="H692" s="261"/>
      <c r="I692" s="261"/>
      <c r="J692" s="261"/>
    </row>
    <row r="693">
      <c r="A693" s="155"/>
      <c r="B693" s="280"/>
      <c r="C693" s="269"/>
      <c r="D693" s="261"/>
      <c r="E693" s="261"/>
      <c r="F693" s="261"/>
      <c r="G693" s="261"/>
      <c r="H693" s="261"/>
      <c r="I693" s="261"/>
      <c r="J693" s="261"/>
    </row>
    <row r="694">
      <c r="A694" s="153"/>
      <c r="B694" s="280"/>
      <c r="C694" s="269"/>
      <c r="D694" s="261"/>
      <c r="E694" s="261"/>
      <c r="F694" s="261"/>
      <c r="G694" s="261"/>
      <c r="H694" s="261"/>
      <c r="I694" s="261"/>
      <c r="J694" s="261"/>
    </row>
    <row r="695">
      <c r="A695" s="155"/>
      <c r="B695" s="280"/>
      <c r="C695" s="269"/>
      <c r="D695" s="261"/>
      <c r="E695" s="261"/>
      <c r="F695" s="261"/>
      <c r="G695" s="261"/>
      <c r="H695" s="261"/>
      <c r="I695" s="261"/>
      <c r="J695" s="261"/>
    </row>
    <row r="696">
      <c r="A696" s="153"/>
      <c r="B696" s="280"/>
      <c r="C696" s="269"/>
      <c r="D696" s="261"/>
      <c r="E696" s="261"/>
      <c r="F696" s="261"/>
      <c r="G696" s="261"/>
      <c r="H696" s="261"/>
      <c r="I696" s="261"/>
      <c r="J696" s="261"/>
    </row>
    <row r="697">
      <c r="A697" s="155"/>
      <c r="B697" s="280"/>
      <c r="C697" s="269"/>
      <c r="D697" s="261"/>
      <c r="E697" s="261"/>
      <c r="F697" s="261"/>
      <c r="G697" s="261"/>
      <c r="H697" s="261"/>
      <c r="I697" s="261"/>
      <c r="J697" s="261"/>
    </row>
    <row r="698">
      <c r="A698" s="153"/>
      <c r="B698" s="280"/>
      <c r="C698" s="269"/>
      <c r="D698" s="261"/>
      <c r="E698" s="261"/>
      <c r="F698" s="261"/>
      <c r="G698" s="261"/>
      <c r="H698" s="261"/>
      <c r="I698" s="261"/>
      <c r="J698" s="261"/>
    </row>
    <row r="699">
      <c r="A699" s="155"/>
      <c r="B699" s="280"/>
      <c r="C699" s="269"/>
      <c r="D699" s="261"/>
      <c r="E699" s="261"/>
      <c r="F699" s="261"/>
      <c r="G699" s="261"/>
      <c r="H699" s="261"/>
      <c r="I699" s="261"/>
      <c r="J699" s="261"/>
    </row>
    <row r="700">
      <c r="A700" s="162"/>
      <c r="B700" s="280"/>
      <c r="C700" s="269"/>
      <c r="D700" s="261"/>
      <c r="E700" s="261"/>
      <c r="F700" s="261"/>
      <c r="G700" s="261"/>
      <c r="H700" s="261"/>
      <c r="I700" s="261"/>
      <c r="J700" s="261"/>
    </row>
    <row r="701">
      <c r="A701" s="150" t="str">
        <f t="array" ref="A701:A750">'Up Names'!O2:O51</f>
        <v>Connected Systems</v>
      </c>
      <c r="B701" s="280"/>
      <c r="C701" s="269"/>
      <c r="D701" s="261"/>
      <c r="E701" s="261"/>
      <c r="F701" s="261"/>
      <c r="G701" s="261"/>
      <c r="H701" s="261"/>
      <c r="I701" s="261"/>
      <c r="J701" s="261"/>
    </row>
    <row r="702">
      <c r="A702" s="153" t="s">
        <v>164</v>
      </c>
      <c r="B702" s="263">
        <v>-0.7143</v>
      </c>
      <c r="C702" s="269"/>
      <c r="D702" s="261"/>
      <c r="E702" s="261"/>
      <c r="F702" s="261"/>
      <c r="G702" s="261"/>
      <c r="H702" s="261"/>
      <c r="I702" s="261"/>
      <c r="J702" s="261"/>
    </row>
    <row r="703">
      <c r="A703" s="155" t="s">
        <v>184</v>
      </c>
      <c r="B703" s="281">
        <v>45.0</v>
      </c>
      <c r="C703" s="270">
        <v>1.8</v>
      </c>
      <c r="D703" s="261"/>
      <c r="E703" s="261"/>
      <c r="F703" s="261"/>
      <c r="G703" s="261"/>
      <c r="H703" s="261"/>
      <c r="I703" s="261"/>
      <c r="J703" s="261"/>
    </row>
    <row r="704">
      <c r="A704" s="153" t="s">
        <v>204</v>
      </c>
      <c r="B704" s="264">
        <v>0.32</v>
      </c>
      <c r="C704" s="206">
        <v>4.0</v>
      </c>
      <c r="D704" s="261"/>
      <c r="E704" s="261"/>
      <c r="F704" s="261"/>
      <c r="G704" s="261"/>
      <c r="H704" s="261"/>
      <c r="I704" s="261"/>
      <c r="J704" s="261"/>
    </row>
    <row r="705">
      <c r="A705" s="155" t="s">
        <v>224</v>
      </c>
      <c r="B705" s="280"/>
      <c r="C705" s="269"/>
      <c r="D705" s="261"/>
      <c r="E705" s="261"/>
      <c r="F705" s="261"/>
      <c r="G705" s="261"/>
      <c r="H705" s="261"/>
      <c r="I705" s="261"/>
      <c r="J705" s="261"/>
    </row>
    <row r="706">
      <c r="A706" s="153" t="s">
        <v>243</v>
      </c>
      <c r="B706" s="280"/>
      <c r="C706" s="269"/>
      <c r="D706" s="261"/>
      <c r="E706" s="261"/>
      <c r="F706" s="261"/>
      <c r="G706" s="261"/>
      <c r="H706" s="261"/>
      <c r="I706" s="261"/>
      <c r="J706" s="261"/>
    </row>
    <row r="707">
      <c r="A707" s="155" t="s">
        <v>263</v>
      </c>
      <c r="B707" s="281">
        <v>3.0</v>
      </c>
      <c r="C707" s="269"/>
      <c r="D707" s="261"/>
      <c r="E707" s="261"/>
      <c r="F707" s="261"/>
      <c r="G707" s="261"/>
      <c r="H707" s="261"/>
      <c r="I707" s="261"/>
      <c r="J707" s="261"/>
    </row>
    <row r="708">
      <c r="A708" s="153" t="s">
        <v>283</v>
      </c>
      <c r="B708" s="280"/>
      <c r="C708" s="269"/>
      <c r="D708" s="261"/>
      <c r="E708" s="261"/>
      <c r="F708" s="261"/>
      <c r="G708" s="261"/>
      <c r="H708" s="261"/>
      <c r="I708" s="261"/>
      <c r="J708" s="261"/>
    </row>
    <row r="709">
      <c r="A709" s="155" t="s">
        <v>303</v>
      </c>
      <c r="B709" s="262">
        <v>0.46</v>
      </c>
      <c r="C709" s="269"/>
      <c r="D709" s="261"/>
      <c r="E709" s="261"/>
      <c r="F709" s="261"/>
      <c r="G709" s="261"/>
      <c r="H709" s="261"/>
      <c r="I709" s="261"/>
      <c r="J709" s="261"/>
    </row>
    <row r="710">
      <c r="A710" s="153" t="s">
        <v>323</v>
      </c>
      <c r="B710" s="276">
        <v>10.0</v>
      </c>
      <c r="C710" s="264">
        <v>0.5</v>
      </c>
      <c r="D710" s="205">
        <v>1.75</v>
      </c>
      <c r="E710" s="261"/>
      <c r="F710" s="261"/>
      <c r="G710" s="261"/>
      <c r="H710" s="261"/>
      <c r="I710" s="261"/>
      <c r="J710" s="261"/>
    </row>
    <row r="711">
      <c r="A711" s="155" t="s">
        <v>343</v>
      </c>
      <c r="B711" s="262">
        <v>2.9</v>
      </c>
      <c r="C711" s="269"/>
      <c r="D711" s="261"/>
      <c r="E711" s="261"/>
      <c r="F711" s="261"/>
      <c r="G711" s="261"/>
      <c r="H711" s="261"/>
      <c r="I711" s="261"/>
      <c r="J711" s="261"/>
    </row>
    <row r="712">
      <c r="A712" s="153" t="s">
        <v>363</v>
      </c>
      <c r="B712" s="276">
        <v>1.0</v>
      </c>
      <c r="C712" s="206">
        <v>34.0</v>
      </c>
      <c r="D712" s="205">
        <v>8.0</v>
      </c>
      <c r="E712" s="264">
        <v>-0.48</v>
      </c>
      <c r="F712" s="261"/>
      <c r="G712" s="261"/>
      <c r="H712" s="261"/>
      <c r="I712" s="261"/>
      <c r="J712" s="261"/>
    </row>
    <row r="713">
      <c r="A713" s="155" t="s">
        <v>388</v>
      </c>
      <c r="B713" s="262">
        <v>0.9</v>
      </c>
      <c r="C713" s="265">
        <v>0.0941</v>
      </c>
      <c r="D713" s="261"/>
      <c r="E713" s="261"/>
      <c r="F713" s="261"/>
      <c r="G713" s="261"/>
      <c r="H713" s="261"/>
      <c r="I713" s="261"/>
      <c r="J713" s="261"/>
    </row>
    <row r="714">
      <c r="A714" s="153" t="s">
        <v>414</v>
      </c>
      <c r="B714" s="264">
        <v>0.3</v>
      </c>
      <c r="C714" s="269"/>
      <c r="D714" s="261"/>
      <c r="E714" s="261"/>
      <c r="F714" s="261"/>
      <c r="G714" s="261"/>
      <c r="H714" s="261"/>
      <c r="I714" s="261"/>
      <c r="J714" s="261"/>
    </row>
    <row r="715">
      <c r="A715" s="155" t="s">
        <v>442</v>
      </c>
      <c r="B715" s="262">
        <v>0.5</v>
      </c>
      <c r="C715" s="269"/>
      <c r="D715" s="261"/>
      <c r="E715" s="261"/>
      <c r="F715" s="261"/>
      <c r="G715" s="261"/>
      <c r="H715" s="261"/>
      <c r="I715" s="261"/>
      <c r="J715" s="261"/>
    </row>
    <row r="716">
      <c r="A716" s="153" t="s">
        <v>470</v>
      </c>
      <c r="B716" s="276">
        <v>0.0</v>
      </c>
      <c r="C716" s="264">
        <v>0.25</v>
      </c>
      <c r="D716" s="261"/>
      <c r="E716" s="261"/>
      <c r="F716" s="261"/>
      <c r="G716" s="261"/>
      <c r="H716" s="261"/>
      <c r="I716" s="261"/>
      <c r="J716" s="261"/>
    </row>
    <row r="717">
      <c r="A717" s="155" t="s">
        <v>500</v>
      </c>
      <c r="B717" s="262">
        <v>0.08</v>
      </c>
      <c r="C717" s="269"/>
      <c r="D717" s="261"/>
      <c r="E717" s="261"/>
      <c r="F717" s="261"/>
      <c r="G717" s="261"/>
      <c r="H717" s="261"/>
      <c r="I717" s="261"/>
      <c r="J717" s="261"/>
    </row>
    <row r="718">
      <c r="A718" s="153" t="s">
        <v>522</v>
      </c>
      <c r="B718" s="264">
        <v>-0.85</v>
      </c>
      <c r="C718" s="269"/>
      <c r="D718" s="261"/>
      <c r="E718" s="261"/>
      <c r="F718" s="261"/>
      <c r="G718" s="261"/>
      <c r="H718" s="261"/>
      <c r="I718" s="261"/>
      <c r="J718" s="261"/>
    </row>
    <row r="719">
      <c r="A719" s="155" t="s">
        <v>541</v>
      </c>
      <c r="B719" s="265">
        <v>0.1494</v>
      </c>
      <c r="C719" s="269"/>
      <c r="D719" s="261"/>
      <c r="E719" s="261"/>
      <c r="F719" s="261"/>
      <c r="G719" s="261"/>
      <c r="H719" s="261"/>
      <c r="I719" s="261"/>
      <c r="J719" s="261"/>
    </row>
    <row r="720">
      <c r="A720" s="153" t="s">
        <v>561</v>
      </c>
      <c r="B720" s="264">
        <v>0.1</v>
      </c>
      <c r="C720" s="263">
        <v>-0.0909</v>
      </c>
      <c r="D720" s="261"/>
      <c r="E720" s="261"/>
      <c r="F720" s="261"/>
      <c r="G720" s="261"/>
      <c r="H720" s="261"/>
      <c r="I720" s="261"/>
      <c r="J720" s="261"/>
    </row>
    <row r="721">
      <c r="A721" s="155" t="s">
        <v>583</v>
      </c>
      <c r="B721" s="280"/>
      <c r="C721" s="269"/>
      <c r="D721" s="261"/>
      <c r="E721" s="261"/>
      <c r="F721" s="261"/>
      <c r="G721" s="261"/>
      <c r="H721" s="261"/>
      <c r="I721" s="261"/>
      <c r="J721" s="261"/>
    </row>
    <row r="722">
      <c r="A722" s="153" t="s">
        <v>607</v>
      </c>
      <c r="B722" s="280"/>
      <c r="C722" s="269"/>
      <c r="D722" s="261"/>
      <c r="E722" s="261"/>
      <c r="F722" s="261"/>
      <c r="G722" s="261"/>
      <c r="H722" s="261"/>
      <c r="I722" s="261"/>
      <c r="J722" s="261"/>
    </row>
    <row r="723">
      <c r="A723" s="155" t="s">
        <v>627</v>
      </c>
      <c r="B723" s="280"/>
      <c r="C723" s="269"/>
      <c r="D723" s="261"/>
      <c r="E723" s="261"/>
      <c r="F723" s="261"/>
      <c r="G723" s="261"/>
      <c r="H723" s="261"/>
      <c r="I723" s="261"/>
      <c r="J723" s="261"/>
    </row>
    <row r="724">
      <c r="A724" s="153" t="s">
        <v>653</v>
      </c>
      <c r="B724" s="280"/>
      <c r="C724" s="269"/>
      <c r="D724" s="261"/>
      <c r="E724" s="261"/>
      <c r="F724" s="261"/>
      <c r="G724" s="261"/>
      <c r="H724" s="261"/>
      <c r="I724" s="261"/>
      <c r="J724" s="261"/>
    </row>
    <row r="725">
      <c r="A725" s="155" t="s">
        <v>503</v>
      </c>
      <c r="B725" s="280"/>
      <c r="C725" s="269"/>
      <c r="D725" s="261"/>
      <c r="E725" s="261"/>
      <c r="F725" s="261"/>
      <c r="G725" s="261"/>
      <c r="H725" s="261"/>
      <c r="I725" s="261"/>
      <c r="J725" s="261"/>
    </row>
    <row r="726">
      <c r="A726" s="153" t="s">
        <v>511</v>
      </c>
      <c r="B726" s="280"/>
      <c r="C726" s="269"/>
      <c r="D726" s="261"/>
      <c r="E726" s="261"/>
      <c r="F726" s="261"/>
      <c r="G726" s="261"/>
      <c r="H726" s="261"/>
      <c r="I726" s="261"/>
      <c r="J726" s="261"/>
    </row>
    <row r="727">
      <c r="A727" s="155" t="s">
        <v>516</v>
      </c>
      <c r="B727" s="280"/>
      <c r="C727" s="269"/>
      <c r="D727" s="261"/>
      <c r="E727" s="261"/>
      <c r="F727" s="261"/>
      <c r="G727" s="261"/>
      <c r="H727" s="261"/>
      <c r="I727" s="261"/>
      <c r="J727" s="261"/>
    </row>
    <row r="728">
      <c r="A728" s="153"/>
      <c r="B728" s="280"/>
      <c r="C728" s="269"/>
      <c r="D728" s="261"/>
      <c r="E728" s="261"/>
      <c r="F728" s="261"/>
      <c r="G728" s="261"/>
      <c r="H728" s="261"/>
      <c r="I728" s="261"/>
      <c r="J728" s="261"/>
    </row>
    <row r="729">
      <c r="A729" s="155"/>
      <c r="B729" s="280"/>
      <c r="C729" s="269"/>
      <c r="D729" s="261"/>
      <c r="E729" s="261"/>
      <c r="F729" s="261"/>
      <c r="G729" s="261"/>
      <c r="H729" s="261"/>
      <c r="I729" s="261"/>
      <c r="J729" s="261"/>
    </row>
    <row r="730">
      <c r="A730" s="153"/>
      <c r="B730" s="280"/>
      <c r="C730" s="269"/>
      <c r="D730" s="261"/>
      <c r="E730" s="261"/>
      <c r="F730" s="261"/>
      <c r="G730" s="261"/>
      <c r="H730" s="261"/>
      <c r="I730" s="261"/>
      <c r="J730" s="261"/>
    </row>
    <row r="731">
      <c r="A731" s="155"/>
      <c r="B731" s="280"/>
      <c r="C731" s="269"/>
      <c r="D731" s="261"/>
      <c r="E731" s="261"/>
      <c r="F731" s="261"/>
      <c r="G731" s="261"/>
      <c r="H731" s="261"/>
      <c r="I731" s="261"/>
      <c r="J731" s="261"/>
    </row>
    <row r="732">
      <c r="A732" s="153"/>
      <c r="B732" s="280"/>
      <c r="C732" s="269"/>
      <c r="D732" s="261"/>
      <c r="E732" s="261"/>
      <c r="F732" s="261"/>
      <c r="G732" s="261"/>
      <c r="H732" s="261"/>
      <c r="I732" s="261"/>
      <c r="J732" s="261"/>
    </row>
    <row r="733">
      <c r="A733" s="155"/>
      <c r="B733" s="280"/>
      <c r="C733" s="269"/>
      <c r="D733" s="261"/>
      <c r="E733" s="261"/>
      <c r="F733" s="261"/>
      <c r="G733" s="261"/>
      <c r="H733" s="261"/>
      <c r="I733" s="261"/>
      <c r="J733" s="261"/>
    </row>
    <row r="734">
      <c r="A734" s="153"/>
      <c r="B734" s="280"/>
      <c r="C734" s="269"/>
      <c r="D734" s="261"/>
      <c r="E734" s="261"/>
      <c r="F734" s="261"/>
      <c r="G734" s="261"/>
      <c r="H734" s="261"/>
      <c r="I734" s="261"/>
      <c r="J734" s="261"/>
    </row>
    <row r="735">
      <c r="A735" s="155"/>
      <c r="B735" s="280"/>
      <c r="C735" s="269"/>
      <c r="D735" s="261"/>
      <c r="E735" s="261"/>
      <c r="F735" s="261"/>
      <c r="G735" s="261"/>
      <c r="H735" s="261"/>
      <c r="I735" s="261"/>
      <c r="J735" s="261"/>
    </row>
    <row r="736">
      <c r="A736" s="153"/>
      <c r="B736" s="280"/>
      <c r="C736" s="269"/>
      <c r="D736" s="261"/>
      <c r="E736" s="261"/>
      <c r="F736" s="261"/>
      <c r="G736" s="261"/>
      <c r="H736" s="261"/>
      <c r="I736" s="261"/>
      <c r="J736" s="261"/>
    </row>
    <row r="737">
      <c r="A737" s="155"/>
      <c r="B737" s="280"/>
      <c r="C737" s="269"/>
      <c r="D737" s="261"/>
      <c r="E737" s="261"/>
      <c r="F737" s="261"/>
      <c r="G737" s="261"/>
      <c r="H737" s="261"/>
      <c r="I737" s="261"/>
      <c r="J737" s="261"/>
    </row>
    <row r="738">
      <c r="A738" s="153"/>
      <c r="B738" s="280"/>
      <c r="C738" s="269"/>
      <c r="D738" s="261"/>
      <c r="E738" s="261"/>
      <c r="F738" s="261"/>
      <c r="G738" s="261"/>
      <c r="H738" s="261"/>
      <c r="I738" s="261"/>
      <c r="J738" s="261"/>
    </row>
    <row r="739">
      <c r="A739" s="155"/>
      <c r="B739" s="280"/>
      <c r="C739" s="269"/>
      <c r="D739" s="261"/>
      <c r="E739" s="261"/>
      <c r="F739" s="261"/>
      <c r="G739" s="261"/>
      <c r="H739" s="261"/>
      <c r="I739" s="261"/>
      <c r="J739" s="261"/>
    </row>
    <row r="740">
      <c r="A740" s="153"/>
      <c r="B740" s="280"/>
      <c r="C740" s="269"/>
      <c r="D740" s="261"/>
      <c r="E740" s="261"/>
      <c r="F740" s="261"/>
      <c r="G740" s="261"/>
      <c r="H740" s="261"/>
      <c r="I740" s="261"/>
      <c r="J740" s="261"/>
    </row>
    <row r="741">
      <c r="A741" s="155"/>
      <c r="B741" s="280"/>
      <c r="C741" s="269"/>
      <c r="D741" s="261"/>
      <c r="E741" s="261"/>
      <c r="F741" s="261"/>
      <c r="G741" s="261"/>
      <c r="H741" s="261"/>
      <c r="I741" s="261"/>
      <c r="J741" s="261"/>
    </row>
    <row r="742">
      <c r="A742" s="153"/>
      <c r="B742" s="280"/>
      <c r="C742" s="269"/>
      <c r="D742" s="261"/>
      <c r="E742" s="261"/>
      <c r="F742" s="261"/>
      <c r="G742" s="261"/>
      <c r="H742" s="261"/>
      <c r="I742" s="261"/>
      <c r="J742" s="261"/>
    </row>
    <row r="743">
      <c r="A743" s="155"/>
      <c r="B743" s="280"/>
      <c r="C743" s="269"/>
      <c r="D743" s="261"/>
      <c r="E743" s="261"/>
      <c r="F743" s="261"/>
      <c r="G743" s="261"/>
      <c r="H743" s="261"/>
      <c r="I743" s="261"/>
      <c r="J743" s="261"/>
    </row>
    <row r="744">
      <c r="A744" s="153"/>
      <c r="B744" s="280"/>
      <c r="C744" s="269"/>
      <c r="D744" s="261"/>
      <c r="E744" s="261"/>
      <c r="F744" s="261"/>
      <c r="G744" s="261"/>
      <c r="H744" s="261"/>
      <c r="I744" s="261"/>
      <c r="J744" s="261"/>
    </row>
    <row r="745">
      <c r="A745" s="155"/>
      <c r="B745" s="280"/>
      <c r="C745" s="269"/>
      <c r="D745" s="261"/>
      <c r="E745" s="261"/>
      <c r="F745" s="261"/>
      <c r="G745" s="261"/>
      <c r="H745" s="261"/>
      <c r="I745" s="261"/>
      <c r="J745" s="261"/>
    </row>
    <row r="746">
      <c r="A746" s="153"/>
      <c r="B746" s="280"/>
      <c r="C746" s="269"/>
      <c r="D746" s="261"/>
      <c r="E746" s="261"/>
      <c r="F746" s="261"/>
      <c r="G746" s="261"/>
      <c r="H746" s="261"/>
      <c r="I746" s="261"/>
      <c r="J746" s="261"/>
    </row>
    <row r="747">
      <c r="A747" s="155"/>
      <c r="B747" s="280"/>
      <c r="C747" s="269"/>
      <c r="D747" s="261"/>
      <c r="E747" s="261"/>
      <c r="F747" s="261"/>
      <c r="G747" s="261"/>
      <c r="H747" s="261"/>
      <c r="I747" s="261"/>
      <c r="J747" s="261"/>
    </row>
    <row r="748">
      <c r="A748" s="153"/>
      <c r="B748" s="280"/>
      <c r="C748" s="269"/>
      <c r="D748" s="261"/>
      <c r="E748" s="261"/>
      <c r="F748" s="261"/>
      <c r="G748" s="261"/>
      <c r="H748" s="261"/>
      <c r="I748" s="261"/>
      <c r="J748" s="261"/>
    </row>
    <row r="749">
      <c r="A749" s="155"/>
      <c r="B749" s="280"/>
      <c r="C749" s="269"/>
      <c r="D749" s="261"/>
      <c r="E749" s="261"/>
      <c r="F749" s="261"/>
      <c r="G749" s="261"/>
      <c r="H749" s="261"/>
      <c r="I749" s="261"/>
      <c r="J749" s="261"/>
    </row>
    <row r="750">
      <c r="A750" s="162"/>
      <c r="B750" s="280"/>
      <c r="C750" s="269"/>
      <c r="D750" s="261"/>
      <c r="E750" s="261"/>
      <c r="F750" s="261"/>
      <c r="G750" s="261"/>
      <c r="H750" s="261"/>
      <c r="I750" s="261"/>
      <c r="J750" s="261"/>
    </row>
    <row r="751">
      <c r="A751" s="150" t="str">
        <f t="array" ref="A751:A800">'Up Names'!P2:P51</f>
        <v>Magboots</v>
      </c>
      <c r="B751" s="280"/>
      <c r="C751" s="269"/>
      <c r="D751" s="261"/>
      <c r="E751" s="261"/>
      <c r="F751" s="261"/>
      <c r="G751" s="261"/>
      <c r="H751" s="261"/>
      <c r="I751" s="261"/>
      <c r="J751" s="261"/>
    </row>
    <row r="752">
      <c r="A752" s="153" t="s">
        <v>165</v>
      </c>
      <c r="B752" s="276">
        <v>6.0</v>
      </c>
      <c r="C752" s="264">
        <v>-0.4</v>
      </c>
      <c r="D752" s="261"/>
      <c r="E752" s="261"/>
      <c r="F752" s="261"/>
      <c r="G752" s="261"/>
      <c r="H752" s="261"/>
      <c r="I752" s="261"/>
      <c r="J752" s="261"/>
    </row>
    <row r="753">
      <c r="A753" s="155" t="s">
        <v>185</v>
      </c>
      <c r="B753" s="280"/>
      <c r="C753" s="269"/>
      <c r="D753" s="261"/>
      <c r="E753" s="261"/>
      <c r="F753" s="261"/>
      <c r="G753" s="261"/>
      <c r="H753" s="261"/>
      <c r="I753" s="261"/>
      <c r="J753" s="261"/>
    </row>
    <row r="754">
      <c r="A754" s="153" t="s">
        <v>205</v>
      </c>
      <c r="B754" s="276">
        <v>5.0</v>
      </c>
      <c r="C754" s="269"/>
      <c r="D754" s="261"/>
      <c r="E754" s="261"/>
      <c r="F754" s="261"/>
      <c r="G754" s="261"/>
      <c r="H754" s="261"/>
      <c r="I754" s="261"/>
      <c r="J754" s="261"/>
    </row>
    <row r="755">
      <c r="A755" s="155" t="s">
        <v>39</v>
      </c>
      <c r="B755" s="281" t="s">
        <v>2313</v>
      </c>
      <c r="C755" s="262" t="s">
        <v>2313</v>
      </c>
      <c r="D755" s="262">
        <v>0.29</v>
      </c>
      <c r="E755" s="261"/>
      <c r="F755" s="261"/>
      <c r="G755" s="261"/>
      <c r="H755" s="261"/>
      <c r="I755" s="261"/>
      <c r="J755" s="261"/>
    </row>
    <row r="756">
      <c r="A756" s="153" t="s">
        <v>244</v>
      </c>
      <c r="B756" s="276" t="s">
        <v>2313</v>
      </c>
      <c r="C756" s="269"/>
      <c r="D756" s="261"/>
      <c r="E756" s="261"/>
      <c r="F756" s="261"/>
      <c r="G756" s="261"/>
      <c r="H756" s="261"/>
      <c r="I756" s="261"/>
      <c r="J756" s="261"/>
    </row>
    <row r="757">
      <c r="A757" s="155" t="s">
        <v>264</v>
      </c>
      <c r="B757" s="262">
        <v>0.2</v>
      </c>
      <c r="C757" s="269"/>
      <c r="D757" s="261"/>
      <c r="E757" s="261"/>
      <c r="F757" s="261"/>
      <c r="G757" s="261"/>
      <c r="H757" s="261"/>
      <c r="I757" s="261"/>
      <c r="J757" s="261"/>
    </row>
    <row r="758">
      <c r="A758" s="153" t="s">
        <v>284</v>
      </c>
      <c r="B758" s="264">
        <v>0.8</v>
      </c>
      <c r="C758" s="269"/>
      <c r="D758" s="261"/>
      <c r="E758" s="261"/>
      <c r="F758" s="261"/>
      <c r="G758" s="261"/>
      <c r="H758" s="261"/>
      <c r="I758" s="261"/>
      <c r="J758" s="261"/>
    </row>
    <row r="759">
      <c r="A759" s="155" t="s">
        <v>304</v>
      </c>
      <c r="B759" s="281">
        <v>2.1</v>
      </c>
      <c r="C759" s="269"/>
      <c r="D759" s="261"/>
      <c r="E759" s="261"/>
      <c r="F759" s="261"/>
      <c r="G759" s="261"/>
      <c r="H759" s="261"/>
      <c r="I759" s="261"/>
      <c r="J759" s="261"/>
    </row>
    <row r="760">
      <c r="A760" s="153" t="s">
        <v>324</v>
      </c>
      <c r="B760" s="264">
        <v>0.3</v>
      </c>
      <c r="C760" s="269"/>
      <c r="D760" s="261"/>
      <c r="E760" s="261"/>
      <c r="F760" s="261"/>
      <c r="G760" s="261"/>
      <c r="H760" s="261"/>
      <c r="I760" s="261"/>
      <c r="J760" s="261"/>
    </row>
    <row r="761">
      <c r="A761" s="155" t="s">
        <v>344</v>
      </c>
      <c r="B761" s="281" t="s">
        <v>2313</v>
      </c>
      <c r="C761" s="208">
        <v>2.2</v>
      </c>
      <c r="D761" s="204">
        <v>2.2</v>
      </c>
      <c r="E761" s="261"/>
      <c r="F761" s="261"/>
      <c r="G761" s="261"/>
      <c r="H761" s="261"/>
      <c r="I761" s="261"/>
      <c r="J761" s="261"/>
    </row>
    <row r="762">
      <c r="A762" s="153" t="s">
        <v>364</v>
      </c>
      <c r="B762" s="276">
        <v>1.0</v>
      </c>
      <c r="C762" s="269"/>
      <c r="D762" s="261"/>
      <c r="E762" s="261"/>
      <c r="F762" s="261"/>
      <c r="G762" s="261"/>
      <c r="H762" s="261"/>
      <c r="I762" s="261"/>
      <c r="J762" s="261"/>
    </row>
    <row r="763">
      <c r="A763" s="155" t="s">
        <v>389</v>
      </c>
      <c r="B763" s="262">
        <v>-0.3</v>
      </c>
      <c r="C763" s="269"/>
      <c r="D763" s="261"/>
      <c r="E763" s="261"/>
      <c r="F763" s="261"/>
      <c r="G763" s="261"/>
      <c r="H763" s="261"/>
      <c r="I763" s="261"/>
      <c r="J763" s="261"/>
    </row>
    <row r="764">
      <c r="A764" s="153" t="s">
        <v>417</v>
      </c>
      <c r="B764" s="276">
        <v>2.5</v>
      </c>
      <c r="C764" s="269"/>
      <c r="D764" s="261"/>
      <c r="E764" s="261"/>
      <c r="F764" s="261"/>
      <c r="G764" s="261"/>
      <c r="H764" s="261"/>
      <c r="I764" s="261"/>
      <c r="J764" s="261"/>
    </row>
    <row r="765">
      <c r="A765" s="155" t="s">
        <v>444</v>
      </c>
      <c r="B765" s="265">
        <v>0.313</v>
      </c>
      <c r="C765" s="269"/>
      <c r="D765" s="261"/>
      <c r="E765" s="261"/>
      <c r="F765" s="261"/>
      <c r="G765" s="261"/>
      <c r="H765" s="261"/>
      <c r="I765" s="261"/>
      <c r="J765" s="261"/>
    </row>
    <row r="766">
      <c r="A766" s="153" t="s">
        <v>471</v>
      </c>
      <c r="B766" s="264">
        <v>0.15</v>
      </c>
      <c r="C766" s="269"/>
      <c r="D766" s="261"/>
      <c r="E766" s="261"/>
      <c r="F766" s="261"/>
      <c r="G766" s="261"/>
      <c r="H766" s="261"/>
      <c r="I766" s="261"/>
      <c r="J766" s="261"/>
    </row>
    <row r="767">
      <c r="A767" s="155" t="s">
        <v>501</v>
      </c>
      <c r="B767" s="280"/>
      <c r="C767" s="269"/>
      <c r="D767" s="261"/>
      <c r="E767" s="261"/>
      <c r="F767" s="261"/>
      <c r="G767" s="261"/>
      <c r="H767" s="261"/>
      <c r="I767" s="261"/>
      <c r="J767" s="261"/>
    </row>
    <row r="768">
      <c r="A768" s="153" t="s">
        <v>523</v>
      </c>
      <c r="B768" s="264">
        <v>0.15</v>
      </c>
      <c r="C768" s="264">
        <v>0.25</v>
      </c>
      <c r="D768" s="261"/>
      <c r="E768" s="261"/>
      <c r="F768" s="261"/>
      <c r="G768" s="261"/>
      <c r="H768" s="261"/>
      <c r="I768" s="261"/>
      <c r="J768" s="261"/>
    </row>
    <row r="769">
      <c r="A769" s="155" t="s">
        <v>542</v>
      </c>
      <c r="B769" s="281" t="s">
        <v>2313</v>
      </c>
      <c r="C769" s="208">
        <v>1.0</v>
      </c>
      <c r="D769" s="261"/>
      <c r="E769" s="261"/>
      <c r="F769" s="261"/>
      <c r="G769" s="261"/>
      <c r="H769" s="261"/>
      <c r="I769" s="261"/>
      <c r="J769" s="261"/>
    </row>
    <row r="770">
      <c r="A770" s="153" t="s">
        <v>562</v>
      </c>
      <c r="B770" s="264">
        <v>0.15</v>
      </c>
      <c r="C770" s="269"/>
      <c r="D770" s="261"/>
      <c r="E770" s="261"/>
      <c r="F770" s="261"/>
      <c r="G770" s="261"/>
      <c r="H770" s="261"/>
      <c r="I770" s="261"/>
      <c r="J770" s="261"/>
    </row>
    <row r="771">
      <c r="A771" s="155" t="s">
        <v>585</v>
      </c>
      <c r="B771" s="262">
        <v>0.2</v>
      </c>
      <c r="C771" s="269"/>
      <c r="D771" s="261"/>
      <c r="E771" s="261"/>
      <c r="F771" s="261"/>
      <c r="G771" s="261"/>
      <c r="H771" s="261"/>
      <c r="I771" s="261"/>
      <c r="J771" s="261"/>
    </row>
    <row r="772">
      <c r="A772" s="153" t="s">
        <v>608</v>
      </c>
      <c r="B772" s="276">
        <v>1.0</v>
      </c>
      <c r="C772" s="269"/>
      <c r="D772" s="261"/>
      <c r="E772" s="261"/>
      <c r="F772" s="261"/>
      <c r="G772" s="261"/>
      <c r="H772" s="261"/>
      <c r="I772" s="261"/>
      <c r="J772" s="261"/>
    </row>
    <row r="773">
      <c r="A773" s="155" t="s">
        <v>629</v>
      </c>
      <c r="B773" s="262">
        <v>0.06</v>
      </c>
      <c r="C773" s="269"/>
      <c r="D773" s="261"/>
      <c r="E773" s="261"/>
      <c r="F773" s="261"/>
      <c r="G773" s="261"/>
      <c r="H773" s="261"/>
      <c r="I773" s="261"/>
      <c r="J773" s="261"/>
    </row>
    <row r="774">
      <c r="A774" s="153" t="s">
        <v>654</v>
      </c>
      <c r="B774" s="276">
        <v>20.0</v>
      </c>
      <c r="C774" s="269"/>
      <c r="D774" s="261"/>
      <c r="E774" s="261"/>
      <c r="F774" s="261"/>
      <c r="G774" s="261"/>
      <c r="H774" s="261"/>
      <c r="I774" s="261"/>
      <c r="J774" s="261"/>
    </row>
    <row r="775">
      <c r="A775" s="155" t="s">
        <v>669</v>
      </c>
      <c r="B775" s="262">
        <v>0.15</v>
      </c>
      <c r="C775" s="269"/>
      <c r="D775" s="261"/>
      <c r="E775" s="261"/>
      <c r="F775" s="261"/>
      <c r="G775" s="261"/>
      <c r="H775" s="261"/>
      <c r="I775" s="261"/>
      <c r="J775" s="261"/>
    </row>
    <row r="776">
      <c r="A776" s="153" t="s">
        <v>683</v>
      </c>
      <c r="B776" s="276">
        <v>0.11</v>
      </c>
      <c r="C776" s="269"/>
      <c r="D776" s="261"/>
      <c r="E776" s="261"/>
      <c r="F776" s="261"/>
      <c r="G776" s="261"/>
      <c r="H776" s="261"/>
      <c r="I776" s="261"/>
      <c r="J776" s="261"/>
    </row>
    <row r="777">
      <c r="A777" s="155" t="s">
        <v>698</v>
      </c>
      <c r="B777" s="281">
        <v>3.0</v>
      </c>
      <c r="C777" s="269"/>
      <c r="D777" s="261"/>
      <c r="E777" s="261"/>
      <c r="F777" s="261"/>
      <c r="G777" s="261"/>
      <c r="H777" s="261"/>
      <c r="I777" s="261"/>
      <c r="J777" s="261"/>
    </row>
    <row r="778">
      <c r="A778" s="153" t="s">
        <v>717</v>
      </c>
      <c r="B778" s="264">
        <v>-0.3</v>
      </c>
      <c r="C778" s="269"/>
      <c r="D778" s="261"/>
      <c r="E778" s="261"/>
      <c r="F778" s="261"/>
      <c r="G778" s="261"/>
      <c r="H778" s="261"/>
      <c r="I778" s="261"/>
      <c r="J778" s="261"/>
    </row>
    <row r="779">
      <c r="A779" s="155" t="s">
        <v>735</v>
      </c>
      <c r="B779" s="262">
        <v>-0.3</v>
      </c>
      <c r="C779" s="269"/>
      <c r="D779" s="261"/>
      <c r="E779" s="261"/>
      <c r="F779" s="261"/>
      <c r="G779" s="261"/>
      <c r="H779" s="261"/>
      <c r="I779" s="261"/>
      <c r="J779" s="261"/>
    </row>
    <row r="780">
      <c r="A780" s="153" t="s">
        <v>753</v>
      </c>
      <c r="B780" s="264">
        <v>-0.3</v>
      </c>
      <c r="C780" s="269"/>
      <c r="D780" s="261"/>
      <c r="E780" s="261"/>
      <c r="F780" s="261"/>
      <c r="G780" s="261"/>
      <c r="H780" s="261"/>
      <c r="I780" s="261"/>
      <c r="J780" s="261"/>
    </row>
    <row r="781">
      <c r="A781" s="155" t="s">
        <v>765</v>
      </c>
      <c r="B781" s="280"/>
      <c r="C781" s="269"/>
      <c r="D781" s="261"/>
      <c r="E781" s="261"/>
      <c r="F781" s="261"/>
      <c r="G781" s="261"/>
      <c r="H781" s="261"/>
      <c r="I781" s="261"/>
      <c r="J781" s="261"/>
    </row>
    <row r="782">
      <c r="A782" s="153" t="s">
        <v>774</v>
      </c>
      <c r="B782" s="280"/>
      <c r="C782" s="269"/>
      <c r="D782" s="261"/>
      <c r="E782" s="261"/>
      <c r="F782" s="261"/>
      <c r="G782" s="261"/>
      <c r="H782" s="261"/>
      <c r="I782" s="261"/>
      <c r="J782" s="261"/>
    </row>
    <row r="783">
      <c r="A783" s="155" t="s">
        <v>780</v>
      </c>
      <c r="B783" s="280"/>
      <c r="C783" s="269"/>
      <c r="D783" s="261"/>
      <c r="E783" s="261"/>
      <c r="F783" s="261"/>
      <c r="G783" s="261"/>
      <c r="H783" s="261"/>
      <c r="I783" s="261"/>
      <c r="J783" s="261"/>
    </row>
    <row r="784">
      <c r="A784" s="153" t="s">
        <v>785</v>
      </c>
      <c r="B784" s="280"/>
      <c r="C784" s="269"/>
      <c r="D784" s="261"/>
      <c r="E784" s="261"/>
      <c r="F784" s="261"/>
      <c r="G784" s="261"/>
      <c r="H784" s="261"/>
      <c r="I784" s="261"/>
      <c r="J784" s="261"/>
    </row>
    <row r="785">
      <c r="A785" s="155" t="s">
        <v>790</v>
      </c>
      <c r="B785" s="280"/>
      <c r="C785" s="269"/>
      <c r="D785" s="261"/>
      <c r="E785" s="261"/>
      <c r="F785" s="261"/>
      <c r="G785" s="261"/>
      <c r="H785" s="261"/>
      <c r="I785" s="261"/>
      <c r="J785" s="261"/>
    </row>
    <row r="786">
      <c r="A786" s="153" t="s">
        <v>503</v>
      </c>
      <c r="B786" s="280"/>
      <c r="C786" s="269"/>
      <c r="D786" s="261"/>
      <c r="E786" s="261"/>
      <c r="F786" s="261"/>
      <c r="G786" s="261"/>
      <c r="H786" s="261"/>
      <c r="I786" s="261"/>
      <c r="J786" s="261"/>
    </row>
    <row r="787">
      <c r="A787" s="155" t="s">
        <v>511</v>
      </c>
      <c r="B787" s="280"/>
      <c r="C787" s="269"/>
      <c r="D787" s="261"/>
      <c r="E787" s="261"/>
      <c r="F787" s="261"/>
      <c r="G787" s="261"/>
      <c r="H787" s="261"/>
      <c r="I787" s="261"/>
      <c r="J787" s="261"/>
    </row>
    <row r="788">
      <c r="A788" s="153" t="s">
        <v>516</v>
      </c>
      <c r="B788" s="280"/>
      <c r="C788" s="269"/>
      <c r="D788" s="261"/>
      <c r="E788" s="261"/>
      <c r="F788" s="261"/>
      <c r="G788" s="261"/>
      <c r="H788" s="261"/>
      <c r="I788" s="261"/>
      <c r="J788" s="261"/>
    </row>
    <row r="789">
      <c r="A789" s="155"/>
      <c r="B789" s="280"/>
      <c r="C789" s="269"/>
      <c r="D789" s="261"/>
      <c r="E789" s="261"/>
      <c r="F789" s="261"/>
      <c r="G789" s="261"/>
      <c r="H789" s="261"/>
      <c r="I789" s="261"/>
      <c r="J789" s="261"/>
    </row>
    <row r="790">
      <c r="A790" s="153"/>
      <c r="B790" s="280"/>
      <c r="C790" s="269"/>
      <c r="D790" s="261"/>
      <c r="E790" s="261"/>
      <c r="F790" s="261"/>
      <c r="G790" s="261"/>
      <c r="H790" s="261"/>
      <c r="I790" s="261"/>
      <c r="J790" s="261"/>
    </row>
    <row r="791">
      <c r="A791" s="155"/>
      <c r="B791" s="280"/>
      <c r="C791" s="269"/>
      <c r="D791" s="261"/>
      <c r="E791" s="261"/>
      <c r="F791" s="261"/>
      <c r="G791" s="261"/>
      <c r="H791" s="261"/>
      <c r="I791" s="261"/>
      <c r="J791" s="261"/>
    </row>
    <row r="792">
      <c r="A792" s="153"/>
      <c r="B792" s="280"/>
      <c r="C792" s="269"/>
      <c r="D792" s="261"/>
      <c r="E792" s="261"/>
      <c r="F792" s="261"/>
      <c r="G792" s="261"/>
      <c r="H792" s="261"/>
      <c r="I792" s="261"/>
      <c r="J792" s="261"/>
    </row>
    <row r="793">
      <c r="A793" s="155"/>
      <c r="B793" s="280"/>
      <c r="C793" s="269"/>
      <c r="D793" s="261"/>
      <c r="E793" s="261"/>
      <c r="F793" s="261"/>
      <c r="G793" s="261"/>
      <c r="H793" s="261"/>
      <c r="I793" s="261"/>
      <c r="J793" s="261"/>
    </row>
    <row r="794">
      <c r="A794" s="153"/>
      <c r="B794" s="280"/>
      <c r="C794" s="269"/>
      <c r="D794" s="261"/>
      <c r="E794" s="261"/>
      <c r="F794" s="261"/>
      <c r="G794" s="261"/>
      <c r="H794" s="261"/>
      <c r="I794" s="261"/>
      <c r="J794" s="261"/>
    </row>
    <row r="795">
      <c r="A795" s="155"/>
      <c r="B795" s="280"/>
      <c r="C795" s="269"/>
      <c r="D795" s="261"/>
      <c r="E795" s="261"/>
      <c r="F795" s="261"/>
      <c r="G795" s="261"/>
      <c r="H795" s="261"/>
      <c r="I795" s="261"/>
      <c r="J795" s="261"/>
    </row>
    <row r="796">
      <c r="A796" s="153"/>
      <c r="B796" s="280"/>
      <c r="C796" s="269"/>
      <c r="D796" s="261"/>
      <c r="E796" s="261"/>
      <c r="F796" s="261"/>
      <c r="G796" s="261"/>
      <c r="H796" s="261"/>
      <c r="I796" s="261"/>
      <c r="J796" s="261"/>
    </row>
    <row r="797">
      <c r="A797" s="155"/>
      <c r="B797" s="280"/>
      <c r="C797" s="269"/>
      <c r="D797" s="261"/>
      <c r="E797" s="261"/>
      <c r="F797" s="261"/>
      <c r="G797" s="261"/>
      <c r="H797" s="261"/>
      <c r="I797" s="261"/>
      <c r="J797" s="261"/>
    </row>
    <row r="798">
      <c r="A798" s="153"/>
      <c r="B798" s="280"/>
      <c r="C798" s="269"/>
      <c r="D798" s="261"/>
      <c r="E798" s="261"/>
      <c r="F798" s="261"/>
      <c r="G798" s="261"/>
      <c r="H798" s="261"/>
      <c r="I798" s="261"/>
      <c r="J798" s="261"/>
    </row>
    <row r="799">
      <c r="A799" s="155"/>
      <c r="B799" s="280"/>
      <c r="C799" s="269"/>
      <c r="D799" s="261"/>
      <c r="E799" s="261"/>
      <c r="F799" s="261"/>
      <c r="G799" s="261"/>
      <c r="H799" s="261"/>
      <c r="I799" s="261"/>
      <c r="J799" s="261"/>
    </row>
    <row r="800">
      <c r="A800" s="162"/>
      <c r="B800" s="280"/>
      <c r="C800" s="269"/>
      <c r="D800" s="261"/>
      <c r="E800" s="261"/>
      <c r="F800" s="261"/>
      <c r="G800" s="261"/>
      <c r="H800" s="261"/>
      <c r="I800" s="261"/>
      <c r="J800" s="261"/>
    </row>
    <row r="801">
      <c r="A801" s="150" t="str">
        <f t="array" ref="A801:A850">'Up Names'!Q2:Q51</f>
        <v>Switcheroo</v>
      </c>
      <c r="B801" s="189"/>
      <c r="C801" s="189"/>
      <c r="D801" s="189"/>
      <c r="E801" s="189"/>
      <c r="F801" s="189"/>
      <c r="G801" s="189"/>
      <c r="H801" s="189"/>
      <c r="I801" s="189"/>
      <c r="J801" s="189"/>
    </row>
    <row r="802">
      <c r="A802" s="153" t="s">
        <v>166</v>
      </c>
      <c r="B802" s="281">
        <v>2.0</v>
      </c>
      <c r="C802" s="208">
        <v>1.3</v>
      </c>
      <c r="D802" s="261"/>
      <c r="E802" s="261"/>
      <c r="F802" s="261"/>
      <c r="G802" s="261"/>
      <c r="H802" s="261"/>
      <c r="I802" s="261"/>
      <c r="J802" s="261"/>
    </row>
    <row r="803">
      <c r="A803" s="155" t="s">
        <v>186</v>
      </c>
      <c r="B803" s="264">
        <v>0.0</v>
      </c>
      <c r="C803" s="206">
        <v>1.0</v>
      </c>
      <c r="D803" s="261"/>
      <c r="E803" s="261"/>
      <c r="F803" s="261"/>
      <c r="G803" s="261"/>
      <c r="H803" s="261"/>
      <c r="I803" s="261"/>
      <c r="J803" s="261"/>
    </row>
    <row r="804">
      <c r="A804" s="153" t="s">
        <v>206</v>
      </c>
      <c r="B804" s="262">
        <v>0.48</v>
      </c>
      <c r="C804" s="208">
        <v>1.9</v>
      </c>
      <c r="D804" s="272">
        <v>0.066</v>
      </c>
      <c r="E804" s="204">
        <v>2.8</v>
      </c>
      <c r="F804" s="261"/>
      <c r="G804" s="261"/>
      <c r="H804" s="261"/>
      <c r="I804" s="261"/>
      <c r="J804" s="261"/>
    </row>
    <row r="805">
      <c r="A805" s="155" t="s">
        <v>225</v>
      </c>
      <c r="B805" s="276">
        <v>30.0</v>
      </c>
      <c r="C805" s="269"/>
      <c r="D805" s="261"/>
      <c r="E805" s="261"/>
      <c r="F805" s="261"/>
      <c r="G805" s="261"/>
      <c r="H805" s="261"/>
      <c r="I805" s="261"/>
      <c r="J805" s="261"/>
    </row>
    <row r="806">
      <c r="A806" s="153" t="s">
        <v>245</v>
      </c>
      <c r="B806" s="281">
        <v>4.6</v>
      </c>
      <c r="C806" s="265">
        <v>-0.2481</v>
      </c>
      <c r="D806" s="261"/>
      <c r="E806" s="261"/>
      <c r="F806" s="261"/>
      <c r="G806" s="261"/>
      <c r="H806" s="261"/>
      <c r="I806" s="261"/>
      <c r="J806" s="261"/>
    </row>
    <row r="807">
      <c r="A807" s="155" t="s">
        <v>265</v>
      </c>
      <c r="B807" s="280"/>
      <c r="C807" s="269"/>
      <c r="D807" s="261"/>
      <c r="E807" s="261"/>
      <c r="F807" s="261"/>
      <c r="G807" s="261"/>
      <c r="H807" s="261"/>
      <c r="I807" s="261"/>
      <c r="J807" s="261"/>
    </row>
    <row r="808">
      <c r="A808" s="153" t="s">
        <v>285</v>
      </c>
      <c r="B808" s="265">
        <v>-0.0991</v>
      </c>
      <c r="C808" s="208">
        <v>1.0</v>
      </c>
      <c r="D808" s="261"/>
      <c r="E808" s="261"/>
      <c r="F808" s="261"/>
      <c r="G808" s="261"/>
      <c r="H808" s="261"/>
      <c r="I808" s="261"/>
      <c r="J808" s="261"/>
    </row>
    <row r="809">
      <c r="A809" s="155" t="s">
        <v>305</v>
      </c>
      <c r="B809" s="276">
        <v>5.5</v>
      </c>
      <c r="C809" s="206">
        <v>20.0</v>
      </c>
      <c r="D809" s="205" t="s">
        <v>2313</v>
      </c>
      <c r="E809" s="261"/>
      <c r="F809" s="261"/>
      <c r="G809" s="261"/>
      <c r="H809" s="261"/>
      <c r="I809" s="261"/>
      <c r="J809" s="261"/>
    </row>
    <row r="810">
      <c r="A810" s="153" t="s">
        <v>325</v>
      </c>
      <c r="B810" s="281">
        <v>4.5</v>
      </c>
      <c r="C810" s="208">
        <v>32.0</v>
      </c>
      <c r="D810" s="261"/>
      <c r="E810" s="261"/>
      <c r="F810" s="261"/>
      <c r="G810" s="261"/>
      <c r="H810" s="261"/>
      <c r="I810" s="261"/>
      <c r="J810" s="261"/>
    </row>
    <row r="811">
      <c r="A811" s="155" t="s">
        <v>345</v>
      </c>
      <c r="B811" s="276">
        <v>6.75</v>
      </c>
      <c r="C811" s="269"/>
      <c r="D811" s="261"/>
      <c r="E811" s="261"/>
      <c r="F811" s="261"/>
      <c r="G811" s="261"/>
      <c r="H811" s="261"/>
      <c r="I811" s="261"/>
      <c r="J811" s="261"/>
    </row>
    <row r="812">
      <c r="A812" s="153" t="s">
        <v>365</v>
      </c>
      <c r="B812" s="262">
        <v>0.88</v>
      </c>
      <c r="C812" s="269"/>
      <c r="D812" s="261"/>
      <c r="E812" s="261"/>
      <c r="F812" s="261"/>
      <c r="G812" s="261"/>
      <c r="H812" s="261"/>
      <c r="I812" s="261"/>
      <c r="J812" s="261"/>
    </row>
    <row r="813">
      <c r="A813" s="155" t="s">
        <v>390</v>
      </c>
      <c r="B813" s="280"/>
      <c r="C813" s="269"/>
      <c r="D813" s="261"/>
      <c r="E813" s="261"/>
      <c r="F813" s="261"/>
      <c r="G813" s="261"/>
      <c r="H813" s="261"/>
      <c r="I813" s="261"/>
      <c r="J813" s="261"/>
    </row>
    <row r="814">
      <c r="A814" s="153" t="s">
        <v>418</v>
      </c>
      <c r="B814" s="281">
        <v>5.5</v>
      </c>
      <c r="C814" s="208">
        <v>20.0</v>
      </c>
      <c r="D814" s="204" t="s">
        <v>2313</v>
      </c>
      <c r="E814" s="261"/>
      <c r="F814" s="261"/>
      <c r="G814" s="261"/>
      <c r="H814" s="261"/>
      <c r="I814" s="261"/>
      <c r="J814" s="261"/>
    </row>
    <row r="815">
      <c r="A815" s="155" t="s">
        <v>445</v>
      </c>
      <c r="B815" s="264">
        <v>0.25</v>
      </c>
      <c r="C815" s="206">
        <v>0.12</v>
      </c>
      <c r="D815" s="205" t="s">
        <v>2313</v>
      </c>
      <c r="E815" s="261"/>
      <c r="F815" s="261"/>
      <c r="G815" s="261"/>
      <c r="H815" s="261"/>
      <c r="I815" s="261"/>
      <c r="J815" s="261"/>
    </row>
    <row r="816">
      <c r="A816" s="153" t="s">
        <v>473</v>
      </c>
      <c r="B816" s="281">
        <v>0.35</v>
      </c>
      <c r="C816" s="262" t="s">
        <v>2313</v>
      </c>
      <c r="D816" s="261"/>
      <c r="E816" s="261"/>
      <c r="F816" s="261"/>
      <c r="G816" s="261"/>
      <c r="H816" s="261"/>
      <c r="I816" s="261"/>
      <c r="J816" s="261"/>
    </row>
    <row r="817">
      <c r="A817" s="155" t="s">
        <v>502</v>
      </c>
      <c r="B817" s="276">
        <v>10.0</v>
      </c>
      <c r="C817" s="269"/>
      <c r="D817" s="261"/>
      <c r="E817" s="261"/>
      <c r="F817" s="261"/>
      <c r="G817" s="261"/>
      <c r="H817" s="261"/>
      <c r="I817" s="261"/>
      <c r="J817" s="261"/>
    </row>
    <row r="818">
      <c r="A818" s="153" t="s">
        <v>524</v>
      </c>
      <c r="B818" s="281">
        <v>0.7</v>
      </c>
      <c r="C818" s="269"/>
      <c r="D818" s="261"/>
      <c r="E818" s="261"/>
      <c r="F818" s="261"/>
      <c r="G818" s="261"/>
      <c r="H818" s="261"/>
      <c r="I818" s="261"/>
      <c r="J818" s="261"/>
    </row>
    <row r="819">
      <c r="A819" s="155" t="s">
        <v>543</v>
      </c>
      <c r="B819" s="276">
        <v>10.0</v>
      </c>
      <c r="C819" s="269"/>
      <c r="D819" s="261"/>
      <c r="E819" s="261"/>
      <c r="F819" s="261"/>
      <c r="G819" s="261"/>
      <c r="H819" s="261"/>
      <c r="I819" s="261"/>
      <c r="J819" s="261"/>
    </row>
    <row r="820">
      <c r="A820" s="153" t="s">
        <v>564</v>
      </c>
      <c r="B820" s="281">
        <v>2.8</v>
      </c>
      <c r="C820" s="269"/>
      <c r="D820" s="261"/>
      <c r="E820" s="261"/>
      <c r="F820" s="261"/>
      <c r="G820" s="261"/>
      <c r="H820" s="261"/>
      <c r="I820" s="261"/>
      <c r="J820" s="261"/>
    </row>
    <row r="821">
      <c r="A821" s="155" t="s">
        <v>586</v>
      </c>
      <c r="B821" s="276">
        <v>4.0</v>
      </c>
      <c r="C821" s="269"/>
      <c r="D821" s="261"/>
      <c r="E821" s="261"/>
      <c r="F821" s="261"/>
      <c r="G821" s="261"/>
      <c r="H821" s="261"/>
      <c r="I821" s="261"/>
      <c r="J821" s="261"/>
    </row>
    <row r="822">
      <c r="A822" s="153" t="s">
        <v>609</v>
      </c>
      <c r="B822" s="280"/>
      <c r="C822" s="269"/>
      <c r="D822" s="261"/>
      <c r="E822" s="261"/>
      <c r="F822" s="261"/>
      <c r="G822" s="261"/>
      <c r="H822" s="261"/>
      <c r="I822" s="261"/>
      <c r="J822" s="261"/>
    </row>
    <row r="823">
      <c r="A823" s="155" t="s">
        <v>631</v>
      </c>
      <c r="B823" s="263">
        <v>0.2346</v>
      </c>
      <c r="C823" s="269"/>
      <c r="D823" s="261"/>
      <c r="E823" s="261"/>
      <c r="F823" s="261"/>
      <c r="G823" s="261"/>
      <c r="H823" s="261"/>
      <c r="I823" s="261"/>
      <c r="J823" s="261"/>
    </row>
    <row r="824">
      <c r="A824" s="153" t="s">
        <v>655</v>
      </c>
      <c r="B824" s="281">
        <v>34.0</v>
      </c>
      <c r="C824" s="269"/>
      <c r="D824" s="261"/>
      <c r="E824" s="261"/>
      <c r="F824" s="261"/>
      <c r="G824" s="261"/>
      <c r="H824" s="261"/>
      <c r="I824" s="261"/>
      <c r="J824" s="261"/>
    </row>
    <row r="825">
      <c r="A825" s="155" t="s">
        <v>670</v>
      </c>
      <c r="B825" s="276">
        <v>13.0</v>
      </c>
      <c r="C825" s="269"/>
      <c r="D825" s="261"/>
      <c r="E825" s="261"/>
      <c r="F825" s="261"/>
      <c r="G825" s="261"/>
      <c r="H825" s="261"/>
      <c r="I825" s="261"/>
      <c r="J825" s="261"/>
    </row>
    <row r="826">
      <c r="A826" s="153" t="s">
        <v>684</v>
      </c>
      <c r="B826" s="281">
        <v>20.0</v>
      </c>
      <c r="C826" s="208">
        <v>3.5</v>
      </c>
      <c r="D826" s="261"/>
      <c r="E826" s="261"/>
      <c r="F826" s="261"/>
      <c r="G826" s="261"/>
      <c r="H826" s="261"/>
      <c r="I826" s="261"/>
      <c r="J826" s="261"/>
    </row>
    <row r="827">
      <c r="A827" s="155" t="s">
        <v>699</v>
      </c>
      <c r="B827" s="276">
        <v>10.0</v>
      </c>
      <c r="C827" s="269"/>
      <c r="D827" s="261"/>
      <c r="E827" s="261"/>
      <c r="F827" s="261"/>
      <c r="G827" s="261"/>
      <c r="H827" s="261"/>
      <c r="I827" s="261"/>
      <c r="J827" s="261"/>
    </row>
    <row r="828">
      <c r="A828" s="153" t="s">
        <v>719</v>
      </c>
      <c r="B828" s="280"/>
      <c r="C828" s="269"/>
      <c r="D828" s="261"/>
      <c r="E828" s="261"/>
      <c r="F828" s="261"/>
      <c r="G828" s="261"/>
      <c r="H828" s="261"/>
      <c r="I828" s="261"/>
      <c r="J828" s="261"/>
    </row>
    <row r="829">
      <c r="A829" s="155" t="s">
        <v>737</v>
      </c>
      <c r="B829" s="280"/>
      <c r="C829" s="269"/>
      <c r="D829" s="261"/>
      <c r="E829" s="261"/>
      <c r="F829" s="261"/>
      <c r="G829" s="261"/>
      <c r="H829" s="261"/>
      <c r="I829" s="261"/>
      <c r="J829" s="261"/>
    </row>
    <row r="830">
      <c r="A830" s="153" t="s">
        <v>754</v>
      </c>
      <c r="B830" s="281">
        <v>30.0</v>
      </c>
      <c r="C830" s="269"/>
      <c r="D830" s="261"/>
      <c r="E830" s="261"/>
      <c r="F830" s="261"/>
      <c r="G830" s="261"/>
      <c r="H830" s="261"/>
      <c r="I830" s="261"/>
      <c r="J830" s="261"/>
    </row>
    <row r="831">
      <c r="A831" s="155" t="s">
        <v>766</v>
      </c>
      <c r="B831" s="264">
        <v>0.2</v>
      </c>
      <c r="C831" s="269"/>
      <c r="D831" s="261"/>
      <c r="E831" s="261"/>
      <c r="F831" s="261"/>
      <c r="G831" s="261"/>
      <c r="H831" s="261"/>
      <c r="I831" s="261"/>
      <c r="J831" s="261"/>
    </row>
    <row r="832">
      <c r="A832" s="153" t="s">
        <v>775</v>
      </c>
      <c r="B832" s="262">
        <v>0.1</v>
      </c>
      <c r="C832" s="262">
        <v>0.1</v>
      </c>
      <c r="D832" s="261"/>
      <c r="E832" s="261"/>
      <c r="F832" s="261"/>
      <c r="G832" s="261"/>
      <c r="H832" s="261"/>
      <c r="I832" s="261"/>
      <c r="J832" s="261"/>
    </row>
    <row r="833">
      <c r="A833" s="155" t="s">
        <v>781</v>
      </c>
      <c r="B833" s="276">
        <v>0.5</v>
      </c>
      <c r="C833" s="269"/>
      <c r="D833" s="261"/>
      <c r="E833" s="261"/>
      <c r="F833" s="261"/>
      <c r="G833" s="261"/>
      <c r="H833" s="261"/>
      <c r="I833" s="261"/>
      <c r="J833" s="261"/>
    </row>
    <row r="834">
      <c r="A834" s="153" t="s">
        <v>786</v>
      </c>
      <c r="B834" s="262">
        <v>0.2</v>
      </c>
      <c r="C834" s="269"/>
      <c r="D834" s="261"/>
      <c r="E834" s="261"/>
      <c r="F834" s="261"/>
      <c r="G834" s="261"/>
      <c r="H834" s="261"/>
      <c r="I834" s="261"/>
      <c r="J834" s="261"/>
    </row>
    <row r="835">
      <c r="A835" s="155" t="s">
        <v>791</v>
      </c>
      <c r="B835" s="280"/>
      <c r="C835" s="269"/>
      <c r="D835" s="261"/>
      <c r="E835" s="261"/>
      <c r="F835" s="261"/>
      <c r="G835" s="261"/>
      <c r="H835" s="261"/>
      <c r="I835" s="261"/>
      <c r="J835" s="261"/>
    </row>
    <row r="836">
      <c r="A836" s="153" t="s">
        <v>797</v>
      </c>
      <c r="B836" s="280"/>
      <c r="C836" s="269"/>
      <c r="D836" s="261"/>
      <c r="E836" s="261"/>
      <c r="F836" s="261"/>
      <c r="G836" s="261"/>
      <c r="H836" s="261"/>
      <c r="I836" s="261"/>
      <c r="J836" s="261"/>
    </row>
    <row r="837">
      <c r="A837" s="155"/>
      <c r="B837" s="280"/>
      <c r="C837" s="269"/>
      <c r="D837" s="261"/>
      <c r="E837" s="261"/>
      <c r="F837" s="261"/>
      <c r="G837" s="261"/>
      <c r="H837" s="261"/>
      <c r="I837" s="261"/>
      <c r="J837" s="261"/>
    </row>
    <row r="838">
      <c r="A838" s="153"/>
      <c r="B838" s="280"/>
      <c r="C838" s="269"/>
      <c r="D838" s="261"/>
      <c r="E838" s="261"/>
      <c r="F838" s="261"/>
      <c r="G838" s="261"/>
      <c r="H838" s="261"/>
      <c r="I838" s="261"/>
      <c r="J838" s="261"/>
    </row>
    <row r="839">
      <c r="A839" s="155"/>
      <c r="B839" s="280"/>
      <c r="C839" s="269"/>
      <c r="D839" s="261"/>
      <c r="E839" s="261"/>
      <c r="F839" s="261"/>
      <c r="G839" s="261"/>
      <c r="H839" s="261"/>
      <c r="I839" s="261"/>
      <c r="J839" s="261"/>
    </row>
    <row r="840">
      <c r="A840" s="153"/>
      <c r="B840" s="280"/>
      <c r="C840" s="269"/>
      <c r="D840" s="261"/>
      <c r="E840" s="261"/>
      <c r="F840" s="261"/>
      <c r="G840" s="261"/>
      <c r="H840" s="261"/>
      <c r="I840" s="261"/>
      <c r="J840" s="261"/>
    </row>
    <row r="841">
      <c r="A841" s="155"/>
      <c r="B841" s="280"/>
      <c r="C841" s="269"/>
      <c r="D841" s="261"/>
      <c r="E841" s="261"/>
      <c r="F841" s="261"/>
      <c r="G841" s="261"/>
      <c r="H841" s="261"/>
      <c r="I841" s="261"/>
      <c r="J841" s="261"/>
    </row>
    <row r="842">
      <c r="A842" s="153"/>
      <c r="B842" s="280"/>
      <c r="C842" s="269"/>
      <c r="D842" s="261"/>
      <c r="E842" s="261"/>
      <c r="F842" s="261"/>
      <c r="G842" s="261"/>
      <c r="H842" s="261"/>
      <c r="I842" s="261"/>
      <c r="J842" s="261"/>
    </row>
    <row r="843">
      <c r="A843" s="155"/>
      <c r="B843" s="280"/>
      <c r="C843" s="269"/>
      <c r="D843" s="261"/>
      <c r="E843" s="261"/>
      <c r="F843" s="261"/>
      <c r="G843" s="261"/>
      <c r="H843" s="261"/>
      <c r="I843" s="261"/>
      <c r="J843" s="261"/>
    </row>
    <row r="844">
      <c r="A844" s="153"/>
      <c r="B844" s="280"/>
      <c r="C844" s="269"/>
      <c r="D844" s="261"/>
      <c r="E844" s="261"/>
      <c r="F844" s="261"/>
      <c r="G844" s="261"/>
      <c r="H844" s="261"/>
      <c r="I844" s="261"/>
      <c r="J844" s="261"/>
    </row>
    <row r="845">
      <c r="A845" s="155"/>
      <c r="B845" s="280"/>
      <c r="C845" s="269"/>
      <c r="D845" s="261"/>
      <c r="E845" s="261"/>
      <c r="F845" s="261"/>
      <c r="G845" s="261"/>
      <c r="H845" s="261"/>
      <c r="I845" s="261"/>
      <c r="J845" s="261"/>
    </row>
    <row r="846">
      <c r="A846" s="153"/>
      <c r="B846" s="280"/>
      <c r="C846" s="269"/>
      <c r="D846" s="261"/>
      <c r="E846" s="261"/>
      <c r="F846" s="261"/>
      <c r="G846" s="261"/>
      <c r="H846" s="261"/>
      <c r="I846" s="261"/>
      <c r="J846" s="261"/>
    </row>
    <row r="847">
      <c r="A847" s="155"/>
      <c r="B847" s="280"/>
      <c r="C847" s="269"/>
      <c r="D847" s="261"/>
      <c r="E847" s="261"/>
      <c r="F847" s="261"/>
      <c r="G847" s="261"/>
      <c r="H847" s="261"/>
      <c r="I847" s="261"/>
      <c r="J847" s="261"/>
    </row>
    <row r="848">
      <c r="A848" s="153"/>
      <c r="B848" s="280"/>
      <c r="C848" s="269"/>
      <c r="D848" s="261"/>
      <c r="E848" s="261"/>
      <c r="F848" s="261"/>
      <c r="G848" s="261"/>
      <c r="H848" s="261"/>
      <c r="I848" s="261"/>
      <c r="J848" s="261"/>
    </row>
    <row r="849">
      <c r="A849" s="155"/>
      <c r="B849" s="280"/>
      <c r="C849" s="269"/>
      <c r="D849" s="261"/>
      <c r="E849" s="261"/>
      <c r="F849" s="261"/>
      <c r="G849" s="261"/>
      <c r="H849" s="261"/>
      <c r="I849" s="261"/>
      <c r="J849" s="261"/>
    </row>
    <row r="850">
      <c r="A850" s="162"/>
      <c r="B850" s="280"/>
      <c r="C850" s="269"/>
      <c r="D850" s="261"/>
      <c r="E850" s="261"/>
      <c r="F850" s="261"/>
      <c r="G850" s="261"/>
      <c r="H850" s="261"/>
      <c r="I850" s="261"/>
      <c r="J850" s="261"/>
    </row>
    <row r="851">
      <c r="A851" s="150" t="str">
        <f t="array" ref="A851:A900">'Up Names'!R2:R51</f>
        <v>Modular Construction</v>
      </c>
      <c r="B851" s="262">
        <v>4.0</v>
      </c>
      <c r="C851" s="208">
        <v>5.0</v>
      </c>
      <c r="D851" s="204">
        <v>9.0</v>
      </c>
      <c r="E851" s="261"/>
      <c r="F851" s="261"/>
      <c r="G851" s="261"/>
      <c r="H851" s="261"/>
      <c r="I851" s="261"/>
      <c r="J851" s="261"/>
    </row>
    <row r="852">
      <c r="A852" s="153" t="s">
        <v>167</v>
      </c>
      <c r="B852" s="263">
        <v>0.0101</v>
      </c>
      <c r="C852" s="206">
        <v>1.0</v>
      </c>
      <c r="D852" s="261"/>
      <c r="E852" s="261"/>
      <c r="F852" s="261"/>
      <c r="G852" s="261"/>
      <c r="H852" s="261"/>
      <c r="I852" s="261"/>
      <c r="J852" s="261"/>
    </row>
    <row r="853">
      <c r="A853" s="155" t="s">
        <v>187</v>
      </c>
      <c r="B853" s="281">
        <v>2.3</v>
      </c>
      <c r="C853" s="208">
        <v>4.0</v>
      </c>
      <c r="D853" s="204">
        <v>16.0</v>
      </c>
      <c r="E853" s="261"/>
      <c r="F853" s="261"/>
      <c r="G853" s="261"/>
      <c r="H853" s="261"/>
      <c r="I853" s="261"/>
      <c r="J853" s="261"/>
    </row>
    <row r="854">
      <c r="A854" s="153" t="s">
        <v>207</v>
      </c>
      <c r="B854" s="276">
        <v>2.0</v>
      </c>
      <c r="C854" s="206">
        <v>8.0</v>
      </c>
      <c r="D854" s="261"/>
      <c r="E854" s="261"/>
      <c r="F854" s="261"/>
      <c r="G854" s="261"/>
      <c r="H854" s="261"/>
      <c r="I854" s="261"/>
      <c r="J854" s="261"/>
    </row>
    <row r="855">
      <c r="A855" s="155" t="s">
        <v>226</v>
      </c>
      <c r="B855" s="281">
        <v>8.0</v>
      </c>
      <c r="C855" s="208">
        <v>8.0</v>
      </c>
      <c r="D855" s="261"/>
      <c r="E855" s="261"/>
      <c r="F855" s="261"/>
      <c r="G855" s="261"/>
      <c r="H855" s="261"/>
      <c r="I855" s="261"/>
      <c r="J855" s="261"/>
    </row>
    <row r="856">
      <c r="A856" s="153" t="s">
        <v>246</v>
      </c>
      <c r="B856" s="206">
        <v>120.0</v>
      </c>
      <c r="C856" s="206">
        <v>7.0</v>
      </c>
      <c r="D856" s="271">
        <v>0.6</v>
      </c>
      <c r="E856" s="205">
        <v>19.0</v>
      </c>
      <c r="F856" s="261"/>
      <c r="G856" s="261"/>
      <c r="H856" s="261"/>
      <c r="I856" s="261"/>
      <c r="J856" s="261"/>
    </row>
    <row r="857">
      <c r="A857" s="155" t="s">
        <v>266</v>
      </c>
      <c r="B857" s="281">
        <v>1.8</v>
      </c>
      <c r="C857" s="269"/>
      <c r="D857" s="261"/>
      <c r="E857" s="261"/>
      <c r="F857" s="261"/>
      <c r="G857" s="261"/>
      <c r="H857" s="261"/>
      <c r="I857" s="261"/>
      <c r="J857" s="261"/>
    </row>
    <row r="858">
      <c r="A858" s="153" t="s">
        <v>286</v>
      </c>
      <c r="B858" s="280"/>
      <c r="C858" s="269"/>
      <c r="D858" s="261"/>
      <c r="E858" s="261"/>
      <c r="F858" s="261"/>
      <c r="G858" s="261"/>
      <c r="H858" s="261"/>
      <c r="I858" s="261"/>
      <c r="J858" s="261"/>
    </row>
    <row r="859">
      <c r="A859" s="155" t="s">
        <v>306</v>
      </c>
      <c r="B859" s="281" t="s">
        <v>2313</v>
      </c>
      <c r="C859" s="272">
        <v>-0.375</v>
      </c>
      <c r="D859" s="261"/>
      <c r="E859" s="261"/>
      <c r="F859" s="261"/>
      <c r="G859" s="261"/>
      <c r="H859" s="261"/>
      <c r="I859" s="261"/>
      <c r="J859" s="261"/>
    </row>
    <row r="860">
      <c r="A860" s="153" t="s">
        <v>326</v>
      </c>
      <c r="B860" s="276">
        <v>1.0</v>
      </c>
      <c r="C860" s="269"/>
      <c r="D860" s="261"/>
      <c r="E860" s="261"/>
      <c r="F860" s="261"/>
      <c r="G860" s="261"/>
      <c r="H860" s="261"/>
      <c r="I860" s="261"/>
      <c r="J860" s="261"/>
    </row>
    <row r="861">
      <c r="A861" s="155" t="s">
        <v>346</v>
      </c>
      <c r="B861" s="280"/>
      <c r="C861" s="269"/>
      <c r="D861" s="261"/>
      <c r="E861" s="261"/>
      <c r="F861" s="261"/>
      <c r="G861" s="261"/>
      <c r="H861" s="261"/>
      <c r="I861" s="261"/>
      <c r="J861" s="261"/>
    </row>
    <row r="862">
      <c r="A862" s="153" t="s">
        <v>366</v>
      </c>
      <c r="B862" s="276">
        <v>10.0</v>
      </c>
      <c r="C862" s="269"/>
      <c r="D862" s="261"/>
      <c r="E862" s="261"/>
      <c r="F862" s="261"/>
      <c r="G862" s="261"/>
      <c r="H862" s="261"/>
      <c r="I862" s="261"/>
      <c r="J862" s="261"/>
    </row>
    <row r="863">
      <c r="A863" s="155" t="s">
        <v>391</v>
      </c>
      <c r="B863" s="281">
        <v>6.7</v>
      </c>
      <c r="C863" s="269"/>
      <c r="D863" s="261"/>
      <c r="E863" s="261"/>
      <c r="F863" s="261"/>
      <c r="G863" s="261"/>
      <c r="H863" s="261"/>
      <c r="I863" s="261"/>
      <c r="J863" s="261"/>
    </row>
    <row r="864">
      <c r="A864" s="153" t="s">
        <v>419</v>
      </c>
      <c r="B864" s="276">
        <v>24.0</v>
      </c>
      <c r="C864" s="269"/>
      <c r="D864" s="261"/>
      <c r="E864" s="261"/>
      <c r="F864" s="261"/>
      <c r="G864" s="261"/>
      <c r="H864" s="261"/>
      <c r="I864" s="261"/>
      <c r="J864" s="261"/>
    </row>
    <row r="865">
      <c r="A865" s="155" t="s">
        <v>446</v>
      </c>
      <c r="B865" s="280"/>
      <c r="C865" s="269"/>
      <c r="D865" s="261"/>
      <c r="E865" s="261"/>
      <c r="F865" s="261"/>
      <c r="G865" s="261"/>
      <c r="H865" s="261"/>
      <c r="I865" s="261"/>
      <c r="J865" s="261"/>
    </row>
    <row r="866">
      <c r="A866" s="153" t="s">
        <v>475</v>
      </c>
      <c r="B866" s="264">
        <v>0.08</v>
      </c>
      <c r="C866" s="264">
        <v>-0.08</v>
      </c>
      <c r="D866" s="261"/>
      <c r="E866" s="261"/>
      <c r="F866" s="261"/>
      <c r="G866" s="261"/>
      <c r="H866" s="261"/>
      <c r="I866" s="261"/>
      <c r="J866" s="261"/>
    </row>
    <row r="867">
      <c r="A867" s="155" t="s">
        <v>504</v>
      </c>
      <c r="B867" s="265">
        <v>0.2048</v>
      </c>
      <c r="C867" s="269"/>
      <c r="D867" s="261"/>
      <c r="E867" s="261"/>
      <c r="F867" s="261"/>
      <c r="G867" s="261"/>
      <c r="H867" s="261"/>
      <c r="I867" s="261"/>
      <c r="J867" s="261"/>
    </row>
    <row r="868">
      <c r="A868" s="153" t="s">
        <v>525</v>
      </c>
      <c r="B868" s="276">
        <v>6.0</v>
      </c>
      <c r="C868" s="206">
        <v>70.0</v>
      </c>
      <c r="D868" s="261"/>
      <c r="E868" s="261"/>
      <c r="F868" s="261"/>
      <c r="G868" s="261"/>
      <c r="H868" s="261"/>
      <c r="I868" s="261"/>
      <c r="J868" s="261"/>
    </row>
    <row r="869">
      <c r="A869" s="155" t="s">
        <v>544</v>
      </c>
      <c r="B869" s="262">
        <v>15.9</v>
      </c>
      <c r="C869" s="262">
        <v>-0.88</v>
      </c>
      <c r="D869" s="261"/>
      <c r="E869" s="261"/>
      <c r="F869" s="261"/>
      <c r="G869" s="261"/>
      <c r="H869" s="261"/>
      <c r="I869" s="261"/>
      <c r="J869" s="261"/>
    </row>
    <row r="870">
      <c r="A870" s="153" t="s">
        <v>565</v>
      </c>
      <c r="B870" s="271">
        <v>0.5</v>
      </c>
      <c r="C870" s="264">
        <v>-0.7</v>
      </c>
      <c r="D870" s="261"/>
      <c r="E870" s="261"/>
      <c r="F870" s="261"/>
      <c r="G870" s="261"/>
      <c r="H870" s="261"/>
      <c r="I870" s="261"/>
      <c r="J870" s="261"/>
    </row>
    <row r="871">
      <c r="A871" s="155" t="s">
        <v>588</v>
      </c>
      <c r="B871" s="262">
        <v>0.25</v>
      </c>
      <c r="C871" s="269"/>
      <c r="D871" s="261"/>
      <c r="E871" s="261"/>
      <c r="F871" s="261"/>
      <c r="G871" s="261"/>
      <c r="H871" s="261"/>
      <c r="I871" s="261"/>
      <c r="J871" s="261"/>
    </row>
    <row r="872">
      <c r="A872" s="153" t="s">
        <v>610</v>
      </c>
      <c r="B872" s="276">
        <v>17.0</v>
      </c>
      <c r="C872" s="269"/>
      <c r="D872" s="261"/>
      <c r="E872" s="261"/>
      <c r="F872" s="261"/>
      <c r="G872" s="261"/>
      <c r="H872" s="261"/>
      <c r="I872" s="261"/>
      <c r="J872" s="261"/>
    </row>
    <row r="873">
      <c r="A873" s="155" t="s">
        <v>633</v>
      </c>
      <c r="B873" s="262">
        <v>-0.41</v>
      </c>
      <c r="C873" s="269"/>
      <c r="D873" s="261"/>
      <c r="E873" s="261"/>
      <c r="F873" s="261"/>
      <c r="G873" s="261"/>
      <c r="H873" s="261"/>
      <c r="I873" s="261"/>
      <c r="J873" s="261"/>
    </row>
    <row r="874">
      <c r="A874" s="153" t="s">
        <v>656</v>
      </c>
      <c r="B874" s="264">
        <v>-0.9</v>
      </c>
      <c r="C874" s="206">
        <v>-11.0</v>
      </c>
      <c r="D874" s="261"/>
      <c r="E874" s="261"/>
      <c r="F874" s="261"/>
      <c r="G874" s="261"/>
      <c r="H874" s="261"/>
      <c r="I874" s="261"/>
      <c r="J874" s="261"/>
    </row>
    <row r="875">
      <c r="A875" s="155" t="s">
        <v>671</v>
      </c>
      <c r="B875" s="280"/>
      <c r="C875" s="269"/>
      <c r="D875" s="261"/>
      <c r="E875" s="261"/>
      <c r="F875" s="261"/>
      <c r="G875" s="261"/>
      <c r="H875" s="261"/>
      <c r="I875" s="261"/>
      <c r="J875" s="261"/>
    </row>
    <row r="876">
      <c r="A876" s="153" t="s">
        <v>685</v>
      </c>
      <c r="B876" s="280"/>
      <c r="C876" s="269"/>
      <c r="D876" s="261"/>
      <c r="E876" s="261"/>
      <c r="F876" s="261"/>
      <c r="G876" s="261"/>
      <c r="H876" s="261"/>
      <c r="I876" s="261"/>
      <c r="J876" s="261"/>
    </row>
    <row r="877">
      <c r="A877" s="155" t="s">
        <v>701</v>
      </c>
      <c r="B877" s="280"/>
      <c r="C877" s="269"/>
      <c r="D877" s="261"/>
      <c r="E877" s="261"/>
      <c r="F877" s="261"/>
      <c r="G877" s="261"/>
      <c r="H877" s="261"/>
      <c r="I877" s="261"/>
      <c r="J877" s="261"/>
    </row>
    <row r="878">
      <c r="A878" s="153" t="s">
        <v>720</v>
      </c>
      <c r="B878" s="264">
        <v>0.2</v>
      </c>
      <c r="C878" s="264">
        <v>0.2</v>
      </c>
      <c r="D878" s="261"/>
      <c r="E878" s="261"/>
      <c r="F878" s="261"/>
      <c r="G878" s="261"/>
      <c r="H878" s="261"/>
      <c r="I878" s="261"/>
      <c r="J878" s="261"/>
    </row>
    <row r="879">
      <c r="A879" s="155" t="s">
        <v>738</v>
      </c>
      <c r="B879" s="262">
        <v>0.3</v>
      </c>
      <c r="C879" s="262">
        <v>-0.65</v>
      </c>
      <c r="D879" s="261"/>
      <c r="E879" s="261"/>
      <c r="F879" s="261"/>
      <c r="G879" s="261"/>
      <c r="H879" s="261"/>
      <c r="I879" s="261"/>
      <c r="J879" s="261"/>
    </row>
    <row r="880">
      <c r="A880" s="153" t="s">
        <v>755</v>
      </c>
      <c r="B880" s="264">
        <v>0.1</v>
      </c>
      <c r="C880" s="269"/>
      <c r="D880" s="261"/>
      <c r="E880" s="261"/>
      <c r="F880" s="261"/>
      <c r="G880" s="261"/>
      <c r="H880" s="261"/>
      <c r="I880" s="261"/>
      <c r="J880" s="261"/>
    </row>
    <row r="881">
      <c r="A881" s="155" t="s">
        <v>768</v>
      </c>
      <c r="B881" s="281">
        <v>6.0</v>
      </c>
      <c r="C881" s="269"/>
      <c r="D881" s="261"/>
      <c r="E881" s="261"/>
      <c r="F881" s="261"/>
      <c r="G881" s="261"/>
      <c r="H881" s="261"/>
      <c r="I881" s="261"/>
      <c r="J881" s="261"/>
    </row>
    <row r="882">
      <c r="A882" s="153" t="s">
        <v>776</v>
      </c>
      <c r="B882" s="263">
        <v>0.1111</v>
      </c>
      <c r="C882" s="269"/>
      <c r="D882" s="261"/>
      <c r="E882" s="261"/>
      <c r="F882" s="261"/>
      <c r="G882" s="261"/>
      <c r="H882" s="261"/>
      <c r="I882" s="261"/>
      <c r="J882" s="261"/>
    </row>
    <row r="883">
      <c r="A883" s="155" t="s">
        <v>782</v>
      </c>
      <c r="B883" s="265">
        <v>0.1236</v>
      </c>
      <c r="C883" s="269"/>
      <c r="D883" s="261"/>
      <c r="E883" s="261"/>
      <c r="F883" s="261"/>
      <c r="G883" s="261"/>
      <c r="H883" s="261"/>
      <c r="I883" s="261"/>
      <c r="J883" s="261"/>
    </row>
    <row r="884">
      <c r="A884" s="153" t="s">
        <v>787</v>
      </c>
      <c r="B884" s="280"/>
      <c r="C884" s="269"/>
      <c r="D884" s="261"/>
      <c r="E884" s="261"/>
      <c r="F884" s="261"/>
      <c r="G884" s="261"/>
      <c r="H884" s="261"/>
      <c r="I884" s="261"/>
      <c r="J884" s="261"/>
    </row>
    <row r="885">
      <c r="A885" s="155" t="s">
        <v>792</v>
      </c>
      <c r="B885" s="280"/>
      <c r="C885" s="269"/>
      <c r="D885" s="261"/>
      <c r="E885" s="261"/>
      <c r="F885" s="261"/>
      <c r="G885" s="261"/>
      <c r="H885" s="261"/>
      <c r="I885" s="261"/>
      <c r="J885" s="261"/>
    </row>
    <row r="886">
      <c r="A886" s="153"/>
      <c r="B886" s="280"/>
      <c r="C886" s="269"/>
      <c r="D886" s="261"/>
      <c r="E886" s="261"/>
      <c r="F886" s="261"/>
      <c r="G886" s="261"/>
      <c r="H886" s="261"/>
      <c r="I886" s="261"/>
      <c r="J886" s="261"/>
    </row>
    <row r="887">
      <c r="A887" s="155"/>
      <c r="B887" s="280"/>
      <c r="C887" s="269"/>
      <c r="D887" s="261"/>
      <c r="E887" s="261"/>
      <c r="F887" s="261"/>
      <c r="G887" s="261"/>
      <c r="H887" s="261"/>
      <c r="I887" s="261"/>
      <c r="J887" s="261"/>
    </row>
    <row r="888">
      <c r="A888" s="153"/>
      <c r="B888" s="280"/>
      <c r="C888" s="269"/>
      <c r="D888" s="261"/>
      <c r="E888" s="261"/>
      <c r="F888" s="261"/>
      <c r="G888" s="261"/>
      <c r="H888" s="261"/>
      <c r="I888" s="261"/>
      <c r="J888" s="261"/>
    </row>
    <row r="889">
      <c r="A889" s="155"/>
      <c r="B889" s="280"/>
      <c r="C889" s="269"/>
      <c r="D889" s="261"/>
      <c r="E889" s="261"/>
      <c r="F889" s="261"/>
      <c r="G889" s="261"/>
      <c r="H889" s="261"/>
      <c r="I889" s="261"/>
      <c r="J889" s="261"/>
    </row>
    <row r="890">
      <c r="A890" s="153"/>
      <c r="B890" s="280"/>
      <c r="C890" s="269"/>
      <c r="D890" s="261"/>
      <c r="E890" s="261"/>
      <c r="F890" s="261"/>
      <c r="G890" s="261"/>
      <c r="H890" s="261"/>
      <c r="I890" s="261"/>
      <c r="J890" s="261"/>
    </row>
    <row r="891">
      <c r="A891" s="155"/>
      <c r="B891" s="280"/>
      <c r="C891" s="269"/>
      <c r="D891" s="261"/>
      <c r="E891" s="261"/>
      <c r="F891" s="261"/>
      <c r="G891" s="261"/>
      <c r="H891" s="261"/>
      <c r="I891" s="261"/>
      <c r="J891" s="261"/>
    </row>
    <row r="892">
      <c r="A892" s="153"/>
      <c r="B892" s="280"/>
      <c r="C892" s="269"/>
      <c r="D892" s="261"/>
      <c r="E892" s="261"/>
      <c r="F892" s="261"/>
      <c r="G892" s="261"/>
      <c r="H892" s="261"/>
      <c r="I892" s="261"/>
      <c r="J892" s="261"/>
    </row>
    <row r="893">
      <c r="A893" s="155"/>
      <c r="B893" s="280"/>
      <c r="C893" s="269"/>
      <c r="D893" s="261"/>
      <c r="E893" s="261"/>
      <c r="F893" s="261"/>
      <c r="G893" s="261"/>
      <c r="H893" s="261"/>
      <c r="I893" s="261"/>
      <c r="J893" s="261"/>
    </row>
    <row r="894">
      <c r="A894" s="153"/>
      <c r="B894" s="280"/>
      <c r="C894" s="269"/>
      <c r="D894" s="261"/>
      <c r="E894" s="261"/>
      <c r="F894" s="261"/>
      <c r="G894" s="261"/>
      <c r="H894" s="261"/>
      <c r="I894" s="261"/>
      <c r="J894" s="261"/>
    </row>
    <row r="895">
      <c r="A895" s="155"/>
      <c r="B895" s="280"/>
      <c r="C895" s="269"/>
      <c r="D895" s="261"/>
      <c r="E895" s="261"/>
      <c r="F895" s="261"/>
      <c r="G895" s="261"/>
      <c r="H895" s="261"/>
      <c r="I895" s="261"/>
      <c r="J895" s="261"/>
    </row>
    <row r="896">
      <c r="A896" s="153"/>
      <c r="B896" s="280"/>
      <c r="C896" s="269"/>
      <c r="D896" s="261"/>
      <c r="E896" s="261"/>
      <c r="F896" s="261"/>
      <c r="G896" s="261"/>
      <c r="H896" s="261"/>
      <c r="I896" s="261"/>
      <c r="J896" s="261"/>
    </row>
    <row r="897">
      <c r="A897" s="155"/>
      <c r="B897" s="280"/>
      <c r="C897" s="269"/>
      <c r="D897" s="261"/>
      <c r="E897" s="261"/>
      <c r="F897" s="261"/>
      <c r="G897" s="261"/>
      <c r="H897" s="261"/>
      <c r="I897" s="261"/>
      <c r="J897" s="261"/>
    </row>
    <row r="898">
      <c r="A898" s="153"/>
      <c r="B898" s="280"/>
      <c r="C898" s="269"/>
      <c r="D898" s="261"/>
      <c r="E898" s="261"/>
      <c r="F898" s="261"/>
      <c r="G898" s="261"/>
      <c r="H898" s="261"/>
      <c r="I898" s="261"/>
      <c r="J898" s="261"/>
    </row>
    <row r="899">
      <c r="A899" s="155"/>
      <c r="B899" s="280"/>
      <c r="C899" s="269"/>
      <c r="D899" s="261"/>
      <c r="E899" s="261"/>
      <c r="F899" s="261"/>
      <c r="G899" s="261"/>
      <c r="H899" s="261"/>
      <c r="I899" s="261"/>
      <c r="J899" s="261"/>
    </row>
    <row r="900">
      <c r="A900" s="162"/>
      <c r="B900" s="280"/>
      <c r="C900" s="269"/>
      <c r="D900" s="261"/>
      <c r="E900" s="261"/>
      <c r="F900" s="261"/>
      <c r="G900" s="261"/>
      <c r="H900" s="261"/>
      <c r="I900" s="261"/>
      <c r="J900" s="261"/>
    </row>
    <row r="901">
      <c r="A901" s="150" t="str">
        <f t="array" ref="A901:A950">'Up Names'!S2:S51</f>
        <v>Upside Down</v>
      </c>
      <c r="B901" s="281">
        <v>0.0</v>
      </c>
      <c r="C901" s="208">
        <v>0.0</v>
      </c>
      <c r="D901" s="262">
        <v>3.0</v>
      </c>
      <c r="E901" s="261"/>
      <c r="F901" s="261"/>
      <c r="G901" s="261"/>
      <c r="H901" s="261"/>
      <c r="I901" s="261"/>
      <c r="J901" s="261"/>
    </row>
    <row r="902">
      <c r="A902" s="153" t="s">
        <v>168</v>
      </c>
      <c r="B902" s="276">
        <v>8.0</v>
      </c>
      <c r="C902" s="269"/>
      <c r="D902" s="261"/>
      <c r="E902" s="261"/>
      <c r="F902" s="261"/>
      <c r="G902" s="261"/>
      <c r="H902" s="261"/>
      <c r="I902" s="261"/>
      <c r="J902" s="261"/>
    </row>
    <row r="903">
      <c r="A903" s="155" t="s">
        <v>188</v>
      </c>
      <c r="B903" s="281">
        <v>28.5</v>
      </c>
      <c r="C903" s="262">
        <v>0.14</v>
      </c>
      <c r="D903" s="261"/>
      <c r="E903" s="261"/>
      <c r="F903" s="261"/>
      <c r="G903" s="261"/>
      <c r="H903" s="261"/>
      <c r="I903" s="261"/>
      <c r="J903" s="261"/>
    </row>
    <row r="904">
      <c r="A904" s="153" t="s">
        <v>208</v>
      </c>
      <c r="B904" s="276">
        <v>1.0</v>
      </c>
      <c r="C904" s="263">
        <v>0.0101</v>
      </c>
      <c r="D904" s="205">
        <v>1.0</v>
      </c>
      <c r="E904" s="261"/>
      <c r="F904" s="261"/>
      <c r="G904" s="261"/>
      <c r="H904" s="261"/>
      <c r="I904" s="261"/>
      <c r="J904" s="261"/>
    </row>
    <row r="905">
      <c r="A905" s="155" t="s">
        <v>227</v>
      </c>
      <c r="B905" s="280"/>
      <c r="C905" s="269"/>
      <c r="D905" s="261"/>
      <c r="E905" s="261"/>
      <c r="F905" s="261"/>
      <c r="G905" s="261"/>
      <c r="H905" s="261"/>
      <c r="I905" s="261"/>
      <c r="J905" s="261"/>
    </row>
    <row r="906">
      <c r="A906" s="153" t="s">
        <v>247</v>
      </c>
      <c r="B906" s="276">
        <v>19.0</v>
      </c>
      <c r="C906" s="206">
        <v>3.0</v>
      </c>
      <c r="D906" s="205">
        <v>8.5</v>
      </c>
      <c r="E906" s="264">
        <v>0.84</v>
      </c>
      <c r="F906" s="264">
        <v>-0.58</v>
      </c>
      <c r="G906" s="261"/>
      <c r="H906" s="261"/>
      <c r="I906" s="261"/>
      <c r="J906" s="261"/>
    </row>
    <row r="907">
      <c r="A907" s="155" t="s">
        <v>267</v>
      </c>
      <c r="B907" s="281">
        <v>4.5</v>
      </c>
      <c r="C907" s="262" t="s">
        <v>2313</v>
      </c>
      <c r="D907" s="261"/>
      <c r="E907" s="261"/>
      <c r="F907" s="261"/>
      <c r="G907" s="261"/>
      <c r="H907" s="261"/>
      <c r="I907" s="261"/>
      <c r="J907" s="261"/>
    </row>
    <row r="908">
      <c r="A908" s="153" t="s">
        <v>287</v>
      </c>
      <c r="B908" s="264">
        <v>-0.83</v>
      </c>
      <c r="C908" s="264" t="s">
        <v>2313</v>
      </c>
      <c r="D908" s="261"/>
      <c r="E908" s="261"/>
      <c r="F908" s="261"/>
      <c r="G908" s="261"/>
      <c r="H908" s="261"/>
      <c r="I908" s="261"/>
      <c r="J908" s="261"/>
    </row>
    <row r="909">
      <c r="A909" s="155" t="s">
        <v>307</v>
      </c>
      <c r="B909" s="281">
        <v>0.18</v>
      </c>
      <c r="C909" s="208">
        <v>0.8</v>
      </c>
      <c r="D909" s="261"/>
      <c r="E909" s="261"/>
      <c r="F909" s="261"/>
      <c r="G909" s="261"/>
      <c r="H909" s="261"/>
      <c r="I909" s="261"/>
      <c r="J909" s="261"/>
    </row>
    <row r="910">
      <c r="A910" s="153" t="s">
        <v>327</v>
      </c>
      <c r="B910" s="276">
        <v>0.4</v>
      </c>
      <c r="C910" s="269"/>
      <c r="D910" s="261"/>
      <c r="E910" s="261"/>
      <c r="F910" s="261"/>
      <c r="G910" s="261"/>
      <c r="H910" s="261"/>
      <c r="I910" s="261"/>
      <c r="J910" s="261"/>
    </row>
    <row r="911">
      <c r="A911" s="155" t="s">
        <v>347</v>
      </c>
      <c r="B911" s="262">
        <v>0.45</v>
      </c>
      <c r="C911" s="262" t="s">
        <v>2313</v>
      </c>
      <c r="D911" s="261"/>
      <c r="E911" s="261"/>
      <c r="F911" s="261"/>
      <c r="G911" s="261"/>
      <c r="H911" s="261"/>
      <c r="I911" s="261"/>
      <c r="J911" s="261"/>
    </row>
    <row r="912">
      <c r="A912" s="153" t="s">
        <v>367</v>
      </c>
      <c r="B912" s="276">
        <v>0.4</v>
      </c>
      <c r="C912" s="269"/>
      <c r="D912" s="261"/>
      <c r="E912" s="261"/>
      <c r="F912" s="261"/>
      <c r="G912" s="261"/>
      <c r="H912" s="261"/>
      <c r="I912" s="261"/>
      <c r="J912" s="261"/>
    </row>
    <row r="913">
      <c r="A913" s="155" t="s">
        <v>392</v>
      </c>
      <c r="B913" s="262">
        <v>-0.85</v>
      </c>
      <c r="C913" s="208">
        <v>13.0</v>
      </c>
      <c r="D913" s="261"/>
      <c r="E913" s="261"/>
      <c r="F913" s="261"/>
      <c r="G913" s="261"/>
      <c r="H913" s="261"/>
      <c r="I913" s="261"/>
      <c r="J913" s="261"/>
    </row>
    <row r="914">
      <c r="A914" s="153" t="s">
        <v>420</v>
      </c>
      <c r="B914" s="276">
        <v>4.0</v>
      </c>
      <c r="C914" s="269"/>
      <c r="D914" s="261"/>
      <c r="E914" s="261"/>
      <c r="F914" s="261"/>
      <c r="G914" s="261"/>
      <c r="H914" s="261"/>
      <c r="I914" s="261"/>
      <c r="J914" s="261"/>
    </row>
    <row r="915">
      <c r="A915" s="155" t="s">
        <v>448</v>
      </c>
      <c r="B915" s="281">
        <v>5.0</v>
      </c>
      <c r="C915" s="208">
        <v>2.0</v>
      </c>
      <c r="D915" s="204">
        <v>9.1</v>
      </c>
      <c r="E915" s="261"/>
      <c r="F915" s="261"/>
      <c r="G915" s="261"/>
      <c r="H915" s="261"/>
      <c r="I915" s="261"/>
      <c r="J915" s="261"/>
    </row>
    <row r="916">
      <c r="A916" s="153" t="s">
        <v>476</v>
      </c>
      <c r="B916" s="276">
        <v>280.0</v>
      </c>
      <c r="C916" s="269"/>
      <c r="D916" s="261"/>
      <c r="E916" s="261"/>
      <c r="F916" s="261"/>
      <c r="G916" s="261"/>
      <c r="H916" s="261"/>
      <c r="I916" s="261"/>
      <c r="J916" s="261"/>
    </row>
    <row r="917">
      <c r="A917" s="155" t="s">
        <v>505</v>
      </c>
      <c r="B917" s="281">
        <v>4.6</v>
      </c>
      <c r="C917" s="269"/>
      <c r="D917" s="261"/>
      <c r="E917" s="261"/>
      <c r="F917" s="261"/>
      <c r="G917" s="261"/>
      <c r="H917" s="261"/>
      <c r="I917" s="261"/>
      <c r="J917" s="261"/>
    </row>
    <row r="918">
      <c r="A918" s="153" t="s">
        <v>526</v>
      </c>
      <c r="B918" s="264">
        <v>2.0</v>
      </c>
      <c r="C918" s="264">
        <v>-0.72</v>
      </c>
      <c r="D918" s="261"/>
      <c r="E918" s="261"/>
      <c r="F918" s="261"/>
      <c r="G918" s="261"/>
      <c r="H918" s="261"/>
      <c r="I918" s="261"/>
      <c r="J918" s="261"/>
    </row>
    <row r="919">
      <c r="A919" s="155" t="s">
        <v>545</v>
      </c>
      <c r="B919" s="281">
        <v>15.0</v>
      </c>
      <c r="C919" s="269"/>
      <c r="D919" s="261"/>
      <c r="E919" s="261"/>
      <c r="F919" s="261"/>
      <c r="G919" s="261"/>
      <c r="H919" s="261"/>
      <c r="I919" s="261"/>
      <c r="J919" s="261"/>
    </row>
    <row r="920">
      <c r="A920" s="153" t="s">
        <v>566</v>
      </c>
      <c r="B920" s="280"/>
      <c r="C920" s="269"/>
      <c r="D920" s="261"/>
      <c r="E920" s="261"/>
      <c r="F920" s="261"/>
      <c r="G920" s="261"/>
      <c r="H920" s="261"/>
      <c r="I920" s="261"/>
      <c r="J920" s="261"/>
    </row>
    <row r="921">
      <c r="A921" s="155" t="s">
        <v>589</v>
      </c>
      <c r="B921" s="281">
        <v>7.5</v>
      </c>
      <c r="C921" s="262" t="s">
        <v>2313</v>
      </c>
      <c r="D921" s="261"/>
      <c r="E921" s="261"/>
      <c r="F921" s="261"/>
      <c r="G921" s="261"/>
      <c r="H921" s="261"/>
      <c r="I921" s="261"/>
      <c r="J921" s="261"/>
    </row>
    <row r="922">
      <c r="A922" s="153" t="s">
        <v>611</v>
      </c>
      <c r="B922" s="264">
        <v>4.5</v>
      </c>
      <c r="C922" s="269"/>
      <c r="D922" s="261"/>
      <c r="E922" s="261"/>
      <c r="F922" s="261"/>
      <c r="G922" s="261"/>
      <c r="H922" s="261"/>
      <c r="I922" s="261"/>
      <c r="J922" s="261"/>
    </row>
    <row r="923">
      <c r="A923" s="155" t="s">
        <v>634</v>
      </c>
      <c r="B923" s="281">
        <v>20.0</v>
      </c>
      <c r="C923" s="269"/>
      <c r="D923" s="261"/>
      <c r="E923" s="261"/>
      <c r="F923" s="261"/>
      <c r="G923" s="261"/>
      <c r="H923" s="261"/>
      <c r="I923" s="261"/>
      <c r="J923" s="261"/>
    </row>
    <row r="924">
      <c r="A924" s="153" t="s">
        <v>657</v>
      </c>
      <c r="B924" s="264">
        <v>-0.93</v>
      </c>
      <c r="C924" s="269"/>
      <c r="D924" s="261"/>
      <c r="E924" s="261"/>
      <c r="F924" s="261"/>
      <c r="G924" s="261"/>
      <c r="H924" s="261"/>
      <c r="I924" s="261"/>
      <c r="J924" s="261"/>
    </row>
    <row r="925">
      <c r="A925" s="155" t="s">
        <v>672</v>
      </c>
      <c r="B925" s="262">
        <v>0.23</v>
      </c>
      <c r="C925" s="262">
        <v>3.0</v>
      </c>
      <c r="D925" s="261"/>
      <c r="E925" s="261"/>
      <c r="F925" s="261"/>
      <c r="G925" s="261"/>
      <c r="H925" s="261"/>
      <c r="I925" s="261"/>
      <c r="J925" s="261"/>
    </row>
    <row r="926">
      <c r="A926" s="153" t="s">
        <v>686</v>
      </c>
      <c r="B926" s="264">
        <v>0.25</v>
      </c>
      <c r="C926" s="269"/>
      <c r="D926" s="261"/>
      <c r="E926" s="261"/>
      <c r="F926" s="261"/>
      <c r="G926" s="261"/>
      <c r="H926" s="261"/>
      <c r="I926" s="261"/>
      <c r="J926" s="261"/>
    </row>
    <row r="927">
      <c r="A927" s="155" t="s">
        <v>702</v>
      </c>
      <c r="B927" s="262">
        <v>0.29</v>
      </c>
      <c r="C927" s="269"/>
      <c r="D927" s="261"/>
      <c r="E927" s="261"/>
      <c r="F927" s="261"/>
      <c r="G927" s="261"/>
      <c r="H927" s="261"/>
      <c r="I927" s="261"/>
      <c r="J927" s="261"/>
    </row>
    <row r="928">
      <c r="A928" s="153" t="s">
        <v>721</v>
      </c>
      <c r="B928" s="276">
        <v>4.0</v>
      </c>
      <c r="C928" s="269"/>
      <c r="D928" s="261"/>
      <c r="E928" s="261"/>
      <c r="F928" s="261"/>
      <c r="G928" s="261"/>
      <c r="H928" s="261"/>
      <c r="I928" s="261"/>
      <c r="J928" s="261"/>
    </row>
    <row r="929">
      <c r="A929" s="155" t="s">
        <v>739</v>
      </c>
      <c r="B929" s="265">
        <v>0.1765</v>
      </c>
      <c r="C929" s="269"/>
      <c r="D929" s="261"/>
      <c r="E929" s="261"/>
      <c r="F929" s="261"/>
      <c r="G929" s="261"/>
      <c r="H929" s="261"/>
      <c r="I929" s="261"/>
      <c r="J929" s="261"/>
    </row>
    <row r="930">
      <c r="A930" s="153" t="s">
        <v>757</v>
      </c>
      <c r="B930" s="264">
        <v>0.08</v>
      </c>
      <c r="C930" s="269"/>
      <c r="D930" s="261"/>
      <c r="E930" s="261"/>
      <c r="F930" s="261"/>
      <c r="G930" s="261"/>
      <c r="H930" s="261"/>
      <c r="I930" s="261"/>
      <c r="J930" s="261"/>
    </row>
    <row r="931">
      <c r="A931" s="155" t="s">
        <v>769</v>
      </c>
      <c r="B931" s="262">
        <v>0.13</v>
      </c>
      <c r="C931" s="269"/>
      <c r="D931" s="261"/>
      <c r="E931" s="261"/>
      <c r="F931" s="261"/>
      <c r="G931" s="261"/>
      <c r="H931" s="261"/>
      <c r="I931" s="261"/>
      <c r="J931" s="261"/>
    </row>
    <row r="932">
      <c r="A932" s="153" t="s">
        <v>777</v>
      </c>
      <c r="B932" s="264">
        <v>0.06</v>
      </c>
      <c r="C932" s="269"/>
      <c r="D932" s="261"/>
      <c r="E932" s="261"/>
      <c r="F932" s="261"/>
      <c r="G932" s="261"/>
      <c r="H932" s="261"/>
      <c r="I932" s="261"/>
      <c r="J932" s="261"/>
    </row>
    <row r="933">
      <c r="A933" s="155" t="s">
        <v>783</v>
      </c>
      <c r="B933" s="262">
        <v>0.2</v>
      </c>
      <c r="C933" s="269"/>
      <c r="D933" s="261"/>
      <c r="E933" s="261"/>
      <c r="F933" s="261"/>
      <c r="G933" s="261"/>
      <c r="H933" s="261"/>
      <c r="I933" s="261"/>
      <c r="J933" s="261"/>
    </row>
    <row r="934">
      <c r="A934" s="153" t="s">
        <v>788</v>
      </c>
      <c r="B934" s="280"/>
      <c r="C934" s="269"/>
      <c r="D934" s="261"/>
      <c r="E934" s="261"/>
      <c r="F934" s="261"/>
      <c r="G934" s="261"/>
      <c r="H934" s="261"/>
      <c r="I934" s="261"/>
      <c r="J934" s="261"/>
    </row>
    <row r="935">
      <c r="A935" s="155" t="s">
        <v>793</v>
      </c>
      <c r="B935" s="280"/>
      <c r="C935" s="269"/>
      <c r="D935" s="261"/>
      <c r="E935" s="261"/>
      <c r="F935" s="261"/>
      <c r="G935" s="261"/>
      <c r="H935" s="261"/>
      <c r="I935" s="261"/>
      <c r="J935" s="261"/>
    </row>
    <row r="936">
      <c r="A936" s="153"/>
      <c r="B936" s="280"/>
      <c r="C936" s="269"/>
      <c r="D936" s="261"/>
      <c r="E936" s="261"/>
      <c r="F936" s="261"/>
      <c r="G936" s="261"/>
      <c r="H936" s="261"/>
      <c r="I936" s="261"/>
      <c r="J936" s="261"/>
    </row>
    <row r="937">
      <c r="A937" s="155"/>
      <c r="B937" s="280"/>
      <c r="C937" s="269"/>
      <c r="D937" s="261"/>
      <c r="E937" s="261"/>
      <c r="F937" s="261"/>
      <c r="G937" s="261"/>
      <c r="H937" s="261"/>
      <c r="I937" s="261"/>
      <c r="J937" s="261"/>
    </row>
    <row r="938">
      <c r="A938" s="153"/>
      <c r="B938" s="280"/>
      <c r="C938" s="269"/>
      <c r="D938" s="261"/>
      <c r="E938" s="261"/>
      <c r="F938" s="261"/>
      <c r="G938" s="261"/>
      <c r="H938" s="261"/>
      <c r="I938" s="261"/>
      <c r="J938" s="261"/>
    </row>
    <row r="939">
      <c r="A939" s="155"/>
      <c r="B939" s="280"/>
      <c r="C939" s="269"/>
      <c r="D939" s="261"/>
      <c r="E939" s="261"/>
      <c r="F939" s="261"/>
      <c r="G939" s="261"/>
      <c r="H939" s="261"/>
      <c r="I939" s="261"/>
      <c r="J939" s="261"/>
    </row>
    <row r="940">
      <c r="A940" s="153"/>
      <c r="B940" s="280"/>
      <c r="C940" s="269"/>
      <c r="D940" s="261"/>
      <c r="E940" s="261"/>
      <c r="F940" s="261"/>
      <c r="G940" s="261"/>
      <c r="H940" s="261"/>
      <c r="I940" s="261"/>
      <c r="J940" s="261"/>
    </row>
    <row r="941">
      <c r="A941" s="155"/>
      <c r="B941" s="280"/>
      <c r="C941" s="269"/>
      <c r="D941" s="261"/>
      <c r="E941" s="261"/>
      <c r="F941" s="261"/>
      <c r="G941" s="261"/>
      <c r="H941" s="261"/>
      <c r="I941" s="261"/>
      <c r="J941" s="261"/>
    </row>
    <row r="942">
      <c r="A942" s="153"/>
      <c r="B942" s="280"/>
      <c r="C942" s="269"/>
      <c r="D942" s="261"/>
      <c r="E942" s="261"/>
      <c r="F942" s="261"/>
      <c r="G942" s="261"/>
      <c r="H942" s="261"/>
      <c r="I942" s="261"/>
      <c r="J942" s="261"/>
    </row>
    <row r="943">
      <c r="A943" s="155"/>
      <c r="B943" s="280"/>
      <c r="C943" s="269"/>
      <c r="D943" s="261"/>
      <c r="E943" s="261"/>
      <c r="F943" s="261"/>
      <c r="G943" s="261"/>
      <c r="H943" s="261"/>
      <c r="I943" s="261"/>
      <c r="J943" s="261"/>
    </row>
    <row r="944">
      <c r="A944" s="153"/>
      <c r="B944" s="280"/>
      <c r="C944" s="269"/>
      <c r="D944" s="261"/>
      <c r="E944" s="261"/>
      <c r="F944" s="261"/>
      <c r="G944" s="261"/>
      <c r="H944" s="261"/>
      <c r="I944" s="261"/>
      <c r="J944" s="261"/>
    </row>
    <row r="945">
      <c r="A945" s="155"/>
      <c r="B945" s="280"/>
      <c r="C945" s="269"/>
      <c r="D945" s="261"/>
      <c r="E945" s="261"/>
      <c r="F945" s="261"/>
      <c r="G945" s="261"/>
      <c r="H945" s="261"/>
      <c r="I945" s="261"/>
      <c r="J945" s="261"/>
    </row>
    <row r="946">
      <c r="A946" s="153"/>
      <c r="B946" s="280"/>
      <c r="C946" s="269"/>
      <c r="D946" s="261"/>
      <c r="E946" s="261"/>
      <c r="F946" s="261"/>
      <c r="G946" s="261"/>
      <c r="H946" s="261"/>
      <c r="I946" s="261"/>
      <c r="J946" s="261"/>
    </row>
    <row r="947">
      <c r="A947" s="155"/>
      <c r="B947" s="280"/>
      <c r="C947" s="269"/>
      <c r="D947" s="261"/>
      <c r="E947" s="261"/>
      <c r="F947" s="261"/>
      <c r="G947" s="261"/>
      <c r="H947" s="261"/>
      <c r="I947" s="261"/>
      <c r="J947" s="261"/>
    </row>
    <row r="948">
      <c r="A948" s="153"/>
      <c r="B948" s="280"/>
      <c r="C948" s="269"/>
      <c r="D948" s="261"/>
      <c r="E948" s="261"/>
      <c r="F948" s="261"/>
      <c r="G948" s="261"/>
      <c r="H948" s="261"/>
      <c r="I948" s="261"/>
      <c r="J948" s="261"/>
    </row>
    <row r="949">
      <c r="A949" s="155"/>
      <c r="B949" s="280"/>
      <c r="C949" s="269"/>
      <c r="D949" s="261"/>
      <c r="E949" s="261"/>
      <c r="F949" s="261"/>
      <c r="G949" s="261"/>
      <c r="H949" s="261"/>
      <c r="I949" s="261"/>
      <c r="J949" s="261"/>
    </row>
    <row r="950">
      <c r="A950" s="162"/>
      <c r="B950" s="280"/>
      <c r="C950" s="269"/>
      <c r="D950" s="261"/>
      <c r="E950" s="261"/>
      <c r="F950" s="261"/>
      <c r="G950" s="261"/>
      <c r="H950" s="261"/>
      <c r="I950" s="261"/>
      <c r="J950" s="261"/>
    </row>
    <row r="951">
      <c r="A951" s="150" t="str">
        <f t="array" ref="A951:A1000">'Up Names'!T2:T51</f>
        <v>Attrition Supply</v>
      </c>
      <c r="B951" s="262">
        <v>7.0</v>
      </c>
      <c r="C951" s="272">
        <v>-0.875</v>
      </c>
      <c r="D951" s="261"/>
      <c r="E951" s="261"/>
      <c r="F951" s="261"/>
      <c r="G951" s="261"/>
      <c r="H951" s="261"/>
      <c r="I951" s="261"/>
      <c r="J951" s="261"/>
    </row>
    <row r="952">
      <c r="A952" s="153" t="s">
        <v>169</v>
      </c>
      <c r="B952" s="276">
        <v>0.07</v>
      </c>
      <c r="C952" s="269"/>
      <c r="D952" s="261"/>
      <c r="E952" s="261"/>
      <c r="F952" s="261"/>
      <c r="G952" s="261"/>
      <c r="H952" s="261"/>
      <c r="I952" s="261"/>
      <c r="J952" s="261"/>
    </row>
    <row r="953">
      <c r="A953" s="155" t="s">
        <v>189</v>
      </c>
      <c r="B953" s="281">
        <v>60.0</v>
      </c>
      <c r="C953" s="208">
        <v>15.0</v>
      </c>
      <c r="D953" s="204">
        <v>400.0</v>
      </c>
      <c r="E953" s="261"/>
      <c r="F953" s="261"/>
      <c r="G953" s="261"/>
      <c r="H953" s="261"/>
      <c r="I953" s="261"/>
      <c r="J953" s="261"/>
    </row>
    <row r="954">
      <c r="A954" s="153" t="s">
        <v>209</v>
      </c>
      <c r="B954" s="276">
        <v>20.0</v>
      </c>
      <c r="C954" s="206">
        <v>2.0</v>
      </c>
      <c r="D954" s="264">
        <v>-0.13</v>
      </c>
      <c r="E954" s="261"/>
      <c r="F954" s="261"/>
      <c r="G954" s="261"/>
      <c r="H954" s="261"/>
      <c r="I954" s="261"/>
      <c r="J954" s="261"/>
    </row>
    <row r="955">
      <c r="A955" s="155" t="s">
        <v>228</v>
      </c>
      <c r="B955" s="281">
        <v>18.0</v>
      </c>
      <c r="C955" s="262">
        <v>1.0</v>
      </c>
      <c r="D955" s="265">
        <v>1.7027</v>
      </c>
      <c r="E955" s="204">
        <v>15.0</v>
      </c>
      <c r="F955" s="262">
        <v>-0.67</v>
      </c>
      <c r="G955" s="262">
        <v>-0.4</v>
      </c>
      <c r="H955" s="262">
        <v>-0.4</v>
      </c>
      <c r="I955" s="265">
        <v>-0.6528</v>
      </c>
      <c r="J955" s="262">
        <v>-0.66</v>
      </c>
    </row>
    <row r="956">
      <c r="A956" s="153" t="s">
        <v>248</v>
      </c>
      <c r="B956" s="276">
        <v>8.0</v>
      </c>
      <c r="C956" s="269"/>
      <c r="D956" s="261"/>
      <c r="E956" s="261"/>
      <c r="F956" s="261"/>
      <c r="G956" s="261"/>
      <c r="H956" s="261"/>
      <c r="I956" s="261"/>
      <c r="J956" s="261"/>
    </row>
    <row r="957">
      <c r="A957" s="155" t="s">
        <v>268</v>
      </c>
      <c r="B957" s="281">
        <v>1.9</v>
      </c>
      <c r="C957" s="262">
        <v>0.56</v>
      </c>
      <c r="D957" s="204">
        <v>2.18</v>
      </c>
      <c r="E957" s="261"/>
      <c r="F957" s="261"/>
      <c r="G957" s="261"/>
      <c r="H957" s="261"/>
      <c r="I957" s="261"/>
      <c r="J957" s="261"/>
    </row>
    <row r="958">
      <c r="A958" s="153" t="s">
        <v>288</v>
      </c>
      <c r="B958" s="264">
        <v>0.6</v>
      </c>
      <c r="C958" s="269"/>
      <c r="D958" s="261"/>
      <c r="E958" s="261"/>
      <c r="F958" s="261"/>
      <c r="G958" s="261"/>
      <c r="H958" s="261"/>
      <c r="I958" s="261"/>
      <c r="J958" s="261"/>
    </row>
    <row r="959">
      <c r="A959" s="155" t="s">
        <v>308</v>
      </c>
      <c r="B959" s="262">
        <v>0.4</v>
      </c>
      <c r="C959" s="269"/>
      <c r="D959" s="261"/>
      <c r="E959" s="261"/>
      <c r="F959" s="261"/>
      <c r="G959" s="261"/>
      <c r="H959" s="261"/>
      <c r="I959" s="261"/>
      <c r="J959" s="261"/>
    </row>
    <row r="960">
      <c r="A960" s="153" t="s">
        <v>328</v>
      </c>
      <c r="B960" s="276">
        <v>1.0</v>
      </c>
      <c r="C960" s="263">
        <v>10.1111</v>
      </c>
      <c r="D960" s="261"/>
      <c r="E960" s="261"/>
      <c r="F960" s="261"/>
      <c r="G960" s="261"/>
      <c r="H960" s="261"/>
      <c r="I960" s="261"/>
      <c r="J960" s="261"/>
    </row>
    <row r="961">
      <c r="A961" s="155" t="s">
        <v>348</v>
      </c>
      <c r="B961" s="281">
        <v>20.0</v>
      </c>
      <c r="C961" s="269"/>
      <c r="D961" s="261"/>
      <c r="E961" s="261"/>
      <c r="F961" s="261"/>
      <c r="G961" s="261"/>
      <c r="H961" s="261"/>
      <c r="I961" s="261"/>
      <c r="J961" s="261"/>
    </row>
    <row r="962">
      <c r="A962" s="153" t="s">
        <v>368</v>
      </c>
      <c r="B962" s="276">
        <v>0.1</v>
      </c>
      <c r="C962" s="269"/>
      <c r="D962" s="261"/>
      <c r="E962" s="261"/>
      <c r="F962" s="261"/>
      <c r="G962" s="261"/>
      <c r="H962" s="261"/>
      <c r="I962" s="261"/>
      <c r="J962" s="261"/>
    </row>
    <row r="963">
      <c r="A963" s="155" t="s">
        <v>393</v>
      </c>
      <c r="B963" s="265">
        <v>2.0303</v>
      </c>
      <c r="C963" s="269"/>
      <c r="D963" s="261"/>
      <c r="E963" s="261"/>
      <c r="F963" s="261"/>
      <c r="G963" s="261"/>
      <c r="H963" s="261"/>
      <c r="I963" s="261"/>
      <c r="J963" s="261"/>
    </row>
    <row r="964">
      <c r="A964" s="153" t="s">
        <v>422</v>
      </c>
      <c r="B964" s="264">
        <v>0.1</v>
      </c>
      <c r="C964" s="269"/>
      <c r="D964" s="261"/>
      <c r="E964" s="261"/>
      <c r="F964" s="261"/>
      <c r="G964" s="261"/>
      <c r="H964" s="261"/>
      <c r="I964" s="261"/>
      <c r="J964" s="261"/>
    </row>
    <row r="965">
      <c r="A965" s="155" t="s">
        <v>450</v>
      </c>
      <c r="B965" s="262">
        <v>1.5</v>
      </c>
      <c r="C965" s="269"/>
      <c r="D965" s="261"/>
      <c r="E965" s="261"/>
      <c r="F965" s="261"/>
      <c r="G965" s="261"/>
      <c r="H965" s="261"/>
      <c r="I965" s="261"/>
      <c r="J965" s="261"/>
    </row>
    <row r="966">
      <c r="A966" s="153" t="s">
        <v>478</v>
      </c>
      <c r="B966" s="264">
        <v>0.35</v>
      </c>
      <c r="C966" s="269"/>
      <c r="D966" s="261"/>
      <c r="E966" s="261"/>
      <c r="F966" s="261"/>
      <c r="G966" s="261"/>
      <c r="H966" s="261"/>
      <c r="I966" s="261"/>
      <c r="J966" s="261"/>
    </row>
    <row r="967">
      <c r="A967" s="155" t="s">
        <v>506</v>
      </c>
      <c r="B967" s="281">
        <v>8.7</v>
      </c>
      <c r="C967" s="269"/>
      <c r="D967" s="261"/>
      <c r="E967" s="261"/>
      <c r="F967" s="261"/>
      <c r="G967" s="261"/>
      <c r="H967" s="261"/>
      <c r="I967" s="261"/>
      <c r="J967" s="261"/>
    </row>
    <row r="968">
      <c r="A968" s="153" t="s">
        <v>527</v>
      </c>
      <c r="B968" s="276">
        <v>4.0</v>
      </c>
      <c r="C968" s="269"/>
      <c r="D968" s="261"/>
      <c r="E968" s="261"/>
      <c r="F968" s="261"/>
      <c r="G968" s="261"/>
      <c r="H968" s="261"/>
      <c r="I968" s="261"/>
      <c r="J968" s="261"/>
    </row>
    <row r="969">
      <c r="A969" s="155" t="s">
        <v>546</v>
      </c>
      <c r="B969" s="281" t="s">
        <v>2313</v>
      </c>
      <c r="C969" s="208">
        <v>10.0</v>
      </c>
      <c r="D969" s="261"/>
      <c r="E969" s="261"/>
      <c r="F969" s="261"/>
      <c r="G969" s="261"/>
      <c r="H969" s="261"/>
      <c r="I969" s="261"/>
      <c r="J969" s="261"/>
    </row>
    <row r="970">
      <c r="A970" s="153" t="s">
        <v>568</v>
      </c>
      <c r="B970" s="276">
        <v>10.0</v>
      </c>
      <c r="C970" s="269"/>
      <c r="D970" s="261"/>
      <c r="E970" s="261"/>
      <c r="F970" s="261"/>
      <c r="G970" s="261"/>
      <c r="H970" s="261"/>
      <c r="I970" s="261"/>
      <c r="J970" s="261"/>
    </row>
    <row r="971">
      <c r="A971" s="155" t="s">
        <v>590</v>
      </c>
      <c r="B971" s="272">
        <v>0.065</v>
      </c>
      <c r="C971" s="269"/>
      <c r="D971" s="261"/>
      <c r="E971" s="261"/>
      <c r="F971" s="261"/>
      <c r="G971" s="261"/>
      <c r="H971" s="261"/>
      <c r="I971" s="261"/>
      <c r="J971" s="261"/>
    </row>
    <row r="972">
      <c r="A972" s="153" t="s">
        <v>612</v>
      </c>
      <c r="B972" s="264">
        <v>-0.85</v>
      </c>
      <c r="C972" s="269"/>
      <c r="D972" s="261"/>
      <c r="E972" s="261"/>
      <c r="F972" s="261"/>
      <c r="G972" s="261"/>
      <c r="H972" s="261"/>
      <c r="I972" s="261"/>
      <c r="J972" s="261"/>
    </row>
    <row r="973">
      <c r="A973" s="155" t="s">
        <v>636</v>
      </c>
      <c r="B973" s="280"/>
      <c r="C973" s="269"/>
      <c r="D973" s="261"/>
      <c r="E973" s="261"/>
      <c r="F973" s="261"/>
      <c r="G973" s="261"/>
      <c r="H973" s="261"/>
      <c r="I973" s="261"/>
      <c r="J973" s="261"/>
    </row>
    <row r="974">
      <c r="A974" s="153" t="s">
        <v>658</v>
      </c>
      <c r="B974" s="264">
        <v>0.2</v>
      </c>
      <c r="C974" s="269"/>
      <c r="D974" s="261"/>
      <c r="E974" s="261"/>
      <c r="F974" s="261"/>
      <c r="G974" s="261"/>
      <c r="H974" s="261"/>
      <c r="I974" s="261"/>
      <c r="J974" s="261"/>
    </row>
    <row r="975">
      <c r="A975" s="155" t="s">
        <v>673</v>
      </c>
      <c r="B975" s="280"/>
      <c r="C975" s="269"/>
      <c r="D975" s="261"/>
      <c r="E975" s="261"/>
      <c r="F975" s="261"/>
      <c r="G975" s="261"/>
      <c r="H975" s="261"/>
      <c r="I975" s="261"/>
      <c r="J975" s="261"/>
    </row>
    <row r="976">
      <c r="A976" s="153" t="s">
        <v>687</v>
      </c>
      <c r="B976" s="264">
        <v>3.2</v>
      </c>
      <c r="C976" s="206">
        <v>0.0</v>
      </c>
      <c r="D976" s="261"/>
      <c r="E976" s="261"/>
      <c r="F976" s="261"/>
      <c r="G976" s="261"/>
      <c r="H976" s="261"/>
      <c r="I976" s="261"/>
      <c r="J976" s="261"/>
    </row>
    <row r="977">
      <c r="A977" s="155" t="s">
        <v>703</v>
      </c>
      <c r="B977" s="281">
        <v>3.0</v>
      </c>
      <c r="C977" s="262">
        <v>-0.7</v>
      </c>
      <c r="D977" s="261"/>
      <c r="E977" s="261"/>
      <c r="F977" s="261"/>
      <c r="G977" s="261"/>
      <c r="H977" s="261"/>
      <c r="I977" s="261"/>
      <c r="J977" s="261"/>
    </row>
    <row r="978">
      <c r="A978" s="153" t="s">
        <v>722</v>
      </c>
      <c r="B978" s="264">
        <v>0.23</v>
      </c>
      <c r="C978" s="263">
        <v>-0.2248</v>
      </c>
      <c r="D978" s="261"/>
      <c r="E978" s="261"/>
      <c r="F978" s="261"/>
      <c r="G978" s="261"/>
      <c r="H978" s="261"/>
      <c r="I978" s="261"/>
      <c r="J978" s="261"/>
    </row>
    <row r="979">
      <c r="A979" s="155" t="s">
        <v>741</v>
      </c>
      <c r="B979" s="281">
        <v>1.0</v>
      </c>
      <c r="C979" s="262">
        <v>-0.25</v>
      </c>
      <c r="D979" s="261"/>
      <c r="E979" s="261"/>
      <c r="F979" s="261"/>
      <c r="G979" s="261"/>
      <c r="H979" s="261"/>
      <c r="I979" s="261"/>
      <c r="J979" s="261"/>
    </row>
    <row r="980">
      <c r="A980" s="153" t="s">
        <v>758</v>
      </c>
      <c r="B980" s="263">
        <v>0.1494</v>
      </c>
      <c r="C980" s="269"/>
      <c r="D980" s="261"/>
      <c r="E980" s="261"/>
      <c r="F980" s="261"/>
      <c r="G980" s="261"/>
      <c r="H980" s="261"/>
      <c r="I980" s="261"/>
      <c r="J980" s="261"/>
    </row>
    <row r="981">
      <c r="A981" s="155" t="s">
        <v>771</v>
      </c>
      <c r="B981" s="262">
        <v>0.2</v>
      </c>
      <c r="C981" s="269"/>
      <c r="D981" s="261"/>
      <c r="E981" s="261"/>
      <c r="F981" s="261"/>
      <c r="G981" s="261"/>
      <c r="H981" s="261"/>
      <c r="I981" s="261"/>
      <c r="J981" s="261"/>
    </row>
    <row r="982">
      <c r="A982" s="153" t="s">
        <v>778</v>
      </c>
      <c r="B982" s="263">
        <v>0.1364</v>
      </c>
      <c r="C982" s="269"/>
      <c r="D982" s="261"/>
      <c r="E982" s="261"/>
      <c r="F982" s="261"/>
      <c r="G982" s="261"/>
      <c r="H982" s="261"/>
      <c r="I982" s="261"/>
      <c r="J982" s="261"/>
    </row>
    <row r="983">
      <c r="A983" s="155" t="s">
        <v>784</v>
      </c>
      <c r="B983" s="262">
        <v>0.08</v>
      </c>
      <c r="C983" s="269"/>
      <c r="D983" s="261"/>
      <c r="E983" s="261"/>
      <c r="F983" s="261"/>
      <c r="G983" s="261"/>
      <c r="H983" s="261"/>
      <c r="I983" s="261"/>
      <c r="J983" s="261"/>
    </row>
    <row r="984">
      <c r="A984" s="153" t="s">
        <v>789</v>
      </c>
      <c r="B984" s="280"/>
      <c r="C984" s="269"/>
      <c r="D984" s="261"/>
      <c r="E984" s="261"/>
      <c r="F984" s="261"/>
      <c r="G984" s="261"/>
      <c r="H984" s="261"/>
      <c r="I984" s="261"/>
      <c r="J984" s="261"/>
    </row>
    <row r="985">
      <c r="A985" s="155" t="s">
        <v>794</v>
      </c>
      <c r="B985" s="280"/>
      <c r="C985" s="269"/>
      <c r="D985" s="261"/>
      <c r="E985" s="261"/>
      <c r="F985" s="261"/>
      <c r="G985" s="261"/>
      <c r="H985" s="261"/>
      <c r="I985" s="261"/>
      <c r="J985" s="261"/>
    </row>
    <row r="986">
      <c r="A986" s="153"/>
      <c r="B986" s="280"/>
      <c r="C986" s="269"/>
      <c r="D986" s="261"/>
      <c r="E986" s="261"/>
      <c r="F986" s="261"/>
      <c r="G986" s="261"/>
      <c r="H986" s="261"/>
      <c r="I986" s="261"/>
      <c r="J986" s="261"/>
    </row>
    <row r="987">
      <c r="A987" s="155"/>
      <c r="B987" s="280"/>
      <c r="C987" s="269"/>
      <c r="D987" s="261"/>
      <c r="E987" s="261"/>
      <c r="F987" s="261"/>
      <c r="G987" s="261"/>
      <c r="H987" s="261"/>
      <c r="I987" s="261"/>
      <c r="J987" s="261"/>
    </row>
    <row r="988">
      <c r="A988" s="153"/>
      <c r="B988" s="280"/>
      <c r="C988" s="269"/>
      <c r="D988" s="261"/>
      <c r="E988" s="261"/>
      <c r="F988" s="261"/>
      <c r="G988" s="261"/>
      <c r="H988" s="261"/>
      <c r="I988" s="261"/>
      <c r="J988" s="261"/>
    </row>
    <row r="989">
      <c r="A989" s="155"/>
      <c r="B989" s="280"/>
      <c r="C989" s="269"/>
      <c r="D989" s="261"/>
      <c r="E989" s="261"/>
      <c r="F989" s="261"/>
      <c r="G989" s="261"/>
      <c r="H989" s="261"/>
      <c r="I989" s="261"/>
      <c r="J989" s="261"/>
    </row>
    <row r="990">
      <c r="A990" s="153"/>
      <c r="B990" s="280"/>
      <c r="C990" s="269"/>
      <c r="D990" s="261"/>
      <c r="E990" s="261"/>
      <c r="F990" s="261"/>
      <c r="G990" s="261"/>
      <c r="H990" s="261"/>
      <c r="I990" s="261"/>
      <c r="J990" s="261"/>
    </row>
    <row r="991">
      <c r="A991" s="155"/>
      <c r="B991" s="280"/>
      <c r="C991" s="269"/>
      <c r="D991" s="261"/>
      <c r="E991" s="261"/>
      <c r="F991" s="261"/>
      <c r="G991" s="261"/>
      <c r="H991" s="261"/>
      <c r="I991" s="261"/>
      <c r="J991" s="261"/>
    </row>
    <row r="992">
      <c r="A992" s="153"/>
      <c r="B992" s="280"/>
      <c r="C992" s="269"/>
      <c r="D992" s="261"/>
      <c r="E992" s="261"/>
      <c r="F992" s="261"/>
      <c r="G992" s="261"/>
      <c r="H992" s="261"/>
      <c r="I992" s="261"/>
      <c r="J992" s="261"/>
    </row>
    <row r="993">
      <c r="A993" s="155"/>
      <c r="B993" s="280"/>
      <c r="C993" s="269"/>
      <c r="D993" s="261"/>
      <c r="E993" s="261"/>
      <c r="F993" s="261"/>
      <c r="G993" s="261"/>
      <c r="H993" s="261"/>
      <c r="I993" s="261"/>
      <c r="J993" s="261"/>
    </row>
    <row r="994">
      <c r="A994" s="153"/>
      <c r="B994" s="280"/>
      <c r="C994" s="269"/>
      <c r="D994" s="261"/>
      <c r="E994" s="261"/>
      <c r="F994" s="261"/>
      <c r="G994" s="261"/>
      <c r="H994" s="261"/>
      <c r="I994" s="261"/>
      <c r="J994" s="261"/>
    </row>
    <row r="995">
      <c r="A995" s="155"/>
      <c r="B995" s="280"/>
      <c r="C995" s="269"/>
      <c r="D995" s="261"/>
      <c r="E995" s="261"/>
      <c r="F995" s="261"/>
      <c r="G995" s="261"/>
      <c r="H995" s="261"/>
      <c r="I995" s="261"/>
      <c r="J995" s="261"/>
    </row>
    <row r="996">
      <c r="A996" s="153"/>
      <c r="B996" s="280"/>
      <c r="C996" s="269"/>
      <c r="D996" s="261"/>
      <c r="E996" s="261"/>
      <c r="F996" s="261"/>
      <c r="G996" s="261"/>
      <c r="H996" s="261"/>
      <c r="I996" s="261"/>
      <c r="J996" s="261"/>
    </row>
    <row r="997">
      <c r="A997" s="155"/>
      <c r="B997" s="280"/>
      <c r="C997" s="269"/>
      <c r="D997" s="261"/>
      <c r="E997" s="261"/>
      <c r="F997" s="261"/>
      <c r="G997" s="261"/>
      <c r="H997" s="261"/>
      <c r="I997" s="261"/>
      <c r="J997" s="261"/>
    </row>
    <row r="998">
      <c r="A998" s="153"/>
      <c r="B998" s="280"/>
      <c r="C998" s="269"/>
      <c r="D998" s="261"/>
      <c r="E998" s="261"/>
      <c r="F998" s="261"/>
      <c r="G998" s="261"/>
      <c r="H998" s="261"/>
      <c r="I998" s="261"/>
      <c r="J998" s="261"/>
    </row>
    <row r="999">
      <c r="A999" s="155"/>
      <c r="B999" s="280"/>
      <c r="C999" s="269"/>
      <c r="D999" s="261"/>
      <c r="E999" s="261"/>
      <c r="F999" s="261"/>
      <c r="G999" s="261"/>
      <c r="H999" s="261"/>
      <c r="I999" s="261"/>
      <c r="J999" s="261"/>
    </row>
    <row r="1000">
      <c r="A1000" s="162"/>
      <c r="B1000" s="280"/>
      <c r="C1000" s="269"/>
      <c r="D1000" s="261"/>
      <c r="E1000" s="261"/>
      <c r="F1000" s="261"/>
      <c r="G1000" s="261"/>
      <c r="H1000" s="261"/>
      <c r="I1000" s="261"/>
      <c r="J1000" s="261"/>
    </row>
  </sheetData>
  <conditionalFormatting sqref="B1:J1000">
    <cfRule type="containsBlanks" dxfId="17" priority="1">
      <formula>LEN(TRIM(B1))=0</formula>
    </cfRule>
  </conditionalFormatting>
  <drawing r:id="rId1"/>
  <tableParts count="1">
    <tablePart r:id="rId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0" t="str">
        <f t="array" ref="A1:A50">'Up Names'!A2:A51</f>
        <v>Corrode Siphon</v>
      </c>
      <c r="B1" s="260">
        <v>0.24</v>
      </c>
      <c r="C1" s="208">
        <v>3.0</v>
      </c>
      <c r="D1" s="261"/>
      <c r="E1" s="261"/>
      <c r="F1" s="261"/>
      <c r="G1" s="261"/>
      <c r="H1" s="261"/>
      <c r="I1" s="261"/>
      <c r="J1" s="261"/>
    </row>
    <row r="2">
      <c r="A2" s="153" t="s">
        <v>150</v>
      </c>
      <c r="B2" s="205">
        <v>45.0</v>
      </c>
      <c r="C2" s="205">
        <v>2.24</v>
      </c>
      <c r="D2" s="205">
        <v>0.8</v>
      </c>
      <c r="E2" s="261"/>
      <c r="F2" s="261"/>
      <c r="G2" s="261"/>
      <c r="H2" s="261"/>
      <c r="I2" s="261"/>
      <c r="J2" s="261"/>
    </row>
    <row r="3">
      <c r="A3" s="155" t="s">
        <v>170</v>
      </c>
      <c r="B3" s="204">
        <v>4.22</v>
      </c>
      <c r="C3" s="208">
        <v>49.5</v>
      </c>
      <c r="D3" s="261"/>
      <c r="E3" s="261"/>
      <c r="F3" s="261"/>
      <c r="G3" s="261"/>
      <c r="H3" s="261"/>
      <c r="I3" s="261"/>
      <c r="J3" s="261"/>
    </row>
    <row r="4">
      <c r="A4" s="153" t="s">
        <v>190</v>
      </c>
      <c r="B4" s="205">
        <v>23.0</v>
      </c>
      <c r="C4" s="261"/>
      <c r="D4" s="261"/>
      <c r="E4" s="261"/>
      <c r="F4" s="261"/>
      <c r="G4" s="261"/>
      <c r="H4" s="261"/>
      <c r="I4" s="261"/>
      <c r="J4" s="261"/>
    </row>
    <row r="5">
      <c r="A5" s="155" t="s">
        <v>210</v>
      </c>
      <c r="B5" s="204">
        <v>3.39</v>
      </c>
      <c r="C5" s="204">
        <v>2.19</v>
      </c>
      <c r="D5" s="261"/>
      <c r="E5" s="261"/>
      <c r="F5" s="261"/>
      <c r="G5" s="261"/>
      <c r="H5" s="261"/>
      <c r="I5" s="261"/>
      <c r="J5" s="261"/>
    </row>
    <row r="6">
      <c r="A6" s="153" t="s">
        <v>229</v>
      </c>
      <c r="B6" s="205">
        <v>1.2</v>
      </c>
      <c r="C6" s="261"/>
      <c r="D6" s="261"/>
      <c r="E6" s="261"/>
      <c r="F6" s="261"/>
      <c r="G6" s="261"/>
      <c r="H6" s="261"/>
      <c r="I6" s="261"/>
      <c r="J6" s="261"/>
    </row>
    <row r="7">
      <c r="A7" s="155" t="s">
        <v>249</v>
      </c>
      <c r="B7" s="272">
        <v>0.923</v>
      </c>
      <c r="C7" s="204">
        <v>1.65</v>
      </c>
      <c r="D7" s="204">
        <v>0.85</v>
      </c>
      <c r="E7" s="262">
        <v>-0.45</v>
      </c>
      <c r="F7" s="261"/>
      <c r="G7" s="261"/>
      <c r="H7" s="261"/>
      <c r="I7" s="261"/>
      <c r="J7" s="261"/>
    </row>
    <row r="8">
      <c r="A8" s="153" t="s">
        <v>269</v>
      </c>
      <c r="B8" s="206">
        <v>1.5</v>
      </c>
      <c r="C8" s="263">
        <v>-0.1667</v>
      </c>
      <c r="D8" s="261"/>
      <c r="E8" s="261"/>
      <c r="F8" s="261"/>
      <c r="G8" s="261"/>
      <c r="H8" s="261"/>
      <c r="I8" s="261"/>
      <c r="J8" s="261"/>
    </row>
    <row r="9">
      <c r="A9" s="155" t="s">
        <v>289</v>
      </c>
      <c r="B9" s="261"/>
      <c r="C9" s="261"/>
      <c r="D9" s="261"/>
      <c r="E9" s="261"/>
      <c r="F9" s="261"/>
      <c r="G9" s="261"/>
      <c r="H9" s="261"/>
      <c r="I9" s="261"/>
      <c r="J9" s="261"/>
    </row>
    <row r="10">
      <c r="A10" s="153" t="s">
        <v>309</v>
      </c>
      <c r="B10" s="264">
        <v>4.0</v>
      </c>
      <c r="C10" s="264">
        <v>1.1</v>
      </c>
      <c r="D10" s="261"/>
      <c r="E10" s="261"/>
      <c r="F10" s="261"/>
      <c r="G10" s="261"/>
      <c r="H10" s="261"/>
      <c r="I10" s="261"/>
      <c r="J10" s="261"/>
    </row>
    <row r="11">
      <c r="A11" s="155" t="s">
        <v>329</v>
      </c>
      <c r="B11" s="262">
        <v>1.1</v>
      </c>
      <c r="C11" s="265">
        <v>-0.3548</v>
      </c>
      <c r="D11" s="261"/>
      <c r="E11" s="261"/>
      <c r="F11" s="261"/>
      <c r="G11" s="261"/>
      <c r="H11" s="261"/>
      <c r="I11" s="261"/>
      <c r="J11" s="261"/>
    </row>
    <row r="12">
      <c r="A12" s="153" t="s">
        <v>349</v>
      </c>
      <c r="B12" s="206">
        <v>5.0</v>
      </c>
      <c r="C12" s="205">
        <v>4.4</v>
      </c>
      <c r="D12" s="261"/>
      <c r="E12" s="261"/>
      <c r="F12" s="261"/>
      <c r="G12" s="261"/>
      <c r="H12" s="261"/>
      <c r="I12" s="261"/>
      <c r="J12" s="261"/>
    </row>
    <row r="13">
      <c r="A13" s="155" t="s">
        <v>372</v>
      </c>
      <c r="B13" s="204">
        <v>1.9</v>
      </c>
      <c r="C13" s="261"/>
      <c r="D13" s="261"/>
      <c r="E13" s="261"/>
      <c r="F13" s="261"/>
      <c r="G13" s="261"/>
      <c r="H13" s="261"/>
      <c r="I13" s="261"/>
      <c r="J13" s="261"/>
    </row>
    <row r="14">
      <c r="A14" s="153" t="s">
        <v>394</v>
      </c>
      <c r="B14" s="205">
        <v>3.5</v>
      </c>
      <c r="C14" s="205">
        <v>0.8</v>
      </c>
      <c r="D14" s="266">
        <v>0.8</v>
      </c>
      <c r="E14" s="261"/>
      <c r="F14" s="261"/>
      <c r="G14" s="261"/>
      <c r="H14" s="261"/>
      <c r="I14" s="261"/>
      <c r="J14" s="261"/>
    </row>
    <row r="15">
      <c r="A15" s="155" t="s">
        <v>404</v>
      </c>
      <c r="B15" s="204">
        <v>0.34</v>
      </c>
      <c r="C15" s="260">
        <v>0.85</v>
      </c>
      <c r="D15" s="261"/>
      <c r="E15" s="261"/>
      <c r="F15" s="261"/>
      <c r="G15" s="261"/>
      <c r="H15" s="261"/>
      <c r="I15" s="261"/>
      <c r="J15" s="261"/>
    </row>
    <row r="16">
      <c r="A16" s="153" t="s">
        <v>410</v>
      </c>
      <c r="B16" s="205">
        <v>2.15</v>
      </c>
      <c r="C16" s="261"/>
      <c r="D16" s="261"/>
      <c r="E16" s="261"/>
      <c r="F16" s="261"/>
      <c r="G16" s="261"/>
      <c r="H16" s="261"/>
      <c r="I16" s="261"/>
      <c r="J16" s="261"/>
    </row>
    <row r="17">
      <c r="A17" s="155" t="s">
        <v>415</v>
      </c>
      <c r="B17" s="262">
        <v>0.24</v>
      </c>
      <c r="C17" s="204">
        <v>23.0</v>
      </c>
      <c r="D17" s="204">
        <v>0.5</v>
      </c>
      <c r="E17" s="204">
        <v>60.0</v>
      </c>
      <c r="F17" s="204">
        <v>70.0</v>
      </c>
      <c r="G17" s="204">
        <v>80.0</v>
      </c>
      <c r="H17" s="204">
        <v>2.2</v>
      </c>
      <c r="I17" s="204">
        <v>2.2</v>
      </c>
      <c r="J17" s="261"/>
    </row>
    <row r="18">
      <c r="A18" s="153" t="s">
        <v>421</v>
      </c>
      <c r="B18" s="205">
        <v>2.15</v>
      </c>
      <c r="C18" s="261"/>
      <c r="D18" s="261"/>
      <c r="E18" s="261"/>
      <c r="F18" s="261"/>
      <c r="G18" s="261"/>
      <c r="H18" s="261"/>
      <c r="I18" s="261"/>
      <c r="J18" s="261"/>
    </row>
    <row r="19">
      <c r="A19" s="155" t="s">
        <v>426</v>
      </c>
      <c r="B19" s="204">
        <v>2.15</v>
      </c>
      <c r="C19" s="261"/>
      <c r="D19" s="261"/>
      <c r="E19" s="261"/>
      <c r="F19" s="261"/>
      <c r="G19" s="261"/>
      <c r="H19" s="261"/>
      <c r="I19" s="261"/>
      <c r="J19" s="261"/>
    </row>
    <row r="20">
      <c r="A20" s="153" t="s">
        <v>430</v>
      </c>
      <c r="B20" s="205">
        <v>1.0</v>
      </c>
      <c r="C20" s="264">
        <v>-0.2</v>
      </c>
      <c r="D20" s="263">
        <v>-0.3174</v>
      </c>
      <c r="E20" s="205">
        <v>5.0</v>
      </c>
      <c r="F20" s="261"/>
      <c r="G20" s="261"/>
      <c r="H20" s="261"/>
      <c r="I20" s="261"/>
      <c r="J20" s="261"/>
    </row>
    <row r="21">
      <c r="A21" s="155" t="s">
        <v>435</v>
      </c>
      <c r="B21" s="204">
        <v>0.68</v>
      </c>
      <c r="C21" s="204">
        <v>5.0</v>
      </c>
      <c r="D21" s="208">
        <v>63.0</v>
      </c>
      <c r="E21" s="261"/>
      <c r="F21" s="261"/>
      <c r="G21" s="261"/>
      <c r="H21" s="261"/>
      <c r="I21" s="261"/>
      <c r="J21" s="261"/>
    </row>
    <row r="22">
      <c r="A22" s="153" t="s">
        <v>439</v>
      </c>
      <c r="B22" s="205">
        <v>1.2</v>
      </c>
      <c r="C22" s="261"/>
      <c r="D22" s="261"/>
      <c r="E22" s="261"/>
      <c r="F22" s="261"/>
      <c r="G22" s="261"/>
      <c r="H22" s="261"/>
      <c r="I22" s="261"/>
      <c r="J22" s="261"/>
    </row>
    <row r="23">
      <c r="A23" s="155" t="s">
        <v>443</v>
      </c>
      <c r="B23" s="204">
        <v>13.0</v>
      </c>
      <c r="C23" s="261"/>
      <c r="D23" s="261"/>
      <c r="E23" s="261"/>
      <c r="F23" s="261"/>
      <c r="G23" s="261"/>
      <c r="H23" s="261"/>
      <c r="I23" s="261"/>
      <c r="J23" s="261"/>
    </row>
    <row r="24">
      <c r="A24" s="153" t="s">
        <v>447</v>
      </c>
      <c r="B24" s="276">
        <v>2.15</v>
      </c>
      <c r="C24" s="261"/>
      <c r="D24" s="261"/>
      <c r="E24" s="261"/>
      <c r="F24" s="261"/>
      <c r="G24" s="261"/>
      <c r="H24" s="261"/>
      <c r="I24" s="261"/>
      <c r="J24" s="261"/>
    </row>
    <row r="25">
      <c r="A25" s="155" t="s">
        <v>451</v>
      </c>
      <c r="B25" s="204">
        <v>5.8</v>
      </c>
      <c r="C25" s="204">
        <v>5.8</v>
      </c>
      <c r="D25" s="265">
        <v>0.1111</v>
      </c>
      <c r="E25" s="261"/>
      <c r="F25" s="261"/>
      <c r="G25" s="261"/>
      <c r="H25" s="261"/>
      <c r="I25" s="261"/>
      <c r="J25" s="261"/>
    </row>
    <row r="26">
      <c r="A26" s="153" t="s">
        <v>455</v>
      </c>
      <c r="B26" s="205">
        <v>4.0</v>
      </c>
      <c r="C26" s="205">
        <v>0.17</v>
      </c>
      <c r="D26" s="205">
        <v>2.0</v>
      </c>
      <c r="E26" s="261"/>
      <c r="F26" s="261"/>
      <c r="G26" s="261"/>
      <c r="H26" s="261"/>
      <c r="I26" s="261"/>
      <c r="J26" s="261"/>
    </row>
    <row r="27">
      <c r="A27" s="155" t="s">
        <v>459</v>
      </c>
      <c r="B27" s="204">
        <v>23.0</v>
      </c>
      <c r="C27" s="261"/>
      <c r="D27" s="261"/>
      <c r="E27" s="261"/>
      <c r="F27" s="261"/>
      <c r="G27" s="261"/>
      <c r="H27" s="261"/>
      <c r="I27" s="261"/>
      <c r="J27" s="261"/>
    </row>
    <row r="28">
      <c r="A28" s="153" t="s">
        <v>464</v>
      </c>
      <c r="B28" s="263">
        <v>0.3072</v>
      </c>
      <c r="C28" s="261"/>
      <c r="D28" s="261"/>
      <c r="E28" s="261"/>
      <c r="F28" s="261"/>
      <c r="G28" s="261"/>
      <c r="H28" s="261"/>
      <c r="I28" s="261"/>
      <c r="J28" s="261"/>
    </row>
    <row r="29">
      <c r="A29" s="155" t="s">
        <v>468</v>
      </c>
      <c r="B29" s="262">
        <v>1.15</v>
      </c>
      <c r="C29" s="261"/>
      <c r="D29" s="261"/>
      <c r="E29" s="261"/>
      <c r="F29" s="261"/>
      <c r="G29" s="261"/>
      <c r="H29" s="261"/>
      <c r="I29" s="261"/>
      <c r="J29" s="261"/>
    </row>
    <row r="30">
      <c r="A30" s="153" t="s">
        <v>472</v>
      </c>
      <c r="B30" s="205">
        <v>10.0</v>
      </c>
      <c r="C30" s="261"/>
      <c r="D30" s="261"/>
      <c r="E30" s="261"/>
      <c r="F30" s="261"/>
      <c r="G30" s="261"/>
      <c r="H30" s="261"/>
      <c r="I30" s="261"/>
      <c r="J30" s="261"/>
    </row>
    <row r="31">
      <c r="A31" s="155" t="s">
        <v>477</v>
      </c>
      <c r="B31" s="204">
        <v>-7.0</v>
      </c>
      <c r="C31" s="262">
        <v>0.25</v>
      </c>
      <c r="D31" s="261"/>
      <c r="E31" s="261"/>
      <c r="F31" s="261"/>
      <c r="G31" s="261"/>
      <c r="H31" s="261"/>
      <c r="I31" s="261"/>
      <c r="J31" s="261"/>
    </row>
    <row r="32">
      <c r="A32" s="153" t="s">
        <v>481</v>
      </c>
      <c r="B32" s="264">
        <v>0.4</v>
      </c>
      <c r="C32" s="264">
        <v>-0.07</v>
      </c>
      <c r="D32" s="261"/>
      <c r="E32" s="261"/>
      <c r="F32" s="261"/>
      <c r="G32" s="261"/>
      <c r="H32" s="261"/>
      <c r="I32" s="261"/>
      <c r="J32" s="261"/>
    </row>
    <row r="33">
      <c r="A33" s="155" t="s">
        <v>486</v>
      </c>
      <c r="B33" s="204">
        <v>11.0</v>
      </c>
      <c r="C33" s="261"/>
      <c r="D33" s="261"/>
      <c r="E33" s="261"/>
      <c r="F33" s="261"/>
      <c r="G33" s="261"/>
      <c r="H33" s="261"/>
      <c r="I33" s="261"/>
      <c r="J33" s="261"/>
    </row>
    <row r="34">
      <c r="A34" s="153" t="s">
        <v>492</v>
      </c>
      <c r="B34" s="264">
        <v>-0.7</v>
      </c>
      <c r="C34" s="264">
        <v>-0.7</v>
      </c>
      <c r="D34" s="263">
        <v>-0.2126</v>
      </c>
      <c r="E34" s="261"/>
      <c r="F34" s="261"/>
      <c r="G34" s="261"/>
      <c r="H34" s="261"/>
      <c r="I34" s="261"/>
      <c r="J34" s="261"/>
    </row>
    <row r="35">
      <c r="A35" s="155" t="s">
        <v>496</v>
      </c>
      <c r="B35" s="204">
        <v>1.0</v>
      </c>
      <c r="C35" s="261"/>
      <c r="D35" s="261"/>
      <c r="E35" s="261"/>
      <c r="F35" s="261"/>
      <c r="G35" s="261"/>
      <c r="H35" s="261"/>
      <c r="I35" s="261"/>
      <c r="J35" s="261"/>
    </row>
    <row r="36">
      <c r="A36" s="153" t="s">
        <v>499</v>
      </c>
      <c r="B36" s="264">
        <v>-0.3</v>
      </c>
      <c r="C36" s="261"/>
      <c r="D36" s="261"/>
      <c r="E36" s="261"/>
      <c r="F36" s="261"/>
      <c r="G36" s="261"/>
      <c r="H36" s="261"/>
      <c r="I36" s="261"/>
      <c r="J36" s="261"/>
    </row>
    <row r="37">
      <c r="A37" s="155" t="s">
        <v>503</v>
      </c>
      <c r="B37" s="261"/>
      <c r="C37" s="261"/>
      <c r="D37" s="261"/>
      <c r="E37" s="261"/>
      <c r="F37" s="261"/>
      <c r="G37" s="261"/>
      <c r="H37" s="261"/>
      <c r="I37" s="261"/>
      <c r="J37" s="261"/>
    </row>
    <row r="38">
      <c r="A38" s="153" t="s">
        <v>511</v>
      </c>
      <c r="B38" s="261"/>
      <c r="C38" s="261"/>
      <c r="D38" s="261"/>
      <c r="E38" s="261"/>
      <c r="F38" s="261"/>
      <c r="G38" s="261"/>
      <c r="H38" s="261"/>
      <c r="I38" s="261"/>
      <c r="J38" s="261"/>
    </row>
    <row r="39">
      <c r="A39" s="155" t="s">
        <v>516</v>
      </c>
      <c r="B39" s="261"/>
      <c r="C39" s="261"/>
      <c r="D39" s="261"/>
      <c r="E39" s="261"/>
      <c r="F39" s="261"/>
      <c r="G39" s="261"/>
      <c r="H39" s="261"/>
      <c r="I39" s="261"/>
      <c r="J39" s="261"/>
    </row>
    <row r="40">
      <c r="A40" s="153"/>
      <c r="B40" s="261"/>
      <c r="C40" s="268"/>
      <c r="D40" s="261"/>
      <c r="E40" s="261"/>
      <c r="F40" s="261"/>
      <c r="G40" s="261"/>
      <c r="H40" s="261"/>
      <c r="I40" s="261"/>
      <c r="J40" s="261"/>
    </row>
    <row r="41">
      <c r="A41" s="155"/>
      <c r="B41" s="261"/>
      <c r="C41" s="261"/>
      <c r="D41" s="261"/>
      <c r="E41" s="261"/>
      <c r="F41" s="261"/>
      <c r="G41" s="261"/>
      <c r="H41" s="261"/>
      <c r="I41" s="261"/>
      <c r="J41" s="261"/>
    </row>
    <row r="42">
      <c r="A42" s="153"/>
      <c r="B42" s="269"/>
      <c r="C42" s="261"/>
      <c r="D42" s="261"/>
      <c r="E42" s="261"/>
      <c r="F42" s="261"/>
      <c r="G42" s="261"/>
      <c r="H42" s="261"/>
      <c r="I42" s="261"/>
      <c r="J42" s="261"/>
    </row>
    <row r="43">
      <c r="A43" s="155"/>
      <c r="B43" s="261"/>
      <c r="C43" s="261"/>
      <c r="D43" s="261"/>
      <c r="E43" s="261"/>
      <c r="F43" s="261"/>
      <c r="G43" s="261"/>
      <c r="H43" s="261"/>
      <c r="I43" s="261"/>
      <c r="J43" s="261"/>
    </row>
    <row r="44">
      <c r="A44" s="153"/>
      <c r="B44" s="261"/>
      <c r="C44" s="261"/>
      <c r="D44" s="261"/>
      <c r="E44" s="261"/>
      <c r="F44" s="261"/>
      <c r="G44" s="261"/>
      <c r="H44" s="261"/>
      <c r="I44" s="261"/>
      <c r="J44" s="261"/>
    </row>
    <row r="45">
      <c r="A45" s="155"/>
      <c r="B45" s="261"/>
      <c r="C45" s="261"/>
      <c r="D45" s="261"/>
      <c r="E45" s="261"/>
      <c r="F45" s="261"/>
      <c r="G45" s="261"/>
      <c r="H45" s="261"/>
      <c r="I45" s="261"/>
      <c r="J45" s="261"/>
    </row>
    <row r="46">
      <c r="A46" s="153"/>
      <c r="B46" s="261"/>
      <c r="C46" s="261"/>
      <c r="D46" s="261"/>
      <c r="E46" s="261"/>
      <c r="F46" s="261"/>
      <c r="G46" s="261"/>
      <c r="H46" s="261"/>
      <c r="I46" s="261"/>
      <c r="J46" s="261"/>
    </row>
    <row r="47">
      <c r="A47" s="155"/>
      <c r="B47" s="261"/>
      <c r="C47" s="261"/>
      <c r="D47" s="261"/>
      <c r="E47" s="261"/>
      <c r="F47" s="261"/>
      <c r="G47" s="261"/>
      <c r="H47" s="261"/>
      <c r="I47" s="261"/>
      <c r="J47" s="261"/>
    </row>
    <row r="48">
      <c r="A48" s="153"/>
      <c r="B48" s="261"/>
      <c r="C48" s="269"/>
      <c r="D48" s="261"/>
      <c r="E48" s="261"/>
      <c r="F48" s="261"/>
      <c r="G48" s="261"/>
      <c r="H48" s="261"/>
      <c r="I48" s="261"/>
      <c r="J48" s="261"/>
    </row>
    <row r="49">
      <c r="A49" s="155"/>
      <c r="B49" s="261"/>
      <c r="C49" s="261"/>
      <c r="D49" s="261"/>
      <c r="E49" s="261"/>
      <c r="F49" s="261"/>
      <c r="G49" s="261"/>
      <c r="H49" s="261"/>
      <c r="I49" s="261"/>
      <c r="J49" s="261"/>
    </row>
    <row r="50">
      <c r="A50" s="162"/>
      <c r="B50" s="261"/>
      <c r="C50" s="269"/>
      <c r="D50" s="269"/>
      <c r="E50" s="269"/>
      <c r="F50" s="268"/>
      <c r="G50" s="261"/>
      <c r="H50" s="261"/>
      <c r="I50" s="261"/>
      <c r="J50" s="261"/>
    </row>
    <row r="51">
      <c r="A51" s="150" t="str">
        <f t="array" ref="A51:A100">'Up Names'!B2:B51</f>
        <v>All Powdered Up</v>
      </c>
      <c r="B51" s="204">
        <v>60.0</v>
      </c>
      <c r="C51" s="270">
        <v>6.5</v>
      </c>
      <c r="D51" s="268"/>
      <c r="E51" s="261"/>
      <c r="F51" s="261"/>
      <c r="G51" s="261"/>
      <c r="H51" s="261"/>
      <c r="I51" s="261"/>
      <c r="J51" s="261"/>
    </row>
    <row r="52">
      <c r="A52" s="153" t="s">
        <v>151</v>
      </c>
      <c r="B52" s="206">
        <v>0.2</v>
      </c>
      <c r="C52" s="269"/>
      <c r="D52" s="269"/>
      <c r="E52" s="261"/>
      <c r="F52" s="261"/>
      <c r="G52" s="261"/>
      <c r="H52" s="261"/>
      <c r="I52" s="261"/>
      <c r="J52" s="261"/>
    </row>
    <row r="53">
      <c r="A53" s="155" t="s">
        <v>171</v>
      </c>
      <c r="B53" s="208">
        <v>140.0</v>
      </c>
      <c r="C53" s="204">
        <v>20.0</v>
      </c>
      <c r="D53" s="204">
        <v>7.0</v>
      </c>
      <c r="E53" s="204">
        <v>1.0</v>
      </c>
      <c r="F53" s="261"/>
      <c r="G53" s="261"/>
      <c r="H53" s="261"/>
      <c r="I53" s="261"/>
      <c r="J53" s="261"/>
    </row>
    <row r="54">
      <c r="A54" s="153" t="s">
        <v>191</v>
      </c>
      <c r="B54" s="206">
        <v>11.76</v>
      </c>
      <c r="C54" s="263">
        <v>1.1277</v>
      </c>
      <c r="D54" s="206">
        <v>5.0</v>
      </c>
      <c r="E54" s="269"/>
      <c r="F54" s="269"/>
      <c r="G54" s="261"/>
      <c r="H54" s="261"/>
      <c r="I54" s="261"/>
      <c r="J54" s="261"/>
    </row>
    <row r="55">
      <c r="A55" s="155" t="s">
        <v>211</v>
      </c>
      <c r="B55" s="208">
        <v>3.0</v>
      </c>
      <c r="C55" s="261"/>
      <c r="D55" s="261"/>
      <c r="E55" s="261"/>
      <c r="F55" s="261"/>
      <c r="G55" s="261"/>
      <c r="H55" s="261"/>
      <c r="I55" s="261"/>
      <c r="J55" s="261"/>
    </row>
    <row r="56">
      <c r="A56" s="153" t="s">
        <v>230</v>
      </c>
      <c r="B56" s="206">
        <v>3.3</v>
      </c>
      <c r="C56" s="261"/>
      <c r="D56" s="261"/>
      <c r="E56" s="261"/>
      <c r="F56" s="261"/>
      <c r="G56" s="261"/>
      <c r="H56" s="261"/>
      <c r="I56" s="261"/>
      <c r="J56" s="261"/>
    </row>
    <row r="57">
      <c r="A57" s="155" t="s">
        <v>250</v>
      </c>
      <c r="B57" s="268"/>
      <c r="C57" s="269"/>
      <c r="D57" s="261"/>
      <c r="E57" s="261"/>
      <c r="F57" s="261"/>
      <c r="G57" s="261"/>
      <c r="H57" s="261"/>
      <c r="I57" s="261"/>
      <c r="J57" s="261"/>
    </row>
    <row r="58">
      <c r="A58" s="153" t="s">
        <v>270</v>
      </c>
      <c r="B58" s="206">
        <v>1.1</v>
      </c>
      <c r="C58" s="205">
        <v>4.16</v>
      </c>
      <c r="D58" s="261"/>
      <c r="E58" s="261"/>
      <c r="F58" s="261"/>
      <c r="G58" s="261"/>
      <c r="H58" s="261"/>
      <c r="I58" s="261"/>
      <c r="J58" s="261"/>
    </row>
    <row r="59">
      <c r="A59" s="155" t="s">
        <v>290</v>
      </c>
      <c r="B59" s="208">
        <v>0.85</v>
      </c>
      <c r="C59" s="261"/>
      <c r="D59" s="261"/>
      <c r="E59" s="261"/>
      <c r="F59" s="261"/>
      <c r="G59" s="261"/>
      <c r="H59" s="261"/>
      <c r="I59" s="261"/>
      <c r="J59" s="261"/>
    </row>
    <row r="60">
      <c r="A60" s="153" t="s">
        <v>310</v>
      </c>
      <c r="B60" s="205">
        <v>1.0</v>
      </c>
      <c r="C60" s="205">
        <v>7.0</v>
      </c>
      <c r="D60" s="261"/>
      <c r="E60" s="261"/>
      <c r="F60" s="261"/>
      <c r="G60" s="261"/>
      <c r="H60" s="261"/>
      <c r="I60" s="261"/>
      <c r="J60" s="261"/>
    </row>
    <row r="61">
      <c r="A61" s="155" t="s">
        <v>330</v>
      </c>
      <c r="B61" s="261"/>
      <c r="C61" s="261"/>
      <c r="D61" s="261"/>
      <c r="E61" s="261"/>
      <c r="F61" s="261"/>
      <c r="G61" s="261"/>
      <c r="H61" s="261"/>
      <c r="I61" s="261"/>
      <c r="J61" s="261"/>
    </row>
    <row r="62">
      <c r="A62" s="153" t="s">
        <v>350</v>
      </c>
      <c r="B62" s="205">
        <v>1.0</v>
      </c>
      <c r="C62" s="271">
        <v>-0.04</v>
      </c>
      <c r="D62" s="261"/>
      <c r="E62" s="261"/>
      <c r="F62" s="261"/>
      <c r="G62" s="261"/>
      <c r="H62" s="261"/>
      <c r="I62" s="261"/>
      <c r="J62" s="261"/>
    </row>
    <row r="63">
      <c r="A63" s="155" t="s">
        <v>373</v>
      </c>
      <c r="B63" s="204">
        <v>10.0</v>
      </c>
      <c r="C63" s="261"/>
      <c r="D63" s="261"/>
      <c r="E63" s="261"/>
      <c r="F63" s="261"/>
      <c r="G63" s="261"/>
      <c r="H63" s="261"/>
      <c r="I63" s="261"/>
      <c r="J63" s="261"/>
    </row>
    <row r="64">
      <c r="A64" s="153" t="s">
        <v>395</v>
      </c>
      <c r="B64" s="206">
        <v>2.0</v>
      </c>
      <c r="C64" s="264">
        <v>0.6</v>
      </c>
      <c r="D64" s="264">
        <v>-0.11</v>
      </c>
      <c r="E64" s="264">
        <v>-0.11</v>
      </c>
      <c r="F64" s="263">
        <v>0.8182</v>
      </c>
      <c r="G64" s="261"/>
      <c r="H64" s="261"/>
      <c r="I64" s="261"/>
      <c r="J64" s="261"/>
    </row>
    <row r="65">
      <c r="A65" s="155" t="s">
        <v>424</v>
      </c>
      <c r="B65" s="208">
        <v>2.0</v>
      </c>
      <c r="C65" s="204">
        <v>0.34</v>
      </c>
      <c r="D65" s="265">
        <v>0.7483</v>
      </c>
      <c r="E65" s="261"/>
      <c r="F65" s="261"/>
      <c r="G65" s="261"/>
      <c r="H65" s="261"/>
      <c r="I65" s="261"/>
      <c r="J65" s="261"/>
    </row>
    <row r="66">
      <c r="A66" s="153" t="s">
        <v>452</v>
      </c>
      <c r="B66" s="264">
        <v>-0.3</v>
      </c>
      <c r="C66" s="264">
        <v>-0.3</v>
      </c>
      <c r="D66" s="264">
        <v>-0.14</v>
      </c>
      <c r="E66" s="261"/>
      <c r="F66" s="261"/>
      <c r="G66" s="261"/>
      <c r="H66" s="261"/>
      <c r="I66" s="261"/>
      <c r="J66" s="261"/>
    </row>
    <row r="67">
      <c r="A67" s="155" t="s">
        <v>480</v>
      </c>
      <c r="B67" s="261"/>
      <c r="C67" s="261"/>
      <c r="D67" s="261"/>
      <c r="E67" s="261"/>
      <c r="F67" s="261"/>
      <c r="G67" s="261"/>
      <c r="H67" s="261"/>
      <c r="I67" s="261"/>
      <c r="J67" s="261"/>
    </row>
    <row r="68">
      <c r="A68" s="153" t="s">
        <v>507</v>
      </c>
      <c r="B68" s="263">
        <v>-0.3333</v>
      </c>
      <c r="C68" s="264">
        <v>1.1</v>
      </c>
      <c r="D68" s="264">
        <v>0.15</v>
      </c>
      <c r="E68" s="264">
        <v>0.3</v>
      </c>
      <c r="F68" s="264">
        <v>0.3</v>
      </c>
      <c r="G68" s="261"/>
      <c r="H68" s="261"/>
      <c r="I68" s="261"/>
      <c r="J68" s="261"/>
    </row>
    <row r="69">
      <c r="A69" s="155" t="s">
        <v>528</v>
      </c>
      <c r="B69" s="265">
        <v>0.1111</v>
      </c>
      <c r="C69" s="261"/>
      <c r="D69" s="269"/>
      <c r="E69" s="261"/>
      <c r="F69" s="261"/>
      <c r="G69" s="261"/>
      <c r="H69" s="261"/>
      <c r="I69" s="261"/>
      <c r="J69" s="261"/>
    </row>
    <row r="70">
      <c r="A70" s="153" t="s">
        <v>547</v>
      </c>
      <c r="B70" s="263">
        <v>0.6667</v>
      </c>
      <c r="C70" s="261"/>
      <c r="D70" s="261"/>
      <c r="E70" s="261"/>
      <c r="F70" s="261"/>
      <c r="G70" s="261"/>
      <c r="H70" s="261"/>
      <c r="I70" s="261"/>
      <c r="J70" s="261"/>
    </row>
    <row r="71">
      <c r="A71" s="155" t="s">
        <v>570</v>
      </c>
      <c r="B71" s="265">
        <v>0.6667</v>
      </c>
      <c r="C71" s="262">
        <v>-0.4</v>
      </c>
      <c r="D71" s="261"/>
      <c r="E71" s="261"/>
      <c r="F71" s="261"/>
      <c r="G71" s="261"/>
      <c r="H71" s="261"/>
      <c r="I71" s="261"/>
      <c r="J71" s="261"/>
    </row>
    <row r="72">
      <c r="A72" s="153" t="s">
        <v>592</v>
      </c>
      <c r="B72" s="263">
        <v>0.3333</v>
      </c>
      <c r="C72" s="205">
        <v>7.4</v>
      </c>
      <c r="D72" s="205">
        <v>7.4</v>
      </c>
      <c r="E72" s="205">
        <v>9.0</v>
      </c>
      <c r="F72" s="261"/>
      <c r="G72" s="261"/>
      <c r="H72" s="261"/>
      <c r="I72" s="261"/>
      <c r="J72" s="261"/>
    </row>
    <row r="73">
      <c r="A73" s="155" t="s">
        <v>613</v>
      </c>
      <c r="B73" s="262">
        <v>3.5</v>
      </c>
      <c r="C73" s="261"/>
      <c r="D73" s="261"/>
      <c r="E73" s="261"/>
      <c r="F73" s="261"/>
      <c r="G73" s="261"/>
      <c r="H73" s="261"/>
      <c r="I73" s="261"/>
      <c r="J73" s="261"/>
    </row>
    <row r="74">
      <c r="A74" s="153" t="s">
        <v>628</v>
      </c>
      <c r="B74" s="205">
        <v>6.0</v>
      </c>
      <c r="C74" s="205">
        <v>24.0</v>
      </c>
      <c r="D74" s="261"/>
      <c r="E74" s="261"/>
      <c r="F74" s="261"/>
      <c r="G74" s="261"/>
      <c r="H74" s="261"/>
      <c r="I74" s="261"/>
      <c r="J74" s="261"/>
    </row>
    <row r="75">
      <c r="A75" s="155" t="s">
        <v>630</v>
      </c>
      <c r="B75" s="204">
        <v>2.0</v>
      </c>
      <c r="C75" s="261"/>
      <c r="D75" s="261"/>
      <c r="E75" s="261"/>
      <c r="F75" s="261"/>
      <c r="G75" s="261"/>
      <c r="H75" s="261"/>
      <c r="I75" s="261"/>
      <c r="J75" s="261"/>
    </row>
    <row r="76">
      <c r="A76" s="153" t="s">
        <v>635</v>
      </c>
      <c r="B76" s="205">
        <v>3.0</v>
      </c>
      <c r="C76" s="268"/>
      <c r="D76" s="261"/>
      <c r="E76" s="261"/>
      <c r="F76" s="261"/>
      <c r="G76" s="261"/>
      <c r="H76" s="261"/>
      <c r="I76" s="261"/>
      <c r="J76" s="261"/>
    </row>
    <row r="77">
      <c r="A77" s="155" t="s">
        <v>638</v>
      </c>
      <c r="B77" s="208">
        <v>1.0</v>
      </c>
      <c r="C77" s="261"/>
      <c r="D77" s="261"/>
      <c r="E77" s="261"/>
      <c r="F77" s="261"/>
      <c r="G77" s="261"/>
      <c r="H77" s="261"/>
      <c r="I77" s="261"/>
      <c r="J77" s="261"/>
    </row>
    <row r="78">
      <c r="A78" s="153" t="s">
        <v>642</v>
      </c>
      <c r="B78" s="264">
        <v>-0.05</v>
      </c>
      <c r="C78" s="264">
        <v>-0.1</v>
      </c>
      <c r="D78" s="261"/>
      <c r="E78" s="261"/>
      <c r="F78" s="261"/>
      <c r="G78" s="261"/>
      <c r="H78" s="261"/>
      <c r="I78" s="261"/>
      <c r="J78" s="261"/>
    </row>
    <row r="79">
      <c r="A79" s="155" t="s">
        <v>646</v>
      </c>
      <c r="B79" s="262">
        <v>-0.06</v>
      </c>
      <c r="C79" s="261"/>
      <c r="D79" s="261"/>
      <c r="E79" s="261"/>
      <c r="F79" s="261"/>
      <c r="G79" s="261"/>
      <c r="H79" s="261"/>
      <c r="I79" s="261"/>
      <c r="J79" s="261"/>
    </row>
    <row r="80">
      <c r="A80" s="153" t="s">
        <v>650</v>
      </c>
      <c r="B80" s="205">
        <v>6.0</v>
      </c>
      <c r="C80" s="269"/>
      <c r="D80" s="261"/>
      <c r="E80" s="261"/>
      <c r="F80" s="261"/>
      <c r="G80" s="261"/>
      <c r="H80" s="261"/>
      <c r="I80" s="261"/>
      <c r="J80" s="261"/>
    </row>
    <row r="81">
      <c r="A81" s="155" t="s">
        <v>503</v>
      </c>
      <c r="B81" s="261"/>
      <c r="C81" s="261"/>
      <c r="D81" s="261"/>
      <c r="E81" s="261"/>
      <c r="F81" s="261"/>
      <c r="G81" s="261"/>
      <c r="H81" s="261"/>
      <c r="I81" s="261"/>
      <c r="J81" s="261"/>
    </row>
    <row r="82">
      <c r="A82" s="153" t="s">
        <v>511</v>
      </c>
      <c r="B82" s="261"/>
      <c r="C82" s="269"/>
      <c r="D82" s="269"/>
      <c r="E82" s="268"/>
      <c r="F82" s="269"/>
      <c r="G82" s="269"/>
      <c r="H82" s="261"/>
      <c r="I82" s="261"/>
      <c r="J82" s="261"/>
    </row>
    <row r="83">
      <c r="A83" s="155" t="s">
        <v>516</v>
      </c>
      <c r="B83" s="261"/>
      <c r="C83" s="261"/>
      <c r="D83" s="261"/>
      <c r="E83" s="261"/>
      <c r="F83" s="261"/>
      <c r="G83" s="261"/>
      <c r="H83" s="261"/>
      <c r="I83" s="261"/>
      <c r="J83" s="261"/>
    </row>
    <row r="84">
      <c r="A84" s="153"/>
      <c r="B84" s="261"/>
      <c r="C84" s="261"/>
      <c r="D84" s="261"/>
      <c r="E84" s="261"/>
      <c r="F84" s="261"/>
      <c r="G84" s="261"/>
      <c r="H84" s="261"/>
      <c r="I84" s="261"/>
      <c r="J84" s="261"/>
    </row>
    <row r="85">
      <c r="A85" s="155"/>
      <c r="B85" s="269"/>
      <c r="C85" s="269"/>
      <c r="D85" s="268"/>
      <c r="E85" s="269"/>
      <c r="F85" s="269"/>
      <c r="G85" s="261"/>
      <c r="H85" s="261"/>
      <c r="I85" s="261"/>
      <c r="J85" s="261"/>
    </row>
    <row r="86">
      <c r="A86" s="153"/>
      <c r="B86" s="269"/>
      <c r="C86" s="269"/>
      <c r="D86" s="269"/>
      <c r="E86" s="269"/>
      <c r="F86" s="261"/>
      <c r="G86" s="261"/>
      <c r="H86" s="261"/>
      <c r="I86" s="261"/>
      <c r="J86" s="261"/>
    </row>
    <row r="87">
      <c r="A87" s="155"/>
      <c r="B87" s="261"/>
      <c r="C87" s="268"/>
      <c r="D87" s="261"/>
      <c r="E87" s="261"/>
      <c r="F87" s="261"/>
      <c r="G87" s="261"/>
      <c r="H87" s="261"/>
      <c r="I87" s="261"/>
      <c r="J87" s="261"/>
    </row>
    <row r="88">
      <c r="A88" s="153"/>
      <c r="B88" s="261"/>
      <c r="C88" s="261"/>
      <c r="D88" s="261"/>
      <c r="E88" s="261"/>
      <c r="F88" s="261"/>
      <c r="G88" s="261"/>
      <c r="H88" s="261"/>
      <c r="I88" s="261"/>
      <c r="J88" s="261"/>
    </row>
    <row r="89">
      <c r="A89" s="155"/>
      <c r="B89" s="269"/>
      <c r="C89" s="269"/>
      <c r="D89" s="269"/>
      <c r="E89" s="261"/>
      <c r="F89" s="261"/>
      <c r="G89" s="261"/>
      <c r="H89" s="261"/>
      <c r="I89" s="261"/>
      <c r="J89" s="261"/>
    </row>
    <row r="90">
      <c r="A90" s="153"/>
      <c r="B90" s="268"/>
      <c r="C90" s="261"/>
      <c r="D90" s="261"/>
      <c r="E90" s="261"/>
      <c r="F90" s="261"/>
      <c r="G90" s="261"/>
      <c r="H90" s="261"/>
      <c r="I90" s="261"/>
      <c r="J90" s="261"/>
    </row>
    <row r="91">
      <c r="A91" s="155"/>
      <c r="B91" s="269"/>
      <c r="C91" s="269"/>
      <c r="D91" s="261"/>
      <c r="E91" s="261"/>
      <c r="F91" s="261"/>
      <c r="G91" s="261"/>
      <c r="H91" s="261"/>
      <c r="I91" s="261"/>
      <c r="J91" s="261"/>
    </row>
    <row r="92">
      <c r="A92" s="153"/>
      <c r="B92" s="261"/>
      <c r="C92" s="261"/>
      <c r="D92" s="261"/>
      <c r="E92" s="261"/>
      <c r="F92" s="261"/>
      <c r="G92" s="261"/>
      <c r="H92" s="261"/>
      <c r="I92" s="261"/>
      <c r="J92" s="261"/>
    </row>
    <row r="93">
      <c r="A93" s="155"/>
      <c r="B93" s="261"/>
      <c r="C93" s="261"/>
      <c r="D93" s="261"/>
      <c r="E93" s="261"/>
      <c r="F93" s="261"/>
      <c r="G93" s="261"/>
      <c r="H93" s="261"/>
      <c r="I93" s="261"/>
      <c r="J93" s="261"/>
    </row>
    <row r="94">
      <c r="A94" s="153"/>
      <c r="B94" s="269"/>
      <c r="C94" s="269"/>
      <c r="D94" s="269"/>
      <c r="E94" s="261"/>
      <c r="F94" s="261"/>
      <c r="G94" s="261"/>
      <c r="H94" s="261"/>
      <c r="I94" s="261"/>
      <c r="J94" s="261"/>
    </row>
    <row r="95">
      <c r="A95" s="155"/>
      <c r="B95" s="261"/>
      <c r="C95" s="261"/>
      <c r="D95" s="261"/>
      <c r="E95" s="261"/>
      <c r="F95" s="261"/>
      <c r="G95" s="261"/>
      <c r="H95" s="261"/>
      <c r="I95" s="261"/>
      <c r="J95" s="261"/>
    </row>
    <row r="96">
      <c r="A96" s="153"/>
      <c r="B96" s="269"/>
      <c r="C96" s="269"/>
      <c r="D96" s="261"/>
      <c r="E96" s="261"/>
      <c r="F96" s="261"/>
      <c r="G96" s="261"/>
      <c r="H96" s="261"/>
      <c r="I96" s="261"/>
      <c r="J96" s="261"/>
    </row>
    <row r="97">
      <c r="A97" s="155"/>
      <c r="B97" s="269"/>
      <c r="C97" s="261"/>
      <c r="D97" s="261"/>
      <c r="E97" s="261"/>
      <c r="F97" s="261"/>
      <c r="G97" s="261"/>
      <c r="H97" s="261"/>
      <c r="I97" s="261"/>
      <c r="J97" s="261"/>
    </row>
    <row r="98">
      <c r="A98" s="153"/>
      <c r="B98" s="261"/>
      <c r="C98" s="269"/>
      <c r="D98" s="261"/>
      <c r="E98" s="261"/>
      <c r="F98" s="261"/>
      <c r="G98" s="261"/>
      <c r="H98" s="261"/>
      <c r="I98" s="261"/>
      <c r="J98" s="261"/>
    </row>
    <row r="99">
      <c r="A99" s="155"/>
      <c r="B99" s="269"/>
      <c r="C99" s="261"/>
      <c r="D99" s="269"/>
      <c r="E99" s="261"/>
      <c r="F99" s="269"/>
      <c r="G99" s="269"/>
      <c r="H99" s="261"/>
      <c r="I99" s="269"/>
      <c r="J99" s="261"/>
    </row>
    <row r="100">
      <c r="A100" s="162"/>
      <c r="B100" s="261"/>
      <c r="C100" s="261"/>
      <c r="D100" s="261"/>
      <c r="E100" s="268"/>
      <c r="F100" s="261"/>
      <c r="G100" s="261"/>
      <c r="H100" s="261"/>
      <c r="I100" s="261"/>
      <c r="J100" s="261"/>
    </row>
    <row r="101">
      <c r="A101" s="150" t="str">
        <f t="array" ref="A101:A150">'Up Names'!C2:C51</f>
        <v>Breeding Season</v>
      </c>
      <c r="B101" s="208">
        <v>31.2</v>
      </c>
      <c r="C101" s="204"/>
      <c r="D101" s="261"/>
      <c r="E101" s="261"/>
      <c r="F101" s="261"/>
      <c r="G101" s="261"/>
      <c r="H101" s="261"/>
      <c r="I101" s="261"/>
      <c r="J101" s="261"/>
    </row>
    <row r="102">
      <c r="A102" s="153" t="s">
        <v>152</v>
      </c>
      <c r="B102" s="264">
        <v>-0.46</v>
      </c>
      <c r="C102" s="205">
        <v>0.6</v>
      </c>
      <c r="D102" s="261"/>
      <c r="E102" s="261"/>
      <c r="F102" s="261"/>
      <c r="G102" s="261"/>
      <c r="H102" s="261"/>
      <c r="I102" s="261"/>
      <c r="J102" s="261"/>
    </row>
    <row r="103">
      <c r="A103" s="155" t="s">
        <v>172</v>
      </c>
      <c r="B103" s="265">
        <v>0.022</v>
      </c>
      <c r="C103" s="204">
        <v>1.0</v>
      </c>
      <c r="D103" s="262">
        <v>0.7</v>
      </c>
      <c r="E103" s="261"/>
      <c r="F103" s="261"/>
      <c r="G103" s="261"/>
      <c r="H103" s="261"/>
      <c r="I103" s="261"/>
      <c r="J103" s="261"/>
    </row>
    <row r="104">
      <c r="A104" s="153" t="s">
        <v>192</v>
      </c>
      <c r="B104" s="206">
        <v>-80.0</v>
      </c>
      <c r="C104" s="206">
        <v>8.51</v>
      </c>
      <c r="D104" s="261"/>
      <c r="E104" s="261"/>
      <c r="F104" s="261"/>
      <c r="G104" s="261"/>
      <c r="H104" s="261"/>
      <c r="I104" s="261"/>
      <c r="J104" s="261"/>
    </row>
    <row r="105">
      <c r="A105" s="155" t="s">
        <v>212</v>
      </c>
      <c r="B105" s="204">
        <v>0.5</v>
      </c>
      <c r="C105" s="262">
        <v>0.81</v>
      </c>
      <c r="D105" s="261"/>
      <c r="E105" s="261"/>
      <c r="F105" s="261"/>
      <c r="G105" s="261"/>
      <c r="H105" s="261"/>
      <c r="I105" s="261"/>
      <c r="J105" s="261"/>
    </row>
    <row r="106">
      <c r="A106" s="153" t="s">
        <v>231</v>
      </c>
      <c r="B106" s="205">
        <v>2.0</v>
      </c>
      <c r="C106" s="261"/>
      <c r="D106" s="261"/>
      <c r="E106" s="261"/>
      <c r="F106" s="261"/>
      <c r="G106" s="261"/>
      <c r="H106" s="261"/>
      <c r="I106" s="261"/>
      <c r="J106" s="261"/>
    </row>
    <row r="107">
      <c r="A107" s="155" t="s">
        <v>251</v>
      </c>
      <c r="B107" s="269"/>
      <c r="C107" s="261"/>
      <c r="D107" s="261"/>
      <c r="E107" s="261"/>
      <c r="F107" s="261"/>
      <c r="G107" s="261"/>
      <c r="H107" s="261"/>
      <c r="I107" s="261"/>
      <c r="J107" s="261"/>
    </row>
    <row r="108">
      <c r="A108" s="153" t="s">
        <v>271</v>
      </c>
      <c r="B108" s="206">
        <v>0.97</v>
      </c>
      <c r="C108" s="206">
        <v>1.65</v>
      </c>
      <c r="D108" s="269"/>
      <c r="E108" s="261"/>
      <c r="F108" s="261"/>
      <c r="G108" s="261"/>
      <c r="H108" s="261"/>
      <c r="I108" s="261"/>
      <c r="J108" s="261"/>
    </row>
    <row r="109">
      <c r="A109" s="155" t="s">
        <v>291</v>
      </c>
      <c r="B109" s="204">
        <v>-80.0</v>
      </c>
      <c r="C109" s="204">
        <v>0.07</v>
      </c>
      <c r="D109" s="261"/>
      <c r="E109" s="261"/>
      <c r="F109" s="261"/>
      <c r="G109" s="261"/>
      <c r="H109" s="261"/>
      <c r="I109" s="261"/>
      <c r="J109" s="261"/>
    </row>
    <row r="110">
      <c r="A110" s="153" t="s">
        <v>311</v>
      </c>
      <c r="B110" s="205">
        <v>13.0</v>
      </c>
      <c r="C110" s="263">
        <v>-0.2857</v>
      </c>
      <c r="D110" s="261"/>
      <c r="E110" s="261"/>
      <c r="F110" s="261"/>
      <c r="G110" s="261"/>
      <c r="H110" s="261"/>
      <c r="I110" s="261"/>
      <c r="J110" s="261"/>
    </row>
    <row r="111">
      <c r="A111" s="155" t="s">
        <v>331</v>
      </c>
      <c r="B111" s="262">
        <v>-0.54</v>
      </c>
      <c r="C111" s="268"/>
      <c r="D111" s="261"/>
      <c r="E111" s="261"/>
      <c r="F111" s="261"/>
      <c r="G111" s="261"/>
      <c r="H111" s="261"/>
      <c r="I111" s="261"/>
      <c r="J111" s="261"/>
    </row>
    <row r="112">
      <c r="A112" s="153" t="s">
        <v>351</v>
      </c>
      <c r="B112" s="264">
        <v>-0.45</v>
      </c>
      <c r="C112" s="205">
        <v>30.0</v>
      </c>
      <c r="D112" s="261"/>
      <c r="E112" s="261"/>
      <c r="F112" s="261"/>
      <c r="G112" s="261"/>
      <c r="H112" s="261"/>
      <c r="I112" s="261"/>
      <c r="J112" s="261"/>
    </row>
    <row r="113">
      <c r="A113" s="155" t="s">
        <v>374</v>
      </c>
      <c r="B113" s="204">
        <v>12.38</v>
      </c>
      <c r="C113" s="261"/>
      <c r="D113" s="261"/>
      <c r="E113" s="261"/>
      <c r="F113" s="261"/>
      <c r="G113" s="261"/>
      <c r="H113" s="261"/>
      <c r="I113" s="261"/>
      <c r="J113" s="261"/>
    </row>
    <row r="114">
      <c r="A114" s="153" t="s">
        <v>396</v>
      </c>
      <c r="B114" s="205">
        <v>6.0</v>
      </c>
      <c r="C114" s="264">
        <v>0.8</v>
      </c>
      <c r="D114" s="261"/>
      <c r="E114" s="261"/>
      <c r="F114" s="261"/>
      <c r="G114" s="261"/>
      <c r="H114" s="261"/>
      <c r="I114" s="261"/>
      <c r="J114" s="261"/>
    </row>
    <row r="115">
      <c r="A115" s="155" t="s">
        <v>425</v>
      </c>
      <c r="B115" s="208">
        <v>12.5</v>
      </c>
      <c r="C115" s="269"/>
      <c r="D115" s="261"/>
      <c r="E115" s="261"/>
      <c r="F115" s="261"/>
      <c r="G115" s="261"/>
      <c r="H115" s="261"/>
      <c r="I115" s="261"/>
      <c r="J115" s="261"/>
    </row>
    <row r="116">
      <c r="A116" s="153" t="s">
        <v>453</v>
      </c>
      <c r="B116" s="205">
        <v>1.0</v>
      </c>
      <c r="C116" s="264">
        <v>-0.8</v>
      </c>
      <c r="D116" s="264">
        <v>-0.8</v>
      </c>
      <c r="E116" s="263">
        <v>-0.3939</v>
      </c>
      <c r="F116" s="264">
        <v>21.0</v>
      </c>
      <c r="G116" s="264">
        <v>-0.45</v>
      </c>
      <c r="H116" s="261"/>
      <c r="I116" s="261"/>
      <c r="J116" s="261"/>
    </row>
    <row r="117">
      <c r="A117" s="155" t="s">
        <v>482</v>
      </c>
      <c r="B117" s="208">
        <v>2.2</v>
      </c>
      <c r="C117" s="269"/>
      <c r="D117" s="261"/>
      <c r="E117" s="261"/>
      <c r="F117" s="261"/>
      <c r="G117" s="261"/>
      <c r="H117" s="261"/>
      <c r="I117" s="261"/>
      <c r="J117" s="261"/>
    </row>
    <row r="118">
      <c r="A118" s="153" t="s">
        <v>508</v>
      </c>
      <c r="B118" s="206">
        <v>6.0</v>
      </c>
      <c r="C118" s="269"/>
      <c r="D118" s="261"/>
      <c r="E118" s="261"/>
      <c r="F118" s="261"/>
      <c r="G118" s="261"/>
      <c r="H118" s="261"/>
      <c r="I118" s="261"/>
      <c r="J118" s="261"/>
    </row>
    <row r="119">
      <c r="A119" s="155" t="s">
        <v>529</v>
      </c>
      <c r="B119" s="262">
        <v>0.85</v>
      </c>
      <c r="C119" s="262">
        <v>0.16</v>
      </c>
      <c r="D119" s="265">
        <v>-0.6667</v>
      </c>
      <c r="E119" s="262">
        <v>-0.7</v>
      </c>
      <c r="F119" s="262">
        <v>-0.7</v>
      </c>
      <c r="G119" s="261"/>
      <c r="H119" s="261"/>
      <c r="I119" s="261"/>
      <c r="J119" s="261"/>
    </row>
    <row r="120">
      <c r="A120" s="153" t="s">
        <v>548</v>
      </c>
      <c r="B120" s="264">
        <v>1.0</v>
      </c>
      <c r="C120" s="264">
        <v>-0.15</v>
      </c>
      <c r="D120" s="264">
        <v>-0.15</v>
      </c>
      <c r="E120" s="264">
        <v>-0.3</v>
      </c>
      <c r="F120" s="269"/>
      <c r="G120" s="261"/>
      <c r="H120" s="269"/>
      <c r="I120" s="261"/>
      <c r="J120" s="261"/>
    </row>
    <row r="121">
      <c r="A121" s="155" t="s">
        <v>571</v>
      </c>
      <c r="B121" s="204">
        <v>4.0</v>
      </c>
      <c r="C121" s="265">
        <v>0.8108</v>
      </c>
      <c r="D121" s="204">
        <v>24.0</v>
      </c>
      <c r="E121" s="204">
        <v>40.0</v>
      </c>
      <c r="F121" s="261"/>
      <c r="G121" s="261"/>
      <c r="H121" s="261"/>
      <c r="I121" s="261"/>
      <c r="J121" s="261"/>
    </row>
    <row r="122">
      <c r="A122" s="153" t="s">
        <v>594</v>
      </c>
      <c r="B122" s="206">
        <v>5.5</v>
      </c>
      <c r="C122" s="205">
        <v>2.3</v>
      </c>
      <c r="D122" s="261"/>
      <c r="E122" s="261"/>
      <c r="F122" s="261"/>
      <c r="G122" s="261"/>
      <c r="H122" s="261"/>
      <c r="I122" s="261"/>
      <c r="J122" s="261"/>
    </row>
    <row r="123">
      <c r="A123" s="155" t="s">
        <v>615</v>
      </c>
      <c r="B123" s="262">
        <v>1.3</v>
      </c>
      <c r="C123" s="262">
        <v>1.15</v>
      </c>
      <c r="D123" s="262">
        <v>1.15</v>
      </c>
      <c r="E123" s="261"/>
      <c r="F123" s="261"/>
      <c r="G123" s="261"/>
      <c r="H123" s="261"/>
      <c r="I123" s="261"/>
      <c r="J123" s="261"/>
    </row>
    <row r="124">
      <c r="A124" s="153" t="s">
        <v>640</v>
      </c>
      <c r="B124" s="263">
        <v>-0.3827</v>
      </c>
      <c r="C124" s="261"/>
      <c r="D124" s="261"/>
      <c r="E124" s="261"/>
      <c r="F124" s="261"/>
      <c r="G124" s="261"/>
      <c r="H124" s="261"/>
      <c r="I124" s="261"/>
      <c r="J124" s="261"/>
    </row>
    <row r="125">
      <c r="A125" s="155" t="s">
        <v>659</v>
      </c>
      <c r="B125" s="262">
        <v>0.4</v>
      </c>
      <c r="C125" s="262">
        <v>0.3</v>
      </c>
      <c r="D125" s="261"/>
      <c r="E125" s="261"/>
      <c r="F125" s="261"/>
      <c r="G125" s="261"/>
      <c r="H125" s="261"/>
      <c r="I125" s="261"/>
      <c r="J125" s="261"/>
    </row>
    <row r="126">
      <c r="A126" s="153" t="s">
        <v>674</v>
      </c>
      <c r="B126" s="206">
        <v>12.0</v>
      </c>
      <c r="C126" s="269"/>
      <c r="D126" s="261"/>
      <c r="E126" s="261"/>
      <c r="F126" s="261"/>
      <c r="G126" s="261"/>
      <c r="H126" s="261"/>
      <c r="I126" s="261"/>
      <c r="J126" s="261"/>
    </row>
    <row r="127">
      <c r="A127" s="155" t="s">
        <v>688</v>
      </c>
      <c r="B127" s="208">
        <v>15.0</v>
      </c>
      <c r="C127" s="261"/>
      <c r="D127" s="261"/>
      <c r="E127" s="261"/>
      <c r="F127" s="261"/>
      <c r="G127" s="261"/>
      <c r="H127" s="261"/>
      <c r="I127" s="261"/>
      <c r="J127" s="261"/>
    </row>
    <row r="128">
      <c r="A128" s="153" t="s">
        <v>705</v>
      </c>
      <c r="B128" s="263">
        <v>0.2804</v>
      </c>
      <c r="C128" s="264">
        <v>1.3</v>
      </c>
      <c r="D128" s="264">
        <v>1.3</v>
      </c>
      <c r="E128" s="261"/>
      <c r="F128" s="261"/>
      <c r="G128" s="261"/>
      <c r="H128" s="261"/>
      <c r="I128" s="261"/>
      <c r="J128" s="261"/>
    </row>
    <row r="129">
      <c r="A129" s="155" t="s">
        <v>724</v>
      </c>
      <c r="B129" s="204">
        <v>60.0</v>
      </c>
      <c r="C129" s="261"/>
      <c r="D129" s="261"/>
      <c r="E129" s="261"/>
      <c r="F129" s="261"/>
      <c r="G129" s="261"/>
      <c r="H129" s="261"/>
      <c r="I129" s="261"/>
      <c r="J129" s="261"/>
    </row>
    <row r="130">
      <c r="A130" s="153" t="s">
        <v>742</v>
      </c>
      <c r="B130" s="264">
        <v>-0.15</v>
      </c>
      <c r="C130" s="264">
        <v>-0.15</v>
      </c>
      <c r="D130" s="261"/>
      <c r="E130" s="261"/>
      <c r="F130" s="261"/>
      <c r="G130" s="261"/>
      <c r="H130" s="261"/>
      <c r="I130" s="261"/>
      <c r="J130" s="261"/>
    </row>
    <row r="131">
      <c r="A131" s="155" t="s">
        <v>503</v>
      </c>
      <c r="B131" s="261"/>
      <c r="C131" s="261"/>
      <c r="D131" s="261"/>
      <c r="E131" s="261"/>
      <c r="F131" s="261"/>
      <c r="G131" s="261"/>
      <c r="H131" s="261"/>
      <c r="I131" s="261"/>
      <c r="J131" s="261"/>
    </row>
    <row r="132">
      <c r="A132" s="153" t="s">
        <v>511</v>
      </c>
      <c r="B132" s="261"/>
      <c r="C132" s="261"/>
      <c r="D132" s="261"/>
      <c r="E132" s="261"/>
      <c r="F132" s="261"/>
      <c r="G132" s="261"/>
      <c r="H132" s="261"/>
      <c r="I132" s="261"/>
      <c r="J132" s="261"/>
    </row>
    <row r="133">
      <c r="A133" s="155" t="s">
        <v>516</v>
      </c>
      <c r="B133" s="269"/>
      <c r="C133" s="261"/>
      <c r="D133" s="261"/>
      <c r="E133" s="261"/>
      <c r="F133" s="261"/>
      <c r="G133" s="261"/>
      <c r="H133" s="261"/>
      <c r="I133" s="261"/>
      <c r="J133" s="261"/>
    </row>
    <row r="134">
      <c r="A134" s="153"/>
      <c r="B134" s="269"/>
      <c r="C134" s="269"/>
      <c r="D134" s="261"/>
      <c r="E134" s="261"/>
      <c r="F134" s="261"/>
      <c r="G134" s="261"/>
      <c r="H134" s="261"/>
      <c r="I134" s="261"/>
      <c r="J134" s="261"/>
    </row>
    <row r="135">
      <c r="A135" s="155"/>
      <c r="B135" s="261"/>
      <c r="C135" s="261"/>
      <c r="D135" s="261"/>
      <c r="E135" s="261"/>
      <c r="F135" s="261"/>
      <c r="G135" s="261"/>
      <c r="H135" s="261"/>
      <c r="I135" s="261"/>
      <c r="J135" s="261"/>
    </row>
    <row r="136">
      <c r="A136" s="153"/>
      <c r="B136" s="261"/>
      <c r="C136" s="261"/>
      <c r="D136" s="261"/>
      <c r="E136" s="261"/>
      <c r="F136" s="261"/>
      <c r="G136" s="261"/>
      <c r="H136" s="261"/>
      <c r="I136" s="261"/>
      <c r="J136" s="261"/>
    </row>
    <row r="137">
      <c r="A137" s="155"/>
      <c r="B137" s="261"/>
      <c r="C137" s="261"/>
      <c r="D137" s="261"/>
      <c r="E137" s="261"/>
      <c r="F137" s="261"/>
      <c r="G137" s="261"/>
      <c r="H137" s="261"/>
      <c r="I137" s="261"/>
      <c r="J137" s="261"/>
    </row>
    <row r="138">
      <c r="A138" s="153"/>
      <c r="B138" s="268"/>
      <c r="C138" s="261"/>
      <c r="D138" s="269"/>
      <c r="E138" s="269"/>
      <c r="F138" s="269"/>
      <c r="G138" s="269"/>
      <c r="H138" s="261"/>
      <c r="I138" s="261"/>
      <c r="J138" s="261"/>
    </row>
    <row r="139">
      <c r="A139" s="155"/>
      <c r="B139" s="261"/>
      <c r="C139" s="261"/>
      <c r="D139" s="261"/>
      <c r="E139" s="261"/>
      <c r="F139" s="261"/>
      <c r="G139" s="261"/>
      <c r="H139" s="261"/>
      <c r="I139" s="261"/>
      <c r="J139" s="261"/>
    </row>
    <row r="140">
      <c r="A140" s="153"/>
      <c r="B140" s="261"/>
      <c r="C140" s="261"/>
      <c r="D140" s="261"/>
      <c r="E140" s="261"/>
      <c r="F140" s="261"/>
      <c r="G140" s="261"/>
      <c r="H140" s="261"/>
      <c r="I140" s="261"/>
      <c r="J140" s="261"/>
    </row>
    <row r="141">
      <c r="A141" s="155"/>
      <c r="B141" s="269"/>
      <c r="C141" s="268"/>
      <c r="D141" s="261"/>
      <c r="E141" s="261"/>
      <c r="F141" s="261"/>
      <c r="G141" s="261"/>
      <c r="H141" s="261"/>
      <c r="I141" s="261"/>
      <c r="J141" s="261"/>
    </row>
    <row r="142">
      <c r="A142" s="153"/>
      <c r="B142" s="261"/>
      <c r="C142" s="261"/>
      <c r="D142" s="261"/>
      <c r="E142" s="261"/>
      <c r="F142" s="261"/>
      <c r="G142" s="261"/>
      <c r="H142" s="261"/>
      <c r="I142" s="261"/>
      <c r="J142" s="261"/>
    </row>
    <row r="143">
      <c r="A143" s="155"/>
      <c r="B143" s="261"/>
      <c r="C143" s="261"/>
      <c r="D143" s="261"/>
      <c r="E143" s="261"/>
      <c r="F143" s="261"/>
      <c r="G143" s="261"/>
      <c r="H143" s="261"/>
      <c r="I143" s="261"/>
      <c r="J143" s="261"/>
    </row>
    <row r="144">
      <c r="A144" s="153"/>
      <c r="B144" s="261"/>
      <c r="C144" s="261"/>
      <c r="D144" s="261"/>
      <c r="E144" s="261"/>
      <c r="F144" s="261"/>
      <c r="G144" s="261"/>
      <c r="H144" s="261"/>
      <c r="I144" s="261"/>
      <c r="J144" s="261"/>
    </row>
    <row r="145">
      <c r="A145" s="155"/>
      <c r="B145" s="261"/>
      <c r="C145" s="261"/>
      <c r="D145" s="261"/>
      <c r="E145" s="261"/>
      <c r="F145" s="261"/>
      <c r="G145" s="261"/>
      <c r="H145" s="261"/>
      <c r="I145" s="261"/>
      <c r="J145" s="261"/>
    </row>
    <row r="146">
      <c r="A146" s="153"/>
      <c r="B146" s="269"/>
      <c r="C146" s="261"/>
      <c r="D146" s="261"/>
      <c r="E146" s="261"/>
      <c r="F146" s="261"/>
      <c r="G146" s="261"/>
      <c r="H146" s="261"/>
      <c r="I146" s="261"/>
      <c r="J146" s="261"/>
    </row>
    <row r="147">
      <c r="A147" s="155"/>
      <c r="B147" s="269"/>
      <c r="C147" s="261"/>
      <c r="D147" s="261"/>
      <c r="E147" s="261"/>
      <c r="F147" s="261"/>
      <c r="G147" s="261"/>
      <c r="H147" s="261"/>
      <c r="I147" s="261"/>
      <c r="J147" s="261"/>
    </row>
    <row r="148">
      <c r="A148" s="153"/>
      <c r="B148" s="269"/>
      <c r="C148" s="261"/>
      <c r="D148" s="261"/>
      <c r="E148" s="261"/>
      <c r="F148" s="261"/>
      <c r="G148" s="261"/>
      <c r="H148" s="261"/>
      <c r="I148" s="261"/>
      <c r="J148" s="261"/>
    </row>
    <row r="149">
      <c r="A149" s="155"/>
      <c r="B149" s="269"/>
      <c r="C149" s="261"/>
      <c r="D149" s="261"/>
      <c r="E149" s="261"/>
      <c r="F149" s="261"/>
      <c r="G149" s="261"/>
      <c r="H149" s="261"/>
      <c r="I149" s="261"/>
      <c r="J149" s="261"/>
    </row>
    <row r="150">
      <c r="A150" s="162"/>
      <c r="B150" s="261"/>
      <c r="C150" s="269"/>
      <c r="D150" s="261"/>
      <c r="E150" s="261"/>
      <c r="F150" s="261"/>
      <c r="G150" s="261"/>
      <c r="H150" s="261"/>
      <c r="I150" s="261"/>
      <c r="J150" s="261"/>
    </row>
    <row r="151">
      <c r="A151" s="150" t="str">
        <f t="array" ref="A151:A200">'Up Names'!D2:D51</f>
        <v>Arc Lightning</v>
      </c>
      <c r="B151" s="260">
        <v>0.62</v>
      </c>
      <c r="C151" s="261"/>
      <c r="D151" s="261"/>
      <c r="E151" s="261"/>
      <c r="F151" s="261"/>
      <c r="G151" s="261"/>
      <c r="H151" s="261"/>
      <c r="I151" s="261"/>
      <c r="J151" s="261"/>
    </row>
    <row r="152">
      <c r="A152" s="153" t="s">
        <v>153</v>
      </c>
      <c r="B152" s="206">
        <v>5.0</v>
      </c>
      <c r="C152" s="264">
        <v>0.14</v>
      </c>
      <c r="D152" s="261"/>
      <c r="E152" s="261"/>
      <c r="F152" s="261"/>
      <c r="G152" s="261"/>
      <c r="H152" s="261"/>
      <c r="I152" s="261"/>
      <c r="J152" s="261"/>
    </row>
    <row r="153">
      <c r="A153" s="155" t="s">
        <v>173</v>
      </c>
      <c r="B153" s="262">
        <v>-0.45</v>
      </c>
      <c r="C153" s="262">
        <v>0.0</v>
      </c>
      <c r="D153" s="262">
        <v>-0.2</v>
      </c>
      <c r="E153" s="204">
        <v>0.3</v>
      </c>
      <c r="F153" s="265">
        <v>-0.2701</v>
      </c>
      <c r="G153" s="262">
        <v>1.56</v>
      </c>
      <c r="H153" s="204">
        <v>1.0</v>
      </c>
      <c r="I153" s="262">
        <v>-0.5</v>
      </c>
      <c r="J153" s="261"/>
    </row>
    <row r="154">
      <c r="A154" s="153" t="s">
        <v>193</v>
      </c>
      <c r="B154" s="206">
        <v>33.0</v>
      </c>
      <c r="C154" s="206">
        <v>5.0</v>
      </c>
      <c r="D154" s="205">
        <v>14.0</v>
      </c>
      <c r="E154" s="263">
        <v>-0.1684</v>
      </c>
      <c r="F154" s="261"/>
      <c r="G154" s="261"/>
      <c r="H154" s="261"/>
      <c r="I154" s="261"/>
      <c r="J154" s="261"/>
    </row>
    <row r="155">
      <c r="A155" s="155" t="s">
        <v>213</v>
      </c>
      <c r="B155" s="262">
        <v>-0.27</v>
      </c>
      <c r="C155" s="261"/>
      <c r="D155" s="261"/>
      <c r="E155" s="261"/>
      <c r="F155" s="261"/>
      <c r="G155" s="261"/>
      <c r="H155" s="261"/>
      <c r="I155" s="261"/>
      <c r="J155" s="261"/>
    </row>
    <row r="156">
      <c r="A156" s="153" t="s">
        <v>232</v>
      </c>
      <c r="B156" s="264">
        <v>1.2</v>
      </c>
      <c r="C156" s="261"/>
      <c r="D156" s="261"/>
      <c r="E156" s="261"/>
      <c r="F156" s="261"/>
      <c r="G156" s="261"/>
      <c r="H156" s="261"/>
      <c r="I156" s="261"/>
      <c r="J156" s="261"/>
    </row>
    <row r="157">
      <c r="A157" s="155" t="s">
        <v>252</v>
      </c>
      <c r="B157" s="208">
        <v>28.0</v>
      </c>
      <c r="C157" s="204" t="s">
        <v>2313</v>
      </c>
      <c r="D157" s="261"/>
      <c r="E157" s="261"/>
      <c r="F157" s="261"/>
      <c r="G157" s="261"/>
      <c r="H157" s="261"/>
      <c r="I157" s="261"/>
      <c r="J157" s="261"/>
    </row>
    <row r="158">
      <c r="A158" s="153" t="s">
        <v>272</v>
      </c>
      <c r="B158" s="264">
        <v>0.6</v>
      </c>
      <c r="C158" s="206">
        <v>3.0</v>
      </c>
      <c r="D158" s="261"/>
      <c r="E158" s="261"/>
      <c r="F158" s="261"/>
      <c r="G158" s="261"/>
      <c r="H158" s="261"/>
      <c r="I158" s="261"/>
      <c r="J158" s="261"/>
    </row>
    <row r="159">
      <c r="A159" s="155" t="s">
        <v>292</v>
      </c>
      <c r="B159" s="204">
        <v>6.5</v>
      </c>
      <c r="C159" s="261"/>
      <c r="D159" s="261"/>
      <c r="E159" s="261"/>
      <c r="F159" s="261"/>
      <c r="G159" s="261"/>
      <c r="H159" s="261"/>
      <c r="I159" s="261"/>
      <c r="J159" s="261"/>
    </row>
    <row r="160">
      <c r="A160" s="153" t="s">
        <v>312</v>
      </c>
      <c r="B160" s="205">
        <v>0.65</v>
      </c>
      <c r="C160" s="261"/>
      <c r="D160" s="261"/>
      <c r="E160" s="261"/>
      <c r="F160" s="261"/>
      <c r="G160" s="261"/>
      <c r="H160" s="261"/>
      <c r="I160" s="261"/>
      <c r="J160" s="261"/>
    </row>
    <row r="161">
      <c r="A161" s="155" t="s">
        <v>332</v>
      </c>
      <c r="B161" s="262">
        <v>1.56</v>
      </c>
      <c r="C161" s="269"/>
      <c r="D161" s="269"/>
      <c r="E161" s="261"/>
      <c r="F161" s="261"/>
      <c r="G161" s="261"/>
      <c r="H161" s="261"/>
      <c r="I161" s="261"/>
      <c r="J161" s="261"/>
    </row>
    <row r="162">
      <c r="A162" s="153" t="s">
        <v>352</v>
      </c>
      <c r="B162" s="264">
        <v>3.2</v>
      </c>
      <c r="C162" s="264">
        <v>3.2</v>
      </c>
      <c r="D162" s="264">
        <v>1.0</v>
      </c>
      <c r="E162" s="261"/>
      <c r="F162" s="261"/>
      <c r="G162" s="261"/>
      <c r="H162" s="261"/>
      <c r="I162" s="261"/>
      <c r="J162" s="261"/>
    </row>
    <row r="163">
      <c r="A163" s="155" t="s">
        <v>375</v>
      </c>
      <c r="B163" s="208">
        <v>11.0</v>
      </c>
      <c r="C163" s="261"/>
      <c r="D163" s="261"/>
      <c r="E163" s="261"/>
      <c r="F163" s="261"/>
      <c r="G163" s="261"/>
      <c r="H163" s="261"/>
      <c r="I163" s="261"/>
      <c r="J163" s="261"/>
    </row>
    <row r="164">
      <c r="A164" s="153" t="s">
        <v>398</v>
      </c>
      <c r="B164" s="269"/>
      <c r="C164" s="261"/>
      <c r="D164" s="261"/>
      <c r="E164" s="261"/>
      <c r="F164" s="261"/>
      <c r="G164" s="261"/>
      <c r="H164" s="261"/>
      <c r="I164" s="261"/>
      <c r="J164" s="261"/>
    </row>
    <row r="165">
      <c r="A165" s="155" t="s">
        <v>427</v>
      </c>
      <c r="B165" s="262">
        <v>1.17</v>
      </c>
      <c r="C165" s="265">
        <v>-0.4764</v>
      </c>
      <c r="D165" s="261"/>
      <c r="E165" s="269"/>
      <c r="F165" s="269"/>
      <c r="G165" s="261"/>
      <c r="H165" s="261"/>
      <c r="I165" s="261"/>
      <c r="J165" s="261"/>
    </row>
    <row r="166">
      <c r="A166" s="153" t="s">
        <v>454</v>
      </c>
      <c r="B166" s="205">
        <v>11.0</v>
      </c>
      <c r="C166" s="261"/>
      <c r="D166" s="261"/>
      <c r="E166" s="261"/>
      <c r="F166" s="261"/>
      <c r="G166" s="261"/>
      <c r="H166" s="261"/>
      <c r="I166" s="261"/>
      <c r="J166" s="261"/>
    </row>
    <row r="167">
      <c r="A167" s="155" t="s">
        <v>484</v>
      </c>
      <c r="B167" s="269"/>
      <c r="C167" s="269"/>
      <c r="D167" s="261"/>
      <c r="E167" s="261"/>
      <c r="F167" s="261"/>
      <c r="G167" s="261"/>
      <c r="H167" s="261"/>
      <c r="I167" s="261"/>
      <c r="J167" s="261"/>
    </row>
    <row r="168">
      <c r="A168" s="153" t="s">
        <v>509</v>
      </c>
      <c r="B168" s="205">
        <v>6.0</v>
      </c>
      <c r="C168" s="269"/>
      <c r="D168" s="269"/>
      <c r="E168" s="269"/>
      <c r="F168" s="261"/>
      <c r="G168" s="268"/>
      <c r="H168" s="261"/>
      <c r="I168" s="261"/>
      <c r="J168" s="261"/>
    </row>
    <row r="169">
      <c r="A169" s="155" t="s">
        <v>530</v>
      </c>
      <c r="B169" s="262">
        <v>-0.4</v>
      </c>
      <c r="C169" s="262">
        <v>1.32</v>
      </c>
      <c r="D169" s="261"/>
      <c r="E169" s="261"/>
      <c r="F169" s="261"/>
      <c r="G169" s="261"/>
      <c r="H169" s="261"/>
      <c r="I169" s="261"/>
      <c r="J169" s="261"/>
    </row>
    <row r="170">
      <c r="A170" s="153" t="s">
        <v>549</v>
      </c>
      <c r="B170" s="205">
        <v>11.0</v>
      </c>
      <c r="C170" s="268"/>
      <c r="D170" s="268"/>
      <c r="E170" s="269"/>
      <c r="F170" s="269"/>
      <c r="G170" s="261"/>
      <c r="H170" s="261"/>
      <c r="I170" s="261"/>
      <c r="J170" s="261"/>
    </row>
    <row r="171">
      <c r="A171" s="155" t="s">
        <v>572</v>
      </c>
      <c r="B171" s="262">
        <v>0.65</v>
      </c>
      <c r="C171" s="262">
        <v>-0.15</v>
      </c>
      <c r="D171" s="261"/>
      <c r="E171" s="261"/>
      <c r="F171" s="261"/>
      <c r="G171" s="261"/>
      <c r="H171" s="261"/>
      <c r="I171" s="261"/>
      <c r="J171" s="261"/>
    </row>
    <row r="172">
      <c r="A172" s="153" t="s">
        <v>595</v>
      </c>
      <c r="B172" s="271">
        <v>0.78</v>
      </c>
      <c r="C172" s="264">
        <v>0.35</v>
      </c>
      <c r="D172" s="261"/>
      <c r="E172" s="261"/>
      <c r="F172" s="261"/>
      <c r="G172" s="261"/>
      <c r="H172" s="261"/>
      <c r="I172" s="261"/>
      <c r="J172" s="261"/>
    </row>
    <row r="173">
      <c r="A173" s="155" t="s">
        <v>616</v>
      </c>
      <c r="B173" s="208">
        <v>4.6</v>
      </c>
      <c r="C173" s="204" t="s">
        <v>2313</v>
      </c>
      <c r="D173" s="261"/>
      <c r="E173" s="261"/>
      <c r="F173" s="261"/>
      <c r="G173" s="261"/>
      <c r="H173" s="261"/>
      <c r="I173" s="261"/>
      <c r="J173" s="261"/>
    </row>
    <row r="174">
      <c r="A174" s="153" t="s">
        <v>641</v>
      </c>
      <c r="B174" s="205">
        <v>3.0</v>
      </c>
      <c r="C174" s="205">
        <v>0.19</v>
      </c>
      <c r="D174" s="264">
        <v>2.25</v>
      </c>
      <c r="E174" s="264">
        <v>-0.45</v>
      </c>
      <c r="F174" s="264">
        <v>-0.55</v>
      </c>
      <c r="G174" s="205">
        <v>1.0</v>
      </c>
      <c r="H174" s="264">
        <v>-0.25</v>
      </c>
      <c r="I174" s="261"/>
      <c r="J174" s="261"/>
    </row>
    <row r="175">
      <c r="A175" s="155" t="s">
        <v>660</v>
      </c>
      <c r="B175" s="272" t="s">
        <v>2313</v>
      </c>
      <c r="C175" s="204">
        <v>11.0</v>
      </c>
      <c r="D175" s="261"/>
      <c r="E175" s="261"/>
      <c r="F175" s="261"/>
      <c r="G175" s="261"/>
      <c r="H175" s="261"/>
      <c r="I175" s="261"/>
      <c r="J175" s="261"/>
    </row>
    <row r="176">
      <c r="A176" s="153" t="s">
        <v>675</v>
      </c>
      <c r="B176" s="264">
        <v>2.0</v>
      </c>
      <c r="C176" s="261"/>
      <c r="D176" s="261"/>
      <c r="E176" s="261"/>
      <c r="F176" s="261"/>
      <c r="G176" s="261"/>
      <c r="H176" s="261"/>
      <c r="I176" s="261"/>
      <c r="J176" s="261"/>
    </row>
    <row r="177">
      <c r="A177" s="155" t="s">
        <v>689</v>
      </c>
      <c r="B177" s="262">
        <v>0.12</v>
      </c>
      <c r="C177" s="268"/>
      <c r="D177" s="268"/>
      <c r="E177" s="269"/>
      <c r="F177" s="261"/>
      <c r="G177" s="261"/>
      <c r="H177" s="261"/>
      <c r="I177" s="261"/>
      <c r="J177" s="261"/>
    </row>
    <row r="178">
      <c r="A178" s="153" t="s">
        <v>707</v>
      </c>
      <c r="B178" s="206">
        <v>120.0</v>
      </c>
      <c r="C178" s="266">
        <v>-0.3</v>
      </c>
      <c r="D178" s="266">
        <v>-0.3</v>
      </c>
      <c r="E178" s="261"/>
      <c r="F178" s="261"/>
      <c r="G178" s="261"/>
      <c r="H178" s="261"/>
      <c r="I178" s="261"/>
      <c r="J178" s="261"/>
    </row>
    <row r="179">
      <c r="A179" s="155" t="s">
        <v>725</v>
      </c>
      <c r="B179" s="262">
        <v>-0.1</v>
      </c>
      <c r="C179" s="265">
        <v>0.0989</v>
      </c>
      <c r="D179" s="269"/>
      <c r="E179" s="261"/>
      <c r="F179" s="261"/>
      <c r="G179" s="261"/>
      <c r="H179" s="261"/>
      <c r="I179" s="261"/>
      <c r="J179" s="261"/>
    </row>
    <row r="180">
      <c r="A180" s="153" t="s">
        <v>743</v>
      </c>
      <c r="B180" s="264">
        <v>0.22</v>
      </c>
      <c r="C180" s="264">
        <v>-0.24</v>
      </c>
      <c r="D180" s="269"/>
      <c r="E180" s="269"/>
      <c r="F180" s="269"/>
      <c r="G180" s="261"/>
      <c r="H180" s="261"/>
      <c r="I180" s="261"/>
      <c r="J180" s="261"/>
    </row>
    <row r="181">
      <c r="A181" s="155" t="s">
        <v>760</v>
      </c>
      <c r="B181" s="266">
        <v>0.24</v>
      </c>
      <c r="C181" s="261"/>
      <c r="D181" s="261"/>
      <c r="E181" s="261"/>
      <c r="F181" s="261"/>
      <c r="G181" s="261"/>
      <c r="H181" s="261"/>
      <c r="I181" s="261"/>
      <c r="J181" s="261"/>
    </row>
    <row r="182">
      <c r="A182" s="153" t="s">
        <v>773</v>
      </c>
      <c r="B182" s="266">
        <v>0.17</v>
      </c>
      <c r="C182" s="269"/>
      <c r="D182" s="261"/>
      <c r="E182" s="261"/>
      <c r="F182" s="261"/>
      <c r="G182" s="261"/>
      <c r="H182" s="261"/>
      <c r="I182" s="261"/>
      <c r="J182" s="261"/>
    </row>
    <row r="183">
      <c r="A183" s="155" t="s">
        <v>779</v>
      </c>
      <c r="B183" s="266">
        <v>-0.18</v>
      </c>
      <c r="C183" s="266">
        <v>0.31</v>
      </c>
      <c r="D183" s="261"/>
      <c r="E183" s="261"/>
      <c r="F183" s="261"/>
      <c r="G183" s="261"/>
      <c r="H183" s="261"/>
      <c r="I183" s="261"/>
      <c r="J183" s="261"/>
    </row>
    <row r="184">
      <c r="A184" s="153" t="s">
        <v>503</v>
      </c>
      <c r="B184" s="269"/>
      <c r="C184" s="269"/>
      <c r="D184" s="269"/>
      <c r="E184" s="269"/>
      <c r="F184" s="261"/>
      <c r="G184" s="261"/>
      <c r="H184" s="261"/>
      <c r="I184" s="261"/>
      <c r="J184" s="261"/>
    </row>
    <row r="185">
      <c r="A185" s="155" t="s">
        <v>511</v>
      </c>
      <c r="B185" s="268"/>
      <c r="C185" s="261"/>
      <c r="D185" s="261"/>
      <c r="E185" s="261"/>
      <c r="F185" s="261"/>
      <c r="G185" s="261"/>
      <c r="H185" s="261"/>
      <c r="I185" s="261"/>
      <c r="J185" s="261"/>
    </row>
    <row r="186">
      <c r="A186" s="153" t="s">
        <v>516</v>
      </c>
      <c r="B186" s="269"/>
      <c r="C186" s="269"/>
      <c r="D186" s="261"/>
      <c r="E186" s="261"/>
      <c r="F186" s="261"/>
      <c r="G186" s="261"/>
      <c r="H186" s="261"/>
      <c r="I186" s="261"/>
      <c r="J186" s="261"/>
    </row>
    <row r="187">
      <c r="A187" s="155"/>
      <c r="B187" s="261"/>
      <c r="C187" s="261"/>
      <c r="D187" s="261"/>
      <c r="E187" s="269"/>
      <c r="F187" s="269"/>
      <c r="G187" s="268"/>
      <c r="H187" s="269"/>
      <c r="I187" s="261"/>
      <c r="J187" s="261"/>
    </row>
    <row r="188">
      <c r="A188" s="153"/>
      <c r="B188" s="261"/>
      <c r="C188" s="261"/>
      <c r="D188" s="261"/>
      <c r="E188" s="261"/>
      <c r="F188" s="261"/>
      <c r="G188" s="261"/>
      <c r="H188" s="261"/>
      <c r="I188" s="261"/>
      <c r="J188" s="261"/>
    </row>
    <row r="189">
      <c r="A189" s="155"/>
      <c r="B189" s="269"/>
      <c r="C189" s="261"/>
      <c r="D189" s="261"/>
      <c r="E189" s="261"/>
      <c r="F189" s="261"/>
      <c r="G189" s="261"/>
      <c r="H189" s="261"/>
      <c r="I189" s="261"/>
      <c r="J189" s="261"/>
    </row>
    <row r="190">
      <c r="A190" s="153"/>
      <c r="B190" s="261"/>
      <c r="C190" s="261"/>
      <c r="D190" s="261"/>
      <c r="E190" s="261"/>
      <c r="F190" s="261"/>
      <c r="G190" s="261"/>
      <c r="H190" s="261"/>
      <c r="I190" s="261"/>
      <c r="J190" s="261"/>
    </row>
    <row r="191">
      <c r="A191" s="155"/>
      <c r="B191" s="261"/>
      <c r="C191" s="261"/>
      <c r="D191" s="269"/>
      <c r="E191" s="261"/>
      <c r="F191" s="261"/>
      <c r="G191" s="261"/>
      <c r="H191" s="261"/>
      <c r="I191" s="261"/>
      <c r="J191" s="261"/>
    </row>
    <row r="192">
      <c r="A192" s="153"/>
      <c r="B192" s="269"/>
      <c r="C192" s="269"/>
      <c r="D192" s="261"/>
      <c r="E192" s="261"/>
      <c r="F192" s="261"/>
      <c r="G192" s="261"/>
      <c r="H192" s="261"/>
      <c r="I192" s="261"/>
      <c r="J192" s="261"/>
    </row>
    <row r="193">
      <c r="A193" s="155"/>
      <c r="B193" s="261"/>
      <c r="C193" s="261"/>
      <c r="D193" s="261"/>
      <c r="E193" s="261"/>
      <c r="F193" s="261"/>
      <c r="G193" s="261"/>
      <c r="H193" s="261"/>
      <c r="I193" s="261"/>
      <c r="J193" s="261"/>
    </row>
    <row r="194">
      <c r="A194" s="153"/>
      <c r="B194" s="268"/>
      <c r="C194" s="261"/>
      <c r="D194" s="261"/>
      <c r="E194" s="261"/>
      <c r="F194" s="261"/>
      <c r="G194" s="261"/>
      <c r="H194" s="261"/>
      <c r="I194" s="261"/>
      <c r="J194" s="261"/>
    </row>
    <row r="195">
      <c r="A195" s="155"/>
      <c r="B195" s="261"/>
      <c r="C195" s="261"/>
      <c r="D195" s="261"/>
      <c r="E195" s="261"/>
      <c r="F195" s="261"/>
      <c r="G195" s="261"/>
      <c r="H195" s="261"/>
      <c r="I195" s="261"/>
      <c r="J195" s="261"/>
    </row>
    <row r="196">
      <c r="A196" s="153"/>
      <c r="B196" s="261"/>
      <c r="C196" s="261"/>
      <c r="D196" s="261"/>
      <c r="E196" s="261"/>
      <c r="F196" s="261"/>
      <c r="G196" s="261"/>
      <c r="H196" s="261"/>
      <c r="I196" s="261"/>
      <c r="J196" s="261"/>
    </row>
    <row r="197">
      <c r="A197" s="155"/>
      <c r="B197" s="261"/>
      <c r="C197" s="261"/>
      <c r="D197" s="261"/>
      <c r="E197" s="261"/>
      <c r="F197" s="261"/>
      <c r="G197" s="261"/>
      <c r="H197" s="261"/>
      <c r="I197" s="261"/>
      <c r="J197" s="261"/>
    </row>
    <row r="198">
      <c r="A198" s="153"/>
      <c r="B198" s="261"/>
      <c r="C198" s="261"/>
      <c r="D198" s="261"/>
      <c r="E198" s="261"/>
      <c r="F198" s="261"/>
      <c r="G198" s="261"/>
      <c r="H198" s="261"/>
      <c r="I198" s="261"/>
      <c r="J198" s="261"/>
    </row>
    <row r="199">
      <c r="A199" s="155"/>
      <c r="B199" s="261"/>
      <c r="C199" s="261"/>
      <c r="D199" s="261"/>
      <c r="E199" s="261"/>
      <c r="F199" s="261"/>
      <c r="G199" s="261"/>
      <c r="H199" s="261"/>
      <c r="I199" s="261"/>
      <c r="J199" s="261"/>
    </row>
    <row r="200">
      <c r="A200" s="162"/>
      <c r="B200" s="261"/>
      <c r="C200" s="261"/>
      <c r="D200" s="261"/>
      <c r="E200" s="261"/>
      <c r="F200" s="261"/>
      <c r="G200" s="261"/>
      <c r="H200" s="261"/>
      <c r="I200" s="261"/>
      <c r="J200" s="261"/>
    </row>
    <row r="201">
      <c r="A201" s="150" t="str">
        <f t="array" ref="A201:A250">'Up Names'!E2:E51</f>
        <v>Big Fat Doobie</v>
      </c>
      <c r="B201" s="204">
        <v>1.0</v>
      </c>
      <c r="C201" s="204">
        <v>141.0</v>
      </c>
      <c r="D201" s="204">
        <v>0.4</v>
      </c>
      <c r="E201" s="262">
        <v>1.1</v>
      </c>
      <c r="F201" s="262">
        <v>1.1</v>
      </c>
      <c r="G201" s="265">
        <v>-0.5833</v>
      </c>
      <c r="H201" s="262">
        <v>-0.17</v>
      </c>
      <c r="I201" s="266">
        <v>-0.74</v>
      </c>
      <c r="J201" s="261"/>
    </row>
    <row r="202">
      <c r="A202" s="153" t="s">
        <v>154</v>
      </c>
      <c r="B202" s="206">
        <v>28.0</v>
      </c>
      <c r="C202" s="261"/>
      <c r="D202" s="261"/>
      <c r="E202" s="261"/>
      <c r="F202" s="261"/>
      <c r="G202" s="261"/>
      <c r="H202" s="261"/>
      <c r="I202" s="261"/>
      <c r="J202" s="261"/>
    </row>
    <row r="203">
      <c r="A203" s="155" t="s">
        <v>174</v>
      </c>
      <c r="B203" s="262">
        <v>0.89</v>
      </c>
      <c r="C203" s="204">
        <v>1.0</v>
      </c>
      <c r="D203" s="269"/>
      <c r="E203" s="269"/>
      <c r="F203" s="268"/>
      <c r="G203" s="261"/>
      <c r="H203" s="261"/>
      <c r="I203" s="261"/>
      <c r="J203" s="261"/>
    </row>
    <row r="204">
      <c r="A204" s="153" t="s">
        <v>194</v>
      </c>
      <c r="B204" s="205">
        <v>3.4</v>
      </c>
      <c r="C204" s="205" t="s">
        <v>2313</v>
      </c>
      <c r="D204" s="261"/>
      <c r="E204" s="261"/>
      <c r="F204" s="261"/>
      <c r="G204" s="261"/>
      <c r="H204" s="261"/>
      <c r="I204" s="261"/>
      <c r="J204" s="261"/>
    </row>
    <row r="205">
      <c r="A205" s="155" t="s">
        <v>214</v>
      </c>
      <c r="B205" s="204">
        <v>0.33</v>
      </c>
      <c r="C205" s="204">
        <v>145.0</v>
      </c>
      <c r="D205" s="262">
        <v>2.5</v>
      </c>
      <c r="E205" s="261"/>
      <c r="F205" s="261"/>
      <c r="G205" s="261"/>
      <c r="H205" s="261"/>
      <c r="I205" s="261"/>
      <c r="J205" s="261"/>
    </row>
    <row r="206">
      <c r="A206" s="153" t="s">
        <v>233</v>
      </c>
      <c r="B206" s="264">
        <v>-0.99</v>
      </c>
      <c r="C206" s="264">
        <v>1.0</v>
      </c>
      <c r="D206" s="205">
        <v>4.0</v>
      </c>
      <c r="E206" s="261"/>
      <c r="F206" s="268"/>
      <c r="G206" s="269"/>
      <c r="H206" s="261"/>
      <c r="I206" s="261"/>
      <c r="J206" s="261"/>
    </row>
    <row r="207">
      <c r="A207" s="155" t="s">
        <v>253</v>
      </c>
      <c r="B207" s="208">
        <v>2.0</v>
      </c>
      <c r="C207" s="204">
        <v>25.0</v>
      </c>
      <c r="D207" s="261"/>
      <c r="E207" s="261"/>
      <c r="F207" s="261"/>
      <c r="G207" s="261"/>
      <c r="H207" s="261"/>
      <c r="I207" s="261"/>
      <c r="J207" s="261"/>
    </row>
    <row r="208">
      <c r="A208" s="153" t="s">
        <v>273</v>
      </c>
      <c r="B208" s="263">
        <v>-0.6169</v>
      </c>
      <c r="C208" s="261"/>
      <c r="D208" s="261"/>
      <c r="E208" s="261"/>
      <c r="F208" s="261"/>
      <c r="G208" s="261"/>
      <c r="H208" s="261"/>
      <c r="I208" s="261"/>
      <c r="J208" s="261"/>
    </row>
    <row r="209">
      <c r="A209" s="155" t="s">
        <v>293</v>
      </c>
      <c r="B209" s="208">
        <v>2.0</v>
      </c>
      <c r="C209" s="261"/>
      <c r="D209" s="261"/>
      <c r="E209" s="261"/>
      <c r="F209" s="261"/>
      <c r="G209" s="261"/>
      <c r="H209" s="261"/>
      <c r="I209" s="261"/>
      <c r="J209" s="261"/>
    </row>
    <row r="210">
      <c r="A210" s="153" t="s">
        <v>313</v>
      </c>
      <c r="B210" s="206">
        <v>4.2</v>
      </c>
      <c r="C210" s="269"/>
      <c r="D210" s="269"/>
      <c r="E210" s="269"/>
      <c r="F210" s="269"/>
      <c r="G210" s="261"/>
      <c r="H210" s="261"/>
      <c r="I210" s="261"/>
      <c r="J210" s="261"/>
    </row>
    <row r="211">
      <c r="A211" s="155" t="s">
        <v>333</v>
      </c>
      <c r="B211" s="208">
        <v>4.0</v>
      </c>
      <c r="C211" s="204">
        <v>91.0</v>
      </c>
      <c r="D211" s="204">
        <v>6.36</v>
      </c>
      <c r="E211" s="261"/>
      <c r="F211" s="261"/>
      <c r="G211" s="261"/>
      <c r="H211" s="261"/>
      <c r="I211" s="261"/>
      <c r="J211" s="261"/>
    </row>
    <row r="212">
      <c r="A212" s="153" t="s">
        <v>353</v>
      </c>
      <c r="B212" s="206">
        <v>3.2</v>
      </c>
      <c r="C212" s="261"/>
      <c r="D212" s="261"/>
      <c r="E212" s="261"/>
      <c r="F212" s="261"/>
      <c r="G212" s="261"/>
      <c r="H212" s="261"/>
      <c r="I212" s="261"/>
      <c r="J212" s="261"/>
    </row>
    <row r="213">
      <c r="A213" s="155" t="s">
        <v>376</v>
      </c>
      <c r="B213" s="208">
        <v>1.15</v>
      </c>
      <c r="C213" s="269"/>
      <c r="D213" s="269"/>
      <c r="E213" s="261"/>
      <c r="F213" s="261"/>
      <c r="G213" s="261"/>
      <c r="H213" s="261"/>
      <c r="I213" s="261"/>
      <c r="J213" s="261"/>
    </row>
    <row r="214">
      <c r="A214" s="153" t="s">
        <v>399</v>
      </c>
      <c r="B214" s="206">
        <v>6.0</v>
      </c>
      <c r="C214" s="206">
        <v>0.61</v>
      </c>
      <c r="D214" s="261"/>
      <c r="E214" s="261"/>
      <c r="F214" s="261"/>
      <c r="G214" s="261"/>
      <c r="H214" s="261"/>
      <c r="I214" s="261"/>
      <c r="J214" s="261"/>
    </row>
    <row r="215">
      <c r="A215" s="155" t="s">
        <v>428</v>
      </c>
      <c r="B215" s="204">
        <v>2.18</v>
      </c>
      <c r="C215" s="261"/>
      <c r="D215" s="261"/>
      <c r="E215" s="261"/>
      <c r="F215" s="261"/>
      <c r="G215" s="261"/>
      <c r="H215" s="261"/>
      <c r="I215" s="261"/>
      <c r="J215" s="261"/>
    </row>
    <row r="216">
      <c r="A216" s="153" t="s">
        <v>456</v>
      </c>
      <c r="B216" s="205">
        <v>5.0</v>
      </c>
      <c r="C216" s="261"/>
      <c r="D216" s="261"/>
      <c r="E216" s="261"/>
      <c r="F216" s="261"/>
      <c r="G216" s="261"/>
      <c r="H216" s="261"/>
      <c r="I216" s="261"/>
      <c r="J216" s="261"/>
    </row>
    <row r="217">
      <c r="A217" s="155" t="s">
        <v>485</v>
      </c>
      <c r="B217" s="262">
        <v>-0.2</v>
      </c>
      <c r="C217" s="262">
        <v>-0.2</v>
      </c>
      <c r="D217" s="262">
        <v>-0.09</v>
      </c>
      <c r="E217" s="261"/>
      <c r="F217" s="261"/>
      <c r="G217" s="261"/>
      <c r="H217" s="261"/>
      <c r="I217" s="261"/>
      <c r="J217" s="261"/>
    </row>
    <row r="218">
      <c r="A218" s="153" t="s">
        <v>510</v>
      </c>
      <c r="B218" s="205">
        <v>24.0</v>
      </c>
      <c r="C218" s="206">
        <v>3.0</v>
      </c>
      <c r="D218" s="269"/>
      <c r="E218" s="261"/>
      <c r="F218" s="261"/>
      <c r="G218" s="261"/>
      <c r="H218" s="261"/>
      <c r="I218" s="261"/>
      <c r="J218" s="261"/>
    </row>
    <row r="219">
      <c r="A219" s="155" t="s">
        <v>531</v>
      </c>
      <c r="B219" s="204">
        <v>30.0</v>
      </c>
      <c r="C219" s="261"/>
      <c r="D219" s="261"/>
      <c r="E219" s="261"/>
      <c r="F219" s="261"/>
      <c r="G219" s="261"/>
      <c r="H219" s="261"/>
      <c r="I219" s="261"/>
      <c r="J219" s="261"/>
    </row>
    <row r="220">
      <c r="A220" s="153" t="s">
        <v>550</v>
      </c>
      <c r="B220" s="205">
        <v>24.0</v>
      </c>
      <c r="C220" s="205">
        <v>3.0</v>
      </c>
      <c r="D220" s="261"/>
      <c r="E220" s="261"/>
      <c r="F220" s="261"/>
      <c r="G220" s="261"/>
      <c r="H220" s="261"/>
      <c r="I220" s="261"/>
      <c r="J220" s="261"/>
    </row>
    <row r="221">
      <c r="A221" s="155" t="s">
        <v>574</v>
      </c>
      <c r="B221" s="265">
        <v>0.3175</v>
      </c>
      <c r="C221" s="265">
        <v>-0.6063</v>
      </c>
      <c r="D221" s="261"/>
      <c r="E221" s="261"/>
      <c r="F221" s="261"/>
      <c r="G221" s="261"/>
      <c r="H221" s="261"/>
      <c r="I221" s="261"/>
      <c r="J221" s="261"/>
    </row>
    <row r="222">
      <c r="A222" s="153" t="s">
        <v>596</v>
      </c>
      <c r="B222" s="264">
        <v>0.57</v>
      </c>
      <c r="C222" s="264">
        <v>0.5</v>
      </c>
      <c r="D222" s="264">
        <v>0.12</v>
      </c>
      <c r="E222" s="205">
        <v>3.35</v>
      </c>
      <c r="F222" s="261"/>
      <c r="G222" s="261"/>
      <c r="H222" s="261"/>
      <c r="I222" s="261"/>
      <c r="J222" s="261"/>
    </row>
    <row r="223">
      <c r="A223" s="155" t="s">
        <v>617</v>
      </c>
      <c r="B223" s="272">
        <v>0.174</v>
      </c>
      <c r="C223" s="262">
        <v>1.5</v>
      </c>
      <c r="D223" s="261"/>
      <c r="E223" s="261"/>
      <c r="F223" s="261"/>
      <c r="G223" s="261"/>
      <c r="H223" s="261"/>
      <c r="I223" s="261"/>
      <c r="J223" s="261"/>
    </row>
    <row r="224">
      <c r="A224" s="153" t="s">
        <v>643</v>
      </c>
      <c r="B224" s="205">
        <v>2.4</v>
      </c>
      <c r="C224" s="206">
        <v>13.0</v>
      </c>
      <c r="D224" s="261"/>
      <c r="E224" s="261"/>
      <c r="F224" s="261"/>
      <c r="G224" s="261"/>
      <c r="H224" s="261"/>
      <c r="I224" s="261"/>
      <c r="J224" s="261"/>
    </row>
    <row r="225">
      <c r="A225" s="155" t="s">
        <v>661</v>
      </c>
      <c r="B225" s="204">
        <v>0.42</v>
      </c>
      <c r="C225" s="262">
        <v>2.3</v>
      </c>
      <c r="D225" s="261"/>
      <c r="E225" s="261"/>
      <c r="F225" s="261"/>
      <c r="G225" s="261"/>
      <c r="H225" s="261"/>
      <c r="I225" s="261"/>
      <c r="J225" s="261"/>
    </row>
    <row r="226">
      <c r="A226" s="153" t="s">
        <v>676</v>
      </c>
      <c r="B226" s="271">
        <v>-0.7</v>
      </c>
      <c r="C226" s="205">
        <v>2.0</v>
      </c>
      <c r="D226" s="205">
        <v>12.0</v>
      </c>
      <c r="E226" s="261"/>
      <c r="F226" s="261"/>
      <c r="G226" s="261"/>
      <c r="H226" s="261"/>
      <c r="I226" s="261"/>
      <c r="J226" s="261"/>
    </row>
    <row r="227">
      <c r="A227" s="155" t="s">
        <v>690</v>
      </c>
      <c r="B227" s="204">
        <v>25.0</v>
      </c>
      <c r="C227" s="269"/>
      <c r="D227" s="261"/>
      <c r="E227" s="261"/>
      <c r="F227" s="261"/>
      <c r="G227" s="261"/>
      <c r="H227" s="261"/>
      <c r="I227" s="261"/>
      <c r="J227" s="261"/>
    </row>
    <row r="228">
      <c r="A228" s="153" t="s">
        <v>708</v>
      </c>
      <c r="B228" s="206">
        <v>44.0</v>
      </c>
      <c r="C228" s="261"/>
      <c r="D228" s="261"/>
      <c r="E228" s="261"/>
      <c r="F228" s="261"/>
      <c r="G228" s="261"/>
      <c r="H228" s="261"/>
      <c r="I228" s="261"/>
      <c r="J228" s="261"/>
    </row>
    <row r="229">
      <c r="A229" s="155" t="s">
        <v>727</v>
      </c>
      <c r="B229" s="204">
        <v>12.0</v>
      </c>
      <c r="C229" s="261"/>
      <c r="D229" s="261"/>
      <c r="E229" s="261"/>
      <c r="F229" s="261"/>
      <c r="G229" s="261"/>
      <c r="H229" s="261"/>
      <c r="I229" s="261"/>
      <c r="J229" s="261"/>
    </row>
    <row r="230">
      <c r="A230" s="153" t="s">
        <v>744</v>
      </c>
      <c r="B230" s="205">
        <v>2.0</v>
      </c>
      <c r="C230" s="261"/>
      <c r="D230" s="261"/>
      <c r="E230" s="261"/>
      <c r="F230" s="261"/>
      <c r="G230" s="261"/>
      <c r="H230" s="261"/>
      <c r="I230" s="261"/>
      <c r="J230" s="261"/>
    </row>
    <row r="231">
      <c r="A231" s="155" t="s">
        <v>761</v>
      </c>
      <c r="B231" s="262">
        <v>0.2</v>
      </c>
      <c r="C231" s="261"/>
      <c r="D231" s="261"/>
      <c r="E231" s="261"/>
      <c r="F231" s="261"/>
      <c r="G231" s="261"/>
      <c r="H231" s="261"/>
      <c r="I231" s="261"/>
      <c r="J231" s="261"/>
    </row>
    <row r="232">
      <c r="A232" s="153" t="s">
        <v>503</v>
      </c>
      <c r="B232" s="261"/>
      <c r="C232" s="261"/>
      <c r="D232" s="261"/>
      <c r="E232" s="261"/>
      <c r="F232" s="261"/>
      <c r="G232" s="261"/>
      <c r="H232" s="261"/>
      <c r="I232" s="261"/>
      <c r="J232" s="261"/>
    </row>
    <row r="233">
      <c r="A233" s="155" t="s">
        <v>511</v>
      </c>
      <c r="B233" s="261"/>
      <c r="C233" s="261"/>
      <c r="D233" s="261"/>
      <c r="E233" s="261"/>
      <c r="F233" s="261"/>
      <c r="G233" s="261"/>
      <c r="H233" s="261"/>
      <c r="I233" s="261"/>
      <c r="J233" s="261"/>
    </row>
    <row r="234">
      <c r="A234" s="153" t="s">
        <v>516</v>
      </c>
      <c r="B234" s="269"/>
      <c r="C234" s="261"/>
      <c r="D234" s="261"/>
      <c r="E234" s="261"/>
      <c r="F234" s="261"/>
      <c r="G234" s="261"/>
      <c r="H234" s="261"/>
      <c r="I234" s="261"/>
      <c r="J234" s="261"/>
    </row>
    <row r="235">
      <c r="A235" s="155"/>
      <c r="B235" s="261"/>
      <c r="C235" s="261"/>
      <c r="D235" s="261"/>
      <c r="E235" s="261"/>
      <c r="F235" s="261"/>
      <c r="G235" s="261"/>
      <c r="H235" s="261"/>
      <c r="I235" s="261"/>
      <c r="J235" s="261"/>
    </row>
    <row r="236">
      <c r="A236" s="153"/>
      <c r="B236" s="269"/>
      <c r="C236" s="261"/>
      <c r="D236" s="261"/>
      <c r="E236" s="261"/>
      <c r="F236" s="261"/>
      <c r="G236" s="261"/>
      <c r="H236" s="261"/>
      <c r="I236" s="261"/>
      <c r="J236" s="261"/>
    </row>
    <row r="237">
      <c r="A237" s="155"/>
      <c r="B237" s="261"/>
      <c r="C237" s="261"/>
      <c r="D237" s="261"/>
      <c r="E237" s="261"/>
      <c r="F237" s="261"/>
      <c r="G237" s="261"/>
      <c r="H237" s="261"/>
      <c r="I237" s="261"/>
      <c r="J237" s="261"/>
    </row>
    <row r="238">
      <c r="A238" s="153"/>
      <c r="B238" s="261"/>
      <c r="C238" s="261"/>
      <c r="D238" s="261"/>
      <c r="E238" s="261"/>
      <c r="F238" s="261"/>
      <c r="G238" s="261"/>
      <c r="H238" s="261"/>
      <c r="I238" s="261"/>
      <c r="J238" s="261"/>
    </row>
    <row r="239">
      <c r="A239" s="155"/>
      <c r="B239" s="269"/>
      <c r="C239" s="269"/>
      <c r="D239" s="269"/>
      <c r="E239" s="261"/>
      <c r="F239" s="261"/>
      <c r="G239" s="261"/>
      <c r="H239" s="261"/>
      <c r="I239" s="261"/>
      <c r="J239" s="261"/>
    </row>
    <row r="240">
      <c r="A240" s="153"/>
      <c r="B240" s="261"/>
      <c r="C240" s="261"/>
      <c r="D240" s="261"/>
      <c r="E240" s="261"/>
      <c r="F240" s="261"/>
      <c r="G240" s="261"/>
      <c r="H240" s="261"/>
      <c r="I240" s="261"/>
      <c r="J240" s="261"/>
    </row>
    <row r="241">
      <c r="A241" s="155"/>
      <c r="B241" s="269"/>
      <c r="C241" s="269"/>
      <c r="D241" s="261"/>
      <c r="E241" s="261"/>
      <c r="F241" s="261"/>
      <c r="G241" s="261"/>
      <c r="H241" s="261"/>
      <c r="I241" s="261"/>
      <c r="J241" s="261"/>
    </row>
    <row r="242">
      <c r="A242" s="258"/>
      <c r="B242" s="269"/>
      <c r="C242" s="261"/>
      <c r="D242" s="261"/>
      <c r="E242" s="261"/>
      <c r="F242" s="261"/>
      <c r="G242" s="261"/>
      <c r="H242" s="261"/>
      <c r="I242" s="261"/>
      <c r="J242" s="261"/>
    </row>
    <row r="243">
      <c r="A243" s="155"/>
      <c r="B243" s="269"/>
      <c r="C243" s="261"/>
      <c r="D243" s="261"/>
      <c r="E243" s="261"/>
      <c r="F243" s="261"/>
      <c r="G243" s="261"/>
      <c r="H243" s="261"/>
      <c r="I243" s="261"/>
      <c r="J243" s="261"/>
    </row>
    <row r="244">
      <c r="A244" s="153"/>
      <c r="B244" s="261"/>
      <c r="C244" s="261"/>
      <c r="D244" s="261"/>
      <c r="E244" s="261"/>
      <c r="F244" s="261"/>
      <c r="G244" s="261"/>
      <c r="H244" s="261"/>
      <c r="I244" s="261"/>
      <c r="J244" s="261"/>
    </row>
    <row r="245">
      <c r="A245" s="155"/>
      <c r="B245" s="269"/>
      <c r="C245" s="261"/>
      <c r="D245" s="261"/>
      <c r="E245" s="261"/>
      <c r="F245" s="261"/>
      <c r="G245" s="261"/>
      <c r="H245" s="261"/>
      <c r="I245" s="261"/>
      <c r="J245" s="261"/>
    </row>
    <row r="246">
      <c r="A246" s="153"/>
      <c r="B246" s="269"/>
      <c r="C246" s="261"/>
      <c r="D246" s="261"/>
      <c r="E246" s="261"/>
      <c r="F246" s="261"/>
      <c r="G246" s="261"/>
      <c r="H246" s="261"/>
      <c r="I246" s="261"/>
      <c r="J246" s="261"/>
    </row>
    <row r="247">
      <c r="A247" s="155"/>
      <c r="B247" s="269"/>
      <c r="C247" s="261"/>
      <c r="D247" s="261"/>
      <c r="E247" s="261"/>
      <c r="F247" s="261"/>
      <c r="G247" s="261"/>
      <c r="H247" s="261"/>
      <c r="I247" s="261"/>
      <c r="J247" s="261"/>
    </row>
    <row r="248">
      <c r="A248" s="153"/>
      <c r="B248" s="261"/>
      <c r="C248" s="261"/>
      <c r="D248" s="261"/>
      <c r="E248" s="261"/>
      <c r="F248" s="261"/>
      <c r="G248" s="261"/>
      <c r="H248" s="261"/>
      <c r="I248" s="261"/>
      <c r="J248" s="261"/>
    </row>
    <row r="249">
      <c r="A249" s="155"/>
      <c r="B249" s="269"/>
      <c r="C249" s="269"/>
      <c r="D249" s="261"/>
      <c r="E249" s="261"/>
      <c r="F249" s="261"/>
      <c r="G249" s="261"/>
      <c r="H249" s="261"/>
      <c r="I249" s="261"/>
      <c r="J249" s="261"/>
    </row>
    <row r="250">
      <c r="A250" s="162"/>
      <c r="B250" s="269"/>
      <c r="C250" s="261"/>
      <c r="D250" s="261"/>
      <c r="E250" s="261"/>
      <c r="F250" s="261"/>
      <c r="G250" s="261"/>
      <c r="H250" s="261"/>
      <c r="I250" s="261"/>
      <c r="J250" s="261"/>
    </row>
    <row r="251">
      <c r="A251" s="150" t="str">
        <f t="array" ref="A251:A300">'Up Names'!F2:F51</f>
        <v>Return to Receiver</v>
      </c>
      <c r="B251" s="262">
        <v>-0.5</v>
      </c>
      <c r="C251" s="261"/>
      <c r="D251" s="261"/>
      <c r="E251" s="261"/>
      <c r="F251" s="261"/>
      <c r="G251" s="261"/>
      <c r="H251" s="261"/>
      <c r="I251" s="261"/>
      <c r="J251" s="261"/>
    </row>
    <row r="252">
      <c r="A252" s="153" t="s">
        <v>155</v>
      </c>
      <c r="B252" s="205">
        <v>18.0</v>
      </c>
      <c r="C252" s="261"/>
      <c r="D252" s="261"/>
      <c r="E252" s="261"/>
      <c r="F252" s="261"/>
      <c r="G252" s="261"/>
      <c r="H252" s="261"/>
      <c r="I252" s="261"/>
      <c r="J252" s="261"/>
    </row>
    <row r="253">
      <c r="A253" s="155" t="s">
        <v>175</v>
      </c>
      <c r="B253" s="208">
        <v>3.0</v>
      </c>
      <c r="C253" s="269"/>
      <c r="D253" s="269"/>
      <c r="E253" s="261"/>
      <c r="F253" s="261"/>
      <c r="G253" s="261"/>
      <c r="H253" s="261"/>
      <c r="I253" s="261"/>
      <c r="J253" s="261"/>
    </row>
    <row r="254">
      <c r="A254" s="153" t="s">
        <v>195</v>
      </c>
      <c r="B254" s="266">
        <v>0.52</v>
      </c>
      <c r="C254" s="270">
        <v>0.3</v>
      </c>
      <c r="D254" s="261"/>
      <c r="E254" s="261"/>
      <c r="F254" s="261"/>
      <c r="G254" s="261"/>
      <c r="H254" s="261"/>
      <c r="I254" s="261"/>
      <c r="J254" s="261"/>
    </row>
    <row r="255">
      <c r="A255" s="155" t="s">
        <v>215</v>
      </c>
      <c r="B255" s="208">
        <v>0.4</v>
      </c>
      <c r="C255" s="204">
        <v>43.0</v>
      </c>
      <c r="D255" s="204">
        <v>22.0</v>
      </c>
      <c r="E255" s="204">
        <v>1.0</v>
      </c>
      <c r="F255" s="261"/>
      <c r="G255" s="261"/>
      <c r="H255" s="261"/>
      <c r="I255" s="261"/>
      <c r="J255" s="261"/>
    </row>
    <row r="256">
      <c r="A256" s="153" t="s">
        <v>234</v>
      </c>
      <c r="B256" s="205">
        <v>3.0</v>
      </c>
      <c r="C256" s="261"/>
      <c r="D256" s="261"/>
      <c r="E256" s="261"/>
      <c r="F256" s="261"/>
      <c r="G256" s="261"/>
      <c r="H256" s="261"/>
      <c r="I256" s="261"/>
      <c r="J256" s="261"/>
    </row>
    <row r="257">
      <c r="A257" s="155" t="s">
        <v>254</v>
      </c>
      <c r="B257" s="265">
        <v>0.032</v>
      </c>
      <c r="C257" s="268"/>
      <c r="D257" s="261"/>
      <c r="E257" s="261"/>
      <c r="F257" s="261"/>
      <c r="G257" s="261"/>
      <c r="H257" s="261"/>
      <c r="I257" s="261"/>
      <c r="J257" s="261"/>
    </row>
    <row r="258">
      <c r="A258" s="153" t="s">
        <v>274</v>
      </c>
      <c r="B258" s="264">
        <v>0.5</v>
      </c>
      <c r="C258" s="264">
        <v>0.78</v>
      </c>
      <c r="D258" s="269"/>
      <c r="E258" s="261"/>
      <c r="F258" s="261"/>
      <c r="G258" s="261"/>
      <c r="H258" s="261"/>
      <c r="I258" s="261"/>
      <c r="J258" s="261"/>
    </row>
    <row r="259">
      <c r="A259" s="155" t="s">
        <v>294</v>
      </c>
      <c r="B259" s="268"/>
      <c r="C259" s="269"/>
      <c r="D259" s="261"/>
      <c r="E259" s="261"/>
      <c r="F259" s="261"/>
      <c r="G259" s="261"/>
      <c r="H259" s="261"/>
      <c r="I259" s="261"/>
      <c r="J259" s="261"/>
    </row>
    <row r="260">
      <c r="A260" s="153" t="s">
        <v>314</v>
      </c>
      <c r="B260" s="205">
        <v>8.5</v>
      </c>
      <c r="C260" s="261"/>
      <c r="D260" s="261"/>
      <c r="E260" s="261"/>
      <c r="F260" s="261"/>
      <c r="G260" s="261"/>
      <c r="H260" s="261"/>
      <c r="I260" s="261"/>
      <c r="J260" s="261"/>
    </row>
    <row r="261">
      <c r="A261" s="155" t="s">
        <v>334</v>
      </c>
      <c r="B261" s="204">
        <v>5.0</v>
      </c>
      <c r="C261" s="208">
        <v>5.0</v>
      </c>
      <c r="D261" s="261"/>
      <c r="E261" s="261"/>
      <c r="F261" s="261"/>
      <c r="G261" s="261"/>
      <c r="H261" s="261"/>
      <c r="I261" s="261"/>
      <c r="J261" s="261"/>
    </row>
    <row r="262">
      <c r="A262" s="153" t="s">
        <v>354</v>
      </c>
      <c r="B262" s="267">
        <v>0.667</v>
      </c>
      <c r="C262" s="205">
        <v>7.0</v>
      </c>
      <c r="D262" s="264">
        <v>-0.3</v>
      </c>
      <c r="E262" s="264">
        <v>-0.4</v>
      </c>
      <c r="F262" s="264">
        <v>-0.4</v>
      </c>
      <c r="G262" s="264">
        <v>-0.35</v>
      </c>
      <c r="H262" s="261"/>
      <c r="I262" s="261"/>
      <c r="J262" s="261"/>
    </row>
    <row r="263">
      <c r="A263" s="155" t="s">
        <v>378</v>
      </c>
      <c r="B263" s="204">
        <v>4.0</v>
      </c>
      <c r="C263" s="204">
        <v>21.0</v>
      </c>
      <c r="D263" s="261"/>
      <c r="E263" s="261"/>
      <c r="F263" s="261"/>
      <c r="G263" s="261"/>
      <c r="H263" s="261"/>
      <c r="I263" s="261"/>
      <c r="J263" s="261"/>
    </row>
    <row r="264">
      <c r="A264" s="153" t="s">
        <v>400</v>
      </c>
      <c r="B264" s="206">
        <v>0.1</v>
      </c>
      <c r="C264" s="261"/>
      <c r="D264" s="261"/>
      <c r="E264" s="261"/>
      <c r="F264" s="261"/>
      <c r="G264" s="261"/>
      <c r="H264" s="261"/>
      <c r="I264" s="261"/>
      <c r="J264" s="261"/>
    </row>
    <row r="265">
      <c r="A265" s="155" t="s">
        <v>429</v>
      </c>
      <c r="B265" s="262">
        <v>0.2</v>
      </c>
      <c r="C265" s="265">
        <v>0.4286</v>
      </c>
      <c r="D265" s="261"/>
      <c r="E265" s="261"/>
      <c r="F265" s="261"/>
      <c r="G265" s="261"/>
      <c r="H265" s="261"/>
      <c r="I265" s="261"/>
      <c r="J265" s="261"/>
    </row>
    <row r="266">
      <c r="A266" s="153" t="s">
        <v>457</v>
      </c>
      <c r="B266" s="261"/>
      <c r="C266" s="261"/>
      <c r="D266" s="261"/>
      <c r="E266" s="261"/>
      <c r="F266" s="261"/>
      <c r="G266" s="261"/>
      <c r="H266" s="261"/>
      <c r="I266" s="261"/>
      <c r="J266" s="261"/>
    </row>
    <row r="267">
      <c r="A267" s="155" t="s">
        <v>487</v>
      </c>
      <c r="B267" s="208">
        <v>2.0</v>
      </c>
      <c r="C267" s="204">
        <v>20.0</v>
      </c>
      <c r="D267" s="261"/>
      <c r="E267" s="261"/>
      <c r="F267" s="261"/>
      <c r="G267" s="261"/>
      <c r="H267" s="261"/>
      <c r="I267" s="261"/>
      <c r="J267" s="261"/>
    </row>
    <row r="268">
      <c r="A268" s="153" t="s">
        <v>512</v>
      </c>
      <c r="B268" s="205">
        <v>10.0</v>
      </c>
      <c r="C268" s="269"/>
      <c r="D268" s="261"/>
      <c r="E268" s="261"/>
      <c r="F268" s="261"/>
      <c r="G268" s="261"/>
      <c r="H268" s="261"/>
      <c r="I268" s="261"/>
      <c r="J268" s="261"/>
    </row>
    <row r="269">
      <c r="A269" s="155" t="s">
        <v>532</v>
      </c>
      <c r="B269" s="208">
        <v>10.0</v>
      </c>
      <c r="C269" s="261"/>
      <c r="D269" s="261"/>
      <c r="E269" s="261"/>
      <c r="F269" s="261"/>
      <c r="G269" s="261"/>
      <c r="H269" s="261"/>
      <c r="I269" s="261"/>
      <c r="J269" s="261"/>
    </row>
    <row r="270">
      <c r="A270" s="153" t="s">
        <v>551</v>
      </c>
      <c r="B270" s="264">
        <v>0.3</v>
      </c>
      <c r="C270" s="205">
        <v>2.0</v>
      </c>
      <c r="D270" s="206">
        <v>1.61</v>
      </c>
      <c r="E270" s="268"/>
      <c r="F270" s="269"/>
      <c r="G270" s="261"/>
      <c r="H270" s="261"/>
      <c r="I270" s="261"/>
      <c r="J270" s="261"/>
    </row>
    <row r="271">
      <c r="A271" s="155" t="s">
        <v>575</v>
      </c>
      <c r="B271" s="262">
        <v>0.34</v>
      </c>
      <c r="C271" s="261"/>
      <c r="D271" s="261"/>
      <c r="E271" s="261"/>
      <c r="F271" s="261"/>
      <c r="G271" s="261"/>
      <c r="H271" s="261"/>
      <c r="I271" s="261"/>
      <c r="J271" s="261"/>
    </row>
    <row r="272">
      <c r="A272" s="153" t="s">
        <v>598</v>
      </c>
      <c r="B272" s="264">
        <v>1.25</v>
      </c>
      <c r="C272" s="261"/>
      <c r="D272" s="261"/>
      <c r="E272" s="261"/>
      <c r="F272" s="261"/>
      <c r="G272" s="261"/>
      <c r="H272" s="261"/>
      <c r="I272" s="261"/>
      <c r="J272" s="261"/>
    </row>
    <row r="273">
      <c r="A273" s="155" t="s">
        <v>619</v>
      </c>
      <c r="B273" s="262">
        <v>1.25</v>
      </c>
      <c r="C273" s="261"/>
      <c r="D273" s="261"/>
      <c r="E273" s="261"/>
      <c r="F273" s="261"/>
      <c r="G273" s="261"/>
      <c r="H273" s="261"/>
      <c r="I273" s="261"/>
      <c r="J273" s="261"/>
    </row>
    <row r="274">
      <c r="A274" s="153" t="s">
        <v>644</v>
      </c>
      <c r="B274" s="205">
        <v>50.0</v>
      </c>
      <c r="C274" s="264">
        <v>-0.08</v>
      </c>
      <c r="D274" s="205">
        <v>1.2</v>
      </c>
      <c r="E274" s="261"/>
      <c r="F274" s="261"/>
      <c r="G274" s="261"/>
      <c r="H274" s="261"/>
      <c r="I274" s="261"/>
      <c r="J274" s="261"/>
    </row>
    <row r="275">
      <c r="A275" s="155" t="s">
        <v>662</v>
      </c>
      <c r="B275" s="208">
        <v>40.0</v>
      </c>
      <c r="C275" s="204">
        <v>150.0</v>
      </c>
      <c r="D275" s="204">
        <v>3.0</v>
      </c>
      <c r="E275" s="261"/>
      <c r="F275" s="261"/>
      <c r="G275" s="261"/>
      <c r="H275" s="261"/>
      <c r="I275" s="261"/>
      <c r="J275" s="261"/>
    </row>
    <row r="276">
      <c r="A276" s="153" t="s">
        <v>677</v>
      </c>
      <c r="B276" s="264">
        <v>0.45</v>
      </c>
      <c r="C276" s="205">
        <v>20.0</v>
      </c>
      <c r="D276" s="205">
        <v>20.0</v>
      </c>
      <c r="E276" s="261"/>
      <c r="F276" s="261"/>
      <c r="G276" s="261"/>
      <c r="H276" s="261"/>
      <c r="I276" s="261"/>
      <c r="J276" s="261"/>
    </row>
    <row r="277">
      <c r="A277" s="155" t="s">
        <v>691</v>
      </c>
      <c r="B277" s="204">
        <v>5.2</v>
      </c>
      <c r="C277" s="262">
        <v>-0.74</v>
      </c>
      <c r="D277" s="261"/>
      <c r="E277" s="261"/>
      <c r="F277" s="261"/>
      <c r="G277" s="261"/>
      <c r="H277" s="261"/>
      <c r="I277" s="261"/>
      <c r="J277" s="261"/>
    </row>
    <row r="278">
      <c r="A278" s="153" t="s">
        <v>709</v>
      </c>
      <c r="B278" s="264">
        <v>0.3</v>
      </c>
      <c r="C278" s="264">
        <v>-0.4</v>
      </c>
      <c r="D278" s="261"/>
      <c r="E278" s="261"/>
      <c r="F278" s="261"/>
      <c r="G278" s="261"/>
      <c r="H278" s="261"/>
      <c r="I278" s="261"/>
      <c r="J278" s="261"/>
    </row>
    <row r="279">
      <c r="A279" s="155" t="s">
        <v>728</v>
      </c>
      <c r="B279" s="208">
        <v>20.0</v>
      </c>
      <c r="C279" s="261"/>
      <c r="D279" s="261"/>
      <c r="E279" s="261"/>
      <c r="F279" s="261"/>
      <c r="G279" s="261"/>
      <c r="H279" s="261"/>
      <c r="I279" s="261"/>
      <c r="J279" s="261"/>
    </row>
    <row r="280">
      <c r="A280" s="153" t="s">
        <v>746</v>
      </c>
      <c r="B280" s="264">
        <v>0.12</v>
      </c>
      <c r="C280" s="261"/>
      <c r="D280" s="261"/>
      <c r="E280" s="261"/>
      <c r="F280" s="261"/>
      <c r="G280" s="261"/>
      <c r="H280" s="261"/>
      <c r="I280" s="261"/>
      <c r="J280" s="261"/>
    </row>
    <row r="281">
      <c r="A281" s="155" t="s">
        <v>503</v>
      </c>
      <c r="B281" s="269"/>
      <c r="C281" s="269"/>
      <c r="D281" s="261"/>
      <c r="E281" s="261"/>
      <c r="F281" s="261"/>
      <c r="G281" s="261"/>
      <c r="H281" s="261"/>
      <c r="I281" s="261"/>
      <c r="J281" s="261"/>
    </row>
    <row r="282">
      <c r="A282" s="153" t="s">
        <v>511</v>
      </c>
      <c r="B282" s="261"/>
      <c r="C282" s="269"/>
      <c r="D282" s="269"/>
      <c r="E282" s="261"/>
      <c r="F282" s="261"/>
      <c r="G282" s="261"/>
      <c r="H282" s="261"/>
      <c r="I282" s="261"/>
      <c r="J282" s="261"/>
    </row>
    <row r="283">
      <c r="A283" s="155" t="s">
        <v>516</v>
      </c>
      <c r="B283" s="269"/>
      <c r="C283" s="261"/>
      <c r="D283" s="261"/>
      <c r="E283" s="261"/>
      <c r="F283" s="261"/>
      <c r="G283" s="261"/>
      <c r="H283" s="261"/>
      <c r="I283" s="261"/>
      <c r="J283" s="261"/>
    </row>
    <row r="284">
      <c r="A284" s="153"/>
      <c r="B284" s="261"/>
      <c r="C284" s="261"/>
      <c r="D284" s="261"/>
      <c r="E284" s="261"/>
      <c r="F284" s="261"/>
      <c r="G284" s="261"/>
      <c r="H284" s="261"/>
      <c r="I284" s="261"/>
      <c r="J284" s="261"/>
    </row>
    <row r="285">
      <c r="A285" s="155"/>
      <c r="B285" s="261"/>
      <c r="C285" s="268"/>
      <c r="D285" s="261"/>
      <c r="E285" s="261"/>
      <c r="F285" s="261"/>
      <c r="G285" s="261"/>
      <c r="H285" s="261"/>
      <c r="I285" s="261"/>
      <c r="J285" s="261"/>
    </row>
    <row r="286">
      <c r="A286" s="153"/>
      <c r="B286" s="268"/>
      <c r="C286" s="269"/>
      <c r="D286" s="261"/>
      <c r="E286" s="261"/>
      <c r="F286" s="261"/>
      <c r="G286" s="261"/>
      <c r="H286" s="261"/>
      <c r="I286" s="261"/>
      <c r="J286" s="261"/>
    </row>
    <row r="287">
      <c r="A287" s="155"/>
      <c r="B287" s="269"/>
      <c r="C287" s="261"/>
      <c r="D287" s="261"/>
      <c r="E287" s="261"/>
      <c r="F287" s="261"/>
      <c r="G287" s="261"/>
      <c r="H287" s="261"/>
      <c r="I287" s="261"/>
      <c r="J287" s="261"/>
    </row>
    <row r="288">
      <c r="A288" s="153"/>
      <c r="B288" s="261"/>
      <c r="C288" s="261"/>
      <c r="D288" s="261"/>
      <c r="E288" s="261"/>
      <c r="F288" s="261"/>
      <c r="G288" s="261"/>
      <c r="H288" s="261"/>
      <c r="I288" s="261"/>
      <c r="J288" s="261"/>
    </row>
    <row r="289">
      <c r="A289" s="155"/>
      <c r="B289" s="269"/>
      <c r="C289" s="261"/>
      <c r="D289" s="261"/>
      <c r="E289" s="261"/>
      <c r="F289" s="261"/>
      <c r="G289" s="261"/>
      <c r="H289" s="261"/>
      <c r="I289" s="261"/>
      <c r="J289" s="261"/>
    </row>
    <row r="290">
      <c r="A290" s="153"/>
      <c r="B290" s="268"/>
      <c r="C290" s="261"/>
      <c r="D290" s="261"/>
      <c r="E290" s="261"/>
      <c r="F290" s="269"/>
      <c r="G290" s="269"/>
      <c r="H290" s="261"/>
      <c r="I290" s="261"/>
      <c r="J290" s="261"/>
    </row>
    <row r="291">
      <c r="A291" s="155"/>
      <c r="B291" s="261"/>
      <c r="C291" s="261"/>
      <c r="D291" s="268"/>
      <c r="E291" s="261"/>
      <c r="F291" s="261"/>
      <c r="G291" s="261"/>
      <c r="H291" s="261"/>
      <c r="I291" s="261"/>
      <c r="J291" s="261"/>
    </row>
    <row r="292">
      <c r="A292" s="153"/>
      <c r="B292" s="261"/>
      <c r="C292" s="261"/>
      <c r="D292" s="261"/>
      <c r="E292" s="261"/>
      <c r="F292" s="261"/>
      <c r="G292" s="261"/>
      <c r="H292" s="261"/>
      <c r="I292" s="261"/>
      <c r="J292" s="261"/>
    </row>
    <row r="293">
      <c r="A293" s="155"/>
      <c r="B293" s="269"/>
      <c r="C293" s="269"/>
      <c r="D293" s="269"/>
      <c r="E293" s="269"/>
      <c r="F293" s="269"/>
      <c r="G293" s="261"/>
      <c r="H293" s="261"/>
      <c r="I293" s="261"/>
      <c r="J293" s="261"/>
    </row>
    <row r="294">
      <c r="A294" s="153"/>
      <c r="B294" s="261"/>
      <c r="C294" s="261"/>
      <c r="D294" s="261"/>
      <c r="E294" s="261"/>
      <c r="F294" s="261"/>
      <c r="G294" s="261"/>
      <c r="H294" s="261"/>
      <c r="I294" s="261"/>
      <c r="J294" s="261"/>
    </row>
    <row r="295">
      <c r="A295" s="155"/>
      <c r="B295" s="261"/>
      <c r="C295" s="261"/>
      <c r="D295" s="261"/>
      <c r="E295" s="261"/>
      <c r="F295" s="261"/>
      <c r="G295" s="261"/>
      <c r="H295" s="261"/>
      <c r="I295" s="261"/>
      <c r="J295" s="261"/>
    </row>
    <row r="296">
      <c r="A296" s="153"/>
      <c r="B296" s="261"/>
      <c r="C296" s="261"/>
      <c r="D296" s="261"/>
      <c r="E296" s="261"/>
      <c r="F296" s="261"/>
      <c r="G296" s="261"/>
      <c r="H296" s="261"/>
      <c r="I296" s="261"/>
      <c r="J296" s="261"/>
    </row>
    <row r="297">
      <c r="A297" s="155"/>
      <c r="B297" s="269"/>
      <c r="C297" s="261"/>
      <c r="D297" s="261"/>
      <c r="E297" s="261"/>
      <c r="F297" s="261"/>
      <c r="G297" s="261"/>
      <c r="H297" s="261"/>
      <c r="I297" s="261"/>
      <c r="J297" s="261"/>
    </row>
    <row r="298">
      <c r="A298" s="153"/>
      <c r="B298" s="261"/>
      <c r="C298" s="268"/>
      <c r="D298" s="261"/>
      <c r="E298" s="269"/>
      <c r="F298" s="261"/>
      <c r="G298" s="261"/>
      <c r="H298" s="261"/>
      <c r="I298" s="261"/>
      <c r="J298" s="261"/>
    </row>
    <row r="299">
      <c r="A299" s="155"/>
      <c r="B299" s="261"/>
      <c r="C299" s="261"/>
      <c r="D299" s="261"/>
      <c r="E299" s="261"/>
      <c r="F299" s="261"/>
      <c r="G299" s="261"/>
      <c r="H299" s="261"/>
      <c r="I299" s="261"/>
      <c r="J299" s="261"/>
    </row>
    <row r="300">
      <c r="A300" s="162"/>
      <c r="B300" s="269"/>
      <c r="C300" s="269"/>
      <c r="D300" s="261"/>
      <c r="E300" s="261"/>
      <c r="F300" s="261"/>
      <c r="G300" s="261"/>
      <c r="H300" s="261"/>
      <c r="I300" s="261"/>
      <c r="J300" s="261"/>
    </row>
    <row r="301">
      <c r="A301" s="150" t="str">
        <f t="array" ref="A301:A350">'Up Names'!G2:G51</f>
        <v>Yellow Prism</v>
      </c>
      <c r="B301" s="262">
        <v>1.5</v>
      </c>
      <c r="C301" s="269"/>
      <c r="D301" s="269"/>
      <c r="E301" s="261"/>
      <c r="F301" s="261"/>
      <c r="G301" s="261"/>
      <c r="H301" s="261"/>
      <c r="I301" s="261"/>
      <c r="J301" s="261"/>
    </row>
    <row r="302">
      <c r="A302" s="153" t="s">
        <v>156</v>
      </c>
      <c r="B302" s="264">
        <v>1.1</v>
      </c>
      <c r="C302" s="264">
        <v>1.1</v>
      </c>
      <c r="D302" s="205">
        <v>35.0</v>
      </c>
      <c r="E302" s="205">
        <v>5.0</v>
      </c>
      <c r="F302" s="261"/>
      <c r="G302" s="261"/>
      <c r="H302" s="261"/>
      <c r="I302" s="261"/>
      <c r="J302" s="261"/>
    </row>
    <row r="303">
      <c r="A303" s="155" t="s">
        <v>176</v>
      </c>
      <c r="B303" s="208">
        <v>9.7</v>
      </c>
      <c r="C303" s="275">
        <v>0.087</v>
      </c>
      <c r="D303" s="261"/>
      <c r="E303" s="261"/>
      <c r="F303" s="261"/>
      <c r="G303" s="261"/>
      <c r="H303" s="261"/>
      <c r="I303" s="261"/>
      <c r="J303" s="261"/>
    </row>
    <row r="304">
      <c r="A304" s="153" t="s">
        <v>196</v>
      </c>
      <c r="B304" s="205">
        <v>34.0</v>
      </c>
      <c r="C304" s="205">
        <v>1.2</v>
      </c>
      <c r="D304" s="261"/>
      <c r="E304" s="261"/>
      <c r="F304" s="261"/>
      <c r="G304" s="261"/>
      <c r="H304" s="261"/>
      <c r="I304" s="261"/>
      <c r="J304" s="261"/>
    </row>
    <row r="305">
      <c r="A305" s="155" t="s">
        <v>216</v>
      </c>
      <c r="B305" s="204">
        <v>11.0</v>
      </c>
      <c r="C305" s="262">
        <v>0.05</v>
      </c>
      <c r="D305" s="262">
        <v>0.2</v>
      </c>
      <c r="E305" s="261"/>
      <c r="F305" s="261"/>
      <c r="G305" s="261"/>
      <c r="H305" s="261"/>
      <c r="I305" s="261"/>
      <c r="J305" s="261"/>
    </row>
    <row r="306">
      <c r="A306" s="153" t="s">
        <v>235</v>
      </c>
      <c r="B306" s="264">
        <v>1.5</v>
      </c>
      <c r="C306" s="261"/>
      <c r="D306" s="261"/>
      <c r="E306" s="261"/>
      <c r="F306" s="261"/>
      <c r="G306" s="261"/>
      <c r="H306" s="261"/>
      <c r="I306" s="261"/>
      <c r="J306" s="261"/>
    </row>
    <row r="307">
      <c r="A307" s="155" t="s">
        <v>255</v>
      </c>
      <c r="B307" s="262">
        <v>1.2</v>
      </c>
      <c r="C307" s="204">
        <v>15.0</v>
      </c>
      <c r="D307" s="208">
        <v>275.0</v>
      </c>
      <c r="E307" s="261"/>
      <c r="F307" s="261"/>
      <c r="G307" s="261"/>
      <c r="H307" s="261"/>
      <c r="I307" s="261"/>
      <c r="J307" s="261"/>
    </row>
    <row r="308">
      <c r="A308" s="153" t="s">
        <v>275</v>
      </c>
      <c r="B308" s="264">
        <v>0.4</v>
      </c>
      <c r="C308" s="206">
        <v>6.0</v>
      </c>
      <c r="D308" s="261"/>
      <c r="E308" s="261"/>
      <c r="F308" s="261"/>
      <c r="G308" s="261"/>
      <c r="H308" s="261"/>
      <c r="I308" s="261"/>
      <c r="J308" s="261"/>
    </row>
    <row r="309">
      <c r="A309" s="155" t="s">
        <v>295</v>
      </c>
      <c r="B309" s="265">
        <v>0.0638</v>
      </c>
      <c r="C309" s="262">
        <v>0.1</v>
      </c>
      <c r="D309" s="204">
        <v>68.0</v>
      </c>
      <c r="E309" s="262">
        <v>0.6</v>
      </c>
      <c r="F309" s="262">
        <v>1.2</v>
      </c>
      <c r="G309" s="266">
        <v>-0.36</v>
      </c>
      <c r="H309" s="261"/>
      <c r="I309" s="261"/>
      <c r="J309" s="261"/>
    </row>
    <row r="310">
      <c r="A310" s="153" t="s">
        <v>315</v>
      </c>
      <c r="B310" s="205">
        <v>4.0</v>
      </c>
      <c r="C310" s="261"/>
      <c r="D310" s="261"/>
      <c r="E310" s="261"/>
      <c r="F310" s="261"/>
      <c r="G310" s="261"/>
      <c r="H310" s="261"/>
      <c r="I310" s="261"/>
      <c r="J310" s="261"/>
    </row>
    <row r="311">
      <c r="A311" s="155" t="s">
        <v>335</v>
      </c>
      <c r="B311" s="262">
        <v>0.6</v>
      </c>
      <c r="C311" s="262">
        <v>-0.5</v>
      </c>
      <c r="D311" s="261"/>
      <c r="E311" s="261"/>
      <c r="F311" s="261"/>
      <c r="G311" s="261"/>
      <c r="H311" s="261"/>
      <c r="I311" s="261"/>
      <c r="J311" s="261"/>
    </row>
    <row r="312">
      <c r="A312" s="153" t="s">
        <v>355</v>
      </c>
      <c r="B312" s="205">
        <v>1.0</v>
      </c>
      <c r="C312" s="264">
        <v>-0.88</v>
      </c>
      <c r="D312" s="264">
        <v>0.85</v>
      </c>
      <c r="E312" s="206">
        <v>300.0</v>
      </c>
      <c r="F312" s="205">
        <v>1.1</v>
      </c>
      <c r="G312" s="263">
        <v>-0.7872</v>
      </c>
      <c r="H312" s="261"/>
      <c r="I312" s="261"/>
      <c r="J312" s="261"/>
    </row>
    <row r="313">
      <c r="A313" s="155" t="s">
        <v>379</v>
      </c>
      <c r="B313" s="204">
        <v>0.0</v>
      </c>
      <c r="C313" s="208">
        <v>66.0</v>
      </c>
      <c r="D313" s="261"/>
      <c r="E313" s="261"/>
      <c r="F313" s="261"/>
      <c r="G313" s="261"/>
      <c r="H313" s="261"/>
      <c r="I313" s="261"/>
      <c r="J313" s="261"/>
    </row>
    <row r="314">
      <c r="A314" s="153" t="s">
        <v>402</v>
      </c>
      <c r="B314" s="205">
        <v>3.0</v>
      </c>
      <c r="C314" s="263">
        <v>-0.3333</v>
      </c>
      <c r="D314" s="267">
        <v>-0.585</v>
      </c>
      <c r="E314" s="264">
        <v>4.5</v>
      </c>
      <c r="F314" s="264">
        <v>4.5</v>
      </c>
      <c r="G314" s="261"/>
      <c r="H314" s="261"/>
      <c r="I314" s="261"/>
      <c r="J314" s="261"/>
    </row>
    <row r="315">
      <c r="A315" s="155" t="s">
        <v>431</v>
      </c>
      <c r="B315" s="208">
        <v>38.0</v>
      </c>
      <c r="C315" s="262">
        <v>0.6</v>
      </c>
      <c r="D315" s="261"/>
      <c r="E315" s="261"/>
      <c r="F315" s="261"/>
      <c r="G315" s="261"/>
      <c r="H315" s="261"/>
      <c r="I315" s="261"/>
      <c r="J315" s="261"/>
    </row>
    <row r="316">
      <c r="A316" s="153" t="s">
        <v>458</v>
      </c>
      <c r="B316" s="264">
        <v>1.5</v>
      </c>
      <c r="C316" s="261"/>
      <c r="D316" s="261"/>
      <c r="E316" s="261"/>
      <c r="F316" s="261"/>
      <c r="G316" s="261"/>
      <c r="H316" s="261"/>
      <c r="I316" s="261"/>
      <c r="J316" s="261"/>
    </row>
    <row r="317">
      <c r="A317" s="155" t="s">
        <v>489</v>
      </c>
      <c r="B317" s="262">
        <v>0.6</v>
      </c>
      <c r="C317" s="208">
        <v>6.0</v>
      </c>
      <c r="D317" s="261"/>
      <c r="E317" s="261"/>
      <c r="F317" s="261"/>
      <c r="G317" s="261"/>
      <c r="H317" s="261"/>
      <c r="I317" s="261"/>
      <c r="J317" s="261"/>
    </row>
    <row r="318">
      <c r="A318" s="153" t="s">
        <v>513</v>
      </c>
      <c r="B318" s="205">
        <v>2.0</v>
      </c>
      <c r="C318" s="261"/>
      <c r="D318" s="261"/>
      <c r="E318" s="261"/>
      <c r="F318" s="261"/>
      <c r="G318" s="261"/>
      <c r="H318" s="261"/>
      <c r="I318" s="261"/>
      <c r="J318" s="261"/>
    </row>
    <row r="319">
      <c r="A319" s="155" t="s">
        <v>533</v>
      </c>
      <c r="B319" s="265">
        <v>-0.2308</v>
      </c>
      <c r="C319" s="208">
        <v>0.7</v>
      </c>
      <c r="D319" s="269"/>
      <c r="E319" s="261"/>
      <c r="F319" s="261"/>
      <c r="G319" s="261"/>
      <c r="H319" s="261"/>
      <c r="I319" s="261"/>
      <c r="J319" s="261"/>
    </row>
    <row r="320">
      <c r="A320" s="153" t="s">
        <v>552</v>
      </c>
      <c r="B320" s="271">
        <v>0.3</v>
      </c>
      <c r="C320" s="261"/>
      <c r="D320" s="261"/>
      <c r="E320" s="261"/>
      <c r="F320" s="261"/>
      <c r="G320" s="261"/>
      <c r="H320" s="261"/>
      <c r="I320" s="261"/>
      <c r="J320" s="261"/>
    </row>
    <row r="321">
      <c r="A321" s="155" t="s">
        <v>576</v>
      </c>
      <c r="B321" s="262">
        <v>1.2</v>
      </c>
      <c r="C321" s="265">
        <v>-0.2308</v>
      </c>
      <c r="D321" s="265">
        <v>0.2821</v>
      </c>
      <c r="E321" s="262">
        <v>-0.4</v>
      </c>
      <c r="F321" s="261"/>
      <c r="G321" s="261"/>
      <c r="H321" s="261"/>
      <c r="I321" s="261"/>
      <c r="J321" s="261"/>
    </row>
    <row r="322">
      <c r="A322" s="153" t="s">
        <v>599</v>
      </c>
      <c r="B322" s="264">
        <v>-0.3</v>
      </c>
      <c r="C322" s="263">
        <v>0.3514</v>
      </c>
      <c r="D322" s="261"/>
      <c r="E322" s="261"/>
      <c r="F322" s="261"/>
      <c r="G322" s="261"/>
      <c r="H322" s="261"/>
      <c r="I322" s="261"/>
      <c r="J322" s="261"/>
    </row>
    <row r="323">
      <c r="A323" s="155" t="s">
        <v>620</v>
      </c>
      <c r="B323" s="262">
        <v>0.5</v>
      </c>
      <c r="C323" s="262">
        <v>3.3</v>
      </c>
      <c r="D323" s="262">
        <v>3.3</v>
      </c>
      <c r="E323" s="261"/>
      <c r="F323" s="261"/>
      <c r="G323" s="261"/>
      <c r="H323" s="261"/>
      <c r="I323" s="261"/>
      <c r="J323" s="261"/>
    </row>
    <row r="324">
      <c r="A324" s="153" t="s">
        <v>645</v>
      </c>
      <c r="B324" s="205">
        <v>5.0</v>
      </c>
      <c r="C324" s="205">
        <v>0.33</v>
      </c>
      <c r="D324" s="264">
        <v>5.25</v>
      </c>
      <c r="E324" s="264">
        <v>-0.88</v>
      </c>
      <c r="F324" s="264">
        <v>0.2</v>
      </c>
      <c r="G324" s="266">
        <v>-0.27</v>
      </c>
      <c r="H324" s="261"/>
      <c r="I324" s="261"/>
      <c r="J324" s="261"/>
    </row>
    <row r="325">
      <c r="A325" s="155" t="s">
        <v>663</v>
      </c>
      <c r="B325" s="262">
        <v>1.5</v>
      </c>
      <c r="C325" s="261"/>
      <c r="D325" s="261"/>
      <c r="E325" s="261"/>
      <c r="F325" s="261"/>
      <c r="G325" s="261"/>
      <c r="H325" s="261"/>
      <c r="I325" s="261"/>
      <c r="J325" s="261"/>
    </row>
    <row r="326">
      <c r="A326" s="153" t="s">
        <v>678</v>
      </c>
      <c r="B326" s="264">
        <v>-0.1</v>
      </c>
      <c r="C326" s="264">
        <v>-0.1</v>
      </c>
      <c r="D326" s="261"/>
      <c r="E326" s="261"/>
      <c r="F326" s="261"/>
      <c r="G326" s="261"/>
      <c r="H326" s="261"/>
      <c r="I326" s="261"/>
      <c r="J326" s="261"/>
    </row>
    <row r="327">
      <c r="A327" s="155" t="s">
        <v>692</v>
      </c>
      <c r="B327" s="262">
        <v>0.4</v>
      </c>
      <c r="C327" s="261"/>
      <c r="D327" s="261"/>
      <c r="E327" s="261"/>
      <c r="F327" s="261"/>
      <c r="G327" s="261"/>
      <c r="H327" s="261"/>
      <c r="I327" s="261"/>
      <c r="J327" s="261"/>
    </row>
    <row r="328">
      <c r="A328" s="153" t="s">
        <v>711</v>
      </c>
      <c r="B328" s="264">
        <v>0.3</v>
      </c>
      <c r="C328" s="264">
        <v>-0.83</v>
      </c>
      <c r="D328" s="264">
        <v>-0.79</v>
      </c>
      <c r="E328" s="264">
        <v>-0.7</v>
      </c>
      <c r="F328" s="261"/>
      <c r="G328" s="261"/>
      <c r="H328" s="261"/>
      <c r="I328" s="261"/>
      <c r="J328" s="261"/>
    </row>
    <row r="329">
      <c r="A329" s="155" t="s">
        <v>729</v>
      </c>
      <c r="B329" s="265">
        <v>0.0989</v>
      </c>
      <c r="C329" s="261"/>
      <c r="D329" s="261"/>
      <c r="E329" s="261"/>
      <c r="F329" s="261"/>
      <c r="G329" s="261"/>
      <c r="H329" s="261"/>
      <c r="I329" s="261"/>
      <c r="J329" s="261"/>
    </row>
    <row r="330">
      <c r="A330" s="153" t="s">
        <v>747</v>
      </c>
      <c r="B330" s="264">
        <v>-0.1</v>
      </c>
      <c r="C330" s="264">
        <v>-0.1</v>
      </c>
      <c r="D330" s="261"/>
      <c r="E330" s="261"/>
      <c r="F330" s="261"/>
      <c r="G330" s="261"/>
      <c r="H330" s="261"/>
      <c r="I330" s="261"/>
      <c r="J330" s="261"/>
    </row>
    <row r="331">
      <c r="A331" s="155" t="s">
        <v>503</v>
      </c>
      <c r="B331" s="261"/>
      <c r="C331" s="261"/>
      <c r="D331" s="261"/>
      <c r="E331" s="261"/>
      <c r="F331" s="261"/>
      <c r="G331" s="261"/>
      <c r="H331" s="261"/>
      <c r="I331" s="261"/>
      <c r="J331" s="261"/>
    </row>
    <row r="332">
      <c r="A332" s="153" t="s">
        <v>511</v>
      </c>
      <c r="B332" s="261"/>
      <c r="C332" s="261"/>
      <c r="D332" s="261"/>
      <c r="E332" s="261"/>
      <c r="F332" s="261"/>
      <c r="G332" s="261"/>
      <c r="H332" s="261"/>
      <c r="I332" s="261"/>
      <c r="J332" s="261"/>
    </row>
    <row r="333">
      <c r="A333" s="155" t="s">
        <v>516</v>
      </c>
      <c r="B333" s="261"/>
      <c r="C333" s="261"/>
      <c r="D333" s="261"/>
      <c r="E333" s="261"/>
      <c r="F333" s="261"/>
      <c r="G333" s="261"/>
      <c r="H333" s="261"/>
      <c r="I333" s="261"/>
      <c r="J333" s="261"/>
    </row>
    <row r="334">
      <c r="A334" s="153"/>
      <c r="B334" s="261"/>
      <c r="C334" s="261"/>
      <c r="D334" s="261"/>
      <c r="E334" s="261"/>
      <c r="F334" s="261"/>
      <c r="G334" s="261"/>
      <c r="H334" s="261"/>
      <c r="I334" s="261"/>
      <c r="J334" s="261"/>
    </row>
    <row r="335">
      <c r="A335" s="155"/>
      <c r="B335" s="269"/>
      <c r="C335" s="261"/>
      <c r="D335" s="261"/>
      <c r="E335" s="261"/>
      <c r="F335" s="261"/>
      <c r="G335" s="261"/>
      <c r="H335" s="261"/>
      <c r="I335" s="261"/>
      <c r="J335" s="261"/>
    </row>
    <row r="336">
      <c r="A336" s="153"/>
      <c r="B336" s="269"/>
      <c r="C336" s="261"/>
      <c r="D336" s="261"/>
      <c r="E336" s="261"/>
      <c r="F336" s="261"/>
      <c r="G336" s="261"/>
      <c r="H336" s="261"/>
      <c r="I336" s="261"/>
      <c r="J336" s="261"/>
    </row>
    <row r="337">
      <c r="A337" s="155"/>
      <c r="B337" s="269"/>
      <c r="C337" s="261"/>
      <c r="D337" s="261"/>
      <c r="E337" s="261"/>
      <c r="F337" s="261"/>
      <c r="G337" s="261"/>
      <c r="H337" s="261"/>
      <c r="I337" s="261"/>
      <c r="J337" s="261"/>
    </row>
    <row r="338">
      <c r="A338" s="153"/>
      <c r="B338" s="261"/>
      <c r="C338" s="261"/>
      <c r="D338" s="261"/>
      <c r="E338" s="261"/>
      <c r="F338" s="261"/>
      <c r="G338" s="261"/>
      <c r="H338" s="261"/>
      <c r="I338" s="261"/>
      <c r="J338" s="261"/>
    </row>
    <row r="339">
      <c r="A339" s="155"/>
      <c r="B339" s="268"/>
      <c r="C339" s="261"/>
      <c r="D339" s="261"/>
      <c r="E339" s="261"/>
      <c r="F339" s="261"/>
      <c r="G339" s="261"/>
      <c r="H339" s="261"/>
      <c r="I339" s="261"/>
      <c r="J339" s="261"/>
    </row>
    <row r="340">
      <c r="A340" s="153"/>
      <c r="B340" s="261"/>
      <c r="C340" s="261"/>
      <c r="D340" s="261"/>
      <c r="E340" s="261"/>
      <c r="F340" s="261"/>
      <c r="G340" s="261"/>
      <c r="H340" s="261"/>
      <c r="I340" s="261"/>
      <c r="J340" s="261"/>
    </row>
    <row r="341">
      <c r="A341" s="155"/>
      <c r="B341" s="269"/>
      <c r="C341" s="261"/>
      <c r="D341" s="261"/>
      <c r="E341" s="261"/>
      <c r="F341" s="261"/>
      <c r="G341" s="261"/>
      <c r="H341" s="261"/>
      <c r="I341" s="261"/>
      <c r="J341" s="261"/>
    </row>
    <row r="342">
      <c r="A342" s="153"/>
      <c r="B342" s="261"/>
      <c r="C342" s="261"/>
      <c r="D342" s="261"/>
      <c r="E342" s="261"/>
      <c r="F342" s="261"/>
      <c r="G342" s="261"/>
      <c r="H342" s="261"/>
      <c r="I342" s="261"/>
      <c r="J342" s="261"/>
    </row>
    <row r="343">
      <c r="A343" s="155"/>
      <c r="B343" s="261"/>
      <c r="C343" s="261"/>
      <c r="D343" s="261"/>
      <c r="E343" s="261"/>
      <c r="F343" s="261"/>
      <c r="G343" s="261"/>
      <c r="H343" s="261"/>
      <c r="I343" s="261"/>
      <c r="J343" s="261"/>
    </row>
    <row r="344">
      <c r="A344" s="153"/>
      <c r="B344" s="261"/>
      <c r="C344" s="261"/>
      <c r="D344" s="261"/>
      <c r="E344" s="261"/>
      <c r="F344" s="261"/>
      <c r="G344" s="261"/>
      <c r="H344" s="261"/>
      <c r="I344" s="261"/>
      <c r="J344" s="261"/>
    </row>
    <row r="345">
      <c r="A345" s="155"/>
      <c r="B345" s="261"/>
      <c r="C345" s="261"/>
      <c r="D345" s="261"/>
      <c r="E345" s="261"/>
      <c r="F345" s="261"/>
      <c r="G345" s="261"/>
      <c r="H345" s="261"/>
      <c r="I345" s="261"/>
      <c r="J345" s="261"/>
    </row>
    <row r="346">
      <c r="A346" s="153"/>
      <c r="B346" s="269"/>
      <c r="C346" s="261"/>
      <c r="D346" s="261"/>
      <c r="E346" s="261"/>
      <c r="F346" s="261"/>
      <c r="G346" s="261"/>
      <c r="H346" s="261"/>
      <c r="I346" s="261"/>
      <c r="J346" s="261"/>
    </row>
    <row r="347">
      <c r="A347" s="155"/>
      <c r="B347" s="261"/>
      <c r="C347" s="269"/>
      <c r="D347" s="261"/>
      <c r="E347" s="261"/>
      <c r="F347" s="261"/>
      <c r="G347" s="261"/>
      <c r="H347" s="261"/>
      <c r="I347" s="261"/>
      <c r="J347" s="261"/>
    </row>
    <row r="348">
      <c r="A348" s="153"/>
      <c r="B348" s="269"/>
      <c r="C348" s="261"/>
      <c r="D348" s="261"/>
      <c r="E348" s="261"/>
      <c r="F348" s="261"/>
      <c r="G348" s="261"/>
      <c r="H348" s="261"/>
      <c r="I348" s="261"/>
      <c r="J348" s="261"/>
    </row>
    <row r="349">
      <c r="A349" s="155"/>
      <c r="B349" s="261"/>
      <c r="C349" s="261"/>
      <c r="D349" s="261"/>
      <c r="E349" s="269"/>
      <c r="F349" s="261"/>
      <c r="G349" s="261"/>
      <c r="H349" s="261"/>
      <c r="I349" s="261"/>
      <c r="J349" s="261"/>
    </row>
    <row r="350">
      <c r="A350" s="162"/>
      <c r="B350" s="269"/>
      <c r="C350" s="268"/>
      <c r="D350" s="261"/>
      <c r="E350" s="261"/>
      <c r="F350" s="261"/>
      <c r="G350" s="261"/>
      <c r="H350" s="261"/>
      <c r="I350" s="261"/>
      <c r="J350" s="261"/>
    </row>
    <row r="351">
      <c r="A351" s="150" t="str">
        <f t="array" ref="A351:A400">'Up Names'!H2:H51</f>
        <v>Bailing Water</v>
      </c>
      <c r="B351" s="208">
        <v>9.0</v>
      </c>
      <c r="C351" s="265">
        <v>0.1905</v>
      </c>
      <c r="D351" s="261"/>
      <c r="E351" s="261"/>
      <c r="F351" s="261"/>
      <c r="G351" s="261"/>
      <c r="H351" s="261"/>
      <c r="I351" s="261"/>
      <c r="J351" s="261"/>
    </row>
    <row r="352">
      <c r="A352" s="153" t="s">
        <v>157</v>
      </c>
      <c r="B352" s="263">
        <v>0.252</v>
      </c>
      <c r="C352" s="205">
        <v>6.0</v>
      </c>
      <c r="D352" s="205">
        <v>6.0</v>
      </c>
      <c r="E352" s="261"/>
      <c r="F352" s="261"/>
      <c r="G352" s="261"/>
      <c r="H352" s="261"/>
      <c r="I352" s="261"/>
      <c r="J352" s="261"/>
    </row>
    <row r="353">
      <c r="A353" s="155" t="s">
        <v>177</v>
      </c>
      <c r="B353" s="204">
        <v>90.0</v>
      </c>
      <c r="C353" s="208">
        <v>7.0</v>
      </c>
      <c r="D353" s="265">
        <v>1.7778</v>
      </c>
      <c r="E353" s="272">
        <v>-0.359</v>
      </c>
      <c r="F353" s="262">
        <v>-0.17</v>
      </c>
      <c r="G353" s="261"/>
      <c r="H353" s="261"/>
      <c r="I353" s="261"/>
      <c r="J353" s="261"/>
    </row>
    <row r="354">
      <c r="A354" s="153" t="s">
        <v>197</v>
      </c>
      <c r="B354" s="206">
        <v>2.7</v>
      </c>
      <c r="C354" s="261"/>
      <c r="D354" s="261"/>
      <c r="E354" s="261"/>
      <c r="F354" s="261"/>
      <c r="G354" s="261"/>
      <c r="H354" s="261"/>
      <c r="I354" s="261"/>
      <c r="J354" s="261"/>
    </row>
    <row r="355">
      <c r="A355" s="155" t="s">
        <v>217</v>
      </c>
      <c r="B355" s="208">
        <v>0.76</v>
      </c>
      <c r="C355" s="261"/>
      <c r="D355" s="261"/>
      <c r="E355" s="261"/>
      <c r="F355" s="261"/>
      <c r="G355" s="261"/>
      <c r="H355" s="261"/>
      <c r="I355" s="261"/>
      <c r="J355" s="261"/>
    </row>
    <row r="356">
      <c r="A356" s="153" t="s">
        <v>236</v>
      </c>
      <c r="B356" s="264">
        <v>1.1</v>
      </c>
      <c r="C356" s="205">
        <v>3.2</v>
      </c>
      <c r="D356" s="261"/>
      <c r="E356" s="261"/>
      <c r="F356" s="261"/>
      <c r="G356" s="261"/>
      <c r="H356" s="261"/>
      <c r="I356" s="261"/>
      <c r="J356" s="261"/>
    </row>
    <row r="357">
      <c r="A357" s="155" t="s">
        <v>256</v>
      </c>
      <c r="B357" s="208">
        <v>2.7</v>
      </c>
      <c r="C357" s="208">
        <v>11.76</v>
      </c>
      <c r="D357" s="261"/>
      <c r="E357" s="261"/>
      <c r="F357" s="261"/>
      <c r="G357" s="261"/>
      <c r="H357" s="261"/>
      <c r="I357" s="261"/>
      <c r="J357" s="261"/>
    </row>
    <row r="358">
      <c r="A358" s="153" t="s">
        <v>276</v>
      </c>
      <c r="B358" s="263">
        <v>0.1905</v>
      </c>
      <c r="C358" s="205">
        <v>1.35</v>
      </c>
      <c r="D358" s="261"/>
      <c r="E358" s="261"/>
      <c r="F358" s="261"/>
      <c r="G358" s="261"/>
      <c r="H358" s="261"/>
      <c r="I358" s="261"/>
      <c r="J358" s="261"/>
    </row>
    <row r="359">
      <c r="A359" s="155" t="s">
        <v>296</v>
      </c>
      <c r="B359" s="204">
        <v>0.76</v>
      </c>
      <c r="C359" s="269"/>
      <c r="D359" s="261"/>
      <c r="E359" s="261"/>
      <c r="F359" s="261"/>
      <c r="G359" s="261"/>
      <c r="H359" s="261"/>
      <c r="I359" s="261"/>
      <c r="J359" s="261"/>
    </row>
    <row r="360">
      <c r="A360" s="153" t="s">
        <v>316</v>
      </c>
      <c r="B360" s="205">
        <v>30.0</v>
      </c>
      <c r="C360" s="205">
        <v>6.5</v>
      </c>
      <c r="D360" s="261"/>
      <c r="E360" s="261"/>
      <c r="F360" s="261"/>
      <c r="G360" s="261"/>
      <c r="H360" s="261"/>
      <c r="I360" s="261"/>
      <c r="J360" s="261"/>
    </row>
    <row r="361">
      <c r="A361" s="155" t="s">
        <v>336</v>
      </c>
      <c r="B361" s="262">
        <v>0.3</v>
      </c>
      <c r="C361" s="204">
        <v>60.0</v>
      </c>
      <c r="D361" s="261"/>
      <c r="E361" s="261"/>
      <c r="F361" s="261"/>
      <c r="G361" s="261"/>
      <c r="H361" s="261"/>
      <c r="I361" s="261"/>
      <c r="J361" s="261"/>
    </row>
    <row r="362">
      <c r="A362" s="153" t="s">
        <v>356</v>
      </c>
      <c r="B362" s="264">
        <v>0.4</v>
      </c>
      <c r="C362" s="261"/>
      <c r="D362" s="269"/>
      <c r="E362" s="261"/>
      <c r="F362" s="261"/>
      <c r="G362" s="261"/>
      <c r="H362" s="261"/>
      <c r="I362" s="261"/>
      <c r="J362" s="261"/>
    </row>
    <row r="363">
      <c r="A363" s="155" t="s">
        <v>380</v>
      </c>
      <c r="B363" s="204">
        <v>2.4</v>
      </c>
      <c r="C363" s="204">
        <v>11.7</v>
      </c>
      <c r="D363" s="261"/>
      <c r="E363" s="261"/>
      <c r="F363" s="261"/>
      <c r="G363" s="261"/>
      <c r="H363" s="261"/>
      <c r="I363" s="261"/>
      <c r="J363" s="261"/>
    </row>
    <row r="364">
      <c r="A364" s="153" t="s">
        <v>403</v>
      </c>
      <c r="B364" s="264">
        <v>0.05</v>
      </c>
      <c r="C364" s="264">
        <v>0.2</v>
      </c>
      <c r="D364" s="261"/>
      <c r="E364" s="261"/>
      <c r="F364" s="261"/>
      <c r="G364" s="261"/>
      <c r="H364" s="261"/>
      <c r="I364" s="261"/>
      <c r="J364" s="261"/>
    </row>
    <row r="365">
      <c r="A365" s="155" t="s">
        <v>432</v>
      </c>
      <c r="B365" s="208">
        <v>180.0</v>
      </c>
      <c r="C365" s="262">
        <v>0.22</v>
      </c>
      <c r="D365" s="262">
        <v>0.22</v>
      </c>
      <c r="E365" s="261"/>
      <c r="F365" s="261"/>
      <c r="G365" s="261"/>
      <c r="H365" s="261"/>
      <c r="I365" s="261"/>
      <c r="J365" s="261"/>
    </row>
    <row r="366">
      <c r="A366" s="153" t="s">
        <v>460</v>
      </c>
      <c r="B366" s="264">
        <v>-0.37</v>
      </c>
      <c r="C366" s="205">
        <v>2.0</v>
      </c>
      <c r="D366" s="261"/>
      <c r="E366" s="261"/>
      <c r="F366" s="261"/>
      <c r="G366" s="261"/>
      <c r="H366" s="261"/>
      <c r="I366" s="261"/>
      <c r="J366" s="261"/>
    </row>
    <row r="367">
      <c r="A367" s="155" t="s">
        <v>490</v>
      </c>
      <c r="B367" s="208">
        <v>4.0</v>
      </c>
      <c r="C367" s="261"/>
      <c r="D367" s="261"/>
      <c r="E367" s="261"/>
      <c r="F367" s="261"/>
      <c r="G367" s="261"/>
      <c r="H367" s="261"/>
      <c r="I367" s="261"/>
      <c r="J367" s="261"/>
    </row>
    <row r="368">
      <c r="A368" s="153" t="s">
        <v>514</v>
      </c>
      <c r="B368" s="205">
        <v>0.3</v>
      </c>
      <c r="C368" s="263">
        <v>0.2048</v>
      </c>
      <c r="D368" s="261"/>
      <c r="E368" s="261"/>
      <c r="F368" s="261"/>
      <c r="G368" s="261"/>
      <c r="H368" s="261"/>
      <c r="I368" s="261"/>
      <c r="J368" s="261"/>
    </row>
    <row r="369">
      <c r="A369" s="155" t="s">
        <v>534</v>
      </c>
      <c r="B369" s="265">
        <v>-0.4118</v>
      </c>
      <c r="C369" s="262">
        <v>1.5</v>
      </c>
      <c r="D369" s="261"/>
      <c r="E369" s="261"/>
      <c r="F369" s="261"/>
      <c r="G369" s="261"/>
      <c r="H369" s="261"/>
      <c r="I369" s="261"/>
      <c r="J369" s="261"/>
    </row>
    <row r="370">
      <c r="A370" s="153" t="s">
        <v>553</v>
      </c>
      <c r="B370" s="264">
        <v>5.0</v>
      </c>
      <c r="C370" s="261"/>
      <c r="D370" s="261"/>
      <c r="E370" s="261"/>
      <c r="F370" s="261"/>
      <c r="G370" s="261"/>
      <c r="H370" s="261"/>
      <c r="I370" s="261"/>
      <c r="J370" s="261"/>
    </row>
    <row r="371">
      <c r="A371" s="155" t="s">
        <v>577</v>
      </c>
      <c r="B371" s="204">
        <v>36.0</v>
      </c>
      <c r="C371" s="261"/>
      <c r="D371" s="261"/>
      <c r="E371" s="261"/>
      <c r="F371" s="261"/>
      <c r="G371" s="261"/>
      <c r="H371" s="261"/>
      <c r="I371" s="261"/>
      <c r="J371" s="261"/>
    </row>
    <row r="372">
      <c r="A372" s="153" t="s">
        <v>601</v>
      </c>
      <c r="B372" s="264">
        <v>2.17</v>
      </c>
      <c r="C372" s="261"/>
      <c r="D372" s="261"/>
      <c r="E372" s="261"/>
      <c r="F372" s="261"/>
      <c r="G372" s="261"/>
      <c r="H372" s="261"/>
      <c r="I372" s="261"/>
      <c r="J372" s="261"/>
    </row>
    <row r="373">
      <c r="A373" s="155" t="s">
        <v>621</v>
      </c>
      <c r="B373" s="265">
        <v>-0.1489</v>
      </c>
      <c r="C373" s="204">
        <v>60.0</v>
      </c>
      <c r="D373" s="204">
        <v>60.0</v>
      </c>
      <c r="E373" s="204">
        <v>60.0</v>
      </c>
      <c r="F373" s="262">
        <v>-0.63</v>
      </c>
      <c r="G373" s="262">
        <v>-0.53</v>
      </c>
      <c r="H373" s="261"/>
      <c r="I373" s="261"/>
      <c r="J373" s="261"/>
    </row>
    <row r="374">
      <c r="A374" s="153" t="s">
        <v>647</v>
      </c>
      <c r="B374" s="205">
        <v>4.0</v>
      </c>
      <c r="C374" s="205">
        <v>0.29</v>
      </c>
      <c r="D374" s="267">
        <v>0.667</v>
      </c>
      <c r="E374" s="205">
        <v>6.0</v>
      </c>
      <c r="F374" s="261"/>
      <c r="G374" s="261"/>
      <c r="H374" s="261"/>
      <c r="I374" s="261"/>
      <c r="J374" s="261"/>
    </row>
    <row r="375">
      <c r="A375" s="155" t="s">
        <v>664</v>
      </c>
      <c r="B375" s="208">
        <v>36.0</v>
      </c>
      <c r="C375" s="208">
        <v>72.0</v>
      </c>
      <c r="D375" s="261"/>
      <c r="E375" s="261"/>
      <c r="F375" s="261"/>
      <c r="G375" s="261"/>
      <c r="H375" s="261"/>
      <c r="I375" s="261"/>
      <c r="J375" s="261"/>
    </row>
    <row r="376">
      <c r="A376" s="153" t="s">
        <v>679</v>
      </c>
      <c r="B376" s="264">
        <v>0.25</v>
      </c>
      <c r="C376" s="264">
        <v>0.53</v>
      </c>
      <c r="D376" s="264">
        <v>0.53</v>
      </c>
      <c r="E376" s="264">
        <v>1.2</v>
      </c>
      <c r="F376" s="264">
        <v>1.2</v>
      </c>
      <c r="G376" s="261"/>
      <c r="H376" s="261"/>
      <c r="I376" s="261"/>
      <c r="J376" s="261"/>
    </row>
    <row r="377">
      <c r="A377" s="155" t="s">
        <v>693</v>
      </c>
      <c r="B377" s="208">
        <v>90.0</v>
      </c>
      <c r="C377" s="261"/>
      <c r="D377" s="261"/>
      <c r="E377" s="261"/>
      <c r="F377" s="261"/>
      <c r="G377" s="261"/>
      <c r="H377" s="261"/>
      <c r="I377" s="261"/>
      <c r="J377" s="261"/>
    </row>
    <row r="378">
      <c r="A378" s="153" t="s">
        <v>712</v>
      </c>
      <c r="B378" s="206">
        <v>12.0</v>
      </c>
      <c r="C378" s="261"/>
      <c r="D378" s="261"/>
      <c r="E378" s="261"/>
      <c r="F378" s="261"/>
      <c r="G378" s="261"/>
      <c r="H378" s="261"/>
      <c r="I378" s="261"/>
      <c r="J378" s="261"/>
    </row>
    <row r="379">
      <c r="A379" s="155" t="s">
        <v>731</v>
      </c>
      <c r="B379" s="261"/>
      <c r="C379" s="261"/>
      <c r="D379" s="261"/>
      <c r="E379" s="261"/>
      <c r="F379" s="261"/>
      <c r="G379" s="261"/>
      <c r="H379" s="261"/>
      <c r="I379" s="261"/>
      <c r="J379" s="261"/>
    </row>
    <row r="380">
      <c r="A380" s="153" t="s">
        <v>748</v>
      </c>
      <c r="B380" s="264">
        <v>0.13</v>
      </c>
      <c r="C380" s="261"/>
      <c r="D380" s="261"/>
      <c r="E380" s="261"/>
      <c r="F380" s="261"/>
      <c r="G380" s="261"/>
      <c r="H380" s="261"/>
      <c r="I380" s="261"/>
      <c r="J380" s="261"/>
    </row>
    <row r="381">
      <c r="A381" s="155" t="s">
        <v>503</v>
      </c>
      <c r="B381" s="261"/>
      <c r="C381" s="261"/>
      <c r="D381" s="261"/>
      <c r="E381" s="261"/>
      <c r="F381" s="261"/>
      <c r="G381" s="261"/>
      <c r="H381" s="261"/>
      <c r="I381" s="261"/>
      <c r="J381" s="261"/>
    </row>
    <row r="382">
      <c r="A382" s="153" t="s">
        <v>511</v>
      </c>
      <c r="B382" s="269"/>
      <c r="C382" s="261"/>
      <c r="D382" s="261"/>
      <c r="E382" s="261"/>
      <c r="F382" s="261"/>
      <c r="G382" s="261"/>
      <c r="H382" s="261"/>
      <c r="I382" s="261"/>
      <c r="J382" s="261"/>
    </row>
    <row r="383">
      <c r="A383" s="155" t="s">
        <v>516</v>
      </c>
      <c r="B383" s="261"/>
      <c r="C383" s="261"/>
      <c r="D383" s="261"/>
      <c r="E383" s="261"/>
      <c r="F383" s="261"/>
      <c r="G383" s="261"/>
      <c r="H383" s="261"/>
      <c r="I383" s="261"/>
      <c r="J383" s="261"/>
    </row>
    <row r="384">
      <c r="A384" s="153"/>
      <c r="B384" s="261"/>
      <c r="C384" s="261"/>
      <c r="D384" s="261"/>
      <c r="E384" s="261"/>
      <c r="F384" s="261"/>
      <c r="G384" s="261"/>
      <c r="H384" s="261"/>
      <c r="I384" s="261"/>
      <c r="J384" s="261"/>
    </row>
    <row r="385">
      <c r="A385" s="155"/>
      <c r="B385" s="269"/>
      <c r="C385" s="261"/>
      <c r="D385" s="261"/>
      <c r="E385" s="261"/>
      <c r="F385" s="261"/>
      <c r="G385" s="261"/>
      <c r="H385" s="261"/>
      <c r="I385" s="261"/>
      <c r="J385" s="261"/>
    </row>
    <row r="386">
      <c r="A386" s="153"/>
      <c r="B386" s="269"/>
      <c r="C386" s="261"/>
      <c r="D386" s="261"/>
      <c r="E386" s="261"/>
      <c r="F386" s="261"/>
      <c r="G386" s="261"/>
      <c r="H386" s="261"/>
      <c r="I386" s="261"/>
      <c r="J386" s="261"/>
    </row>
    <row r="387">
      <c r="A387" s="155"/>
      <c r="B387" s="269"/>
      <c r="C387" s="261"/>
      <c r="D387" s="261"/>
      <c r="E387" s="261"/>
      <c r="F387" s="261"/>
      <c r="G387" s="261"/>
      <c r="H387" s="261"/>
      <c r="I387" s="261"/>
      <c r="J387" s="261"/>
    </row>
    <row r="388">
      <c r="A388" s="153"/>
      <c r="B388" s="261"/>
      <c r="C388" s="261"/>
      <c r="D388" s="261"/>
      <c r="E388" s="261"/>
      <c r="F388" s="261"/>
      <c r="G388" s="261"/>
      <c r="H388" s="261"/>
      <c r="I388" s="261"/>
      <c r="J388" s="261"/>
    </row>
    <row r="389">
      <c r="A389" s="155"/>
      <c r="B389" s="268"/>
      <c r="C389" s="261"/>
      <c r="D389" s="261"/>
      <c r="E389" s="261"/>
      <c r="F389" s="261"/>
      <c r="G389" s="261"/>
      <c r="H389" s="261"/>
      <c r="I389" s="261"/>
      <c r="J389" s="261"/>
    </row>
    <row r="390">
      <c r="A390" s="153"/>
      <c r="B390" s="269"/>
      <c r="C390" s="261"/>
      <c r="D390" s="268"/>
      <c r="E390" s="261"/>
      <c r="F390" s="261"/>
      <c r="G390" s="261"/>
      <c r="H390" s="261"/>
      <c r="I390" s="261"/>
      <c r="J390" s="261"/>
    </row>
    <row r="391">
      <c r="A391" s="155"/>
      <c r="B391" s="261"/>
      <c r="C391" s="261"/>
      <c r="D391" s="261"/>
      <c r="E391" s="261"/>
      <c r="F391" s="261"/>
      <c r="G391" s="261"/>
      <c r="H391" s="261"/>
      <c r="I391" s="261"/>
      <c r="J391" s="261"/>
    </row>
    <row r="392">
      <c r="A392" s="153"/>
      <c r="B392" s="261"/>
      <c r="C392" s="268"/>
      <c r="D392" s="261"/>
      <c r="E392" s="261"/>
      <c r="F392" s="261"/>
      <c r="G392" s="261"/>
      <c r="H392" s="261"/>
      <c r="I392" s="261"/>
      <c r="J392" s="261"/>
    </row>
    <row r="393">
      <c r="A393" s="155"/>
      <c r="B393" s="261"/>
      <c r="C393" s="261"/>
      <c r="D393" s="261"/>
      <c r="E393" s="261"/>
      <c r="F393" s="261"/>
      <c r="G393" s="261"/>
      <c r="H393" s="261"/>
      <c r="I393" s="261"/>
      <c r="J393" s="261"/>
    </row>
    <row r="394">
      <c r="A394" s="153"/>
      <c r="B394" s="268"/>
      <c r="C394" s="261"/>
      <c r="D394" s="261"/>
      <c r="E394" s="261"/>
      <c r="F394" s="261"/>
      <c r="G394" s="261"/>
      <c r="H394" s="261"/>
      <c r="I394" s="261"/>
      <c r="J394" s="261"/>
    </row>
    <row r="395">
      <c r="A395" s="155"/>
      <c r="B395" s="261"/>
      <c r="C395" s="261"/>
      <c r="D395" s="261"/>
      <c r="E395" s="261"/>
      <c r="F395" s="261"/>
      <c r="G395" s="261"/>
      <c r="H395" s="261"/>
      <c r="I395" s="261"/>
      <c r="J395" s="261"/>
    </row>
    <row r="396">
      <c r="A396" s="153"/>
      <c r="B396" s="261"/>
      <c r="C396" s="261"/>
      <c r="D396" s="261"/>
      <c r="E396" s="261"/>
      <c r="F396" s="261"/>
      <c r="G396" s="261"/>
      <c r="H396" s="261"/>
      <c r="I396" s="261"/>
      <c r="J396" s="261"/>
    </row>
    <row r="397">
      <c r="A397" s="155"/>
      <c r="B397" s="261"/>
      <c r="C397" s="261"/>
      <c r="D397" s="261"/>
      <c r="E397" s="261"/>
      <c r="F397" s="261"/>
      <c r="G397" s="261"/>
      <c r="H397" s="261"/>
      <c r="I397" s="261"/>
      <c r="J397" s="261"/>
    </row>
    <row r="398">
      <c r="A398" s="153"/>
      <c r="B398" s="269"/>
      <c r="C398" s="261"/>
      <c r="D398" s="261"/>
      <c r="E398" s="261"/>
      <c r="F398" s="261"/>
      <c r="G398" s="261"/>
      <c r="H398" s="261"/>
      <c r="I398" s="261"/>
      <c r="J398" s="261"/>
    </row>
    <row r="399">
      <c r="A399" s="155"/>
      <c r="B399" s="261"/>
      <c r="C399" s="261"/>
      <c r="D399" s="261"/>
      <c r="E399" s="261"/>
      <c r="F399" s="261"/>
      <c r="G399" s="261"/>
      <c r="H399" s="261"/>
      <c r="I399" s="261"/>
      <c r="J399" s="261"/>
    </row>
    <row r="400">
      <c r="A400" s="162"/>
      <c r="B400" s="261"/>
      <c r="C400" s="261"/>
      <c r="D400" s="261"/>
      <c r="E400" s="261"/>
      <c r="F400" s="261"/>
      <c r="G400" s="261"/>
      <c r="H400" s="261"/>
      <c r="I400" s="261"/>
      <c r="J400" s="261"/>
    </row>
    <row r="401">
      <c r="A401" s="150" t="str">
        <f t="array" ref="A401:A450">'Up Names'!I2:I51</f>
        <v>Flood</v>
      </c>
      <c r="B401" s="208">
        <v>33.0</v>
      </c>
      <c r="C401" s="272">
        <v>-0.631</v>
      </c>
      <c r="D401" s="204">
        <v>0.0</v>
      </c>
      <c r="E401" s="262">
        <v>-0.7</v>
      </c>
      <c r="F401" s="261"/>
      <c r="G401" s="261"/>
      <c r="H401" s="261"/>
      <c r="I401" s="261"/>
      <c r="J401" s="261"/>
    </row>
    <row r="402">
      <c r="A402" s="153" t="s">
        <v>158</v>
      </c>
      <c r="B402" s="205">
        <v>-18.0</v>
      </c>
      <c r="C402" s="205">
        <v>0.3</v>
      </c>
      <c r="D402" s="205">
        <v>0.3</v>
      </c>
      <c r="E402" s="261"/>
      <c r="F402" s="261"/>
      <c r="G402" s="261"/>
      <c r="H402" s="261"/>
      <c r="I402" s="261"/>
      <c r="J402" s="261"/>
    </row>
    <row r="403">
      <c r="A403" s="155" t="s">
        <v>178</v>
      </c>
      <c r="B403" s="260">
        <v>0.15</v>
      </c>
      <c r="C403" s="262">
        <v>4.8</v>
      </c>
      <c r="D403" s="261"/>
      <c r="E403" s="261"/>
      <c r="F403" s="261"/>
      <c r="G403" s="261"/>
      <c r="H403" s="261"/>
      <c r="I403" s="261"/>
      <c r="J403" s="261"/>
    </row>
    <row r="404">
      <c r="A404" s="153" t="s">
        <v>198</v>
      </c>
      <c r="B404" s="205">
        <v>0.21</v>
      </c>
      <c r="C404" s="206">
        <v>0.66</v>
      </c>
      <c r="D404" s="266">
        <v>0.6</v>
      </c>
      <c r="E404" s="261"/>
      <c r="F404" s="261"/>
      <c r="G404" s="261"/>
      <c r="H404" s="261"/>
      <c r="I404" s="261"/>
      <c r="J404" s="261"/>
    </row>
    <row r="405">
      <c r="A405" s="155" t="s">
        <v>218</v>
      </c>
      <c r="B405" s="262">
        <v>1.4</v>
      </c>
      <c r="C405" s="261"/>
      <c r="D405" s="261"/>
      <c r="E405" s="261"/>
      <c r="F405" s="261"/>
      <c r="G405" s="261"/>
      <c r="H405" s="261"/>
      <c r="I405" s="261"/>
      <c r="J405" s="261"/>
    </row>
    <row r="406">
      <c r="A406" s="153" t="s">
        <v>237</v>
      </c>
      <c r="B406" s="205">
        <v>1.2</v>
      </c>
      <c r="C406" s="205">
        <v>1.2</v>
      </c>
      <c r="D406" s="264">
        <v>-0.56</v>
      </c>
      <c r="E406" s="264">
        <v>-0.2</v>
      </c>
      <c r="F406" s="263">
        <v>-0.2424</v>
      </c>
      <c r="G406" s="261"/>
      <c r="H406" s="261"/>
      <c r="I406" s="261"/>
      <c r="J406" s="261"/>
    </row>
    <row r="407">
      <c r="A407" s="155" t="s">
        <v>257</v>
      </c>
      <c r="B407" s="208">
        <v>1.2</v>
      </c>
      <c r="C407" s="261"/>
      <c r="D407" s="261"/>
      <c r="E407" s="261"/>
      <c r="F407" s="261"/>
      <c r="G407" s="261"/>
      <c r="H407" s="261"/>
      <c r="I407" s="261"/>
      <c r="J407" s="261"/>
    </row>
    <row r="408">
      <c r="A408" s="153" t="s">
        <v>277</v>
      </c>
      <c r="B408" s="205">
        <v>0.11</v>
      </c>
      <c r="C408" s="205">
        <v>2.0</v>
      </c>
      <c r="D408" s="261"/>
      <c r="E408" s="261"/>
      <c r="F408" s="261"/>
      <c r="G408" s="261"/>
      <c r="H408" s="261"/>
      <c r="I408" s="261"/>
      <c r="J408" s="261"/>
    </row>
    <row r="409">
      <c r="A409" s="155" t="s">
        <v>297</v>
      </c>
      <c r="B409" s="208">
        <v>9.0</v>
      </c>
      <c r="C409" s="204">
        <v>9.0</v>
      </c>
      <c r="D409" s="204" t="s">
        <v>2411</v>
      </c>
      <c r="E409" s="204">
        <v>3.0</v>
      </c>
      <c r="F409" s="265">
        <v>-0.2685</v>
      </c>
      <c r="G409" s="262">
        <v>-0.15</v>
      </c>
      <c r="H409" s="261"/>
      <c r="I409" s="261"/>
      <c r="J409" s="261"/>
    </row>
    <row r="410">
      <c r="A410" s="153" t="s">
        <v>317</v>
      </c>
      <c r="B410" s="271">
        <v>0.33</v>
      </c>
      <c r="C410" s="261"/>
      <c r="D410" s="261"/>
      <c r="E410" s="261"/>
      <c r="F410" s="261"/>
      <c r="G410" s="261"/>
      <c r="H410" s="261"/>
      <c r="I410" s="261"/>
      <c r="J410" s="261"/>
    </row>
    <row r="411">
      <c r="A411" s="155" t="s">
        <v>337</v>
      </c>
      <c r="B411" s="265">
        <v>-0.2647</v>
      </c>
      <c r="C411" s="204">
        <v>14.0</v>
      </c>
      <c r="D411" s="261"/>
      <c r="E411" s="261"/>
      <c r="F411" s="261"/>
      <c r="G411" s="261"/>
      <c r="H411" s="261"/>
      <c r="I411" s="261"/>
      <c r="J411" s="261"/>
    </row>
    <row r="412">
      <c r="A412" s="153" t="s">
        <v>357</v>
      </c>
      <c r="B412" s="264">
        <v>0.26</v>
      </c>
      <c r="C412" s="261"/>
      <c r="D412" s="261"/>
      <c r="E412" s="261"/>
      <c r="F412" s="261"/>
      <c r="G412" s="261"/>
      <c r="H412" s="261"/>
      <c r="I412" s="261"/>
      <c r="J412" s="261"/>
    </row>
    <row r="413">
      <c r="A413" s="155" t="s">
        <v>381</v>
      </c>
      <c r="B413" s="265">
        <v>0.3514</v>
      </c>
      <c r="C413" s="262">
        <v>0.25</v>
      </c>
      <c r="D413" s="262">
        <v>-0.26</v>
      </c>
      <c r="E413" s="262">
        <v>-0.26</v>
      </c>
      <c r="F413" s="262">
        <v>-0.35</v>
      </c>
      <c r="G413" s="261"/>
      <c r="H413" s="261"/>
      <c r="I413" s="261"/>
      <c r="J413" s="261"/>
    </row>
    <row r="414">
      <c r="A414" s="153" t="s">
        <v>405</v>
      </c>
      <c r="B414" s="264">
        <v>0.9</v>
      </c>
      <c r="C414" s="261"/>
      <c r="D414" s="261"/>
      <c r="E414" s="261"/>
      <c r="F414" s="261"/>
      <c r="G414" s="261"/>
      <c r="H414" s="261"/>
      <c r="I414" s="261"/>
      <c r="J414" s="261"/>
    </row>
    <row r="415">
      <c r="A415" s="155" t="s">
        <v>433</v>
      </c>
      <c r="B415" s="265">
        <v>-0.2308</v>
      </c>
      <c r="C415" s="204">
        <v>11.0</v>
      </c>
      <c r="D415" s="261"/>
      <c r="E415" s="261"/>
      <c r="F415" s="261"/>
      <c r="G415" s="261"/>
      <c r="H415" s="261"/>
      <c r="I415" s="261"/>
      <c r="J415" s="261"/>
    </row>
    <row r="416">
      <c r="A416" s="153" t="s">
        <v>462</v>
      </c>
      <c r="B416" s="264">
        <v>0.34</v>
      </c>
      <c r="C416" s="264">
        <v>0.7</v>
      </c>
      <c r="D416" s="264">
        <v>0.7</v>
      </c>
      <c r="E416" s="261"/>
      <c r="F416" s="261"/>
      <c r="G416" s="261"/>
      <c r="H416" s="261"/>
      <c r="I416" s="261"/>
      <c r="J416" s="261"/>
    </row>
    <row r="417">
      <c r="A417" s="155" t="s">
        <v>491</v>
      </c>
      <c r="B417" s="262">
        <v>1.2</v>
      </c>
      <c r="C417" s="262">
        <v>0.3</v>
      </c>
      <c r="D417" s="261"/>
      <c r="E417" s="261"/>
      <c r="F417" s="261"/>
      <c r="G417" s="261"/>
      <c r="H417" s="261"/>
      <c r="I417" s="261"/>
      <c r="J417" s="261"/>
    </row>
    <row r="418">
      <c r="A418" s="153" t="s">
        <v>515</v>
      </c>
      <c r="B418" s="206">
        <v>0.22</v>
      </c>
      <c r="C418" s="269"/>
      <c r="D418" s="261"/>
      <c r="E418" s="261"/>
      <c r="F418" s="261"/>
      <c r="G418" s="261"/>
      <c r="H418" s="261"/>
      <c r="I418" s="261"/>
      <c r="J418" s="261"/>
    </row>
    <row r="419">
      <c r="A419" s="155" t="s">
        <v>535</v>
      </c>
      <c r="B419" s="204">
        <v>0.0</v>
      </c>
      <c r="C419" s="204">
        <v>3.0</v>
      </c>
      <c r="D419" s="261"/>
      <c r="E419" s="261"/>
      <c r="F419" s="261"/>
      <c r="G419" s="261"/>
      <c r="H419" s="261"/>
      <c r="I419" s="261"/>
      <c r="J419" s="261"/>
    </row>
    <row r="420">
      <c r="A420" s="153" t="s">
        <v>554</v>
      </c>
      <c r="B420" s="264">
        <v>0.45</v>
      </c>
      <c r="C420" s="205">
        <v>0.45</v>
      </c>
      <c r="D420" s="261"/>
      <c r="E420" s="261"/>
      <c r="F420" s="261"/>
      <c r="G420" s="261"/>
      <c r="H420" s="261"/>
      <c r="I420" s="261"/>
      <c r="J420" s="261"/>
    </row>
    <row r="421">
      <c r="A421" s="155" t="s">
        <v>578</v>
      </c>
      <c r="B421" s="208">
        <v>1.0</v>
      </c>
      <c r="C421" s="262">
        <v>1.5</v>
      </c>
      <c r="D421" s="265">
        <v>0.2195</v>
      </c>
      <c r="E421" s="261"/>
      <c r="F421" s="261"/>
      <c r="G421" s="261"/>
      <c r="H421" s="261"/>
      <c r="I421" s="261"/>
      <c r="J421" s="261"/>
    </row>
    <row r="422">
      <c r="A422" s="153" t="s">
        <v>602</v>
      </c>
      <c r="B422" s="206">
        <v>3.2</v>
      </c>
      <c r="C422" s="261"/>
      <c r="D422" s="261"/>
      <c r="E422" s="261"/>
      <c r="F422" s="261"/>
      <c r="G422" s="261"/>
      <c r="H422" s="261"/>
      <c r="I422" s="261"/>
      <c r="J422" s="261"/>
    </row>
    <row r="423">
      <c r="A423" s="155" t="s">
        <v>623</v>
      </c>
      <c r="B423" s="204">
        <v>8.0</v>
      </c>
      <c r="C423" s="261"/>
      <c r="D423" s="261"/>
      <c r="E423" s="261"/>
      <c r="F423" s="261"/>
      <c r="G423" s="261"/>
      <c r="H423" s="261"/>
      <c r="I423" s="261"/>
      <c r="J423" s="261"/>
    </row>
    <row r="424">
      <c r="A424" s="153" t="s">
        <v>648</v>
      </c>
      <c r="B424" s="264">
        <v>-0.4</v>
      </c>
      <c r="C424" s="205">
        <v>12.0</v>
      </c>
      <c r="D424" s="261"/>
      <c r="E424" s="261"/>
      <c r="F424" s="261"/>
      <c r="G424" s="261"/>
      <c r="H424" s="261"/>
      <c r="I424" s="261"/>
      <c r="J424" s="261"/>
    </row>
    <row r="425">
      <c r="A425" s="155" t="s">
        <v>665</v>
      </c>
      <c r="B425" s="262">
        <v>-0.3</v>
      </c>
      <c r="C425" s="204">
        <v>14.0</v>
      </c>
      <c r="D425" s="261"/>
      <c r="E425" s="261"/>
      <c r="F425" s="261"/>
      <c r="G425" s="261"/>
      <c r="H425" s="261"/>
      <c r="I425" s="261"/>
      <c r="J425" s="261"/>
    </row>
    <row r="426">
      <c r="A426" s="153" t="s">
        <v>503</v>
      </c>
      <c r="B426" s="261"/>
      <c r="C426" s="261"/>
      <c r="D426" s="269"/>
      <c r="E426" s="261"/>
      <c r="F426" s="261"/>
      <c r="G426" s="261"/>
      <c r="H426" s="261"/>
      <c r="I426" s="261"/>
      <c r="J426" s="261"/>
    </row>
    <row r="427">
      <c r="A427" s="155" t="s">
        <v>511</v>
      </c>
      <c r="B427" s="261"/>
      <c r="C427" s="261"/>
      <c r="D427" s="261"/>
      <c r="E427" s="261"/>
      <c r="F427" s="261"/>
      <c r="G427" s="261"/>
      <c r="H427" s="261"/>
      <c r="I427" s="261"/>
      <c r="J427" s="261"/>
    </row>
    <row r="428">
      <c r="A428" s="153" t="s">
        <v>516</v>
      </c>
      <c r="B428" s="261"/>
      <c r="C428" s="261"/>
      <c r="D428" s="261"/>
      <c r="E428" s="261"/>
      <c r="F428" s="261"/>
      <c r="G428" s="261"/>
      <c r="H428" s="261"/>
      <c r="I428" s="261"/>
      <c r="J428" s="261"/>
    </row>
    <row r="429">
      <c r="A429" s="155"/>
      <c r="B429" s="261"/>
      <c r="C429" s="268"/>
      <c r="D429" s="261"/>
      <c r="E429" s="261"/>
      <c r="F429" s="261"/>
      <c r="G429" s="261"/>
      <c r="H429" s="261"/>
      <c r="I429" s="261"/>
      <c r="J429" s="261"/>
    </row>
    <row r="430">
      <c r="A430" s="153"/>
      <c r="B430" s="261"/>
      <c r="C430" s="261"/>
      <c r="D430" s="261"/>
      <c r="E430" s="261"/>
      <c r="F430" s="261"/>
      <c r="G430" s="261"/>
      <c r="H430" s="261"/>
      <c r="I430" s="261"/>
      <c r="J430" s="261"/>
    </row>
    <row r="431">
      <c r="A431" s="155"/>
      <c r="B431" s="261"/>
      <c r="C431" s="261"/>
      <c r="D431" s="261"/>
      <c r="E431" s="261"/>
      <c r="F431" s="261"/>
      <c r="G431" s="261"/>
      <c r="H431" s="261"/>
      <c r="I431" s="261"/>
      <c r="J431" s="261"/>
    </row>
    <row r="432">
      <c r="A432" s="153"/>
      <c r="B432" s="261"/>
      <c r="C432" s="261"/>
      <c r="D432" s="261"/>
      <c r="E432" s="261"/>
      <c r="F432" s="261"/>
      <c r="G432" s="261"/>
      <c r="H432" s="261"/>
      <c r="I432" s="261"/>
      <c r="J432" s="261"/>
    </row>
    <row r="433">
      <c r="A433" s="155"/>
      <c r="B433" s="261"/>
      <c r="C433" s="261"/>
      <c r="D433" s="261"/>
      <c r="E433" s="261"/>
      <c r="F433" s="261"/>
      <c r="G433" s="261"/>
      <c r="H433" s="261"/>
      <c r="I433" s="261"/>
      <c r="J433" s="261"/>
    </row>
    <row r="434">
      <c r="A434" s="153"/>
      <c r="B434" s="261"/>
      <c r="C434" s="261"/>
      <c r="D434" s="261"/>
      <c r="E434" s="261"/>
      <c r="F434" s="261"/>
      <c r="G434" s="261"/>
      <c r="H434" s="261"/>
      <c r="I434" s="261"/>
      <c r="J434" s="261"/>
    </row>
    <row r="435">
      <c r="A435" s="155"/>
      <c r="B435" s="261"/>
      <c r="C435" s="261"/>
      <c r="D435" s="261"/>
      <c r="E435" s="261"/>
      <c r="F435" s="261"/>
      <c r="G435" s="261"/>
      <c r="H435" s="261"/>
      <c r="I435" s="261"/>
      <c r="J435" s="261"/>
    </row>
    <row r="436">
      <c r="A436" s="153"/>
      <c r="B436" s="269"/>
      <c r="C436" s="269"/>
      <c r="D436" s="261"/>
      <c r="E436" s="261"/>
      <c r="F436" s="261"/>
      <c r="G436" s="261"/>
      <c r="H436" s="261"/>
      <c r="I436" s="261"/>
      <c r="J436" s="261"/>
    </row>
    <row r="437">
      <c r="A437" s="155"/>
      <c r="B437" s="268"/>
      <c r="C437" s="261"/>
      <c r="D437" s="261"/>
      <c r="E437" s="261"/>
      <c r="F437" s="261"/>
      <c r="G437" s="261"/>
      <c r="H437" s="261"/>
      <c r="I437" s="261"/>
      <c r="J437" s="261"/>
    </row>
    <row r="438">
      <c r="A438" s="153"/>
      <c r="B438" s="261"/>
      <c r="C438" s="261"/>
      <c r="D438" s="261"/>
      <c r="E438" s="261"/>
      <c r="F438" s="261"/>
      <c r="G438" s="261"/>
      <c r="H438" s="261"/>
      <c r="I438" s="261"/>
      <c r="J438" s="261"/>
    </row>
    <row r="439">
      <c r="A439" s="155"/>
      <c r="B439" s="269"/>
      <c r="C439" s="269"/>
      <c r="D439" s="261"/>
      <c r="E439" s="261"/>
      <c r="F439" s="261"/>
      <c r="G439" s="261"/>
      <c r="H439" s="261"/>
      <c r="I439" s="261"/>
      <c r="J439" s="261"/>
    </row>
    <row r="440">
      <c r="A440" s="153"/>
      <c r="B440" s="269"/>
      <c r="C440" s="269"/>
      <c r="D440" s="261"/>
      <c r="E440" s="261"/>
      <c r="F440" s="261"/>
      <c r="G440" s="261"/>
      <c r="H440" s="261"/>
      <c r="I440" s="261"/>
      <c r="J440" s="261"/>
    </row>
    <row r="441">
      <c r="A441" s="155"/>
      <c r="B441" s="268"/>
      <c r="C441" s="261"/>
      <c r="D441" s="261"/>
      <c r="E441" s="261"/>
      <c r="F441" s="261"/>
      <c r="G441" s="261"/>
      <c r="H441" s="261"/>
      <c r="I441" s="261"/>
      <c r="J441" s="261"/>
    </row>
    <row r="442">
      <c r="A442" s="153"/>
      <c r="B442" s="261"/>
      <c r="C442" s="261"/>
      <c r="D442" s="261"/>
      <c r="E442" s="261"/>
      <c r="F442" s="261"/>
      <c r="G442" s="261"/>
      <c r="H442" s="261"/>
      <c r="I442" s="261"/>
      <c r="J442" s="261"/>
    </row>
    <row r="443">
      <c r="A443" s="155"/>
      <c r="B443" s="269"/>
      <c r="C443" s="261"/>
      <c r="D443" s="261"/>
      <c r="E443" s="261"/>
      <c r="F443" s="261"/>
      <c r="G443" s="261"/>
      <c r="H443" s="261"/>
      <c r="I443" s="261"/>
      <c r="J443" s="261"/>
    </row>
    <row r="444">
      <c r="A444" s="153"/>
      <c r="B444" s="269"/>
      <c r="C444" s="261"/>
      <c r="D444" s="261"/>
      <c r="E444" s="261"/>
      <c r="F444" s="261"/>
      <c r="G444" s="261"/>
      <c r="H444" s="261"/>
      <c r="I444" s="261"/>
      <c r="J444" s="261"/>
    </row>
    <row r="445">
      <c r="A445" s="155"/>
      <c r="B445" s="261"/>
      <c r="C445" s="261"/>
      <c r="D445" s="261"/>
      <c r="E445" s="261"/>
      <c r="F445" s="261"/>
      <c r="G445" s="261"/>
      <c r="H445" s="261"/>
      <c r="I445" s="261"/>
      <c r="J445" s="261"/>
    </row>
    <row r="446">
      <c r="A446" s="153"/>
      <c r="B446" s="261"/>
      <c r="C446" s="261"/>
      <c r="D446" s="261"/>
      <c r="E446" s="261"/>
      <c r="F446" s="261"/>
      <c r="G446" s="261"/>
      <c r="H446" s="261"/>
      <c r="I446" s="261"/>
      <c r="J446" s="261"/>
    </row>
    <row r="447">
      <c r="A447" s="155"/>
      <c r="B447" s="261"/>
      <c r="C447" s="261"/>
      <c r="D447" s="261"/>
      <c r="E447" s="261"/>
      <c r="F447" s="261"/>
      <c r="G447" s="261"/>
      <c r="H447" s="261"/>
      <c r="I447" s="261"/>
      <c r="J447" s="261"/>
    </row>
    <row r="448">
      <c r="A448" s="153"/>
      <c r="B448" s="269"/>
      <c r="C448" s="269"/>
      <c r="D448" s="261"/>
      <c r="E448" s="261"/>
      <c r="F448" s="261"/>
      <c r="G448" s="261"/>
      <c r="H448" s="261"/>
      <c r="I448" s="261"/>
      <c r="J448" s="261"/>
    </row>
    <row r="449">
      <c r="A449" s="155"/>
      <c r="B449" s="269"/>
      <c r="C449" s="269"/>
      <c r="D449" s="261"/>
      <c r="E449" s="261"/>
      <c r="F449" s="261"/>
      <c r="G449" s="261"/>
      <c r="H449" s="261"/>
      <c r="I449" s="261"/>
      <c r="J449" s="261"/>
    </row>
    <row r="450">
      <c r="A450" s="162"/>
      <c r="B450" s="269"/>
      <c r="C450" s="261"/>
      <c r="D450" s="261"/>
      <c r="E450" s="261"/>
      <c r="F450" s="261"/>
      <c r="G450" s="261"/>
      <c r="H450" s="261"/>
      <c r="I450" s="261"/>
      <c r="J450" s="261"/>
    </row>
    <row r="451">
      <c r="A451" s="150" t="str">
        <f t="array" ref="A451:A500">'Up Names'!J2:J51</f>
        <v>Deflector</v>
      </c>
      <c r="B451" s="204">
        <v>4.0</v>
      </c>
      <c r="C451" s="266">
        <v>0.14</v>
      </c>
      <c r="D451" s="261"/>
      <c r="E451" s="261"/>
      <c r="F451" s="261"/>
      <c r="G451" s="261"/>
      <c r="H451" s="261"/>
      <c r="I451" s="261"/>
      <c r="J451" s="261"/>
    </row>
    <row r="452">
      <c r="A452" s="153" t="s">
        <v>159</v>
      </c>
      <c r="B452" s="206">
        <v>6.5</v>
      </c>
      <c r="C452" s="271">
        <v>0.18</v>
      </c>
      <c r="D452" s="261"/>
      <c r="E452" s="261"/>
      <c r="F452" s="261"/>
      <c r="G452" s="261"/>
      <c r="H452" s="261"/>
      <c r="I452" s="261"/>
      <c r="J452" s="261"/>
    </row>
    <row r="453">
      <c r="A453" s="155" t="s">
        <v>179</v>
      </c>
      <c r="B453" s="208">
        <v>0.7</v>
      </c>
      <c r="C453" s="204">
        <v>0.38</v>
      </c>
      <c r="D453" s="208">
        <v>0.39</v>
      </c>
      <c r="E453" s="261"/>
      <c r="F453" s="261"/>
      <c r="G453" s="261"/>
      <c r="H453" s="261"/>
      <c r="I453" s="261"/>
      <c r="J453" s="261"/>
    </row>
    <row r="454">
      <c r="A454" s="153" t="s">
        <v>199</v>
      </c>
      <c r="B454" s="205">
        <v>10.0</v>
      </c>
      <c r="C454" s="205">
        <v>8.0</v>
      </c>
      <c r="D454" s="269"/>
      <c r="E454" s="261"/>
      <c r="F454" s="261"/>
      <c r="G454" s="261"/>
      <c r="H454" s="261"/>
      <c r="I454" s="261"/>
      <c r="J454" s="261"/>
    </row>
    <row r="455">
      <c r="A455" s="155" t="s">
        <v>219</v>
      </c>
      <c r="B455" s="204">
        <v>10.0</v>
      </c>
      <c r="C455" s="262">
        <v>-0.29</v>
      </c>
      <c r="D455" s="266">
        <v>0.07</v>
      </c>
      <c r="E455" s="261"/>
      <c r="F455" s="261"/>
      <c r="G455" s="261"/>
      <c r="H455" s="261"/>
      <c r="I455" s="261"/>
      <c r="J455" s="261"/>
    </row>
    <row r="456">
      <c r="A456" s="153" t="s">
        <v>238</v>
      </c>
      <c r="B456" s="263">
        <v>0.012</v>
      </c>
      <c r="C456" s="269"/>
      <c r="D456" s="261"/>
      <c r="E456" s="261"/>
      <c r="F456" s="261"/>
      <c r="G456" s="261"/>
      <c r="H456" s="261"/>
      <c r="I456" s="261"/>
      <c r="J456" s="261"/>
    </row>
    <row r="457">
      <c r="A457" s="155" t="s">
        <v>258</v>
      </c>
      <c r="B457" s="208">
        <v>0.92</v>
      </c>
      <c r="C457" s="268"/>
      <c r="D457" s="261"/>
      <c r="E457" s="261"/>
      <c r="F457" s="261"/>
      <c r="G457" s="261"/>
      <c r="H457" s="261"/>
      <c r="I457" s="261"/>
      <c r="J457" s="261"/>
    </row>
    <row r="458">
      <c r="A458" s="153" t="s">
        <v>278</v>
      </c>
      <c r="B458" s="205">
        <v>0.4</v>
      </c>
      <c r="C458" s="261"/>
      <c r="D458" s="261"/>
      <c r="E458" s="261"/>
      <c r="F458" s="261"/>
      <c r="G458" s="261"/>
      <c r="H458" s="261"/>
      <c r="I458" s="261"/>
      <c r="J458" s="261"/>
    </row>
    <row r="459">
      <c r="A459" s="155" t="s">
        <v>298</v>
      </c>
      <c r="B459" s="204">
        <v>1.8</v>
      </c>
      <c r="C459" s="204">
        <v>0.16</v>
      </c>
      <c r="D459" s="261"/>
      <c r="E459" s="269"/>
      <c r="F459" s="269"/>
      <c r="G459" s="261"/>
      <c r="H459" s="261"/>
      <c r="I459" s="261"/>
      <c r="J459" s="261"/>
    </row>
    <row r="460">
      <c r="A460" s="153" t="s">
        <v>318</v>
      </c>
      <c r="B460" s="205">
        <v>3.0</v>
      </c>
      <c r="C460" s="205">
        <v>9.0</v>
      </c>
      <c r="D460" s="205">
        <v>2.5</v>
      </c>
      <c r="E460" s="261"/>
      <c r="F460" s="261"/>
      <c r="G460" s="261"/>
      <c r="H460" s="261"/>
      <c r="I460" s="261"/>
      <c r="J460" s="261"/>
    </row>
    <row r="461">
      <c r="A461" s="155" t="s">
        <v>338</v>
      </c>
      <c r="B461" s="269"/>
      <c r="C461" s="261"/>
      <c r="D461" s="261"/>
      <c r="E461" s="261"/>
      <c r="F461" s="261"/>
      <c r="G461" s="261"/>
      <c r="H461" s="261"/>
      <c r="I461" s="261"/>
      <c r="J461" s="261"/>
    </row>
    <row r="462">
      <c r="A462" s="153" t="s">
        <v>358</v>
      </c>
      <c r="B462" s="264">
        <v>0.3</v>
      </c>
      <c r="C462" s="205">
        <v>4.0</v>
      </c>
      <c r="D462" s="261"/>
      <c r="E462" s="261"/>
      <c r="F462" s="261"/>
      <c r="G462" s="261"/>
      <c r="H462" s="261"/>
      <c r="I462" s="261"/>
      <c r="J462" s="261"/>
    </row>
    <row r="463">
      <c r="A463" s="155" t="s">
        <v>382</v>
      </c>
      <c r="B463" s="204">
        <v>11.0</v>
      </c>
      <c r="C463" s="208">
        <v>10.0</v>
      </c>
      <c r="D463" s="261"/>
      <c r="E463" s="261"/>
      <c r="F463" s="261"/>
      <c r="G463" s="261"/>
      <c r="H463" s="261"/>
      <c r="I463" s="261"/>
      <c r="J463" s="261"/>
    </row>
    <row r="464">
      <c r="A464" s="153" t="s">
        <v>407</v>
      </c>
      <c r="B464" s="263">
        <v>0.014</v>
      </c>
      <c r="C464" s="261"/>
      <c r="D464" s="261"/>
      <c r="E464" s="261"/>
      <c r="F464" s="261"/>
      <c r="G464" s="261"/>
      <c r="H464" s="261"/>
      <c r="I464" s="261"/>
      <c r="J464" s="261"/>
    </row>
    <row r="465">
      <c r="A465" s="155" t="s">
        <v>434</v>
      </c>
      <c r="B465" s="204">
        <v>0.2</v>
      </c>
      <c r="C465" s="261"/>
      <c r="D465" s="261"/>
      <c r="E465" s="261"/>
      <c r="F465" s="261"/>
      <c r="G465" s="261"/>
      <c r="H465" s="261"/>
      <c r="I465" s="261"/>
      <c r="J465" s="261"/>
    </row>
    <row r="466">
      <c r="A466" s="153" t="s">
        <v>463</v>
      </c>
      <c r="B466" s="206">
        <v>6.0</v>
      </c>
      <c r="C466" s="205">
        <v>5.0</v>
      </c>
      <c r="D466" s="261"/>
      <c r="E466" s="261"/>
      <c r="F466" s="261"/>
      <c r="G466" s="261"/>
      <c r="H466" s="261"/>
      <c r="I466" s="261"/>
      <c r="J466" s="261"/>
    </row>
    <row r="467">
      <c r="A467" s="155" t="s">
        <v>493</v>
      </c>
      <c r="B467" s="262">
        <v>0.4</v>
      </c>
      <c r="C467" s="262">
        <v>1.2</v>
      </c>
      <c r="D467" s="262">
        <v>-0.5</v>
      </c>
      <c r="E467" s="261"/>
      <c r="F467" s="261"/>
      <c r="G467" s="261"/>
      <c r="H467" s="261"/>
      <c r="I467" s="261"/>
      <c r="J467" s="261"/>
    </row>
    <row r="468">
      <c r="A468" s="153" t="s">
        <v>517</v>
      </c>
      <c r="B468" s="206">
        <v>40.0</v>
      </c>
      <c r="C468" s="261"/>
      <c r="D468" s="261"/>
      <c r="E468" s="261"/>
      <c r="F468" s="261"/>
      <c r="G468" s="261"/>
      <c r="H468" s="261"/>
      <c r="I468" s="261"/>
      <c r="J468" s="261"/>
    </row>
    <row r="469">
      <c r="A469" s="155" t="s">
        <v>536</v>
      </c>
      <c r="B469" s="260">
        <v>0.2</v>
      </c>
      <c r="C469" s="262">
        <v>1.4</v>
      </c>
      <c r="D469" s="261"/>
      <c r="E469" s="261"/>
      <c r="F469" s="261"/>
      <c r="G469" s="261"/>
      <c r="H469" s="261"/>
      <c r="I469" s="261"/>
      <c r="J469" s="261"/>
    </row>
    <row r="470">
      <c r="A470" s="153" t="s">
        <v>555</v>
      </c>
      <c r="B470" s="264">
        <v>0.42</v>
      </c>
      <c r="C470" s="261"/>
      <c r="D470" s="261"/>
      <c r="E470" s="261"/>
      <c r="F470" s="261"/>
      <c r="G470" s="261"/>
      <c r="H470" s="261"/>
      <c r="I470" s="261"/>
      <c r="J470" s="261"/>
    </row>
    <row r="471">
      <c r="A471" s="155" t="s">
        <v>579</v>
      </c>
      <c r="B471" s="262">
        <v>0.17</v>
      </c>
      <c r="C471" s="269"/>
      <c r="D471" s="261"/>
      <c r="E471" s="261"/>
      <c r="F471" s="261"/>
      <c r="G471" s="261"/>
      <c r="H471" s="261"/>
      <c r="I471" s="261"/>
      <c r="J471" s="261"/>
    </row>
    <row r="472">
      <c r="A472" s="153" t="s">
        <v>603</v>
      </c>
      <c r="B472" s="205">
        <v>1.6</v>
      </c>
      <c r="C472" s="261"/>
      <c r="D472" s="261"/>
      <c r="E472" s="261"/>
      <c r="F472" s="261"/>
      <c r="G472" s="261"/>
      <c r="H472" s="261"/>
      <c r="I472" s="261"/>
      <c r="J472" s="261"/>
    </row>
    <row r="473">
      <c r="A473" s="155" t="s">
        <v>624</v>
      </c>
      <c r="B473" s="262">
        <v>0.17</v>
      </c>
      <c r="C473" s="261"/>
      <c r="D473" s="261"/>
      <c r="E473" s="261"/>
      <c r="F473" s="261"/>
      <c r="G473" s="261"/>
      <c r="H473" s="261"/>
      <c r="I473" s="261"/>
      <c r="J473" s="261"/>
    </row>
    <row r="474">
      <c r="A474" s="153" t="s">
        <v>649</v>
      </c>
      <c r="B474" s="264">
        <v>0.6</v>
      </c>
      <c r="C474" s="261"/>
      <c r="D474" s="261"/>
      <c r="E474" s="261"/>
      <c r="F474" s="261"/>
      <c r="G474" s="261"/>
      <c r="H474" s="261"/>
      <c r="I474" s="261"/>
      <c r="J474" s="261"/>
    </row>
    <row r="475">
      <c r="A475" s="155" t="s">
        <v>666</v>
      </c>
      <c r="B475" s="262">
        <v>0.3</v>
      </c>
      <c r="C475" s="261"/>
      <c r="D475" s="261"/>
      <c r="E475" s="261"/>
      <c r="F475" s="261"/>
      <c r="G475" s="261"/>
      <c r="H475" s="261"/>
      <c r="I475" s="261"/>
      <c r="J475" s="261"/>
    </row>
    <row r="476">
      <c r="A476" s="153" t="s">
        <v>680</v>
      </c>
      <c r="B476" s="266">
        <v>0.16</v>
      </c>
      <c r="C476" s="270">
        <v>22.0</v>
      </c>
      <c r="D476" s="261"/>
      <c r="E476" s="261"/>
      <c r="F476" s="261"/>
      <c r="G476" s="261"/>
      <c r="H476" s="261"/>
      <c r="I476" s="261"/>
      <c r="J476" s="261"/>
    </row>
    <row r="477">
      <c r="A477" s="155" t="s">
        <v>694</v>
      </c>
      <c r="B477" s="270">
        <v>30.0</v>
      </c>
      <c r="C477" s="266">
        <v>-0.9</v>
      </c>
      <c r="D477" s="261"/>
      <c r="E477" s="261"/>
      <c r="F477" s="261"/>
      <c r="G477" s="261"/>
      <c r="H477" s="261"/>
      <c r="I477" s="261"/>
      <c r="J477" s="261"/>
    </row>
    <row r="478">
      <c r="A478" s="153" t="s">
        <v>503</v>
      </c>
      <c r="B478" s="269"/>
      <c r="C478" s="269"/>
      <c r="D478" s="261"/>
      <c r="E478" s="261"/>
      <c r="F478" s="261"/>
      <c r="G478" s="261"/>
      <c r="H478" s="261"/>
      <c r="I478" s="261"/>
      <c r="J478" s="261"/>
    </row>
    <row r="479">
      <c r="A479" s="155" t="s">
        <v>511</v>
      </c>
      <c r="B479" s="268"/>
      <c r="C479" s="261"/>
      <c r="D479" s="261"/>
      <c r="E479" s="261"/>
      <c r="F479" s="261"/>
      <c r="G479" s="261"/>
      <c r="H479" s="261"/>
      <c r="I479" s="261"/>
      <c r="J479" s="261"/>
    </row>
    <row r="480">
      <c r="A480" s="153" t="s">
        <v>516</v>
      </c>
      <c r="B480" s="269"/>
      <c r="C480" s="261"/>
      <c r="D480" s="261"/>
      <c r="E480" s="261"/>
      <c r="F480" s="261"/>
      <c r="G480" s="261"/>
      <c r="H480" s="261"/>
      <c r="I480" s="261"/>
      <c r="J480" s="261"/>
    </row>
    <row r="481">
      <c r="A481" s="155"/>
      <c r="B481" s="261"/>
      <c r="C481" s="261"/>
      <c r="D481" s="261"/>
      <c r="E481" s="261"/>
      <c r="F481" s="261"/>
      <c r="G481" s="261"/>
      <c r="H481" s="261"/>
      <c r="I481" s="261"/>
      <c r="J481" s="261"/>
    </row>
    <row r="482">
      <c r="A482" s="153"/>
      <c r="B482" s="268"/>
      <c r="C482" s="261"/>
      <c r="D482" s="261"/>
      <c r="E482" s="261"/>
      <c r="F482" s="261"/>
      <c r="G482" s="261"/>
      <c r="H482" s="261"/>
      <c r="I482" s="261"/>
      <c r="J482" s="261"/>
    </row>
    <row r="483">
      <c r="A483" s="155"/>
      <c r="B483" s="269"/>
      <c r="C483" s="261"/>
      <c r="D483" s="261"/>
      <c r="E483" s="261"/>
      <c r="F483" s="261"/>
      <c r="G483" s="261"/>
      <c r="H483" s="261"/>
      <c r="I483" s="261"/>
      <c r="J483" s="261"/>
    </row>
    <row r="484">
      <c r="A484" s="153"/>
      <c r="B484" s="269"/>
      <c r="C484" s="261"/>
      <c r="D484" s="261"/>
      <c r="E484" s="261"/>
      <c r="F484" s="261"/>
      <c r="G484" s="261"/>
      <c r="H484" s="261"/>
      <c r="I484" s="261"/>
      <c r="J484" s="261"/>
    </row>
    <row r="485">
      <c r="A485" s="155"/>
      <c r="B485" s="269"/>
      <c r="C485" s="261"/>
      <c r="D485" s="261"/>
      <c r="E485" s="261"/>
      <c r="F485" s="261"/>
      <c r="G485" s="261"/>
      <c r="H485" s="261"/>
      <c r="I485" s="261"/>
      <c r="J485" s="261"/>
    </row>
    <row r="486">
      <c r="A486" s="153"/>
      <c r="B486" s="269"/>
      <c r="C486" s="261"/>
      <c r="D486" s="261"/>
      <c r="E486" s="261"/>
      <c r="F486" s="261"/>
      <c r="G486" s="261"/>
      <c r="H486" s="261"/>
      <c r="I486" s="261"/>
      <c r="J486" s="261"/>
    </row>
    <row r="487">
      <c r="A487" s="155"/>
      <c r="B487" s="269"/>
      <c r="C487" s="268"/>
      <c r="D487" s="261"/>
      <c r="E487" s="261"/>
      <c r="F487" s="261"/>
      <c r="G487" s="261"/>
      <c r="H487" s="261"/>
      <c r="I487" s="261"/>
      <c r="J487" s="261"/>
    </row>
    <row r="488">
      <c r="A488" s="153"/>
      <c r="B488" s="261"/>
      <c r="C488" s="261"/>
      <c r="D488" s="261"/>
      <c r="E488" s="261"/>
      <c r="F488" s="261"/>
      <c r="G488" s="261"/>
      <c r="H488" s="261"/>
      <c r="I488" s="261"/>
      <c r="J488" s="261"/>
    </row>
    <row r="489">
      <c r="A489" s="155"/>
      <c r="B489" s="261"/>
      <c r="C489" s="261"/>
      <c r="D489" s="261"/>
      <c r="E489" s="261"/>
      <c r="F489" s="261"/>
      <c r="G489" s="261"/>
      <c r="H489" s="261"/>
      <c r="I489" s="261"/>
      <c r="J489" s="261"/>
    </row>
    <row r="490">
      <c r="A490" s="153"/>
      <c r="B490" s="261"/>
      <c r="C490" s="261"/>
      <c r="D490" s="269"/>
      <c r="E490" s="261"/>
      <c r="F490" s="261"/>
      <c r="G490" s="261"/>
      <c r="H490" s="261"/>
      <c r="I490" s="261"/>
      <c r="J490" s="261"/>
    </row>
    <row r="491">
      <c r="A491" s="155"/>
      <c r="B491" s="261"/>
      <c r="C491" s="269"/>
      <c r="D491" s="268"/>
      <c r="E491" s="261"/>
      <c r="F491" s="269"/>
      <c r="G491" s="269"/>
      <c r="H491" s="269"/>
      <c r="I491" s="268"/>
      <c r="J491" s="269"/>
    </row>
    <row r="492">
      <c r="A492" s="153"/>
      <c r="B492" s="261"/>
      <c r="C492" s="261"/>
      <c r="D492" s="261"/>
      <c r="E492" s="261"/>
      <c r="F492" s="261"/>
      <c r="G492" s="261"/>
      <c r="H492" s="261"/>
      <c r="I492" s="261"/>
      <c r="J492" s="261"/>
    </row>
    <row r="493">
      <c r="A493" s="155"/>
      <c r="B493" s="261"/>
      <c r="C493" s="269"/>
      <c r="D493" s="261"/>
      <c r="E493" s="261"/>
      <c r="F493" s="261"/>
      <c r="G493" s="261"/>
      <c r="H493" s="261"/>
      <c r="I493" s="261"/>
      <c r="J493" s="261"/>
    </row>
    <row r="494">
      <c r="A494" s="153"/>
      <c r="B494" s="269"/>
      <c r="C494" s="261"/>
      <c r="D494" s="261"/>
      <c r="E494" s="261"/>
      <c r="F494" s="261"/>
      <c r="G494" s="261"/>
      <c r="H494" s="261"/>
      <c r="I494" s="261"/>
      <c r="J494" s="261"/>
    </row>
    <row r="495">
      <c r="A495" s="155"/>
      <c r="B495" s="269"/>
      <c r="C495" s="261"/>
      <c r="D495" s="261"/>
      <c r="E495" s="261"/>
      <c r="F495" s="261"/>
      <c r="G495" s="261"/>
      <c r="H495" s="261"/>
      <c r="I495" s="261"/>
      <c r="J495" s="261"/>
    </row>
    <row r="496">
      <c r="A496" s="153"/>
      <c r="B496" s="261"/>
      <c r="C496" s="268"/>
      <c r="D496" s="261"/>
      <c r="E496" s="261"/>
      <c r="F496" s="261"/>
      <c r="G496" s="261"/>
      <c r="H496" s="261"/>
      <c r="I496" s="261"/>
      <c r="J496" s="261"/>
    </row>
    <row r="497">
      <c r="A497" s="155"/>
      <c r="B497" s="261"/>
      <c r="C497" s="261"/>
      <c r="D497" s="261"/>
      <c r="E497" s="261"/>
      <c r="F497" s="261"/>
      <c r="G497" s="261"/>
      <c r="H497" s="261"/>
      <c r="I497" s="261"/>
      <c r="J497" s="261"/>
    </row>
    <row r="498">
      <c r="A498" s="153"/>
      <c r="B498" s="261"/>
      <c r="C498" s="261"/>
      <c r="D498" s="261"/>
      <c r="E498" s="261"/>
      <c r="F498" s="261"/>
      <c r="G498" s="261"/>
      <c r="H498" s="261"/>
      <c r="I498" s="261"/>
      <c r="J498" s="261"/>
    </row>
    <row r="499">
      <c r="A499" s="155"/>
      <c r="B499" s="268"/>
      <c r="C499" s="261"/>
      <c r="D499" s="261"/>
      <c r="E499" s="261"/>
      <c r="F499" s="261"/>
      <c r="G499" s="261"/>
      <c r="H499" s="261"/>
      <c r="I499" s="261"/>
      <c r="J499" s="261"/>
    </row>
    <row r="500">
      <c r="A500" s="162"/>
      <c r="B500" s="269"/>
      <c r="C500" s="261"/>
      <c r="D500" s="261"/>
      <c r="E500" s="261"/>
      <c r="F500" s="261"/>
      <c r="G500" s="261"/>
      <c r="H500" s="261"/>
      <c r="I500" s="261"/>
      <c r="J500" s="261"/>
    </row>
    <row r="501">
      <c r="A501" s="153" t="str">
        <f t="array" ref="A501:A550">'Up Names'!K2:K51</f>
        <v>Auger Subroutine</v>
      </c>
      <c r="B501" s="270">
        <v>0.95</v>
      </c>
      <c r="C501" s="270">
        <v>45.0</v>
      </c>
      <c r="D501" s="270">
        <v>0.7</v>
      </c>
      <c r="E501" s="270">
        <v>2.85</v>
      </c>
      <c r="F501" s="270">
        <v>42.7</v>
      </c>
      <c r="G501" s="261"/>
      <c r="H501" s="261"/>
      <c r="I501" s="261"/>
      <c r="J501" s="261"/>
    </row>
    <row r="502">
      <c r="A502" s="153" t="s">
        <v>160</v>
      </c>
      <c r="B502" s="269"/>
      <c r="C502" s="261"/>
      <c r="D502" s="261"/>
      <c r="E502" s="261"/>
      <c r="F502" s="261"/>
      <c r="G502" s="261"/>
      <c r="H502" s="261"/>
      <c r="I502" s="261"/>
      <c r="J502" s="261"/>
    </row>
    <row r="503">
      <c r="A503" s="153" t="s">
        <v>180</v>
      </c>
      <c r="B503" s="270">
        <v>6.4</v>
      </c>
      <c r="C503" s="266">
        <v>0.3</v>
      </c>
      <c r="D503" s="266">
        <v>0.3</v>
      </c>
      <c r="E503" s="266">
        <v>0.7</v>
      </c>
      <c r="F503" s="261"/>
      <c r="G503" s="261"/>
      <c r="H503" s="261"/>
      <c r="I503" s="261"/>
      <c r="J503" s="261"/>
    </row>
    <row r="504">
      <c r="A504" s="153" t="s">
        <v>200</v>
      </c>
      <c r="B504" s="266">
        <v>0.3</v>
      </c>
      <c r="C504" s="270">
        <v>3.11</v>
      </c>
      <c r="D504" s="270">
        <v>18.0</v>
      </c>
      <c r="E504" s="270" t="s">
        <v>2313</v>
      </c>
      <c r="F504" s="261"/>
      <c r="G504" s="261"/>
      <c r="H504" s="261"/>
      <c r="I504" s="261"/>
      <c r="J504" s="261"/>
    </row>
    <row r="505">
      <c r="A505" s="153" t="s">
        <v>220</v>
      </c>
      <c r="B505" s="266">
        <v>2.01</v>
      </c>
      <c r="C505" s="266">
        <v>2.02</v>
      </c>
      <c r="D505" s="261"/>
      <c r="E505" s="261"/>
      <c r="F505" s="261"/>
      <c r="G505" s="261"/>
      <c r="H505" s="261"/>
      <c r="I505" s="261"/>
      <c r="J505" s="261"/>
    </row>
    <row r="506">
      <c r="A506" s="153" t="s">
        <v>239</v>
      </c>
      <c r="B506" s="270">
        <v>4.2</v>
      </c>
      <c r="C506" s="266">
        <v>-0.12</v>
      </c>
      <c r="D506" s="261"/>
      <c r="E506" s="261"/>
      <c r="F506" s="261"/>
      <c r="G506" s="261"/>
      <c r="H506" s="261"/>
      <c r="I506" s="261"/>
      <c r="J506" s="261"/>
    </row>
    <row r="507">
      <c r="A507" s="153" t="s">
        <v>259</v>
      </c>
      <c r="B507" s="270">
        <v>40.0</v>
      </c>
      <c r="C507" s="266">
        <v>2.0</v>
      </c>
      <c r="D507" s="266">
        <v>2.0</v>
      </c>
      <c r="E507" s="261"/>
      <c r="F507" s="261"/>
      <c r="G507" s="261"/>
      <c r="H507" s="261"/>
      <c r="I507" s="261"/>
      <c r="J507" s="261"/>
    </row>
    <row r="508">
      <c r="A508" s="153" t="s">
        <v>279</v>
      </c>
      <c r="B508" s="269"/>
      <c r="C508" s="261"/>
      <c r="D508" s="261"/>
      <c r="E508" s="261"/>
      <c r="F508" s="261"/>
      <c r="G508" s="261"/>
      <c r="H508" s="261"/>
      <c r="I508" s="261"/>
      <c r="J508" s="261"/>
    </row>
    <row r="509">
      <c r="A509" s="153" t="s">
        <v>299</v>
      </c>
      <c r="B509" s="266">
        <v>0.25</v>
      </c>
      <c r="C509" s="266">
        <v>1.03</v>
      </c>
      <c r="D509" s="270">
        <v>2.3</v>
      </c>
      <c r="E509" s="261"/>
      <c r="F509" s="261"/>
      <c r="G509" s="261"/>
      <c r="H509" s="261"/>
      <c r="I509" s="261"/>
      <c r="J509" s="261"/>
    </row>
    <row r="510">
      <c r="A510" s="153" t="s">
        <v>319</v>
      </c>
      <c r="B510" s="270">
        <v>6.15</v>
      </c>
      <c r="C510" s="270">
        <v>3.2</v>
      </c>
      <c r="D510" s="266">
        <v>0.3</v>
      </c>
      <c r="E510" s="261"/>
      <c r="F510" s="261"/>
      <c r="G510" s="261"/>
      <c r="H510" s="261"/>
      <c r="I510" s="261"/>
      <c r="J510" s="261"/>
    </row>
    <row r="511">
      <c r="A511" s="153" t="s">
        <v>339</v>
      </c>
      <c r="B511" s="266">
        <v>0.18</v>
      </c>
      <c r="C511" s="261"/>
      <c r="D511" s="261"/>
      <c r="E511" s="261"/>
      <c r="F511" s="261"/>
      <c r="G511" s="261"/>
      <c r="H511" s="261"/>
      <c r="I511" s="261"/>
      <c r="J511" s="261"/>
    </row>
    <row r="512">
      <c r="A512" s="153" t="s">
        <v>359</v>
      </c>
      <c r="B512" s="270">
        <v>12.4</v>
      </c>
      <c r="C512" s="270">
        <v>175.0</v>
      </c>
      <c r="D512" s="261"/>
      <c r="E512" s="261"/>
      <c r="F512" s="261"/>
      <c r="G512" s="261"/>
      <c r="H512" s="261"/>
      <c r="I512" s="261"/>
      <c r="J512" s="261"/>
    </row>
    <row r="513">
      <c r="A513" s="153" t="s">
        <v>383</v>
      </c>
      <c r="B513" s="270">
        <v>6.15</v>
      </c>
      <c r="C513" s="270">
        <v>4.0</v>
      </c>
      <c r="D513" s="270">
        <v>17.5</v>
      </c>
      <c r="E513" s="261"/>
      <c r="F513" s="261"/>
      <c r="G513" s="261"/>
      <c r="H513" s="261"/>
      <c r="I513" s="261"/>
      <c r="J513" s="261"/>
    </row>
    <row r="514">
      <c r="A514" s="153" t="s">
        <v>408</v>
      </c>
      <c r="B514" s="270">
        <v>0.82</v>
      </c>
      <c r="C514" s="261"/>
      <c r="D514" s="261"/>
      <c r="E514" s="261"/>
      <c r="F514" s="261"/>
      <c r="G514" s="261"/>
      <c r="H514" s="261"/>
      <c r="I514" s="261"/>
      <c r="J514" s="261"/>
    </row>
    <row r="515">
      <c r="A515" s="153" t="s">
        <v>436</v>
      </c>
      <c r="B515" s="270">
        <v>1.51</v>
      </c>
      <c r="C515" s="266">
        <v>-0.46</v>
      </c>
      <c r="D515" s="261"/>
      <c r="E515" s="261"/>
      <c r="F515" s="261"/>
      <c r="G515" s="261"/>
      <c r="H515" s="261"/>
      <c r="I515" s="261"/>
      <c r="J515" s="261"/>
    </row>
    <row r="516">
      <c r="A516" s="153" t="s">
        <v>465</v>
      </c>
      <c r="B516" s="270">
        <v>3.0</v>
      </c>
      <c r="C516" s="270">
        <v>11.0</v>
      </c>
      <c r="D516" s="266">
        <v>1.0</v>
      </c>
      <c r="E516" s="261"/>
      <c r="F516" s="261"/>
      <c r="G516" s="261"/>
      <c r="H516" s="261"/>
      <c r="I516" s="261"/>
      <c r="J516" s="261"/>
    </row>
    <row r="517">
      <c r="A517" s="153" t="s">
        <v>494</v>
      </c>
      <c r="B517" s="266">
        <v>-0.16</v>
      </c>
      <c r="C517" s="266">
        <v>-0.35</v>
      </c>
      <c r="D517" s="261"/>
      <c r="E517" s="261"/>
      <c r="F517" s="261"/>
      <c r="G517" s="261"/>
      <c r="H517" s="261"/>
      <c r="I517" s="261"/>
      <c r="J517" s="261"/>
    </row>
    <row r="518">
      <c r="A518" s="153" t="s">
        <v>518</v>
      </c>
      <c r="B518" s="270">
        <v>4.4</v>
      </c>
      <c r="C518" s="261"/>
      <c r="D518" s="261"/>
      <c r="E518" s="261"/>
      <c r="F518" s="261"/>
      <c r="G518" s="261"/>
      <c r="H518" s="261"/>
      <c r="I518" s="261"/>
      <c r="J518" s="261"/>
    </row>
    <row r="519">
      <c r="A519" s="153" t="s">
        <v>537</v>
      </c>
      <c r="B519" s="269"/>
      <c r="C519" s="261"/>
      <c r="D519" s="261"/>
      <c r="E519" s="261"/>
      <c r="F519" s="261"/>
      <c r="G519" s="261"/>
      <c r="H519" s="261"/>
      <c r="I519" s="261"/>
      <c r="J519" s="261"/>
    </row>
    <row r="520">
      <c r="A520" s="153" t="s">
        <v>557</v>
      </c>
      <c r="B520" s="270">
        <v>1.15</v>
      </c>
      <c r="C520" s="266">
        <v>2.09</v>
      </c>
      <c r="D520" s="266">
        <v>1.6</v>
      </c>
      <c r="E520" s="266">
        <v>1.33</v>
      </c>
      <c r="F520" s="261"/>
      <c r="G520" s="261"/>
      <c r="H520" s="261"/>
      <c r="I520" s="261"/>
      <c r="J520" s="261"/>
    </row>
    <row r="521">
      <c r="A521" s="153" t="s">
        <v>580</v>
      </c>
      <c r="B521" s="266">
        <v>-0.72</v>
      </c>
      <c r="C521" s="261"/>
      <c r="D521" s="261"/>
      <c r="E521" s="261"/>
      <c r="F521" s="261"/>
      <c r="G521" s="261"/>
      <c r="H521" s="261"/>
      <c r="I521" s="261"/>
      <c r="J521" s="261"/>
    </row>
    <row r="522">
      <c r="A522" s="153" t="s">
        <v>604</v>
      </c>
      <c r="B522" s="270">
        <v>0.15</v>
      </c>
      <c r="C522" s="266">
        <v>0.8</v>
      </c>
      <c r="D522" s="266">
        <v>0.6</v>
      </c>
      <c r="E522" s="266">
        <v>0.6</v>
      </c>
      <c r="F522" s="261"/>
      <c r="G522" s="261"/>
      <c r="H522" s="261"/>
      <c r="I522" s="261"/>
      <c r="J522" s="261"/>
    </row>
    <row r="523">
      <c r="A523" s="153" t="s">
        <v>625</v>
      </c>
      <c r="B523" s="266">
        <v>-0.24</v>
      </c>
      <c r="C523" s="270">
        <v>1.16</v>
      </c>
      <c r="D523" s="261"/>
      <c r="E523" s="261"/>
      <c r="F523" s="261"/>
      <c r="G523" s="261"/>
      <c r="H523" s="261"/>
      <c r="I523" s="261"/>
      <c r="J523" s="261"/>
    </row>
    <row r="524">
      <c r="A524" s="153" t="s">
        <v>651</v>
      </c>
      <c r="B524" s="270">
        <v>2.0</v>
      </c>
      <c r="C524" s="270">
        <v>65.0</v>
      </c>
      <c r="D524" s="270">
        <v>65.0</v>
      </c>
      <c r="E524" s="261"/>
      <c r="F524" s="261"/>
      <c r="G524" s="261"/>
      <c r="H524" s="261"/>
      <c r="I524" s="261"/>
      <c r="J524" s="261"/>
    </row>
    <row r="525">
      <c r="A525" s="153" t="s">
        <v>667</v>
      </c>
      <c r="B525" s="270">
        <v>0.8</v>
      </c>
      <c r="C525" s="270">
        <v>15.68</v>
      </c>
      <c r="D525" s="261"/>
      <c r="E525" s="261"/>
      <c r="F525" s="261"/>
      <c r="G525" s="261"/>
      <c r="H525" s="261"/>
      <c r="I525" s="261"/>
      <c r="J525" s="261"/>
    </row>
    <row r="526">
      <c r="A526" s="153" t="s">
        <v>681</v>
      </c>
      <c r="B526" s="270">
        <v>11.1</v>
      </c>
      <c r="C526" s="266">
        <v>0.43</v>
      </c>
      <c r="D526" s="261"/>
      <c r="E526" s="261"/>
      <c r="F526" s="261"/>
      <c r="G526" s="261"/>
      <c r="H526" s="261"/>
      <c r="I526" s="261"/>
      <c r="J526" s="261"/>
    </row>
    <row r="527">
      <c r="A527" s="153" t="s">
        <v>695</v>
      </c>
      <c r="B527" s="270">
        <v>1.6</v>
      </c>
      <c r="C527" s="261"/>
      <c r="D527" s="261"/>
      <c r="E527" s="261"/>
      <c r="F527" s="261"/>
      <c r="G527" s="261"/>
      <c r="H527" s="261"/>
      <c r="I527" s="261"/>
      <c r="J527" s="261"/>
    </row>
    <row r="528">
      <c r="A528" s="153" t="s">
        <v>714</v>
      </c>
      <c r="B528" s="270">
        <v>4.2</v>
      </c>
      <c r="C528" s="261"/>
      <c r="D528" s="261"/>
      <c r="E528" s="261"/>
      <c r="F528" s="261"/>
      <c r="G528" s="261"/>
      <c r="H528" s="261"/>
      <c r="I528" s="261"/>
      <c r="J528" s="261"/>
    </row>
    <row r="529">
      <c r="A529" s="153" t="s">
        <v>732</v>
      </c>
      <c r="B529" s="270">
        <v>6.0</v>
      </c>
      <c r="C529" s="261"/>
      <c r="D529" s="261"/>
      <c r="E529" s="261"/>
      <c r="F529" s="261"/>
      <c r="G529" s="261"/>
      <c r="H529" s="261"/>
      <c r="I529" s="261"/>
      <c r="J529" s="261"/>
    </row>
    <row r="530">
      <c r="A530" s="153" t="s">
        <v>750</v>
      </c>
      <c r="B530" s="275">
        <v>0.0753</v>
      </c>
      <c r="C530" s="261"/>
      <c r="D530" s="261"/>
      <c r="E530" s="261"/>
      <c r="F530" s="261"/>
      <c r="G530" s="261"/>
      <c r="H530" s="261"/>
      <c r="I530" s="261"/>
      <c r="J530" s="261"/>
    </row>
    <row r="531">
      <c r="A531" s="153" t="s">
        <v>763</v>
      </c>
      <c r="B531" s="270">
        <v>2.0</v>
      </c>
      <c r="C531" s="261"/>
      <c r="D531" s="261"/>
      <c r="E531" s="261"/>
      <c r="F531" s="261"/>
      <c r="G531" s="261"/>
      <c r="H531" s="261"/>
      <c r="I531" s="261"/>
      <c r="J531" s="261"/>
    </row>
    <row r="532">
      <c r="A532" s="153" t="s">
        <v>503</v>
      </c>
      <c r="B532" s="269"/>
      <c r="C532" s="261"/>
      <c r="D532" s="261"/>
      <c r="E532" s="261"/>
      <c r="F532" s="261"/>
      <c r="G532" s="261"/>
      <c r="H532" s="261"/>
      <c r="I532" s="261"/>
      <c r="J532" s="261"/>
    </row>
    <row r="533">
      <c r="A533" s="153" t="s">
        <v>511</v>
      </c>
      <c r="B533" s="269"/>
      <c r="C533" s="261"/>
      <c r="D533" s="261"/>
      <c r="E533" s="261"/>
      <c r="F533" s="261"/>
      <c r="G533" s="261"/>
      <c r="H533" s="261"/>
      <c r="I533" s="261"/>
      <c r="J533" s="261"/>
    </row>
    <row r="534">
      <c r="A534" s="153" t="s">
        <v>516</v>
      </c>
      <c r="B534" s="269"/>
      <c r="C534" s="261"/>
      <c r="D534" s="261"/>
      <c r="E534" s="261"/>
      <c r="F534" s="261"/>
      <c r="G534" s="261"/>
      <c r="H534" s="261"/>
      <c r="I534" s="261"/>
      <c r="J534" s="261"/>
    </row>
    <row r="535">
      <c r="A535" s="153"/>
      <c r="B535" s="269"/>
      <c r="C535" s="261"/>
      <c r="D535" s="261"/>
      <c r="E535" s="261"/>
      <c r="F535" s="261"/>
      <c r="G535" s="261"/>
      <c r="H535" s="261"/>
      <c r="I535" s="261"/>
      <c r="J535" s="261"/>
    </row>
    <row r="536">
      <c r="A536" s="153"/>
      <c r="B536" s="269"/>
      <c r="C536" s="261"/>
      <c r="D536" s="261"/>
      <c r="E536" s="261"/>
      <c r="F536" s="261"/>
      <c r="G536" s="261"/>
      <c r="H536" s="261"/>
      <c r="I536" s="261"/>
      <c r="J536" s="261"/>
    </row>
    <row r="537">
      <c r="A537" s="153"/>
      <c r="B537" s="269"/>
      <c r="C537" s="261"/>
      <c r="D537" s="261"/>
      <c r="E537" s="261"/>
      <c r="F537" s="261"/>
      <c r="G537" s="261"/>
      <c r="H537" s="261"/>
      <c r="I537" s="261"/>
      <c r="J537" s="261"/>
    </row>
    <row r="538">
      <c r="A538" s="153"/>
      <c r="B538" s="269"/>
      <c r="C538" s="261"/>
      <c r="D538" s="261"/>
      <c r="E538" s="261"/>
      <c r="F538" s="261"/>
      <c r="G538" s="261"/>
      <c r="H538" s="261"/>
      <c r="I538" s="261"/>
      <c r="J538" s="261"/>
    </row>
    <row r="539">
      <c r="A539" s="153"/>
      <c r="B539" s="269"/>
      <c r="C539" s="261"/>
      <c r="D539" s="261"/>
      <c r="E539" s="261"/>
      <c r="F539" s="261"/>
      <c r="G539" s="261"/>
      <c r="H539" s="261"/>
      <c r="I539" s="261"/>
      <c r="J539" s="261"/>
    </row>
    <row r="540">
      <c r="A540" s="153"/>
      <c r="B540" s="269"/>
      <c r="C540" s="261"/>
      <c r="D540" s="261"/>
      <c r="E540" s="261"/>
      <c r="F540" s="261"/>
      <c r="G540" s="261"/>
      <c r="H540" s="261"/>
      <c r="I540" s="261"/>
      <c r="J540" s="261"/>
    </row>
    <row r="541">
      <c r="A541" s="153"/>
      <c r="B541" s="269"/>
      <c r="C541" s="261"/>
      <c r="D541" s="261"/>
      <c r="E541" s="261"/>
      <c r="F541" s="261"/>
      <c r="G541" s="261"/>
      <c r="H541" s="261"/>
      <c r="I541" s="261"/>
      <c r="J541" s="261"/>
    </row>
    <row r="542">
      <c r="A542" s="153"/>
      <c r="B542" s="269"/>
      <c r="C542" s="261"/>
      <c r="D542" s="261"/>
      <c r="E542" s="261"/>
      <c r="F542" s="261"/>
      <c r="G542" s="261"/>
      <c r="H542" s="261"/>
      <c r="I542" s="261"/>
      <c r="J542" s="261"/>
    </row>
    <row r="543">
      <c r="A543" s="153"/>
      <c r="B543" s="269"/>
      <c r="C543" s="261"/>
      <c r="D543" s="261"/>
      <c r="E543" s="261"/>
      <c r="F543" s="261"/>
      <c r="G543" s="261"/>
      <c r="H543" s="261"/>
      <c r="I543" s="261"/>
      <c r="J543" s="261"/>
    </row>
    <row r="544">
      <c r="A544" s="153"/>
      <c r="B544" s="269"/>
      <c r="C544" s="261"/>
      <c r="D544" s="261"/>
      <c r="E544" s="261"/>
      <c r="F544" s="261"/>
      <c r="G544" s="261"/>
      <c r="H544" s="261"/>
      <c r="I544" s="261"/>
      <c r="J544" s="261"/>
    </row>
    <row r="545">
      <c r="A545" s="153"/>
      <c r="B545" s="269"/>
      <c r="C545" s="261"/>
      <c r="D545" s="261"/>
      <c r="E545" s="261"/>
      <c r="F545" s="261"/>
      <c r="G545" s="261"/>
      <c r="H545" s="261"/>
      <c r="I545" s="261"/>
      <c r="J545" s="261"/>
    </row>
    <row r="546">
      <c r="A546" s="153"/>
      <c r="B546" s="269"/>
      <c r="C546" s="261"/>
      <c r="D546" s="261"/>
      <c r="E546" s="261"/>
      <c r="F546" s="261"/>
      <c r="G546" s="261"/>
      <c r="H546" s="261"/>
      <c r="I546" s="261"/>
      <c r="J546" s="261"/>
    </row>
    <row r="547">
      <c r="A547" s="153"/>
      <c r="B547" s="269"/>
      <c r="C547" s="261"/>
      <c r="D547" s="261"/>
      <c r="E547" s="261"/>
      <c r="F547" s="261"/>
      <c r="G547" s="261"/>
      <c r="H547" s="261"/>
      <c r="I547" s="261"/>
      <c r="J547" s="261"/>
    </row>
    <row r="548">
      <c r="A548" s="153"/>
      <c r="B548" s="269"/>
      <c r="C548" s="261"/>
      <c r="D548" s="261"/>
      <c r="E548" s="261"/>
      <c r="F548" s="261"/>
      <c r="G548" s="261"/>
      <c r="H548" s="261"/>
      <c r="I548" s="261"/>
      <c r="J548" s="261"/>
    </row>
    <row r="549">
      <c r="A549" s="153"/>
      <c r="B549" s="269"/>
      <c r="C549" s="261"/>
      <c r="D549" s="261"/>
      <c r="E549" s="261"/>
      <c r="F549" s="261"/>
      <c r="G549" s="261"/>
      <c r="H549" s="261"/>
      <c r="I549" s="261"/>
      <c r="J549" s="261"/>
    </row>
    <row r="550">
      <c r="A550" s="153"/>
      <c r="B550" s="269"/>
      <c r="C550" s="261"/>
      <c r="D550" s="261"/>
      <c r="E550" s="261"/>
      <c r="F550" s="261"/>
      <c r="G550" s="261"/>
      <c r="H550" s="261"/>
      <c r="I550" s="261"/>
      <c r="J550" s="261"/>
    </row>
    <row r="551">
      <c r="A551" s="198" t="s">
        <v>141</v>
      </c>
      <c r="B551" s="275">
        <v>-0.79</v>
      </c>
      <c r="C551" s="261"/>
      <c r="D551" s="261"/>
      <c r="E551" s="261"/>
      <c r="F551" s="261"/>
      <c r="G551" s="261"/>
      <c r="H551" s="261"/>
      <c r="I551" s="261"/>
      <c r="J551" s="261"/>
    </row>
    <row r="552">
      <c r="A552" s="146" t="s">
        <v>161</v>
      </c>
      <c r="B552" s="270">
        <v>3.0</v>
      </c>
      <c r="C552" s="270">
        <v>9.0</v>
      </c>
      <c r="D552" s="270">
        <v>6.0</v>
      </c>
      <c r="E552" s="261"/>
      <c r="F552" s="261"/>
      <c r="G552" s="261"/>
      <c r="H552" s="261"/>
      <c r="I552" s="261"/>
      <c r="J552" s="261"/>
    </row>
    <row r="553">
      <c r="A553" s="144" t="s">
        <v>181</v>
      </c>
      <c r="B553" s="275">
        <v>0.5</v>
      </c>
      <c r="C553" s="270">
        <v>62.0</v>
      </c>
      <c r="D553" s="270">
        <v>3.02</v>
      </c>
      <c r="E553" s="277">
        <v>20.0</v>
      </c>
      <c r="F553" s="261"/>
      <c r="G553" s="261"/>
      <c r="H553" s="261"/>
      <c r="I553" s="261"/>
      <c r="J553" s="261"/>
    </row>
    <row r="554">
      <c r="A554" s="146" t="s">
        <v>201</v>
      </c>
      <c r="B554" s="278">
        <v>0.155</v>
      </c>
      <c r="C554" s="261"/>
      <c r="D554" s="261"/>
      <c r="E554" s="261"/>
      <c r="F554" s="261"/>
      <c r="G554" s="261"/>
      <c r="H554" s="261"/>
      <c r="I554" s="261"/>
      <c r="J554" s="261"/>
    </row>
    <row r="555">
      <c r="A555" s="144" t="s">
        <v>221</v>
      </c>
      <c r="B555" s="275">
        <v>0.04</v>
      </c>
      <c r="C555" s="270">
        <v>41.5</v>
      </c>
      <c r="D555" s="275">
        <v>-0.96</v>
      </c>
      <c r="E555" s="261"/>
      <c r="F555" s="261"/>
      <c r="G555" s="261"/>
      <c r="H555" s="261"/>
      <c r="I555" s="261"/>
      <c r="J555" s="261"/>
    </row>
    <row r="556">
      <c r="A556" s="146" t="s">
        <v>240</v>
      </c>
      <c r="B556" s="278">
        <v>1.05</v>
      </c>
      <c r="C556" s="277">
        <v>4.03</v>
      </c>
      <c r="D556" s="261"/>
      <c r="E556" s="261"/>
      <c r="F556" s="261"/>
      <c r="G556" s="261"/>
      <c r="H556" s="261"/>
      <c r="I556" s="261"/>
      <c r="J556" s="261"/>
    </row>
    <row r="557">
      <c r="A557" s="144" t="s">
        <v>260</v>
      </c>
      <c r="B557" s="269"/>
      <c r="C557" s="261"/>
      <c r="D557" s="261"/>
      <c r="E557" s="261"/>
      <c r="F557" s="261"/>
      <c r="G557" s="261"/>
      <c r="H557" s="261"/>
      <c r="I557" s="261"/>
      <c r="J557" s="261"/>
    </row>
    <row r="558">
      <c r="A558" s="146" t="s">
        <v>280</v>
      </c>
      <c r="B558" s="275">
        <v>0.15</v>
      </c>
      <c r="C558" s="270">
        <v>4.1</v>
      </c>
      <c r="D558" s="275">
        <v>-0.1379</v>
      </c>
      <c r="E558" s="261"/>
      <c r="F558" s="261"/>
      <c r="G558" s="261"/>
      <c r="H558" s="261"/>
      <c r="I558" s="261"/>
      <c r="J558" s="261"/>
    </row>
    <row r="559">
      <c r="A559" s="144" t="s">
        <v>300</v>
      </c>
      <c r="B559" s="269"/>
      <c r="C559" s="261"/>
      <c r="D559" s="261"/>
      <c r="E559" s="261"/>
      <c r="F559" s="261"/>
      <c r="G559" s="261"/>
      <c r="H559" s="261"/>
      <c r="I559" s="261"/>
      <c r="J559" s="261"/>
    </row>
    <row r="560">
      <c r="A560" s="146" t="s">
        <v>320</v>
      </c>
      <c r="B560" s="270">
        <v>3.2</v>
      </c>
      <c r="C560" s="270">
        <v>6.9</v>
      </c>
      <c r="D560" s="270">
        <v>6.1</v>
      </c>
      <c r="E560" s="270">
        <v>3.1</v>
      </c>
      <c r="F560" s="261"/>
      <c r="G560" s="261"/>
      <c r="H560" s="261"/>
      <c r="I560" s="261"/>
      <c r="J560" s="261"/>
    </row>
    <row r="561">
      <c r="A561" s="144" t="s">
        <v>340</v>
      </c>
      <c r="B561" s="275">
        <v>0.402</v>
      </c>
      <c r="C561" s="275">
        <v>0.131</v>
      </c>
      <c r="D561" s="277">
        <v>6.53</v>
      </c>
      <c r="E561" s="261"/>
      <c r="F561" s="261"/>
      <c r="G561" s="261"/>
      <c r="H561" s="261"/>
      <c r="I561" s="261"/>
      <c r="J561" s="261"/>
    </row>
    <row r="562">
      <c r="A562" s="146" t="s">
        <v>360</v>
      </c>
      <c r="B562" s="277">
        <v>4.2</v>
      </c>
      <c r="C562" s="277">
        <v>2.2</v>
      </c>
      <c r="D562" s="270">
        <v>2.0</v>
      </c>
      <c r="E562" s="275">
        <v>-0.2908</v>
      </c>
      <c r="F562" s="275">
        <v>-0.59</v>
      </c>
      <c r="G562" s="275">
        <v>-0.29</v>
      </c>
      <c r="H562" s="278">
        <v>-0.39</v>
      </c>
      <c r="I562" s="261"/>
      <c r="J562" s="261"/>
    </row>
    <row r="563">
      <c r="A563" s="144" t="s">
        <v>384</v>
      </c>
      <c r="B563" s="278">
        <v>0.11</v>
      </c>
      <c r="C563" s="270">
        <v>4.2</v>
      </c>
      <c r="D563" s="261"/>
      <c r="E563" s="261"/>
      <c r="F563" s="261"/>
      <c r="G563" s="261"/>
      <c r="H563" s="261"/>
      <c r="I563" s="261"/>
      <c r="J563" s="261"/>
    </row>
    <row r="564">
      <c r="A564" s="146" t="s">
        <v>409</v>
      </c>
      <c r="B564" s="269"/>
      <c r="C564" s="261"/>
      <c r="D564" s="261"/>
      <c r="E564" s="261"/>
      <c r="F564" s="261"/>
      <c r="G564" s="261"/>
      <c r="H564" s="261"/>
      <c r="I564" s="261"/>
      <c r="J564" s="261"/>
    </row>
    <row r="565">
      <c r="A565" s="144" t="s">
        <v>438</v>
      </c>
      <c r="B565" s="277">
        <v>5.4</v>
      </c>
      <c r="C565" s="261"/>
      <c r="D565" s="261"/>
      <c r="E565" s="261"/>
      <c r="F565" s="261"/>
      <c r="G565" s="261"/>
      <c r="H565" s="261"/>
      <c r="I565" s="261"/>
      <c r="J565" s="261"/>
    </row>
    <row r="566">
      <c r="A566" s="146" t="s">
        <v>466</v>
      </c>
      <c r="B566" s="270">
        <v>0.4</v>
      </c>
      <c r="C566" s="270">
        <v>1.82</v>
      </c>
      <c r="D566" s="261"/>
      <c r="E566" s="261"/>
      <c r="F566" s="261"/>
      <c r="G566" s="261"/>
      <c r="H566" s="261"/>
      <c r="I566" s="261"/>
      <c r="J566" s="261"/>
    </row>
    <row r="567">
      <c r="A567" s="144" t="s">
        <v>495</v>
      </c>
      <c r="B567" s="270">
        <v>0.04</v>
      </c>
      <c r="C567" s="261"/>
      <c r="D567" s="261"/>
      <c r="E567" s="261"/>
      <c r="F567" s="261"/>
      <c r="G567" s="261"/>
      <c r="H567" s="261"/>
      <c r="I567" s="261"/>
      <c r="J567" s="261"/>
    </row>
    <row r="568">
      <c r="A568" s="146" t="s">
        <v>519</v>
      </c>
      <c r="B568" s="275">
        <v>0.06</v>
      </c>
      <c r="C568" s="275">
        <v>0.093</v>
      </c>
      <c r="D568" s="277">
        <v>3.1</v>
      </c>
      <c r="E568" s="270">
        <v>4.0</v>
      </c>
      <c r="F568" s="261"/>
      <c r="G568" s="261"/>
      <c r="H568" s="261"/>
      <c r="I568" s="261"/>
      <c r="J568" s="261"/>
    </row>
    <row r="569">
      <c r="A569" s="144" t="s">
        <v>538</v>
      </c>
      <c r="B569" s="277">
        <v>1.3</v>
      </c>
      <c r="C569" s="261"/>
      <c r="D569" s="261"/>
      <c r="E569" s="261"/>
      <c r="F569" s="261"/>
      <c r="G569" s="261"/>
      <c r="H569" s="261"/>
      <c r="I569" s="261"/>
      <c r="J569" s="261"/>
    </row>
    <row r="570">
      <c r="A570" s="146" t="s">
        <v>558</v>
      </c>
      <c r="B570" s="277">
        <v>15.0</v>
      </c>
      <c r="C570" s="261"/>
      <c r="D570" s="261"/>
      <c r="E570" s="261"/>
      <c r="F570" s="261"/>
      <c r="G570" s="261"/>
      <c r="H570" s="261"/>
      <c r="I570" s="261"/>
      <c r="J570" s="261"/>
    </row>
    <row r="571">
      <c r="A571" s="144" t="s">
        <v>582</v>
      </c>
      <c r="B571" s="270">
        <v>5.0</v>
      </c>
      <c r="C571" s="270">
        <v>0.0</v>
      </c>
      <c r="D571" s="261"/>
      <c r="E571" s="261"/>
      <c r="F571" s="261"/>
      <c r="G571" s="261"/>
      <c r="H571" s="261"/>
      <c r="I571" s="261"/>
      <c r="J571" s="261"/>
    </row>
    <row r="572">
      <c r="A572" s="146" t="s">
        <v>606</v>
      </c>
      <c r="B572" s="278">
        <v>0.22</v>
      </c>
      <c r="C572" s="277">
        <v>1.1</v>
      </c>
      <c r="D572" s="261"/>
      <c r="E572" s="261"/>
      <c r="F572" s="261"/>
      <c r="G572" s="261"/>
      <c r="H572" s="261"/>
      <c r="I572" s="261"/>
      <c r="J572" s="261"/>
    </row>
    <row r="573">
      <c r="A573" s="144" t="s">
        <v>626</v>
      </c>
      <c r="B573" s="277">
        <v>6.1</v>
      </c>
      <c r="C573" s="277">
        <v>3.1</v>
      </c>
      <c r="D573" s="261"/>
      <c r="E573" s="261"/>
      <c r="F573" s="261"/>
      <c r="G573" s="261"/>
      <c r="H573" s="261"/>
      <c r="I573" s="261"/>
      <c r="J573" s="261"/>
    </row>
    <row r="574">
      <c r="A574" s="146" t="s">
        <v>652</v>
      </c>
      <c r="B574" s="279">
        <v>11.0</v>
      </c>
      <c r="C574" s="261"/>
      <c r="D574" s="261"/>
      <c r="E574" s="261"/>
      <c r="F574" s="261"/>
      <c r="G574" s="261"/>
      <c r="H574" s="261"/>
      <c r="I574" s="261"/>
      <c r="J574" s="261"/>
    </row>
    <row r="575">
      <c r="A575" s="144" t="s">
        <v>668</v>
      </c>
      <c r="B575" s="277">
        <v>2.1</v>
      </c>
      <c r="C575" s="277">
        <v>2.6</v>
      </c>
      <c r="D575" s="270">
        <v>5.0</v>
      </c>
      <c r="E575" s="261"/>
      <c r="F575" s="261"/>
      <c r="G575" s="261"/>
      <c r="H575" s="261"/>
      <c r="I575" s="261"/>
      <c r="J575" s="261"/>
    </row>
    <row r="576">
      <c r="A576" s="146" t="s">
        <v>682</v>
      </c>
      <c r="B576" s="270">
        <v>1.03</v>
      </c>
      <c r="C576" s="261"/>
      <c r="D576" s="261"/>
      <c r="E576" s="261"/>
      <c r="F576" s="261"/>
      <c r="G576" s="261"/>
      <c r="H576" s="261"/>
      <c r="I576" s="261"/>
      <c r="J576" s="261"/>
    </row>
    <row r="577">
      <c r="A577" s="144" t="s">
        <v>696</v>
      </c>
      <c r="B577" s="277">
        <v>10.4</v>
      </c>
      <c r="C577" s="261"/>
      <c r="D577" s="261"/>
      <c r="E577" s="261"/>
      <c r="F577" s="261"/>
      <c r="G577" s="261"/>
      <c r="H577" s="261"/>
      <c r="I577" s="261"/>
      <c r="J577" s="261"/>
    </row>
    <row r="578">
      <c r="A578" s="146" t="s">
        <v>715</v>
      </c>
      <c r="B578" s="275">
        <v>0.0753</v>
      </c>
      <c r="C578" s="261"/>
      <c r="D578" s="261"/>
      <c r="E578" s="261"/>
      <c r="F578" s="261"/>
      <c r="G578" s="261"/>
      <c r="H578" s="261"/>
      <c r="I578" s="261"/>
      <c r="J578" s="261"/>
    </row>
    <row r="579">
      <c r="A579" s="144" t="s">
        <v>734</v>
      </c>
      <c r="B579" s="275">
        <v>0.16</v>
      </c>
      <c r="C579" s="275">
        <v>-0.485</v>
      </c>
      <c r="D579" s="261"/>
      <c r="E579" s="261"/>
      <c r="F579" s="261"/>
      <c r="G579" s="261"/>
      <c r="H579" s="261"/>
      <c r="I579" s="261"/>
      <c r="J579" s="261"/>
    </row>
    <row r="580">
      <c r="A580" s="146" t="s">
        <v>751</v>
      </c>
      <c r="B580" s="275">
        <v>0.14</v>
      </c>
      <c r="C580" s="261"/>
      <c r="D580" s="261"/>
      <c r="E580" s="261"/>
      <c r="F580" s="261"/>
      <c r="G580" s="261"/>
      <c r="H580" s="261"/>
      <c r="I580" s="261"/>
      <c r="J580" s="261"/>
    </row>
    <row r="581">
      <c r="A581" s="144" t="s">
        <v>764</v>
      </c>
      <c r="B581" s="270">
        <v>8.0</v>
      </c>
      <c r="C581" s="261"/>
      <c r="D581" s="261"/>
      <c r="E581" s="261"/>
      <c r="F581" s="261"/>
      <c r="G581" s="261"/>
      <c r="H581" s="261"/>
      <c r="I581" s="261"/>
      <c r="J581" s="261"/>
    </row>
    <row r="582">
      <c r="A582" s="153"/>
      <c r="B582" s="269"/>
      <c r="C582" s="261"/>
      <c r="D582" s="261"/>
      <c r="E582" s="261"/>
      <c r="F582" s="261"/>
      <c r="G582" s="261"/>
      <c r="H582" s="261"/>
      <c r="I582" s="261"/>
      <c r="J582" s="261"/>
    </row>
    <row r="583">
      <c r="A583" s="153"/>
      <c r="B583" s="269"/>
      <c r="C583" s="261"/>
      <c r="D583" s="261"/>
      <c r="E583" s="261"/>
      <c r="F583" s="261"/>
      <c r="G583" s="261"/>
      <c r="H583" s="261"/>
      <c r="I583" s="261"/>
      <c r="J583" s="261"/>
    </row>
    <row r="584">
      <c r="A584" s="153"/>
      <c r="B584" s="269"/>
      <c r="C584" s="261"/>
      <c r="D584" s="261"/>
      <c r="E584" s="261"/>
      <c r="F584" s="261"/>
      <c r="G584" s="261"/>
      <c r="H584" s="261"/>
      <c r="I584" s="261"/>
      <c r="J584" s="261"/>
    </row>
    <row r="585">
      <c r="A585" s="153"/>
      <c r="B585" s="269"/>
      <c r="C585" s="261"/>
      <c r="D585" s="261"/>
      <c r="E585" s="261"/>
      <c r="F585" s="261"/>
      <c r="G585" s="261"/>
      <c r="H585" s="261"/>
      <c r="I585" s="261"/>
      <c r="J585" s="261"/>
    </row>
    <row r="586">
      <c r="A586" s="153"/>
      <c r="B586" s="269"/>
      <c r="C586" s="261"/>
      <c r="D586" s="261"/>
      <c r="E586" s="261"/>
      <c r="F586" s="261"/>
      <c r="G586" s="261"/>
      <c r="H586" s="261"/>
      <c r="I586" s="261"/>
      <c r="J586" s="261"/>
    </row>
    <row r="587">
      <c r="A587" s="153"/>
      <c r="B587" s="269"/>
      <c r="C587" s="261"/>
      <c r="D587" s="261"/>
      <c r="E587" s="261"/>
      <c r="F587" s="261"/>
      <c r="G587" s="261"/>
      <c r="H587" s="261"/>
      <c r="I587" s="261"/>
      <c r="J587" s="261"/>
    </row>
    <row r="588">
      <c r="A588" s="153"/>
      <c r="B588" s="269"/>
      <c r="C588" s="261"/>
      <c r="D588" s="261"/>
      <c r="E588" s="261"/>
      <c r="F588" s="261"/>
      <c r="G588" s="261"/>
      <c r="H588" s="261"/>
      <c r="I588" s="261"/>
      <c r="J588" s="261"/>
    </row>
    <row r="589">
      <c r="A589" s="153"/>
      <c r="B589" s="269"/>
      <c r="C589" s="261"/>
      <c r="D589" s="261"/>
      <c r="E589" s="261"/>
      <c r="F589" s="261"/>
      <c r="G589" s="261"/>
      <c r="H589" s="261"/>
      <c r="I589" s="261"/>
      <c r="J589" s="261"/>
    </row>
    <row r="590">
      <c r="A590" s="153"/>
      <c r="B590" s="269"/>
      <c r="C590" s="261"/>
      <c r="D590" s="261"/>
      <c r="E590" s="261"/>
      <c r="F590" s="261"/>
      <c r="G590" s="261"/>
      <c r="H590" s="261"/>
      <c r="I590" s="261"/>
      <c r="J590" s="261"/>
    </row>
    <row r="591">
      <c r="A591" s="153"/>
      <c r="B591" s="269"/>
      <c r="C591" s="261"/>
      <c r="D591" s="261"/>
      <c r="E591" s="261"/>
      <c r="F591" s="261"/>
      <c r="G591" s="261"/>
      <c r="H591" s="261"/>
      <c r="I591" s="261"/>
      <c r="J591" s="261"/>
    </row>
    <row r="592">
      <c r="A592" s="153"/>
      <c r="B592" s="269"/>
      <c r="C592" s="261"/>
      <c r="D592" s="261"/>
      <c r="E592" s="261"/>
      <c r="F592" s="261"/>
      <c r="G592" s="261"/>
      <c r="H592" s="261"/>
      <c r="I592" s="261"/>
      <c r="J592" s="261"/>
    </row>
    <row r="593">
      <c r="A593" s="153"/>
      <c r="B593" s="269"/>
      <c r="C593" s="261"/>
      <c r="D593" s="261"/>
      <c r="E593" s="261"/>
      <c r="F593" s="261"/>
      <c r="G593" s="261"/>
      <c r="H593" s="261"/>
      <c r="I593" s="261"/>
      <c r="J593" s="261"/>
    </row>
    <row r="594">
      <c r="A594" s="153"/>
      <c r="B594" s="269"/>
      <c r="C594" s="261"/>
      <c r="D594" s="261"/>
      <c r="E594" s="261"/>
      <c r="F594" s="261"/>
      <c r="G594" s="261"/>
      <c r="H594" s="261"/>
      <c r="I594" s="261"/>
      <c r="J594" s="261"/>
    </row>
    <row r="595">
      <c r="A595" s="153"/>
      <c r="B595" s="269"/>
      <c r="C595" s="261"/>
      <c r="D595" s="261"/>
      <c r="E595" s="261"/>
      <c r="F595" s="261"/>
      <c r="G595" s="261"/>
      <c r="H595" s="261"/>
      <c r="I595" s="261"/>
      <c r="J595" s="261"/>
    </row>
    <row r="596">
      <c r="A596" s="153"/>
      <c r="B596" s="269"/>
      <c r="C596" s="261"/>
      <c r="D596" s="261"/>
      <c r="E596" s="261"/>
      <c r="F596" s="261"/>
      <c r="G596" s="261"/>
      <c r="H596" s="261"/>
      <c r="I596" s="261"/>
      <c r="J596" s="261"/>
    </row>
    <row r="597">
      <c r="A597" s="153"/>
      <c r="B597" s="269"/>
      <c r="C597" s="261"/>
      <c r="D597" s="261"/>
      <c r="E597" s="261"/>
      <c r="F597" s="261"/>
      <c r="G597" s="261"/>
      <c r="H597" s="261"/>
      <c r="I597" s="261"/>
      <c r="J597" s="261"/>
    </row>
    <row r="598">
      <c r="A598" s="153"/>
      <c r="B598" s="269"/>
      <c r="C598" s="261"/>
      <c r="D598" s="261"/>
      <c r="E598" s="261"/>
      <c r="F598" s="261"/>
      <c r="G598" s="261"/>
      <c r="H598" s="261"/>
      <c r="I598" s="261"/>
      <c r="J598" s="261"/>
    </row>
    <row r="599">
      <c r="A599" s="153"/>
      <c r="B599" s="269"/>
      <c r="C599" s="261"/>
      <c r="D599" s="261"/>
      <c r="E599" s="261"/>
      <c r="F599" s="261"/>
      <c r="G599" s="261"/>
      <c r="H599" s="261"/>
      <c r="I599" s="261"/>
      <c r="J599" s="261"/>
    </row>
    <row r="600">
      <c r="A600" s="153"/>
      <c r="B600" s="269"/>
      <c r="C600" s="261"/>
      <c r="D600" s="261"/>
      <c r="E600" s="261"/>
      <c r="F600" s="261"/>
      <c r="G600" s="261"/>
      <c r="H600" s="261"/>
      <c r="I600" s="261"/>
      <c r="J600" s="261"/>
    </row>
    <row r="601">
      <c r="A601" s="150" t="str">
        <f t="array" ref="A601:A650">'Up Names'!M2:M51</f>
        <v>Cluster Bomb</v>
      </c>
      <c r="B601" s="208">
        <v>5.0</v>
      </c>
      <c r="C601" s="261"/>
      <c r="D601" s="261"/>
      <c r="E601" s="261"/>
      <c r="F601" s="261"/>
      <c r="G601" s="261"/>
      <c r="H601" s="261"/>
      <c r="I601" s="261"/>
      <c r="J601" s="261"/>
    </row>
    <row r="602">
      <c r="A602" s="153" t="s">
        <v>162</v>
      </c>
      <c r="B602" s="271">
        <v>1.65</v>
      </c>
      <c r="C602" s="264">
        <v>0.15</v>
      </c>
      <c r="D602" s="261"/>
      <c r="E602" s="261"/>
      <c r="F602" s="261"/>
      <c r="G602" s="261"/>
      <c r="H602" s="261"/>
      <c r="I602" s="261"/>
      <c r="J602" s="261"/>
    </row>
    <row r="603">
      <c r="A603" s="155" t="s">
        <v>182</v>
      </c>
      <c r="B603" s="260">
        <v>3.2</v>
      </c>
      <c r="C603" s="204">
        <v>21.5</v>
      </c>
      <c r="D603" s="208">
        <v>25.0</v>
      </c>
      <c r="E603" s="261"/>
      <c r="F603" s="261"/>
      <c r="G603" s="261"/>
      <c r="H603" s="261"/>
      <c r="I603" s="261"/>
      <c r="J603" s="261"/>
    </row>
    <row r="604">
      <c r="A604" s="153" t="s">
        <v>202</v>
      </c>
      <c r="B604" s="264">
        <v>0.5</v>
      </c>
      <c r="C604" s="264">
        <v>0.07</v>
      </c>
      <c r="D604" s="264">
        <v>0.06</v>
      </c>
      <c r="E604" s="261"/>
      <c r="F604" s="261"/>
      <c r="G604" s="261"/>
      <c r="H604" s="261"/>
      <c r="I604" s="261"/>
      <c r="J604" s="261"/>
    </row>
    <row r="605">
      <c r="A605" s="155" t="s">
        <v>222</v>
      </c>
      <c r="B605" s="262">
        <v>0.55</v>
      </c>
      <c r="C605" s="262">
        <v>0.35</v>
      </c>
      <c r="D605" s="261"/>
      <c r="E605" s="261"/>
      <c r="F605" s="261"/>
      <c r="G605" s="261"/>
      <c r="H605" s="261"/>
      <c r="I605" s="261"/>
      <c r="J605" s="261"/>
    </row>
    <row r="606">
      <c r="A606" s="153" t="s">
        <v>241</v>
      </c>
      <c r="B606" s="264">
        <v>0.35</v>
      </c>
      <c r="C606" s="261"/>
      <c r="D606" s="261"/>
      <c r="E606" s="261"/>
      <c r="F606" s="261"/>
      <c r="G606" s="261"/>
      <c r="H606" s="261"/>
      <c r="I606" s="261"/>
      <c r="J606" s="261"/>
    </row>
    <row r="607">
      <c r="A607" s="155" t="s">
        <v>261</v>
      </c>
      <c r="B607" s="208">
        <v>1.2</v>
      </c>
      <c r="C607" s="261"/>
      <c r="D607" s="261"/>
      <c r="E607" s="261"/>
      <c r="F607" s="261"/>
      <c r="G607" s="261"/>
      <c r="H607" s="261"/>
      <c r="I607" s="261"/>
      <c r="J607" s="261"/>
    </row>
    <row r="608">
      <c r="A608" s="153" t="s">
        <v>281</v>
      </c>
      <c r="B608" s="269"/>
      <c r="C608" s="261"/>
      <c r="D608" s="261"/>
      <c r="E608" s="261"/>
      <c r="F608" s="261"/>
      <c r="G608" s="261"/>
      <c r="H608" s="261"/>
      <c r="I608" s="261"/>
      <c r="J608" s="261"/>
    </row>
    <row r="609">
      <c r="A609" s="155" t="s">
        <v>301</v>
      </c>
      <c r="B609" s="265">
        <v>-0.1379</v>
      </c>
      <c r="C609" s="204">
        <v>1.0</v>
      </c>
      <c r="D609" s="261"/>
      <c r="E609" s="261"/>
      <c r="F609" s="261"/>
      <c r="G609" s="261"/>
      <c r="H609" s="261"/>
      <c r="I609" s="261"/>
      <c r="J609" s="261"/>
    </row>
    <row r="610">
      <c r="A610" s="153" t="s">
        <v>321</v>
      </c>
      <c r="B610" s="264">
        <v>0.9</v>
      </c>
      <c r="C610" s="261"/>
      <c r="D610" s="261"/>
      <c r="E610" s="261"/>
      <c r="F610" s="261"/>
      <c r="G610" s="261"/>
      <c r="H610" s="261"/>
      <c r="I610" s="261"/>
      <c r="J610" s="261"/>
    </row>
    <row r="611">
      <c r="A611" s="155" t="s">
        <v>341</v>
      </c>
      <c r="B611" s="265">
        <v>0.1765</v>
      </c>
      <c r="C611" s="262">
        <v>0.4</v>
      </c>
      <c r="D611" s="261"/>
      <c r="E611" s="261"/>
      <c r="F611" s="261"/>
      <c r="G611" s="261"/>
      <c r="H611" s="261"/>
      <c r="I611" s="261"/>
      <c r="J611" s="261"/>
    </row>
    <row r="612">
      <c r="A612" s="153" t="s">
        <v>361</v>
      </c>
      <c r="B612" s="264">
        <v>0.61</v>
      </c>
      <c r="C612" s="264">
        <v>24.0</v>
      </c>
      <c r="D612" s="261"/>
      <c r="E612" s="261"/>
      <c r="F612" s="261"/>
      <c r="G612" s="261"/>
      <c r="H612" s="261"/>
      <c r="I612" s="261"/>
      <c r="J612" s="261"/>
    </row>
    <row r="613">
      <c r="A613" s="155" t="s">
        <v>385</v>
      </c>
      <c r="B613" s="261"/>
      <c r="C613" s="269"/>
      <c r="D613" s="261"/>
      <c r="E613" s="261"/>
      <c r="F613" s="261"/>
      <c r="G613" s="261"/>
      <c r="H613" s="261"/>
      <c r="I613" s="261"/>
      <c r="J613" s="261"/>
    </row>
    <row r="614">
      <c r="A614" s="153" t="s">
        <v>412</v>
      </c>
      <c r="B614" s="263">
        <v>0.1455</v>
      </c>
      <c r="C614" s="268"/>
      <c r="D614" s="261"/>
      <c r="E614" s="261"/>
      <c r="F614" s="261"/>
      <c r="G614" s="261"/>
      <c r="H614" s="261"/>
      <c r="I614" s="261"/>
      <c r="J614" s="261"/>
    </row>
    <row r="615">
      <c r="A615" s="155" t="s">
        <v>440</v>
      </c>
      <c r="B615" s="204">
        <v>30.0</v>
      </c>
      <c r="C615" s="269"/>
      <c r="D615" s="261"/>
      <c r="E615" s="261"/>
      <c r="F615" s="261"/>
      <c r="G615" s="261"/>
      <c r="H615" s="261"/>
      <c r="I615" s="261"/>
      <c r="J615" s="261"/>
    </row>
    <row r="616">
      <c r="A616" s="153" t="s">
        <v>467</v>
      </c>
      <c r="B616" s="206">
        <v>1.0</v>
      </c>
      <c r="C616" s="261"/>
      <c r="D616" s="261"/>
      <c r="E616" s="261"/>
      <c r="F616" s="261"/>
      <c r="G616" s="261"/>
      <c r="H616" s="261"/>
      <c r="I616" s="261"/>
      <c r="J616" s="261"/>
    </row>
    <row r="617">
      <c r="A617" s="155" t="s">
        <v>497</v>
      </c>
      <c r="B617" s="208">
        <v>24.0</v>
      </c>
      <c r="C617" s="261"/>
      <c r="D617" s="261"/>
      <c r="E617" s="261"/>
      <c r="F617" s="261"/>
      <c r="G617" s="261"/>
      <c r="H617" s="261"/>
      <c r="I617" s="261"/>
      <c r="J617" s="261"/>
    </row>
    <row r="618">
      <c r="A618" s="153" t="s">
        <v>520</v>
      </c>
      <c r="B618" s="264">
        <v>-0.6</v>
      </c>
      <c r="C618" s="261"/>
      <c r="D618" s="261"/>
      <c r="E618" s="261"/>
      <c r="F618" s="261"/>
      <c r="G618" s="261"/>
      <c r="H618" s="261"/>
      <c r="I618" s="261"/>
      <c r="J618" s="261"/>
    </row>
    <row r="619">
      <c r="A619" s="155" t="s">
        <v>539</v>
      </c>
      <c r="B619" s="265">
        <v>0.0638</v>
      </c>
      <c r="C619" s="261"/>
      <c r="D619" s="261"/>
      <c r="E619" s="261"/>
      <c r="F619" s="261"/>
      <c r="G619" s="261"/>
      <c r="H619" s="261"/>
      <c r="I619" s="261"/>
      <c r="J619" s="261"/>
    </row>
    <row r="620">
      <c r="A620" s="153" t="s">
        <v>559</v>
      </c>
      <c r="B620" s="264">
        <v>-0.58</v>
      </c>
      <c r="C620" s="264">
        <v>0.61</v>
      </c>
      <c r="D620" s="261"/>
      <c r="E620" s="261"/>
      <c r="F620" s="261"/>
      <c r="G620" s="261"/>
      <c r="H620" s="261"/>
      <c r="I620" s="261"/>
      <c r="J620" s="261"/>
    </row>
    <row r="621">
      <c r="A621" s="155" t="s">
        <v>583</v>
      </c>
      <c r="B621" s="269"/>
      <c r="C621" s="261"/>
      <c r="D621" s="261"/>
      <c r="E621" s="261"/>
      <c r="F621" s="261"/>
      <c r="G621" s="261"/>
      <c r="H621" s="261"/>
      <c r="I621" s="261"/>
      <c r="J621" s="261"/>
    </row>
    <row r="622">
      <c r="A622" s="153" t="s">
        <v>607</v>
      </c>
      <c r="B622" s="269"/>
      <c r="C622" s="280"/>
      <c r="D622" s="261"/>
      <c r="E622" s="261"/>
      <c r="F622" s="261"/>
      <c r="G622" s="261"/>
      <c r="H622" s="261"/>
      <c r="I622" s="261"/>
      <c r="J622" s="261"/>
    </row>
    <row r="623">
      <c r="A623" s="155" t="s">
        <v>627</v>
      </c>
      <c r="B623" s="280"/>
      <c r="C623" s="269"/>
      <c r="D623" s="261"/>
      <c r="E623" s="261"/>
      <c r="F623" s="261"/>
      <c r="G623" s="261"/>
      <c r="H623" s="261"/>
      <c r="I623" s="261"/>
      <c r="J623" s="261"/>
    </row>
    <row r="624">
      <c r="A624" s="153" t="s">
        <v>653</v>
      </c>
      <c r="B624" s="280"/>
      <c r="C624" s="269"/>
      <c r="D624" s="261"/>
      <c r="E624" s="261"/>
      <c r="F624" s="261"/>
      <c r="G624" s="261"/>
      <c r="H624" s="261"/>
      <c r="I624" s="261"/>
      <c r="J624" s="261"/>
    </row>
    <row r="625">
      <c r="A625" s="155" t="s">
        <v>503</v>
      </c>
      <c r="B625" s="280"/>
      <c r="C625" s="269"/>
      <c r="D625" s="261"/>
      <c r="E625" s="261"/>
      <c r="F625" s="261"/>
      <c r="G625" s="261"/>
      <c r="H625" s="261"/>
      <c r="I625" s="261"/>
      <c r="J625" s="261"/>
    </row>
    <row r="626">
      <c r="A626" s="153" t="s">
        <v>511</v>
      </c>
      <c r="B626" s="280"/>
      <c r="C626" s="269"/>
      <c r="D626" s="261"/>
      <c r="E626" s="261"/>
      <c r="F626" s="261"/>
      <c r="G626" s="261"/>
      <c r="H626" s="261"/>
      <c r="I626" s="261"/>
      <c r="J626" s="261"/>
    </row>
    <row r="627">
      <c r="A627" s="155" t="s">
        <v>516</v>
      </c>
      <c r="B627" s="280"/>
      <c r="C627" s="269"/>
      <c r="D627" s="261"/>
      <c r="E627" s="261"/>
      <c r="F627" s="261"/>
      <c r="G627" s="261"/>
      <c r="H627" s="261"/>
      <c r="I627" s="261"/>
      <c r="J627" s="261"/>
    </row>
    <row r="628">
      <c r="A628" s="153"/>
      <c r="B628" s="280"/>
      <c r="C628" s="269"/>
      <c r="D628" s="261"/>
      <c r="E628" s="261"/>
      <c r="F628" s="261"/>
      <c r="G628" s="261"/>
      <c r="H628" s="261"/>
      <c r="I628" s="261"/>
      <c r="J628" s="261"/>
    </row>
    <row r="629">
      <c r="A629" s="155"/>
      <c r="B629" s="280"/>
      <c r="C629" s="269"/>
      <c r="D629" s="261"/>
      <c r="E629" s="261"/>
      <c r="F629" s="261"/>
      <c r="G629" s="261"/>
      <c r="H629" s="261"/>
      <c r="I629" s="261"/>
      <c r="J629" s="261"/>
    </row>
    <row r="630">
      <c r="A630" s="153"/>
      <c r="B630" s="280"/>
      <c r="C630" s="269"/>
      <c r="D630" s="261"/>
      <c r="E630" s="261"/>
      <c r="F630" s="261"/>
      <c r="G630" s="261"/>
      <c r="H630" s="261"/>
      <c r="I630" s="261"/>
      <c r="J630" s="261"/>
    </row>
    <row r="631">
      <c r="A631" s="155"/>
      <c r="B631" s="280"/>
      <c r="C631" s="269"/>
      <c r="D631" s="261"/>
      <c r="E631" s="261"/>
      <c r="F631" s="261"/>
      <c r="G631" s="261"/>
      <c r="H631" s="261"/>
      <c r="I631" s="261"/>
      <c r="J631" s="261"/>
    </row>
    <row r="632">
      <c r="A632" s="153"/>
      <c r="B632" s="280"/>
      <c r="C632" s="269"/>
      <c r="D632" s="261"/>
      <c r="E632" s="261"/>
      <c r="F632" s="261"/>
      <c r="G632" s="261"/>
      <c r="H632" s="261"/>
      <c r="I632" s="261"/>
      <c r="J632" s="261"/>
    </row>
    <row r="633">
      <c r="A633" s="155"/>
      <c r="B633" s="280"/>
      <c r="C633" s="269"/>
      <c r="D633" s="261"/>
      <c r="E633" s="261"/>
      <c r="F633" s="261"/>
      <c r="G633" s="261"/>
      <c r="H633" s="261"/>
      <c r="I633" s="261"/>
      <c r="J633" s="261"/>
    </row>
    <row r="634">
      <c r="A634" s="153"/>
      <c r="B634" s="280"/>
      <c r="C634" s="269"/>
      <c r="D634" s="261"/>
      <c r="E634" s="261"/>
      <c r="F634" s="261"/>
      <c r="G634" s="261"/>
      <c r="H634" s="261"/>
      <c r="I634" s="261"/>
      <c r="J634" s="261"/>
    </row>
    <row r="635">
      <c r="A635" s="155"/>
      <c r="B635" s="280"/>
      <c r="C635" s="269"/>
      <c r="D635" s="261"/>
      <c r="E635" s="261"/>
      <c r="F635" s="261"/>
      <c r="G635" s="261"/>
      <c r="H635" s="261"/>
      <c r="I635" s="261"/>
      <c r="J635" s="261"/>
    </row>
    <row r="636">
      <c r="A636" s="153"/>
      <c r="B636" s="280"/>
      <c r="C636" s="269"/>
      <c r="D636" s="261"/>
      <c r="E636" s="261"/>
      <c r="F636" s="261"/>
      <c r="G636" s="261"/>
      <c r="H636" s="261"/>
      <c r="I636" s="261"/>
      <c r="J636" s="261"/>
    </row>
    <row r="637">
      <c r="A637" s="155"/>
      <c r="B637" s="280"/>
      <c r="C637" s="269"/>
      <c r="D637" s="261"/>
      <c r="E637" s="261"/>
      <c r="F637" s="261"/>
      <c r="G637" s="261"/>
      <c r="H637" s="261"/>
      <c r="I637" s="261"/>
      <c r="J637" s="261"/>
    </row>
    <row r="638">
      <c r="A638" s="153"/>
      <c r="B638" s="280"/>
      <c r="C638" s="269"/>
      <c r="D638" s="261"/>
      <c r="E638" s="261"/>
      <c r="F638" s="261"/>
      <c r="G638" s="261"/>
      <c r="H638" s="261"/>
      <c r="I638" s="261"/>
      <c r="J638" s="261"/>
    </row>
    <row r="639">
      <c r="A639" s="155"/>
      <c r="B639" s="280"/>
      <c r="C639" s="269"/>
      <c r="D639" s="261"/>
      <c r="E639" s="261"/>
      <c r="F639" s="261"/>
      <c r="G639" s="261"/>
      <c r="H639" s="261"/>
      <c r="I639" s="261"/>
      <c r="J639" s="261"/>
    </row>
    <row r="640">
      <c r="A640" s="153"/>
      <c r="B640" s="280"/>
      <c r="C640" s="269"/>
      <c r="D640" s="261"/>
      <c r="E640" s="261"/>
      <c r="F640" s="261"/>
      <c r="G640" s="261"/>
      <c r="H640" s="261"/>
      <c r="I640" s="261"/>
      <c r="J640" s="261"/>
    </row>
    <row r="641">
      <c r="A641" s="155"/>
      <c r="B641" s="280"/>
      <c r="C641" s="269"/>
      <c r="D641" s="261"/>
      <c r="E641" s="261"/>
      <c r="F641" s="261"/>
      <c r="G641" s="261"/>
      <c r="H641" s="261"/>
      <c r="I641" s="261"/>
      <c r="J641" s="261"/>
    </row>
    <row r="642">
      <c r="A642" s="153"/>
      <c r="B642" s="280"/>
      <c r="C642" s="269"/>
      <c r="D642" s="261"/>
      <c r="E642" s="261"/>
      <c r="F642" s="261"/>
      <c r="G642" s="261"/>
      <c r="H642" s="261"/>
      <c r="I642" s="261"/>
      <c r="J642" s="261"/>
    </row>
    <row r="643">
      <c r="A643" s="155"/>
      <c r="B643" s="280"/>
      <c r="C643" s="269"/>
      <c r="D643" s="261"/>
      <c r="E643" s="261"/>
      <c r="F643" s="261"/>
      <c r="G643" s="261"/>
      <c r="H643" s="261"/>
      <c r="I643" s="261"/>
      <c r="J643" s="261"/>
    </row>
    <row r="644">
      <c r="A644" s="153"/>
      <c r="B644" s="280"/>
      <c r="C644" s="269"/>
      <c r="D644" s="261"/>
      <c r="E644" s="261"/>
      <c r="F644" s="261"/>
      <c r="G644" s="261"/>
      <c r="H644" s="261"/>
      <c r="I644" s="261"/>
      <c r="J644" s="261"/>
    </row>
    <row r="645">
      <c r="A645" s="155"/>
      <c r="B645" s="280"/>
      <c r="C645" s="269"/>
      <c r="D645" s="261"/>
      <c r="E645" s="261"/>
      <c r="F645" s="261"/>
      <c r="G645" s="261"/>
      <c r="H645" s="261"/>
      <c r="I645" s="261"/>
      <c r="J645" s="261"/>
    </row>
    <row r="646">
      <c r="A646" s="153"/>
      <c r="B646" s="280"/>
      <c r="C646" s="269"/>
      <c r="D646" s="261"/>
      <c r="E646" s="261"/>
      <c r="F646" s="261"/>
      <c r="G646" s="261"/>
      <c r="H646" s="261"/>
      <c r="I646" s="261"/>
      <c r="J646" s="261"/>
    </row>
    <row r="647">
      <c r="A647" s="155"/>
      <c r="B647" s="280"/>
      <c r="C647" s="269"/>
      <c r="D647" s="261"/>
      <c r="E647" s="261"/>
      <c r="F647" s="261"/>
      <c r="G647" s="261"/>
      <c r="H647" s="261"/>
      <c r="I647" s="261"/>
      <c r="J647" s="261"/>
    </row>
    <row r="648">
      <c r="A648" s="153"/>
      <c r="B648" s="280"/>
      <c r="C648" s="269"/>
      <c r="D648" s="261"/>
      <c r="E648" s="261"/>
      <c r="F648" s="261"/>
      <c r="G648" s="261"/>
      <c r="H648" s="261"/>
      <c r="I648" s="261"/>
      <c r="J648" s="261"/>
    </row>
    <row r="649">
      <c r="A649" s="155"/>
      <c r="B649" s="280"/>
      <c r="C649" s="269"/>
      <c r="D649" s="261"/>
      <c r="E649" s="261"/>
      <c r="F649" s="261"/>
      <c r="G649" s="261"/>
      <c r="H649" s="261"/>
      <c r="I649" s="261"/>
      <c r="J649" s="261"/>
    </row>
    <row r="650">
      <c r="A650" s="162"/>
      <c r="B650" s="280"/>
      <c r="C650" s="269"/>
      <c r="D650" s="261"/>
      <c r="E650" s="261"/>
      <c r="F650" s="261"/>
      <c r="G650" s="261"/>
      <c r="H650" s="261"/>
      <c r="I650" s="261"/>
      <c r="J650" s="261"/>
    </row>
    <row r="651">
      <c r="A651" s="150" t="str">
        <f t="array" ref="A651:A700">'Up Names'!N2:N51</f>
        <v>Flash Storm</v>
      </c>
      <c r="B651" s="281">
        <v>0.12</v>
      </c>
      <c r="C651" s="269"/>
      <c r="D651" s="261"/>
      <c r="E651" s="261"/>
      <c r="F651" s="261"/>
      <c r="G651" s="261"/>
      <c r="H651" s="261"/>
      <c r="I651" s="261"/>
      <c r="J651" s="261"/>
    </row>
    <row r="652">
      <c r="A652" s="153" t="s">
        <v>163</v>
      </c>
      <c r="B652" s="263">
        <v>21.7273</v>
      </c>
      <c r="C652" s="264">
        <v>-0.72</v>
      </c>
      <c r="D652" s="264">
        <v>-0.76</v>
      </c>
      <c r="E652" s="261"/>
      <c r="F652" s="261"/>
      <c r="G652" s="261"/>
      <c r="H652" s="261"/>
      <c r="I652" s="261"/>
      <c r="J652" s="261"/>
    </row>
    <row r="653">
      <c r="A653" s="155" t="s">
        <v>183</v>
      </c>
      <c r="B653" s="281">
        <v>7.0</v>
      </c>
      <c r="C653" s="208">
        <v>1.6</v>
      </c>
      <c r="D653" s="204">
        <v>5.5</v>
      </c>
      <c r="E653" s="261"/>
      <c r="F653" s="261"/>
      <c r="G653" s="261"/>
      <c r="H653" s="261"/>
      <c r="I653" s="261"/>
      <c r="J653" s="261"/>
    </row>
    <row r="654">
      <c r="A654" s="153" t="s">
        <v>203</v>
      </c>
      <c r="B654" s="276">
        <v>18.3</v>
      </c>
      <c r="C654" s="269"/>
      <c r="D654" s="261"/>
      <c r="E654" s="261"/>
      <c r="F654" s="261"/>
      <c r="G654" s="261"/>
      <c r="H654" s="261"/>
      <c r="I654" s="261"/>
      <c r="J654" s="261"/>
    </row>
    <row r="655">
      <c r="A655" s="155" t="s">
        <v>223</v>
      </c>
      <c r="B655" s="281">
        <v>4.0</v>
      </c>
      <c r="C655" s="269"/>
      <c r="D655" s="261"/>
      <c r="E655" s="261"/>
      <c r="F655" s="261"/>
      <c r="G655" s="261"/>
      <c r="H655" s="261"/>
      <c r="I655" s="261"/>
      <c r="J655" s="261"/>
    </row>
    <row r="656">
      <c r="A656" s="153" t="s">
        <v>242</v>
      </c>
      <c r="B656" s="264">
        <v>0.7</v>
      </c>
      <c r="C656" s="269"/>
      <c r="D656" s="261"/>
      <c r="E656" s="261"/>
      <c r="F656" s="261"/>
      <c r="G656" s="261"/>
      <c r="H656" s="261"/>
      <c r="I656" s="261"/>
      <c r="J656" s="261"/>
    </row>
    <row r="657">
      <c r="A657" s="155" t="s">
        <v>262</v>
      </c>
      <c r="B657" s="281">
        <v>25.0</v>
      </c>
      <c r="C657" s="269"/>
      <c r="D657" s="261"/>
      <c r="E657" s="261"/>
      <c r="F657" s="261"/>
      <c r="G657" s="261"/>
      <c r="H657" s="261"/>
      <c r="I657" s="261"/>
      <c r="J657" s="261"/>
    </row>
    <row r="658">
      <c r="A658" s="153" t="s">
        <v>282</v>
      </c>
      <c r="B658" s="276">
        <v>46.0</v>
      </c>
      <c r="C658" s="269"/>
      <c r="D658" s="261"/>
      <c r="E658" s="261"/>
      <c r="F658" s="261"/>
      <c r="G658" s="261"/>
      <c r="H658" s="261"/>
      <c r="I658" s="261"/>
      <c r="J658" s="261"/>
    </row>
    <row r="659">
      <c r="A659" s="155" t="s">
        <v>302</v>
      </c>
      <c r="B659" s="281">
        <v>9.5</v>
      </c>
      <c r="C659" s="269"/>
      <c r="D659" s="261"/>
      <c r="E659" s="261"/>
      <c r="F659" s="261"/>
      <c r="G659" s="261"/>
      <c r="H659" s="261"/>
      <c r="I659" s="261"/>
      <c r="J659" s="261"/>
    </row>
    <row r="660">
      <c r="A660" s="153" t="s">
        <v>322</v>
      </c>
      <c r="B660" s="276">
        <v>1.6</v>
      </c>
      <c r="C660" s="269"/>
      <c r="D660" s="261"/>
      <c r="E660" s="261"/>
      <c r="F660" s="261"/>
      <c r="G660" s="261"/>
      <c r="H660" s="261"/>
      <c r="I660" s="261"/>
      <c r="J660" s="261"/>
    </row>
    <row r="661">
      <c r="A661" s="155" t="s">
        <v>342</v>
      </c>
      <c r="B661" s="281">
        <v>46.0</v>
      </c>
      <c r="C661" s="269"/>
      <c r="D661" s="261"/>
      <c r="E661" s="261"/>
      <c r="F661" s="261"/>
      <c r="G661" s="261"/>
      <c r="H661" s="261"/>
      <c r="I661" s="261"/>
      <c r="J661" s="261"/>
    </row>
    <row r="662">
      <c r="A662" s="153" t="s">
        <v>362</v>
      </c>
      <c r="B662" s="263">
        <v>0.1455</v>
      </c>
      <c r="C662" s="269"/>
      <c r="D662" s="261"/>
      <c r="E662" s="261"/>
      <c r="F662" s="261"/>
      <c r="G662" s="261"/>
      <c r="H662" s="261"/>
      <c r="I662" s="261"/>
      <c r="J662" s="261"/>
    </row>
    <row r="663">
      <c r="A663" s="155" t="s">
        <v>387</v>
      </c>
      <c r="B663" s="262">
        <v>0.3</v>
      </c>
      <c r="C663" s="269"/>
      <c r="D663" s="261"/>
      <c r="E663" s="261"/>
      <c r="F663" s="261"/>
      <c r="G663" s="261"/>
      <c r="H663" s="261"/>
      <c r="I663" s="261"/>
      <c r="J663" s="261"/>
    </row>
    <row r="664">
      <c r="A664" s="153" t="s">
        <v>413</v>
      </c>
      <c r="B664" s="280"/>
      <c r="C664" s="269"/>
      <c r="D664" s="261"/>
      <c r="E664" s="261"/>
      <c r="F664" s="261"/>
      <c r="G664" s="261"/>
      <c r="H664" s="261"/>
      <c r="I664" s="261"/>
      <c r="J664" s="261"/>
    </row>
    <row r="665">
      <c r="A665" s="155" t="s">
        <v>441</v>
      </c>
      <c r="B665" s="281">
        <v>1.5</v>
      </c>
      <c r="C665" s="269"/>
      <c r="D665" s="261"/>
      <c r="E665" s="261"/>
      <c r="F665" s="261"/>
      <c r="G665" s="261"/>
      <c r="H665" s="261"/>
      <c r="I665" s="261"/>
      <c r="J665" s="261"/>
    </row>
    <row r="666">
      <c r="A666" s="153" t="s">
        <v>469</v>
      </c>
      <c r="B666" s="280"/>
      <c r="C666" s="269"/>
      <c r="D666" s="261"/>
      <c r="E666" s="261"/>
      <c r="F666" s="261"/>
      <c r="G666" s="261"/>
      <c r="H666" s="261"/>
      <c r="I666" s="261"/>
      <c r="J666" s="261"/>
    </row>
    <row r="667">
      <c r="A667" s="155" t="s">
        <v>498</v>
      </c>
      <c r="B667" s="280"/>
      <c r="C667" s="269"/>
      <c r="D667" s="261"/>
      <c r="E667" s="261"/>
      <c r="F667" s="261"/>
      <c r="G667" s="261"/>
      <c r="H667" s="261"/>
      <c r="I667" s="261"/>
      <c r="J667" s="261"/>
    </row>
    <row r="668">
      <c r="A668" s="153" t="s">
        <v>521</v>
      </c>
      <c r="B668" s="264">
        <v>0.78</v>
      </c>
      <c r="C668" s="269"/>
      <c r="D668" s="261"/>
      <c r="E668" s="261"/>
      <c r="F668" s="261"/>
      <c r="G668" s="261"/>
      <c r="H668" s="261"/>
      <c r="I668" s="261"/>
      <c r="J668" s="261"/>
    </row>
    <row r="669">
      <c r="A669" s="155" t="s">
        <v>540</v>
      </c>
      <c r="B669" s="262">
        <v>1.1</v>
      </c>
      <c r="C669" s="269"/>
      <c r="D669" s="261"/>
      <c r="E669" s="261"/>
      <c r="F669" s="261"/>
      <c r="G669" s="261"/>
      <c r="H669" s="261"/>
      <c r="I669" s="261"/>
      <c r="J669" s="261"/>
    </row>
    <row r="670">
      <c r="A670" s="153" t="s">
        <v>560</v>
      </c>
      <c r="B670" s="264">
        <v>-0.6</v>
      </c>
      <c r="C670" s="269"/>
      <c r="D670" s="261"/>
      <c r="E670" s="261"/>
      <c r="F670" s="261"/>
      <c r="G670" s="261"/>
      <c r="H670" s="261"/>
      <c r="I670" s="261"/>
      <c r="J670" s="261"/>
    </row>
    <row r="671">
      <c r="A671" s="155" t="s">
        <v>583</v>
      </c>
      <c r="B671" s="280"/>
      <c r="C671" s="269"/>
      <c r="D671" s="261"/>
      <c r="E671" s="261"/>
      <c r="F671" s="261"/>
      <c r="G671" s="261"/>
      <c r="H671" s="261"/>
      <c r="I671" s="261"/>
      <c r="J671" s="261"/>
    </row>
    <row r="672">
      <c r="A672" s="153" t="s">
        <v>607</v>
      </c>
      <c r="B672" s="280"/>
      <c r="C672" s="269"/>
      <c r="D672" s="261"/>
      <c r="E672" s="261"/>
      <c r="F672" s="261"/>
      <c r="G672" s="261"/>
      <c r="H672" s="261"/>
      <c r="I672" s="261"/>
      <c r="J672" s="261"/>
    </row>
    <row r="673">
      <c r="A673" s="155" t="s">
        <v>627</v>
      </c>
      <c r="B673" s="280"/>
      <c r="C673" s="269"/>
      <c r="D673" s="261"/>
      <c r="E673" s="261"/>
      <c r="F673" s="261"/>
      <c r="G673" s="261"/>
      <c r="H673" s="261"/>
      <c r="I673" s="261"/>
      <c r="J673" s="261"/>
    </row>
    <row r="674">
      <c r="A674" s="153" t="s">
        <v>653</v>
      </c>
      <c r="B674" s="280"/>
      <c r="C674" s="269"/>
      <c r="D674" s="261"/>
      <c r="E674" s="261"/>
      <c r="F674" s="261"/>
      <c r="G674" s="261"/>
      <c r="H674" s="261"/>
      <c r="I674" s="261"/>
      <c r="J674" s="261"/>
    </row>
    <row r="675">
      <c r="A675" s="155" t="s">
        <v>503</v>
      </c>
      <c r="B675" s="280"/>
      <c r="C675" s="269"/>
      <c r="D675" s="261"/>
      <c r="E675" s="261"/>
      <c r="F675" s="261"/>
      <c r="G675" s="261"/>
      <c r="H675" s="261"/>
      <c r="I675" s="261"/>
      <c r="J675" s="261"/>
    </row>
    <row r="676">
      <c r="A676" s="153" t="s">
        <v>511</v>
      </c>
      <c r="B676" s="280"/>
      <c r="C676" s="269"/>
      <c r="D676" s="261"/>
      <c r="E676" s="261"/>
      <c r="F676" s="261"/>
      <c r="G676" s="261"/>
      <c r="H676" s="261"/>
      <c r="I676" s="261"/>
      <c r="J676" s="261"/>
    </row>
    <row r="677">
      <c r="A677" s="155" t="s">
        <v>516</v>
      </c>
      <c r="B677" s="280"/>
      <c r="C677" s="269"/>
      <c r="D677" s="261"/>
      <c r="E677" s="261"/>
      <c r="F677" s="261"/>
      <c r="G677" s="261"/>
      <c r="H677" s="261"/>
      <c r="I677" s="261"/>
      <c r="J677" s="261"/>
    </row>
    <row r="678">
      <c r="A678" s="153"/>
      <c r="B678" s="280"/>
      <c r="C678" s="269"/>
      <c r="D678" s="261"/>
      <c r="E678" s="261"/>
      <c r="F678" s="261"/>
      <c r="G678" s="261"/>
      <c r="H678" s="261"/>
      <c r="I678" s="261"/>
      <c r="J678" s="261"/>
    </row>
    <row r="679">
      <c r="A679" s="155"/>
      <c r="B679" s="280"/>
      <c r="C679" s="269"/>
      <c r="D679" s="261"/>
      <c r="E679" s="261"/>
      <c r="F679" s="261"/>
      <c r="G679" s="261"/>
      <c r="H679" s="261"/>
      <c r="I679" s="261"/>
      <c r="J679" s="261"/>
    </row>
    <row r="680">
      <c r="A680" s="153"/>
      <c r="B680" s="280"/>
      <c r="C680" s="269"/>
      <c r="D680" s="261"/>
      <c r="E680" s="261"/>
      <c r="F680" s="261"/>
      <c r="G680" s="261"/>
      <c r="H680" s="261"/>
      <c r="I680" s="261"/>
      <c r="J680" s="261"/>
    </row>
    <row r="681">
      <c r="A681" s="155"/>
      <c r="B681" s="280"/>
      <c r="C681" s="269"/>
      <c r="D681" s="261"/>
      <c r="E681" s="261"/>
      <c r="F681" s="261"/>
      <c r="G681" s="261"/>
      <c r="H681" s="261"/>
      <c r="I681" s="261"/>
      <c r="J681" s="261"/>
    </row>
    <row r="682">
      <c r="A682" s="153"/>
      <c r="B682" s="280"/>
      <c r="C682" s="269"/>
      <c r="D682" s="261"/>
      <c r="E682" s="261"/>
      <c r="F682" s="261"/>
      <c r="G682" s="261"/>
      <c r="H682" s="261"/>
      <c r="I682" s="261"/>
      <c r="J682" s="261"/>
    </row>
    <row r="683">
      <c r="A683" s="155"/>
      <c r="B683" s="280"/>
      <c r="C683" s="269"/>
      <c r="D683" s="261"/>
      <c r="E683" s="261"/>
      <c r="F683" s="261"/>
      <c r="G683" s="261"/>
      <c r="H683" s="261"/>
      <c r="I683" s="261"/>
      <c r="J683" s="261"/>
    </row>
    <row r="684">
      <c r="A684" s="153"/>
      <c r="B684" s="280"/>
      <c r="C684" s="269"/>
      <c r="D684" s="261"/>
      <c r="E684" s="261"/>
      <c r="F684" s="261"/>
      <c r="G684" s="261"/>
      <c r="H684" s="261"/>
      <c r="I684" s="261"/>
      <c r="J684" s="261"/>
    </row>
    <row r="685">
      <c r="A685" s="155"/>
      <c r="B685" s="280"/>
      <c r="C685" s="269"/>
      <c r="D685" s="261"/>
      <c r="E685" s="261"/>
      <c r="F685" s="261"/>
      <c r="G685" s="261"/>
      <c r="H685" s="261"/>
      <c r="I685" s="261"/>
      <c r="J685" s="261"/>
    </row>
    <row r="686">
      <c r="A686" s="153"/>
      <c r="B686" s="280"/>
      <c r="C686" s="269"/>
      <c r="D686" s="261"/>
      <c r="E686" s="261"/>
      <c r="F686" s="261"/>
      <c r="G686" s="261"/>
      <c r="H686" s="261"/>
      <c r="I686" s="261"/>
      <c r="J686" s="261"/>
    </row>
    <row r="687">
      <c r="A687" s="155"/>
      <c r="B687" s="280"/>
      <c r="C687" s="269"/>
      <c r="D687" s="261"/>
      <c r="E687" s="261"/>
      <c r="F687" s="261"/>
      <c r="G687" s="261"/>
      <c r="H687" s="261"/>
      <c r="I687" s="261"/>
      <c r="J687" s="261"/>
    </row>
    <row r="688">
      <c r="A688" s="153"/>
      <c r="B688" s="280"/>
      <c r="C688" s="269"/>
      <c r="D688" s="261"/>
      <c r="E688" s="261"/>
      <c r="F688" s="261"/>
      <c r="G688" s="261"/>
      <c r="H688" s="261"/>
      <c r="I688" s="261"/>
      <c r="J688" s="261"/>
    </row>
    <row r="689">
      <c r="A689" s="155"/>
      <c r="B689" s="280"/>
      <c r="C689" s="269"/>
      <c r="D689" s="261"/>
      <c r="E689" s="261"/>
      <c r="F689" s="261"/>
      <c r="G689" s="261"/>
      <c r="H689" s="261"/>
      <c r="I689" s="261"/>
      <c r="J689" s="261"/>
    </row>
    <row r="690">
      <c r="A690" s="153"/>
      <c r="B690" s="280"/>
      <c r="C690" s="269"/>
      <c r="D690" s="261"/>
      <c r="E690" s="261"/>
      <c r="F690" s="261"/>
      <c r="G690" s="261"/>
      <c r="H690" s="261"/>
      <c r="I690" s="261"/>
      <c r="J690" s="261"/>
    </row>
    <row r="691">
      <c r="A691" s="155"/>
      <c r="B691" s="280"/>
      <c r="C691" s="269"/>
      <c r="D691" s="261"/>
      <c r="E691" s="261"/>
      <c r="F691" s="261"/>
      <c r="G691" s="261"/>
      <c r="H691" s="261"/>
      <c r="I691" s="261"/>
      <c r="J691" s="261"/>
    </row>
    <row r="692">
      <c r="A692" s="153"/>
      <c r="B692" s="280"/>
      <c r="C692" s="269"/>
      <c r="D692" s="261"/>
      <c r="E692" s="261"/>
      <c r="F692" s="261"/>
      <c r="G692" s="261"/>
      <c r="H692" s="261"/>
      <c r="I692" s="261"/>
      <c r="J692" s="261"/>
    </row>
    <row r="693">
      <c r="A693" s="155"/>
      <c r="B693" s="280"/>
      <c r="C693" s="269"/>
      <c r="D693" s="261"/>
      <c r="E693" s="261"/>
      <c r="F693" s="261"/>
      <c r="G693" s="261"/>
      <c r="H693" s="261"/>
      <c r="I693" s="261"/>
      <c r="J693" s="261"/>
    </row>
    <row r="694">
      <c r="A694" s="153"/>
      <c r="B694" s="280"/>
      <c r="C694" s="269"/>
      <c r="D694" s="261"/>
      <c r="E694" s="261"/>
      <c r="F694" s="261"/>
      <c r="G694" s="261"/>
      <c r="H694" s="261"/>
      <c r="I694" s="261"/>
      <c r="J694" s="261"/>
    </row>
    <row r="695">
      <c r="A695" s="155"/>
      <c r="B695" s="280"/>
      <c r="C695" s="269"/>
      <c r="D695" s="261"/>
      <c r="E695" s="261"/>
      <c r="F695" s="261"/>
      <c r="G695" s="261"/>
      <c r="H695" s="261"/>
      <c r="I695" s="261"/>
      <c r="J695" s="261"/>
    </row>
    <row r="696">
      <c r="A696" s="153"/>
      <c r="B696" s="280"/>
      <c r="C696" s="269"/>
      <c r="D696" s="261"/>
      <c r="E696" s="261"/>
      <c r="F696" s="261"/>
      <c r="G696" s="261"/>
      <c r="H696" s="261"/>
      <c r="I696" s="261"/>
      <c r="J696" s="261"/>
    </row>
    <row r="697">
      <c r="A697" s="155"/>
      <c r="B697" s="280"/>
      <c r="C697" s="269"/>
      <c r="D697" s="261"/>
      <c r="E697" s="261"/>
      <c r="F697" s="261"/>
      <c r="G697" s="261"/>
      <c r="H697" s="261"/>
      <c r="I697" s="261"/>
      <c r="J697" s="261"/>
    </row>
    <row r="698">
      <c r="A698" s="153"/>
      <c r="B698" s="280"/>
      <c r="C698" s="269"/>
      <c r="D698" s="261"/>
      <c r="E698" s="261"/>
      <c r="F698" s="261"/>
      <c r="G698" s="261"/>
      <c r="H698" s="261"/>
      <c r="I698" s="261"/>
      <c r="J698" s="261"/>
    </row>
    <row r="699">
      <c r="A699" s="155"/>
      <c r="B699" s="280"/>
      <c r="C699" s="269"/>
      <c r="D699" s="261"/>
      <c r="E699" s="261"/>
      <c r="F699" s="261"/>
      <c r="G699" s="261"/>
      <c r="H699" s="261"/>
      <c r="I699" s="261"/>
      <c r="J699" s="261"/>
    </row>
    <row r="700">
      <c r="A700" s="162"/>
      <c r="B700" s="280"/>
      <c r="C700" s="269"/>
      <c r="D700" s="261"/>
      <c r="E700" s="261"/>
      <c r="F700" s="261"/>
      <c r="G700" s="261"/>
      <c r="H700" s="261"/>
      <c r="I700" s="261"/>
      <c r="J700" s="261"/>
    </row>
    <row r="701">
      <c r="A701" s="150" t="str">
        <f t="array" ref="A701:A750">'Up Names'!O2:O51</f>
        <v>Connected Systems</v>
      </c>
      <c r="B701" s="280"/>
      <c r="C701" s="269"/>
      <c r="D701" s="261"/>
      <c r="E701" s="261"/>
      <c r="F701" s="261"/>
      <c r="G701" s="261"/>
      <c r="H701" s="261"/>
      <c r="I701" s="261"/>
      <c r="J701" s="261"/>
    </row>
    <row r="702">
      <c r="A702" s="153" t="s">
        <v>164</v>
      </c>
      <c r="B702" s="263">
        <v>-0.7778</v>
      </c>
      <c r="C702" s="269"/>
      <c r="D702" s="261"/>
      <c r="E702" s="261"/>
      <c r="F702" s="261"/>
      <c r="G702" s="261"/>
      <c r="H702" s="261"/>
      <c r="I702" s="261"/>
      <c r="J702" s="261"/>
    </row>
    <row r="703">
      <c r="A703" s="155" t="s">
        <v>184</v>
      </c>
      <c r="B703" s="281">
        <v>56.0</v>
      </c>
      <c r="C703" s="270">
        <v>3.0</v>
      </c>
      <c r="D703" s="261"/>
      <c r="E703" s="261"/>
      <c r="F703" s="261"/>
      <c r="G703" s="261"/>
      <c r="H703" s="261"/>
      <c r="I703" s="261"/>
      <c r="J703" s="261"/>
    </row>
    <row r="704">
      <c r="A704" s="153" t="s">
        <v>204</v>
      </c>
      <c r="B704" s="264">
        <v>0.41</v>
      </c>
      <c r="C704" s="206">
        <v>6.0</v>
      </c>
      <c r="D704" s="261"/>
      <c r="E704" s="261"/>
      <c r="F704" s="261"/>
      <c r="G704" s="261"/>
      <c r="H704" s="261"/>
      <c r="I704" s="261"/>
      <c r="J704" s="261"/>
    </row>
    <row r="705">
      <c r="A705" s="155" t="s">
        <v>224</v>
      </c>
      <c r="B705" s="280"/>
      <c r="C705" s="269"/>
      <c r="D705" s="261"/>
      <c r="E705" s="261"/>
      <c r="F705" s="261"/>
      <c r="G705" s="261"/>
      <c r="H705" s="261"/>
      <c r="I705" s="261"/>
      <c r="J705" s="261"/>
    </row>
    <row r="706">
      <c r="A706" s="153" t="s">
        <v>243</v>
      </c>
      <c r="B706" s="280"/>
      <c r="C706" s="269"/>
      <c r="D706" s="261"/>
      <c r="E706" s="261"/>
      <c r="F706" s="261"/>
      <c r="G706" s="261"/>
      <c r="H706" s="261"/>
      <c r="I706" s="261"/>
      <c r="J706" s="261"/>
    </row>
    <row r="707">
      <c r="A707" s="155" t="s">
        <v>263</v>
      </c>
      <c r="B707" s="281">
        <v>4.0</v>
      </c>
      <c r="C707" s="269"/>
      <c r="D707" s="261"/>
      <c r="E707" s="261"/>
      <c r="F707" s="261"/>
      <c r="G707" s="261"/>
      <c r="H707" s="261"/>
      <c r="I707" s="261"/>
      <c r="J707" s="261"/>
    </row>
    <row r="708">
      <c r="A708" s="153" t="s">
        <v>283</v>
      </c>
      <c r="B708" s="280"/>
      <c r="C708" s="269"/>
      <c r="D708" s="261"/>
      <c r="E708" s="261"/>
      <c r="F708" s="261"/>
      <c r="G708" s="261"/>
      <c r="H708" s="261"/>
      <c r="I708" s="261"/>
      <c r="J708" s="261"/>
    </row>
    <row r="709">
      <c r="A709" s="155" t="s">
        <v>303</v>
      </c>
      <c r="B709" s="262">
        <v>0.9</v>
      </c>
      <c r="C709" s="269"/>
      <c r="D709" s="261"/>
      <c r="E709" s="261"/>
      <c r="F709" s="261"/>
      <c r="G709" s="261"/>
      <c r="H709" s="261"/>
      <c r="I709" s="261"/>
      <c r="J709" s="261"/>
    </row>
    <row r="710">
      <c r="A710" s="153" t="s">
        <v>323</v>
      </c>
      <c r="B710" s="276">
        <v>20.0</v>
      </c>
      <c r="C710" s="264">
        <v>0.65</v>
      </c>
      <c r="D710" s="205">
        <v>3.1</v>
      </c>
      <c r="E710" s="261"/>
      <c r="F710" s="261"/>
      <c r="G710" s="261"/>
      <c r="H710" s="261"/>
      <c r="I710" s="261"/>
      <c r="J710" s="261"/>
    </row>
    <row r="711">
      <c r="A711" s="155" t="s">
        <v>343</v>
      </c>
      <c r="B711" s="262">
        <v>4.2</v>
      </c>
      <c r="C711" s="269"/>
      <c r="D711" s="261"/>
      <c r="E711" s="261"/>
      <c r="F711" s="261"/>
      <c r="G711" s="261"/>
      <c r="H711" s="261"/>
      <c r="I711" s="261"/>
      <c r="J711" s="261"/>
    </row>
    <row r="712">
      <c r="A712" s="153" t="s">
        <v>363</v>
      </c>
      <c r="B712" s="276">
        <v>1.0</v>
      </c>
      <c r="C712" s="206">
        <v>46.0</v>
      </c>
      <c r="D712" s="205">
        <v>14.0</v>
      </c>
      <c r="E712" s="264">
        <v>-0.32</v>
      </c>
      <c r="F712" s="261"/>
      <c r="G712" s="261"/>
      <c r="H712" s="261"/>
      <c r="I712" s="261"/>
      <c r="J712" s="261"/>
    </row>
    <row r="713">
      <c r="A713" s="155" t="s">
        <v>388</v>
      </c>
      <c r="B713" s="262">
        <v>1.1</v>
      </c>
      <c r="C713" s="265">
        <v>0.0417</v>
      </c>
      <c r="D713" s="261"/>
      <c r="E713" s="261"/>
      <c r="F713" s="261"/>
      <c r="G713" s="261"/>
      <c r="H713" s="261"/>
      <c r="I713" s="261"/>
      <c r="J713" s="261"/>
    </row>
    <row r="714">
      <c r="A714" s="153" t="s">
        <v>414</v>
      </c>
      <c r="B714" s="263">
        <v>0.517</v>
      </c>
      <c r="C714" s="269"/>
      <c r="D714" s="261"/>
      <c r="E714" s="261"/>
      <c r="F714" s="261"/>
      <c r="G714" s="261"/>
      <c r="H714" s="261"/>
      <c r="I714" s="261"/>
      <c r="J714" s="261"/>
    </row>
    <row r="715">
      <c r="A715" s="155" t="s">
        <v>442</v>
      </c>
      <c r="B715" s="262">
        <v>1.0</v>
      </c>
      <c r="C715" s="269"/>
      <c r="D715" s="261"/>
      <c r="E715" s="261"/>
      <c r="F715" s="261"/>
      <c r="G715" s="261"/>
      <c r="H715" s="261"/>
      <c r="I715" s="261"/>
      <c r="J715" s="261"/>
    </row>
    <row r="716">
      <c r="A716" s="153" t="s">
        <v>470</v>
      </c>
      <c r="B716" s="276">
        <v>0.0</v>
      </c>
      <c r="C716" s="264">
        <v>0.36</v>
      </c>
      <c r="D716" s="261"/>
      <c r="E716" s="261"/>
      <c r="F716" s="261"/>
      <c r="G716" s="261"/>
      <c r="H716" s="261"/>
      <c r="I716" s="261"/>
      <c r="J716" s="261"/>
    </row>
    <row r="717">
      <c r="A717" s="155" t="s">
        <v>500</v>
      </c>
      <c r="B717" s="265">
        <v>0.1455</v>
      </c>
      <c r="C717" s="269"/>
      <c r="D717" s="261"/>
      <c r="E717" s="261"/>
      <c r="F717" s="261"/>
      <c r="G717" s="261"/>
      <c r="H717" s="261"/>
      <c r="I717" s="261"/>
      <c r="J717" s="261"/>
    </row>
    <row r="718">
      <c r="A718" s="153" t="s">
        <v>522</v>
      </c>
      <c r="B718" s="264">
        <v>-0.6</v>
      </c>
      <c r="C718" s="269"/>
      <c r="D718" s="261"/>
      <c r="E718" s="261"/>
      <c r="F718" s="261"/>
      <c r="G718" s="261"/>
      <c r="H718" s="261"/>
      <c r="I718" s="261"/>
      <c r="J718" s="261"/>
    </row>
    <row r="719">
      <c r="A719" s="155" t="s">
        <v>541</v>
      </c>
      <c r="B719" s="265">
        <v>0.0753</v>
      </c>
      <c r="C719" s="269"/>
      <c r="D719" s="261"/>
      <c r="E719" s="261"/>
      <c r="F719" s="261"/>
      <c r="G719" s="261"/>
      <c r="H719" s="261"/>
      <c r="I719" s="261"/>
      <c r="J719" s="261"/>
    </row>
    <row r="720">
      <c r="A720" s="153" t="s">
        <v>561</v>
      </c>
      <c r="B720" s="264">
        <v>0.25</v>
      </c>
      <c r="C720" s="264">
        <v>-0.2</v>
      </c>
      <c r="D720" s="261"/>
      <c r="E720" s="261"/>
      <c r="F720" s="261"/>
      <c r="G720" s="261"/>
      <c r="H720" s="261"/>
      <c r="I720" s="261"/>
      <c r="J720" s="261"/>
    </row>
    <row r="721">
      <c r="A721" s="155" t="s">
        <v>583</v>
      </c>
      <c r="B721" s="280"/>
      <c r="C721" s="269"/>
      <c r="D721" s="261"/>
      <c r="E721" s="261"/>
      <c r="F721" s="261"/>
      <c r="G721" s="261"/>
      <c r="H721" s="261"/>
      <c r="I721" s="261"/>
      <c r="J721" s="261"/>
    </row>
    <row r="722">
      <c r="A722" s="153" t="s">
        <v>607</v>
      </c>
      <c r="B722" s="280"/>
      <c r="C722" s="269"/>
      <c r="D722" s="261"/>
      <c r="E722" s="261"/>
      <c r="F722" s="261"/>
      <c r="G722" s="261"/>
      <c r="H722" s="261"/>
      <c r="I722" s="261"/>
      <c r="J722" s="261"/>
    </row>
    <row r="723">
      <c r="A723" s="155" t="s">
        <v>627</v>
      </c>
      <c r="B723" s="280"/>
      <c r="C723" s="269"/>
      <c r="D723" s="261"/>
      <c r="E723" s="261"/>
      <c r="F723" s="261"/>
      <c r="G723" s="261"/>
      <c r="H723" s="261"/>
      <c r="I723" s="261"/>
      <c r="J723" s="261"/>
    </row>
    <row r="724">
      <c r="A724" s="153" t="s">
        <v>653</v>
      </c>
      <c r="B724" s="280"/>
      <c r="C724" s="269"/>
      <c r="D724" s="261"/>
      <c r="E724" s="261"/>
      <c r="F724" s="261"/>
      <c r="G724" s="261"/>
      <c r="H724" s="261"/>
      <c r="I724" s="261"/>
      <c r="J724" s="261"/>
    </row>
    <row r="725">
      <c r="A725" s="155" t="s">
        <v>503</v>
      </c>
      <c r="B725" s="280"/>
      <c r="C725" s="269"/>
      <c r="D725" s="261"/>
      <c r="E725" s="261"/>
      <c r="F725" s="261"/>
      <c r="G725" s="261"/>
      <c r="H725" s="261"/>
      <c r="I725" s="261"/>
      <c r="J725" s="261"/>
    </row>
    <row r="726">
      <c r="A726" s="153" t="s">
        <v>511</v>
      </c>
      <c r="B726" s="280"/>
      <c r="C726" s="269"/>
      <c r="D726" s="261"/>
      <c r="E726" s="261"/>
      <c r="F726" s="261"/>
      <c r="G726" s="261"/>
      <c r="H726" s="261"/>
      <c r="I726" s="261"/>
      <c r="J726" s="261"/>
    </row>
    <row r="727">
      <c r="A727" s="155" t="s">
        <v>516</v>
      </c>
      <c r="B727" s="280"/>
      <c r="C727" s="269"/>
      <c r="D727" s="261"/>
      <c r="E727" s="261"/>
      <c r="F727" s="261"/>
      <c r="G727" s="261"/>
      <c r="H727" s="261"/>
      <c r="I727" s="261"/>
      <c r="J727" s="261"/>
    </row>
    <row r="728">
      <c r="A728" s="153"/>
      <c r="B728" s="280"/>
      <c r="C728" s="269"/>
      <c r="D728" s="261"/>
      <c r="E728" s="261"/>
      <c r="F728" s="261"/>
      <c r="G728" s="261"/>
      <c r="H728" s="261"/>
      <c r="I728" s="261"/>
      <c r="J728" s="261"/>
    </row>
    <row r="729">
      <c r="A729" s="155"/>
      <c r="B729" s="280"/>
      <c r="C729" s="269"/>
      <c r="D729" s="261"/>
      <c r="E729" s="261"/>
      <c r="F729" s="261"/>
      <c r="G729" s="261"/>
      <c r="H729" s="261"/>
      <c r="I729" s="261"/>
      <c r="J729" s="261"/>
    </row>
    <row r="730">
      <c r="A730" s="153"/>
      <c r="B730" s="280"/>
      <c r="C730" s="269"/>
      <c r="D730" s="261"/>
      <c r="E730" s="261"/>
      <c r="F730" s="261"/>
      <c r="G730" s="261"/>
      <c r="H730" s="261"/>
      <c r="I730" s="261"/>
      <c r="J730" s="261"/>
    </row>
    <row r="731">
      <c r="A731" s="155"/>
      <c r="B731" s="280"/>
      <c r="C731" s="269"/>
      <c r="D731" s="261"/>
      <c r="E731" s="261"/>
      <c r="F731" s="261"/>
      <c r="G731" s="261"/>
      <c r="H731" s="261"/>
      <c r="I731" s="261"/>
      <c r="J731" s="261"/>
    </row>
    <row r="732">
      <c r="A732" s="153"/>
      <c r="B732" s="280"/>
      <c r="C732" s="269"/>
      <c r="D732" s="261"/>
      <c r="E732" s="261"/>
      <c r="F732" s="261"/>
      <c r="G732" s="261"/>
      <c r="H732" s="261"/>
      <c r="I732" s="261"/>
      <c r="J732" s="261"/>
    </row>
    <row r="733">
      <c r="A733" s="155"/>
      <c r="B733" s="280"/>
      <c r="C733" s="269"/>
      <c r="D733" s="261"/>
      <c r="E733" s="261"/>
      <c r="F733" s="261"/>
      <c r="G733" s="261"/>
      <c r="H733" s="261"/>
      <c r="I733" s="261"/>
      <c r="J733" s="261"/>
    </row>
    <row r="734">
      <c r="A734" s="153"/>
      <c r="B734" s="280"/>
      <c r="C734" s="269"/>
      <c r="D734" s="261"/>
      <c r="E734" s="261"/>
      <c r="F734" s="261"/>
      <c r="G734" s="261"/>
      <c r="H734" s="261"/>
      <c r="I734" s="261"/>
      <c r="J734" s="261"/>
    </row>
    <row r="735">
      <c r="A735" s="155"/>
      <c r="B735" s="280"/>
      <c r="C735" s="269"/>
      <c r="D735" s="261"/>
      <c r="E735" s="261"/>
      <c r="F735" s="261"/>
      <c r="G735" s="261"/>
      <c r="H735" s="261"/>
      <c r="I735" s="261"/>
      <c r="J735" s="261"/>
    </row>
    <row r="736">
      <c r="A736" s="153"/>
      <c r="B736" s="280"/>
      <c r="C736" s="269"/>
      <c r="D736" s="261"/>
      <c r="E736" s="261"/>
      <c r="F736" s="261"/>
      <c r="G736" s="261"/>
      <c r="H736" s="261"/>
      <c r="I736" s="261"/>
      <c r="J736" s="261"/>
    </row>
    <row r="737">
      <c r="A737" s="155"/>
      <c r="B737" s="280"/>
      <c r="C737" s="269"/>
      <c r="D737" s="261"/>
      <c r="E737" s="261"/>
      <c r="F737" s="261"/>
      <c r="G737" s="261"/>
      <c r="H737" s="261"/>
      <c r="I737" s="261"/>
      <c r="J737" s="261"/>
    </row>
    <row r="738">
      <c r="A738" s="153"/>
      <c r="B738" s="280"/>
      <c r="C738" s="269"/>
      <c r="D738" s="261"/>
      <c r="E738" s="261"/>
      <c r="F738" s="261"/>
      <c r="G738" s="261"/>
      <c r="H738" s="261"/>
      <c r="I738" s="261"/>
      <c r="J738" s="261"/>
    </row>
    <row r="739">
      <c r="A739" s="155"/>
      <c r="B739" s="280"/>
      <c r="C739" s="269"/>
      <c r="D739" s="261"/>
      <c r="E739" s="261"/>
      <c r="F739" s="261"/>
      <c r="G739" s="261"/>
      <c r="H739" s="261"/>
      <c r="I739" s="261"/>
      <c r="J739" s="261"/>
    </row>
    <row r="740">
      <c r="A740" s="153"/>
      <c r="B740" s="280"/>
      <c r="C740" s="269"/>
      <c r="D740" s="261"/>
      <c r="E740" s="261"/>
      <c r="F740" s="261"/>
      <c r="G740" s="261"/>
      <c r="H740" s="261"/>
      <c r="I740" s="261"/>
      <c r="J740" s="261"/>
    </row>
    <row r="741">
      <c r="A741" s="155"/>
      <c r="B741" s="280"/>
      <c r="C741" s="269"/>
      <c r="D741" s="261"/>
      <c r="E741" s="261"/>
      <c r="F741" s="261"/>
      <c r="G741" s="261"/>
      <c r="H741" s="261"/>
      <c r="I741" s="261"/>
      <c r="J741" s="261"/>
    </row>
    <row r="742">
      <c r="A742" s="153"/>
      <c r="B742" s="280"/>
      <c r="C742" s="269"/>
      <c r="D742" s="261"/>
      <c r="E742" s="261"/>
      <c r="F742" s="261"/>
      <c r="G742" s="261"/>
      <c r="H742" s="261"/>
      <c r="I742" s="261"/>
      <c r="J742" s="261"/>
    </row>
    <row r="743">
      <c r="A743" s="155"/>
      <c r="B743" s="280"/>
      <c r="C743" s="269"/>
      <c r="D743" s="261"/>
      <c r="E743" s="261"/>
      <c r="F743" s="261"/>
      <c r="G743" s="261"/>
      <c r="H743" s="261"/>
      <c r="I743" s="261"/>
      <c r="J743" s="261"/>
    </row>
    <row r="744">
      <c r="A744" s="153"/>
      <c r="B744" s="280"/>
      <c r="C744" s="269"/>
      <c r="D744" s="261"/>
      <c r="E744" s="261"/>
      <c r="F744" s="261"/>
      <c r="G744" s="261"/>
      <c r="H744" s="261"/>
      <c r="I744" s="261"/>
      <c r="J744" s="261"/>
    </row>
    <row r="745">
      <c r="A745" s="155"/>
      <c r="B745" s="280"/>
      <c r="C745" s="269"/>
      <c r="D745" s="261"/>
      <c r="E745" s="261"/>
      <c r="F745" s="261"/>
      <c r="G745" s="261"/>
      <c r="H745" s="261"/>
      <c r="I745" s="261"/>
      <c r="J745" s="261"/>
    </row>
    <row r="746">
      <c r="A746" s="153"/>
      <c r="B746" s="280"/>
      <c r="C746" s="269"/>
      <c r="D746" s="261"/>
      <c r="E746" s="261"/>
      <c r="F746" s="261"/>
      <c r="G746" s="261"/>
      <c r="H746" s="261"/>
      <c r="I746" s="261"/>
      <c r="J746" s="261"/>
    </row>
    <row r="747">
      <c r="A747" s="155"/>
      <c r="B747" s="280"/>
      <c r="C747" s="269"/>
      <c r="D747" s="261"/>
      <c r="E747" s="261"/>
      <c r="F747" s="261"/>
      <c r="G747" s="261"/>
      <c r="H747" s="261"/>
      <c r="I747" s="261"/>
      <c r="J747" s="261"/>
    </row>
    <row r="748">
      <c r="A748" s="153"/>
      <c r="B748" s="280"/>
      <c r="C748" s="269"/>
      <c r="D748" s="261"/>
      <c r="E748" s="261"/>
      <c r="F748" s="261"/>
      <c r="G748" s="261"/>
      <c r="H748" s="261"/>
      <c r="I748" s="261"/>
      <c r="J748" s="261"/>
    </row>
    <row r="749">
      <c r="A749" s="155"/>
      <c r="B749" s="280"/>
      <c r="C749" s="269"/>
      <c r="D749" s="261"/>
      <c r="E749" s="261"/>
      <c r="F749" s="261"/>
      <c r="G749" s="261"/>
      <c r="H749" s="261"/>
      <c r="I749" s="261"/>
      <c r="J749" s="261"/>
    </row>
    <row r="750">
      <c r="A750" s="162"/>
      <c r="B750" s="280"/>
      <c r="C750" s="269"/>
      <c r="D750" s="261"/>
      <c r="E750" s="261"/>
      <c r="F750" s="261"/>
      <c r="G750" s="261"/>
      <c r="H750" s="261"/>
      <c r="I750" s="261"/>
      <c r="J750" s="261"/>
    </row>
    <row r="751">
      <c r="A751" s="150" t="str">
        <f t="array" ref="A751:A800">'Up Names'!P2:P51</f>
        <v>Magboots</v>
      </c>
      <c r="B751" s="280"/>
      <c r="C751" s="269"/>
      <c r="D751" s="261"/>
      <c r="E751" s="261"/>
      <c r="F751" s="261"/>
      <c r="G751" s="261"/>
      <c r="H751" s="261"/>
      <c r="I751" s="261"/>
      <c r="J751" s="261"/>
    </row>
    <row r="752">
      <c r="A752" s="153" t="s">
        <v>165</v>
      </c>
      <c r="B752" s="276">
        <v>6.0</v>
      </c>
      <c r="C752" s="264">
        <v>-0.4</v>
      </c>
      <c r="D752" s="261"/>
      <c r="E752" s="261"/>
      <c r="F752" s="261"/>
      <c r="G752" s="261"/>
      <c r="H752" s="261"/>
      <c r="I752" s="261"/>
      <c r="J752" s="261"/>
    </row>
    <row r="753">
      <c r="A753" s="155" t="s">
        <v>185</v>
      </c>
      <c r="B753" s="280"/>
      <c r="C753" s="269"/>
      <c r="D753" s="261"/>
      <c r="E753" s="261"/>
      <c r="F753" s="261"/>
      <c r="G753" s="261"/>
      <c r="H753" s="261"/>
      <c r="I753" s="261"/>
      <c r="J753" s="261"/>
    </row>
    <row r="754">
      <c r="A754" s="153" t="s">
        <v>205</v>
      </c>
      <c r="B754" s="276">
        <v>5.0</v>
      </c>
      <c r="C754" s="269"/>
      <c r="D754" s="261"/>
      <c r="E754" s="261"/>
      <c r="F754" s="261"/>
      <c r="G754" s="261"/>
      <c r="H754" s="261"/>
      <c r="I754" s="261"/>
      <c r="J754" s="261"/>
    </row>
    <row r="755">
      <c r="A755" s="155" t="s">
        <v>39</v>
      </c>
      <c r="B755" s="281" t="s">
        <v>2313</v>
      </c>
      <c r="C755" s="262" t="s">
        <v>2313</v>
      </c>
      <c r="D755" s="262">
        <v>0.48</v>
      </c>
      <c r="E755" s="261"/>
      <c r="F755" s="261"/>
      <c r="G755" s="261"/>
      <c r="H755" s="261"/>
      <c r="I755" s="261"/>
      <c r="J755" s="261"/>
    </row>
    <row r="756">
      <c r="A756" s="153" t="s">
        <v>244</v>
      </c>
      <c r="B756" s="276" t="s">
        <v>2313</v>
      </c>
      <c r="C756" s="269"/>
      <c r="D756" s="261"/>
      <c r="E756" s="261"/>
      <c r="F756" s="261"/>
      <c r="G756" s="261"/>
      <c r="H756" s="261"/>
      <c r="I756" s="261"/>
      <c r="J756" s="261"/>
    </row>
    <row r="757">
      <c r="A757" s="155" t="s">
        <v>264</v>
      </c>
      <c r="B757" s="262">
        <v>0.2</v>
      </c>
      <c r="C757" s="269"/>
      <c r="D757" s="261"/>
      <c r="E757" s="261"/>
      <c r="F757" s="261"/>
      <c r="G757" s="261"/>
      <c r="H757" s="261"/>
      <c r="I757" s="261"/>
      <c r="J757" s="261"/>
    </row>
    <row r="758">
      <c r="A758" s="153" t="s">
        <v>284</v>
      </c>
      <c r="B758" s="264">
        <v>1.0</v>
      </c>
      <c r="C758" s="269"/>
      <c r="D758" s="261"/>
      <c r="E758" s="261"/>
      <c r="F758" s="261"/>
      <c r="G758" s="261"/>
      <c r="H758" s="261"/>
      <c r="I758" s="261"/>
      <c r="J758" s="261"/>
    </row>
    <row r="759">
      <c r="A759" s="155" t="s">
        <v>304</v>
      </c>
      <c r="B759" s="281">
        <v>3.8</v>
      </c>
      <c r="C759" s="269"/>
      <c r="D759" s="261"/>
      <c r="E759" s="261"/>
      <c r="F759" s="261"/>
      <c r="G759" s="261"/>
      <c r="H759" s="261"/>
      <c r="I759" s="261"/>
      <c r="J759" s="261"/>
    </row>
    <row r="760">
      <c r="A760" s="153" t="s">
        <v>324</v>
      </c>
      <c r="B760" s="264">
        <v>0.6</v>
      </c>
      <c r="C760" s="269"/>
      <c r="D760" s="261"/>
      <c r="E760" s="261"/>
      <c r="F760" s="261"/>
      <c r="G760" s="261"/>
      <c r="H760" s="261"/>
      <c r="I760" s="261"/>
      <c r="J760" s="261"/>
    </row>
    <row r="761">
      <c r="A761" s="155" t="s">
        <v>344</v>
      </c>
      <c r="B761" s="281" t="s">
        <v>2313</v>
      </c>
      <c r="C761" s="208">
        <v>3.75</v>
      </c>
      <c r="D761" s="204">
        <v>3.75</v>
      </c>
      <c r="E761" s="261"/>
      <c r="F761" s="261"/>
      <c r="G761" s="261"/>
      <c r="H761" s="261"/>
      <c r="I761" s="261"/>
      <c r="J761" s="261"/>
    </row>
    <row r="762">
      <c r="A762" s="153" t="s">
        <v>364</v>
      </c>
      <c r="B762" s="276">
        <v>1.3</v>
      </c>
      <c r="C762" s="269"/>
      <c r="D762" s="261"/>
      <c r="E762" s="261"/>
      <c r="F762" s="261"/>
      <c r="G762" s="261"/>
      <c r="H762" s="261"/>
      <c r="I762" s="261"/>
      <c r="J762" s="261"/>
    </row>
    <row r="763">
      <c r="A763" s="155" t="s">
        <v>389</v>
      </c>
      <c r="B763" s="262">
        <v>-0.3</v>
      </c>
      <c r="C763" s="269"/>
      <c r="D763" s="261"/>
      <c r="E763" s="261"/>
      <c r="F763" s="261"/>
      <c r="G763" s="261"/>
      <c r="H763" s="261"/>
      <c r="I763" s="261"/>
      <c r="J763" s="261"/>
    </row>
    <row r="764">
      <c r="A764" s="153" t="s">
        <v>417</v>
      </c>
      <c r="B764" s="276">
        <v>3.5</v>
      </c>
      <c r="C764" s="269"/>
      <c r="D764" s="261"/>
      <c r="E764" s="261"/>
      <c r="F764" s="261"/>
      <c r="G764" s="261"/>
      <c r="H764" s="261"/>
      <c r="I764" s="261"/>
      <c r="J764" s="261"/>
    </row>
    <row r="765">
      <c r="A765" s="155" t="s">
        <v>444</v>
      </c>
      <c r="B765" s="265">
        <v>0.233</v>
      </c>
      <c r="C765" s="269"/>
      <c r="D765" s="261"/>
      <c r="E765" s="261"/>
      <c r="F765" s="261"/>
      <c r="G765" s="261"/>
      <c r="H765" s="261"/>
      <c r="I765" s="261"/>
      <c r="J765" s="261"/>
    </row>
    <row r="766">
      <c r="A766" s="153" t="s">
        <v>471</v>
      </c>
      <c r="B766" s="264">
        <v>0.15</v>
      </c>
      <c r="C766" s="269"/>
      <c r="D766" s="261"/>
      <c r="E766" s="261"/>
      <c r="F766" s="261"/>
      <c r="G766" s="261"/>
      <c r="H766" s="261"/>
      <c r="I766" s="261"/>
      <c r="J766" s="261"/>
    </row>
    <row r="767">
      <c r="A767" s="155" t="s">
        <v>501</v>
      </c>
      <c r="B767" s="280"/>
      <c r="C767" s="269"/>
      <c r="D767" s="261"/>
      <c r="E767" s="261"/>
      <c r="F767" s="261"/>
      <c r="G767" s="261"/>
      <c r="H767" s="261"/>
      <c r="I767" s="261"/>
      <c r="J767" s="261"/>
    </row>
    <row r="768">
      <c r="A768" s="153" t="s">
        <v>523</v>
      </c>
      <c r="B768" s="264">
        <v>0.15</v>
      </c>
      <c r="C768" s="264">
        <v>0.25</v>
      </c>
      <c r="D768" s="261"/>
      <c r="E768" s="261"/>
      <c r="F768" s="261"/>
      <c r="G768" s="261"/>
      <c r="H768" s="261"/>
      <c r="I768" s="261"/>
      <c r="J768" s="261"/>
    </row>
    <row r="769">
      <c r="A769" s="155" t="s">
        <v>542</v>
      </c>
      <c r="B769" s="281" t="s">
        <v>2313</v>
      </c>
      <c r="C769" s="208">
        <v>2.5</v>
      </c>
      <c r="D769" s="261"/>
      <c r="E769" s="261"/>
      <c r="F769" s="261"/>
      <c r="G769" s="261"/>
      <c r="H769" s="261"/>
      <c r="I769" s="261"/>
      <c r="J769" s="261"/>
    </row>
    <row r="770">
      <c r="A770" s="153" t="s">
        <v>562</v>
      </c>
      <c r="B770" s="264">
        <v>0.15</v>
      </c>
      <c r="C770" s="269"/>
      <c r="D770" s="261"/>
      <c r="E770" s="261"/>
      <c r="F770" s="261"/>
      <c r="G770" s="261"/>
      <c r="H770" s="261"/>
      <c r="I770" s="261"/>
      <c r="J770" s="261"/>
    </row>
    <row r="771">
      <c r="A771" s="155" t="s">
        <v>585</v>
      </c>
      <c r="B771" s="262">
        <v>0.3</v>
      </c>
      <c r="C771" s="269"/>
      <c r="D771" s="261"/>
      <c r="E771" s="261"/>
      <c r="F771" s="261"/>
      <c r="G771" s="261"/>
      <c r="H771" s="261"/>
      <c r="I771" s="261"/>
      <c r="J771" s="261"/>
    </row>
    <row r="772">
      <c r="A772" s="153" t="s">
        <v>608</v>
      </c>
      <c r="B772" s="276">
        <v>3.0</v>
      </c>
      <c r="C772" s="269"/>
      <c r="D772" s="261"/>
      <c r="E772" s="261"/>
      <c r="F772" s="261"/>
      <c r="G772" s="261"/>
      <c r="H772" s="261"/>
      <c r="I772" s="261"/>
      <c r="J772" s="261"/>
    </row>
    <row r="773">
      <c r="A773" s="155" t="s">
        <v>629</v>
      </c>
      <c r="B773" s="262">
        <v>0.12</v>
      </c>
      <c r="C773" s="269"/>
      <c r="D773" s="261"/>
      <c r="E773" s="261"/>
      <c r="F773" s="261"/>
      <c r="G773" s="261"/>
      <c r="H773" s="261"/>
      <c r="I773" s="261"/>
      <c r="J773" s="261"/>
    </row>
    <row r="774">
      <c r="A774" s="153" t="s">
        <v>654</v>
      </c>
      <c r="B774" s="276">
        <v>20.0</v>
      </c>
      <c r="C774" s="269"/>
      <c r="D774" s="261"/>
      <c r="E774" s="261"/>
      <c r="F774" s="261"/>
      <c r="G774" s="261"/>
      <c r="H774" s="261"/>
      <c r="I774" s="261"/>
      <c r="J774" s="261"/>
    </row>
    <row r="775">
      <c r="A775" s="155" t="s">
        <v>669</v>
      </c>
      <c r="B775" s="262">
        <v>0.15</v>
      </c>
      <c r="C775" s="269"/>
      <c r="D775" s="261"/>
      <c r="E775" s="261"/>
      <c r="F775" s="261"/>
      <c r="G775" s="261"/>
      <c r="H775" s="261"/>
      <c r="I775" s="261"/>
      <c r="J775" s="261"/>
    </row>
    <row r="776">
      <c r="A776" s="153" t="s">
        <v>683</v>
      </c>
      <c r="B776" s="276">
        <v>0.15</v>
      </c>
      <c r="C776" s="269"/>
      <c r="D776" s="261"/>
      <c r="E776" s="261"/>
      <c r="F776" s="261"/>
      <c r="G776" s="261"/>
      <c r="H776" s="261"/>
      <c r="I776" s="261"/>
      <c r="J776" s="261"/>
    </row>
    <row r="777">
      <c r="A777" s="155" t="s">
        <v>698</v>
      </c>
      <c r="B777" s="281">
        <v>3.0</v>
      </c>
      <c r="C777" s="269"/>
      <c r="D777" s="261"/>
      <c r="E777" s="261"/>
      <c r="F777" s="261"/>
      <c r="G777" s="261"/>
      <c r="H777" s="261"/>
      <c r="I777" s="261"/>
      <c r="J777" s="261"/>
    </row>
    <row r="778">
      <c r="A778" s="153" t="s">
        <v>717</v>
      </c>
      <c r="B778" s="264">
        <v>-0.1</v>
      </c>
      <c r="C778" s="269"/>
      <c r="D778" s="261"/>
      <c r="E778" s="261"/>
      <c r="F778" s="261"/>
      <c r="G778" s="261"/>
      <c r="H778" s="261"/>
      <c r="I778" s="261"/>
      <c r="J778" s="261"/>
    </row>
    <row r="779">
      <c r="A779" s="155" t="s">
        <v>735</v>
      </c>
      <c r="B779" s="262">
        <v>-0.1</v>
      </c>
      <c r="C779" s="269"/>
      <c r="D779" s="261"/>
      <c r="E779" s="261"/>
      <c r="F779" s="261"/>
      <c r="G779" s="261"/>
      <c r="H779" s="261"/>
      <c r="I779" s="261"/>
      <c r="J779" s="261"/>
    </row>
    <row r="780">
      <c r="A780" s="153" t="s">
        <v>753</v>
      </c>
      <c r="B780" s="264">
        <v>-0.1</v>
      </c>
      <c r="C780" s="269"/>
      <c r="D780" s="261"/>
      <c r="E780" s="261"/>
      <c r="F780" s="261"/>
      <c r="G780" s="261"/>
      <c r="H780" s="261"/>
      <c r="I780" s="261"/>
      <c r="J780" s="261"/>
    </row>
    <row r="781">
      <c r="A781" s="155" t="s">
        <v>765</v>
      </c>
      <c r="B781" s="280"/>
      <c r="C781" s="269"/>
      <c r="D781" s="261"/>
      <c r="E781" s="261"/>
      <c r="F781" s="261"/>
      <c r="G781" s="261"/>
      <c r="H781" s="261"/>
      <c r="I781" s="261"/>
      <c r="J781" s="261"/>
    </row>
    <row r="782">
      <c r="A782" s="153" t="s">
        <v>774</v>
      </c>
      <c r="B782" s="280"/>
      <c r="C782" s="269"/>
      <c r="D782" s="261"/>
      <c r="E782" s="261"/>
      <c r="F782" s="261"/>
      <c r="G782" s="261"/>
      <c r="H782" s="261"/>
      <c r="I782" s="261"/>
      <c r="J782" s="261"/>
    </row>
    <row r="783">
      <c r="A783" s="155" t="s">
        <v>780</v>
      </c>
      <c r="B783" s="280"/>
      <c r="C783" s="269"/>
      <c r="D783" s="261"/>
      <c r="E783" s="261"/>
      <c r="F783" s="261"/>
      <c r="G783" s="261"/>
      <c r="H783" s="261"/>
      <c r="I783" s="261"/>
      <c r="J783" s="261"/>
    </row>
    <row r="784">
      <c r="A784" s="153" t="s">
        <v>785</v>
      </c>
      <c r="B784" s="280"/>
      <c r="C784" s="269"/>
      <c r="D784" s="261"/>
      <c r="E784" s="261"/>
      <c r="F784" s="261"/>
      <c r="G784" s="261"/>
      <c r="H784" s="261"/>
      <c r="I784" s="261"/>
      <c r="J784" s="261"/>
    </row>
    <row r="785">
      <c r="A785" s="155" t="s">
        <v>790</v>
      </c>
      <c r="B785" s="280"/>
      <c r="C785" s="269"/>
      <c r="D785" s="261"/>
      <c r="E785" s="261"/>
      <c r="F785" s="261"/>
      <c r="G785" s="261"/>
      <c r="H785" s="261"/>
      <c r="I785" s="261"/>
      <c r="J785" s="261"/>
    </row>
    <row r="786">
      <c r="A786" s="153" t="s">
        <v>503</v>
      </c>
      <c r="B786" s="280"/>
      <c r="C786" s="269"/>
      <c r="D786" s="261"/>
      <c r="E786" s="261"/>
      <c r="F786" s="261"/>
      <c r="G786" s="261"/>
      <c r="H786" s="261"/>
      <c r="I786" s="261"/>
      <c r="J786" s="261"/>
    </row>
    <row r="787">
      <c r="A787" s="155" t="s">
        <v>511</v>
      </c>
      <c r="B787" s="280"/>
      <c r="C787" s="269"/>
      <c r="D787" s="261"/>
      <c r="E787" s="261"/>
      <c r="F787" s="261"/>
      <c r="G787" s="261"/>
      <c r="H787" s="261"/>
      <c r="I787" s="261"/>
      <c r="J787" s="261"/>
    </row>
    <row r="788">
      <c r="A788" s="153" t="s">
        <v>516</v>
      </c>
      <c r="B788" s="280"/>
      <c r="C788" s="269"/>
      <c r="D788" s="261"/>
      <c r="E788" s="261"/>
      <c r="F788" s="261"/>
      <c r="G788" s="261"/>
      <c r="H788" s="261"/>
      <c r="I788" s="261"/>
      <c r="J788" s="261"/>
    </row>
    <row r="789">
      <c r="A789" s="155"/>
      <c r="B789" s="280"/>
      <c r="C789" s="269"/>
      <c r="D789" s="261"/>
      <c r="E789" s="261"/>
      <c r="F789" s="261"/>
      <c r="G789" s="261"/>
      <c r="H789" s="261"/>
      <c r="I789" s="261"/>
      <c r="J789" s="261"/>
    </row>
    <row r="790">
      <c r="A790" s="153"/>
      <c r="B790" s="280"/>
      <c r="C790" s="269"/>
      <c r="D790" s="261"/>
      <c r="E790" s="261"/>
      <c r="F790" s="261"/>
      <c r="G790" s="261"/>
      <c r="H790" s="261"/>
      <c r="I790" s="261"/>
      <c r="J790" s="261"/>
    </row>
    <row r="791">
      <c r="A791" s="155"/>
      <c r="B791" s="280"/>
      <c r="C791" s="269"/>
      <c r="D791" s="261"/>
      <c r="E791" s="261"/>
      <c r="F791" s="261"/>
      <c r="G791" s="261"/>
      <c r="H791" s="261"/>
      <c r="I791" s="261"/>
      <c r="J791" s="261"/>
    </row>
    <row r="792">
      <c r="A792" s="153"/>
      <c r="B792" s="280"/>
      <c r="C792" s="269"/>
      <c r="D792" s="261"/>
      <c r="E792" s="261"/>
      <c r="F792" s="261"/>
      <c r="G792" s="261"/>
      <c r="H792" s="261"/>
      <c r="I792" s="261"/>
      <c r="J792" s="261"/>
    </row>
    <row r="793">
      <c r="A793" s="155"/>
      <c r="B793" s="280"/>
      <c r="C793" s="269"/>
      <c r="D793" s="261"/>
      <c r="E793" s="261"/>
      <c r="F793" s="261"/>
      <c r="G793" s="261"/>
      <c r="H793" s="261"/>
      <c r="I793" s="261"/>
      <c r="J793" s="261"/>
    </row>
    <row r="794">
      <c r="A794" s="153"/>
      <c r="B794" s="280"/>
      <c r="C794" s="269"/>
      <c r="D794" s="261"/>
      <c r="E794" s="261"/>
      <c r="F794" s="261"/>
      <c r="G794" s="261"/>
      <c r="H794" s="261"/>
      <c r="I794" s="261"/>
      <c r="J794" s="261"/>
    </row>
    <row r="795">
      <c r="A795" s="155"/>
      <c r="B795" s="280"/>
      <c r="C795" s="269"/>
      <c r="D795" s="261"/>
      <c r="E795" s="261"/>
      <c r="F795" s="261"/>
      <c r="G795" s="261"/>
      <c r="H795" s="261"/>
      <c r="I795" s="261"/>
      <c r="J795" s="261"/>
    </row>
    <row r="796">
      <c r="A796" s="153"/>
      <c r="B796" s="280"/>
      <c r="C796" s="269"/>
      <c r="D796" s="261"/>
      <c r="E796" s="261"/>
      <c r="F796" s="261"/>
      <c r="G796" s="261"/>
      <c r="H796" s="261"/>
      <c r="I796" s="261"/>
      <c r="J796" s="261"/>
    </row>
    <row r="797">
      <c r="A797" s="155"/>
      <c r="B797" s="280"/>
      <c r="C797" s="269"/>
      <c r="D797" s="261"/>
      <c r="E797" s="261"/>
      <c r="F797" s="261"/>
      <c r="G797" s="261"/>
      <c r="H797" s="261"/>
      <c r="I797" s="261"/>
      <c r="J797" s="261"/>
    </row>
    <row r="798">
      <c r="A798" s="153"/>
      <c r="B798" s="280"/>
      <c r="C798" s="269"/>
      <c r="D798" s="261"/>
      <c r="E798" s="261"/>
      <c r="F798" s="261"/>
      <c r="G798" s="261"/>
      <c r="H798" s="261"/>
      <c r="I798" s="261"/>
      <c r="J798" s="261"/>
    </row>
    <row r="799">
      <c r="A799" s="155"/>
      <c r="B799" s="280"/>
      <c r="C799" s="269"/>
      <c r="D799" s="261"/>
      <c r="E799" s="261"/>
      <c r="F799" s="261"/>
      <c r="G799" s="261"/>
      <c r="H799" s="261"/>
      <c r="I799" s="261"/>
      <c r="J799" s="261"/>
    </row>
    <row r="800">
      <c r="A800" s="162"/>
      <c r="B800" s="280"/>
      <c r="C800" s="269"/>
      <c r="D800" s="261"/>
      <c r="E800" s="261"/>
      <c r="F800" s="261"/>
      <c r="G800" s="261"/>
      <c r="H800" s="261"/>
      <c r="I800" s="261"/>
      <c r="J800" s="261"/>
    </row>
    <row r="801">
      <c r="A801" s="150" t="str">
        <f t="array" ref="A801:A850">'Up Names'!Q2:Q51</f>
        <v>Switcheroo</v>
      </c>
      <c r="B801" s="189"/>
      <c r="C801" s="189"/>
      <c r="D801" s="189"/>
      <c r="E801" s="189"/>
      <c r="F801" s="189"/>
      <c r="G801" s="189"/>
      <c r="H801" s="189"/>
      <c r="I801" s="189"/>
      <c r="J801" s="189"/>
    </row>
    <row r="802">
      <c r="A802" s="153" t="s">
        <v>166</v>
      </c>
      <c r="B802" s="281">
        <v>3.0</v>
      </c>
      <c r="C802" s="208">
        <v>2.0</v>
      </c>
      <c r="D802" s="261"/>
      <c r="E802" s="261"/>
      <c r="F802" s="261"/>
      <c r="G802" s="261"/>
      <c r="H802" s="261"/>
      <c r="I802" s="261"/>
      <c r="J802" s="261"/>
    </row>
    <row r="803">
      <c r="A803" s="155" t="s">
        <v>186</v>
      </c>
      <c r="B803" s="263">
        <v>-0.1071</v>
      </c>
      <c r="C803" s="206">
        <v>1.0</v>
      </c>
      <c r="D803" s="261"/>
      <c r="E803" s="261"/>
      <c r="F803" s="261"/>
      <c r="G803" s="261"/>
      <c r="H803" s="261"/>
      <c r="I803" s="261"/>
      <c r="J803" s="261"/>
    </row>
    <row r="804">
      <c r="A804" s="153" t="s">
        <v>206</v>
      </c>
      <c r="B804" s="262">
        <v>0.42</v>
      </c>
      <c r="C804" s="208">
        <v>2.2</v>
      </c>
      <c r="D804" s="272">
        <v>0.073</v>
      </c>
      <c r="E804" s="204">
        <v>3.2</v>
      </c>
      <c r="F804" s="261"/>
      <c r="G804" s="261"/>
      <c r="H804" s="261"/>
      <c r="I804" s="261"/>
      <c r="J804" s="261"/>
    </row>
    <row r="805">
      <c r="A805" s="155" t="s">
        <v>225</v>
      </c>
      <c r="B805" s="276">
        <v>40.0</v>
      </c>
      <c r="C805" s="269"/>
      <c r="D805" s="261"/>
      <c r="E805" s="261"/>
      <c r="F805" s="261"/>
      <c r="G805" s="261"/>
      <c r="H805" s="261"/>
      <c r="I805" s="261"/>
      <c r="J805" s="261"/>
    </row>
    <row r="806">
      <c r="A806" s="153" t="s">
        <v>245</v>
      </c>
      <c r="B806" s="281">
        <v>6.4</v>
      </c>
      <c r="C806" s="265">
        <v>-0.3548</v>
      </c>
      <c r="D806" s="261"/>
      <c r="E806" s="261"/>
      <c r="F806" s="261"/>
      <c r="G806" s="261"/>
      <c r="H806" s="261"/>
      <c r="I806" s="261"/>
      <c r="J806" s="261"/>
    </row>
    <row r="807">
      <c r="A807" s="155" t="s">
        <v>265</v>
      </c>
      <c r="B807" s="280"/>
      <c r="C807" s="269"/>
      <c r="D807" s="261"/>
      <c r="E807" s="261"/>
      <c r="F807" s="261"/>
      <c r="G807" s="261"/>
      <c r="H807" s="261"/>
      <c r="I807" s="261"/>
      <c r="J807" s="261"/>
    </row>
    <row r="808">
      <c r="A808" s="153" t="s">
        <v>285</v>
      </c>
      <c r="B808" s="265">
        <v>-0.1667</v>
      </c>
      <c r="C808" s="208">
        <v>1.0</v>
      </c>
      <c r="D808" s="261"/>
      <c r="E808" s="261"/>
      <c r="F808" s="261"/>
      <c r="G808" s="261"/>
      <c r="H808" s="261"/>
      <c r="I808" s="261"/>
      <c r="J808" s="261"/>
    </row>
    <row r="809">
      <c r="A809" s="155" t="s">
        <v>305</v>
      </c>
      <c r="B809" s="276">
        <v>8.0</v>
      </c>
      <c r="C809" s="206">
        <v>40.0</v>
      </c>
      <c r="D809" s="205" t="s">
        <v>2313</v>
      </c>
      <c r="E809" s="261"/>
      <c r="F809" s="261"/>
      <c r="G809" s="261"/>
      <c r="H809" s="261"/>
      <c r="I809" s="261"/>
      <c r="J809" s="261"/>
    </row>
    <row r="810">
      <c r="A810" s="153" t="s">
        <v>325</v>
      </c>
      <c r="B810" s="281">
        <v>7.0</v>
      </c>
      <c r="C810" s="208">
        <v>37.0</v>
      </c>
      <c r="D810" s="261"/>
      <c r="E810" s="261"/>
      <c r="F810" s="261"/>
      <c r="G810" s="261"/>
      <c r="H810" s="261"/>
      <c r="I810" s="261"/>
      <c r="J810" s="261"/>
    </row>
    <row r="811">
      <c r="A811" s="155" t="s">
        <v>345</v>
      </c>
      <c r="B811" s="276">
        <v>11.85</v>
      </c>
      <c r="C811" s="269"/>
      <c r="D811" s="261"/>
      <c r="E811" s="261"/>
      <c r="F811" s="261"/>
      <c r="G811" s="261"/>
      <c r="H811" s="261"/>
      <c r="I811" s="261"/>
      <c r="J811" s="261"/>
    </row>
    <row r="812">
      <c r="A812" s="153" t="s">
        <v>365</v>
      </c>
      <c r="B812" s="262">
        <v>1.12</v>
      </c>
      <c r="C812" s="269"/>
      <c r="D812" s="261"/>
      <c r="E812" s="261"/>
      <c r="F812" s="261"/>
      <c r="G812" s="261"/>
      <c r="H812" s="261"/>
      <c r="I812" s="261"/>
      <c r="J812" s="261"/>
    </row>
    <row r="813">
      <c r="A813" s="155" t="s">
        <v>390</v>
      </c>
      <c r="B813" s="280"/>
      <c r="C813" s="269"/>
      <c r="D813" s="261"/>
      <c r="E813" s="261"/>
      <c r="F813" s="261"/>
      <c r="G813" s="261"/>
      <c r="H813" s="261"/>
      <c r="I813" s="261"/>
      <c r="J813" s="261"/>
    </row>
    <row r="814">
      <c r="A814" s="153" t="s">
        <v>418</v>
      </c>
      <c r="B814" s="281">
        <v>8.0</v>
      </c>
      <c r="C814" s="208">
        <v>40.0</v>
      </c>
      <c r="D814" s="204" t="s">
        <v>2313</v>
      </c>
      <c r="E814" s="261"/>
      <c r="F814" s="261"/>
      <c r="G814" s="261"/>
      <c r="H814" s="261"/>
      <c r="I814" s="261"/>
      <c r="J814" s="261"/>
    </row>
    <row r="815">
      <c r="A815" s="155" t="s">
        <v>445</v>
      </c>
      <c r="B815" s="264">
        <v>0.32</v>
      </c>
      <c r="C815" s="206">
        <v>0.2</v>
      </c>
      <c r="D815" s="205" t="s">
        <v>2313</v>
      </c>
      <c r="E815" s="261"/>
      <c r="F815" s="261"/>
      <c r="G815" s="261"/>
      <c r="H815" s="261"/>
      <c r="I815" s="261"/>
      <c r="J815" s="261"/>
    </row>
    <row r="816">
      <c r="A816" s="153" t="s">
        <v>473</v>
      </c>
      <c r="B816" s="281">
        <v>0.61</v>
      </c>
      <c r="C816" s="262" t="s">
        <v>2313</v>
      </c>
      <c r="D816" s="261"/>
      <c r="E816" s="261"/>
      <c r="F816" s="261"/>
      <c r="G816" s="261"/>
      <c r="H816" s="261"/>
      <c r="I816" s="261"/>
      <c r="J816" s="261"/>
    </row>
    <row r="817">
      <c r="A817" s="155" t="s">
        <v>502</v>
      </c>
      <c r="B817" s="276">
        <v>18.0</v>
      </c>
      <c r="C817" s="269"/>
      <c r="D817" s="261"/>
      <c r="E817" s="261"/>
      <c r="F817" s="261"/>
      <c r="G817" s="261"/>
      <c r="H817" s="261"/>
      <c r="I817" s="261"/>
      <c r="J817" s="261"/>
    </row>
    <row r="818">
      <c r="A818" s="153" t="s">
        <v>524</v>
      </c>
      <c r="B818" s="281">
        <v>1.1</v>
      </c>
      <c r="C818" s="269"/>
      <c r="D818" s="261"/>
      <c r="E818" s="261"/>
      <c r="F818" s="261"/>
      <c r="G818" s="261"/>
      <c r="H818" s="261"/>
      <c r="I818" s="261"/>
      <c r="J818" s="261"/>
    </row>
    <row r="819">
      <c r="A819" s="155" t="s">
        <v>543</v>
      </c>
      <c r="B819" s="276">
        <v>20.0</v>
      </c>
      <c r="C819" s="269"/>
      <c r="D819" s="261"/>
      <c r="E819" s="261"/>
      <c r="F819" s="261"/>
      <c r="G819" s="261"/>
      <c r="H819" s="261"/>
      <c r="I819" s="261"/>
      <c r="J819" s="261"/>
    </row>
    <row r="820">
      <c r="A820" s="153" t="s">
        <v>564</v>
      </c>
      <c r="B820" s="281">
        <v>4.1</v>
      </c>
      <c r="C820" s="269"/>
      <c r="D820" s="261"/>
      <c r="E820" s="261"/>
      <c r="F820" s="261"/>
      <c r="G820" s="261"/>
      <c r="H820" s="261"/>
      <c r="I820" s="261"/>
      <c r="J820" s="261"/>
    </row>
    <row r="821">
      <c r="A821" s="155" t="s">
        <v>586</v>
      </c>
      <c r="B821" s="276">
        <v>7.5</v>
      </c>
      <c r="C821" s="269"/>
      <c r="D821" s="261"/>
      <c r="E821" s="261"/>
      <c r="F821" s="261"/>
      <c r="G821" s="261"/>
      <c r="H821" s="261"/>
      <c r="I821" s="261"/>
      <c r="J821" s="261"/>
    </row>
    <row r="822">
      <c r="A822" s="153" t="s">
        <v>609</v>
      </c>
      <c r="B822" s="280"/>
      <c r="C822" s="269"/>
      <c r="D822" s="261"/>
      <c r="E822" s="261"/>
      <c r="F822" s="261"/>
      <c r="G822" s="261"/>
      <c r="H822" s="261"/>
      <c r="I822" s="261"/>
      <c r="J822" s="261"/>
    </row>
    <row r="823">
      <c r="A823" s="155" t="s">
        <v>631</v>
      </c>
      <c r="B823" s="263">
        <v>0.0989</v>
      </c>
      <c r="C823" s="269"/>
      <c r="D823" s="261"/>
      <c r="E823" s="261"/>
      <c r="F823" s="261"/>
      <c r="G823" s="261"/>
      <c r="H823" s="261"/>
      <c r="I823" s="261"/>
      <c r="J823" s="261"/>
    </row>
    <row r="824">
      <c r="A824" s="153" t="s">
        <v>655</v>
      </c>
      <c r="B824" s="281">
        <v>47.0</v>
      </c>
      <c r="C824" s="269"/>
      <c r="D824" s="261"/>
      <c r="E824" s="261"/>
      <c r="F824" s="261"/>
      <c r="G824" s="261"/>
      <c r="H824" s="261"/>
      <c r="I824" s="261"/>
      <c r="J824" s="261"/>
    </row>
    <row r="825">
      <c r="A825" s="155" t="s">
        <v>670</v>
      </c>
      <c r="B825" s="276">
        <v>19.0</v>
      </c>
      <c r="C825" s="269"/>
      <c r="D825" s="261"/>
      <c r="E825" s="261"/>
      <c r="F825" s="261"/>
      <c r="G825" s="261"/>
      <c r="H825" s="261"/>
      <c r="I825" s="261"/>
      <c r="J825" s="261"/>
    </row>
    <row r="826">
      <c r="A826" s="153" t="s">
        <v>684</v>
      </c>
      <c r="B826" s="281">
        <v>34.0</v>
      </c>
      <c r="C826" s="208">
        <v>4.5</v>
      </c>
      <c r="D826" s="261"/>
      <c r="E826" s="261"/>
      <c r="F826" s="261"/>
      <c r="G826" s="261"/>
      <c r="H826" s="261"/>
      <c r="I826" s="261"/>
      <c r="J826" s="261"/>
    </row>
    <row r="827">
      <c r="A827" s="155" t="s">
        <v>699</v>
      </c>
      <c r="B827" s="276">
        <v>20.0</v>
      </c>
      <c r="C827" s="269"/>
      <c r="D827" s="261"/>
      <c r="E827" s="261"/>
      <c r="F827" s="261"/>
      <c r="G827" s="261"/>
      <c r="H827" s="261"/>
      <c r="I827" s="261"/>
      <c r="J827" s="261"/>
    </row>
    <row r="828">
      <c r="A828" s="153" t="s">
        <v>719</v>
      </c>
      <c r="B828" s="280"/>
      <c r="C828" s="269"/>
      <c r="D828" s="261"/>
      <c r="E828" s="261"/>
      <c r="F828" s="261"/>
      <c r="G828" s="261"/>
      <c r="H828" s="261"/>
      <c r="I828" s="261"/>
      <c r="J828" s="261"/>
    </row>
    <row r="829">
      <c r="A829" s="155" t="s">
        <v>737</v>
      </c>
      <c r="B829" s="280"/>
      <c r="C829" s="269"/>
      <c r="D829" s="261"/>
      <c r="E829" s="261"/>
      <c r="F829" s="261"/>
      <c r="G829" s="261"/>
      <c r="H829" s="261"/>
      <c r="I829" s="261"/>
      <c r="J829" s="261"/>
    </row>
    <row r="830">
      <c r="A830" s="153" t="s">
        <v>754</v>
      </c>
      <c r="B830" s="281">
        <v>40.0</v>
      </c>
      <c r="C830" s="269"/>
      <c r="D830" s="261"/>
      <c r="E830" s="261"/>
      <c r="F830" s="261"/>
      <c r="G830" s="261"/>
      <c r="H830" s="261"/>
      <c r="I830" s="261"/>
      <c r="J830" s="261"/>
    </row>
    <row r="831">
      <c r="A831" s="155" t="s">
        <v>766</v>
      </c>
      <c r="B831" s="264">
        <v>0.85</v>
      </c>
      <c r="C831" s="269"/>
      <c r="D831" s="261"/>
      <c r="E831" s="261"/>
      <c r="F831" s="261"/>
      <c r="G831" s="261"/>
      <c r="H831" s="261"/>
      <c r="I831" s="261"/>
      <c r="J831" s="261"/>
    </row>
    <row r="832">
      <c r="A832" s="153" t="s">
        <v>775</v>
      </c>
      <c r="B832" s="262">
        <v>0.22</v>
      </c>
      <c r="C832" s="262">
        <v>0.2</v>
      </c>
      <c r="D832" s="261"/>
      <c r="E832" s="261"/>
      <c r="F832" s="261"/>
      <c r="G832" s="261"/>
      <c r="H832" s="261"/>
      <c r="I832" s="261"/>
      <c r="J832" s="261"/>
    </row>
    <row r="833">
      <c r="A833" s="155" t="s">
        <v>781</v>
      </c>
      <c r="B833" s="276">
        <v>0.92</v>
      </c>
      <c r="C833" s="269"/>
      <c r="D833" s="261"/>
      <c r="E833" s="261"/>
      <c r="F833" s="261"/>
      <c r="G833" s="261"/>
      <c r="H833" s="261"/>
      <c r="I833" s="261"/>
      <c r="J833" s="261"/>
    </row>
    <row r="834">
      <c r="A834" s="153" t="s">
        <v>786</v>
      </c>
      <c r="B834" s="262">
        <v>0.35</v>
      </c>
      <c r="C834" s="269"/>
      <c r="D834" s="261"/>
      <c r="E834" s="261"/>
      <c r="F834" s="261"/>
      <c r="G834" s="261"/>
      <c r="H834" s="261"/>
      <c r="I834" s="261"/>
      <c r="J834" s="261"/>
    </row>
    <row r="835">
      <c r="A835" s="155" t="s">
        <v>791</v>
      </c>
      <c r="B835" s="280"/>
      <c r="C835" s="269"/>
      <c r="D835" s="261"/>
      <c r="E835" s="261"/>
      <c r="F835" s="261"/>
      <c r="G835" s="261"/>
      <c r="H835" s="261"/>
      <c r="I835" s="261"/>
      <c r="J835" s="261"/>
    </row>
    <row r="836">
      <c r="A836" s="153" t="s">
        <v>797</v>
      </c>
      <c r="B836" s="280"/>
      <c r="C836" s="269"/>
      <c r="D836" s="261"/>
      <c r="E836" s="261"/>
      <c r="F836" s="261"/>
      <c r="G836" s="261"/>
      <c r="H836" s="261"/>
      <c r="I836" s="261"/>
      <c r="J836" s="261"/>
    </row>
    <row r="837">
      <c r="A837" s="155"/>
      <c r="B837" s="280"/>
      <c r="C837" s="269"/>
      <c r="D837" s="261"/>
      <c r="E837" s="261"/>
      <c r="F837" s="261"/>
      <c r="G837" s="261"/>
      <c r="H837" s="261"/>
      <c r="I837" s="261"/>
      <c r="J837" s="261"/>
    </row>
    <row r="838">
      <c r="A838" s="153"/>
      <c r="B838" s="280"/>
      <c r="C838" s="269"/>
      <c r="D838" s="261"/>
      <c r="E838" s="261"/>
      <c r="F838" s="261"/>
      <c r="G838" s="261"/>
      <c r="H838" s="261"/>
      <c r="I838" s="261"/>
      <c r="J838" s="261"/>
    </row>
    <row r="839">
      <c r="A839" s="155"/>
      <c r="B839" s="280"/>
      <c r="C839" s="269"/>
      <c r="D839" s="261"/>
      <c r="E839" s="261"/>
      <c r="F839" s="261"/>
      <c r="G839" s="261"/>
      <c r="H839" s="261"/>
      <c r="I839" s="261"/>
      <c r="J839" s="261"/>
    </row>
    <row r="840">
      <c r="A840" s="153"/>
      <c r="B840" s="280"/>
      <c r="C840" s="269"/>
      <c r="D840" s="261"/>
      <c r="E840" s="261"/>
      <c r="F840" s="261"/>
      <c r="G840" s="261"/>
      <c r="H840" s="261"/>
      <c r="I840" s="261"/>
      <c r="J840" s="261"/>
    </row>
    <row r="841">
      <c r="A841" s="155"/>
      <c r="B841" s="280"/>
      <c r="C841" s="269"/>
      <c r="D841" s="261"/>
      <c r="E841" s="261"/>
      <c r="F841" s="261"/>
      <c r="G841" s="261"/>
      <c r="H841" s="261"/>
      <c r="I841" s="261"/>
      <c r="J841" s="261"/>
    </row>
    <row r="842">
      <c r="A842" s="153"/>
      <c r="B842" s="280"/>
      <c r="C842" s="269"/>
      <c r="D842" s="261"/>
      <c r="E842" s="261"/>
      <c r="F842" s="261"/>
      <c r="G842" s="261"/>
      <c r="H842" s="261"/>
      <c r="I842" s="261"/>
      <c r="J842" s="261"/>
    </row>
    <row r="843">
      <c r="A843" s="155"/>
      <c r="B843" s="280"/>
      <c r="C843" s="269"/>
      <c r="D843" s="261"/>
      <c r="E843" s="261"/>
      <c r="F843" s="261"/>
      <c r="G843" s="261"/>
      <c r="H843" s="261"/>
      <c r="I843" s="261"/>
      <c r="J843" s="261"/>
    </row>
    <row r="844">
      <c r="A844" s="153"/>
      <c r="B844" s="280"/>
      <c r="C844" s="269"/>
      <c r="D844" s="261"/>
      <c r="E844" s="261"/>
      <c r="F844" s="261"/>
      <c r="G844" s="261"/>
      <c r="H844" s="261"/>
      <c r="I844" s="261"/>
      <c r="J844" s="261"/>
    </row>
    <row r="845">
      <c r="A845" s="155"/>
      <c r="B845" s="280"/>
      <c r="C845" s="269"/>
      <c r="D845" s="261"/>
      <c r="E845" s="261"/>
      <c r="F845" s="261"/>
      <c r="G845" s="261"/>
      <c r="H845" s="261"/>
      <c r="I845" s="261"/>
      <c r="J845" s="261"/>
    </row>
    <row r="846">
      <c r="A846" s="153"/>
      <c r="B846" s="280"/>
      <c r="C846" s="269"/>
      <c r="D846" s="261"/>
      <c r="E846" s="261"/>
      <c r="F846" s="261"/>
      <c r="G846" s="261"/>
      <c r="H846" s="261"/>
      <c r="I846" s="261"/>
      <c r="J846" s="261"/>
    </row>
    <row r="847">
      <c r="A847" s="155"/>
      <c r="B847" s="280"/>
      <c r="C847" s="269"/>
      <c r="D847" s="261"/>
      <c r="E847" s="261"/>
      <c r="F847" s="261"/>
      <c r="G847" s="261"/>
      <c r="H847" s="261"/>
      <c r="I847" s="261"/>
      <c r="J847" s="261"/>
    </row>
    <row r="848">
      <c r="A848" s="153"/>
      <c r="B848" s="280"/>
      <c r="C848" s="269"/>
      <c r="D848" s="261"/>
      <c r="E848" s="261"/>
      <c r="F848" s="261"/>
      <c r="G848" s="261"/>
      <c r="H848" s="261"/>
      <c r="I848" s="261"/>
      <c r="J848" s="261"/>
    </row>
    <row r="849">
      <c r="A849" s="155"/>
      <c r="B849" s="280"/>
      <c r="C849" s="269"/>
      <c r="D849" s="261"/>
      <c r="E849" s="261"/>
      <c r="F849" s="261"/>
      <c r="G849" s="261"/>
      <c r="H849" s="261"/>
      <c r="I849" s="261"/>
      <c r="J849" s="261"/>
    </row>
    <row r="850">
      <c r="A850" s="162"/>
      <c r="B850" s="280"/>
      <c r="C850" s="269"/>
      <c r="D850" s="261"/>
      <c r="E850" s="261"/>
      <c r="F850" s="261"/>
      <c r="G850" s="261"/>
      <c r="H850" s="261"/>
      <c r="I850" s="261"/>
      <c r="J850" s="261"/>
    </row>
    <row r="851">
      <c r="A851" s="150" t="str">
        <f t="array" ref="A851:A900">'Up Names'!R2:R51</f>
        <v>Modular Construction</v>
      </c>
      <c r="B851" s="262">
        <v>4.0</v>
      </c>
      <c r="C851" s="208">
        <v>5.0</v>
      </c>
      <c r="D851" s="204">
        <v>9.0</v>
      </c>
      <c r="E851" s="261"/>
      <c r="F851" s="261"/>
      <c r="G851" s="261"/>
      <c r="H851" s="261"/>
      <c r="I851" s="261"/>
      <c r="J851" s="261"/>
    </row>
    <row r="852">
      <c r="A852" s="153" t="s">
        <v>167</v>
      </c>
      <c r="B852" s="263">
        <v>-0.0826</v>
      </c>
      <c r="C852" s="206">
        <v>1.0</v>
      </c>
      <c r="D852" s="261"/>
      <c r="E852" s="261"/>
      <c r="F852" s="261"/>
      <c r="G852" s="261"/>
      <c r="H852" s="261"/>
      <c r="I852" s="261"/>
      <c r="J852" s="261"/>
    </row>
    <row r="853">
      <c r="A853" s="155" t="s">
        <v>187</v>
      </c>
      <c r="B853" s="281">
        <v>3.6</v>
      </c>
      <c r="C853" s="208">
        <v>7.0</v>
      </c>
      <c r="D853" s="204">
        <v>28.0</v>
      </c>
      <c r="E853" s="261"/>
      <c r="F853" s="261"/>
      <c r="G853" s="261"/>
      <c r="H853" s="261"/>
      <c r="I853" s="261"/>
      <c r="J853" s="261"/>
    </row>
    <row r="854">
      <c r="A854" s="153" t="s">
        <v>207</v>
      </c>
      <c r="B854" s="276">
        <v>4.0</v>
      </c>
      <c r="C854" s="206">
        <v>12.0</v>
      </c>
      <c r="D854" s="261"/>
      <c r="E854" s="261"/>
      <c r="F854" s="261"/>
      <c r="G854" s="261"/>
      <c r="H854" s="261"/>
      <c r="I854" s="261"/>
      <c r="J854" s="261"/>
    </row>
    <row r="855">
      <c r="A855" s="155" t="s">
        <v>226</v>
      </c>
      <c r="B855" s="281">
        <v>14.0</v>
      </c>
      <c r="C855" s="208">
        <v>13.0</v>
      </c>
      <c r="D855" s="261"/>
      <c r="E855" s="261"/>
      <c r="F855" s="261"/>
      <c r="G855" s="261"/>
      <c r="H855" s="261"/>
      <c r="I855" s="261"/>
      <c r="J855" s="261"/>
    </row>
    <row r="856">
      <c r="A856" s="153" t="s">
        <v>246</v>
      </c>
      <c r="B856" s="206">
        <v>160.0</v>
      </c>
      <c r="C856" s="206">
        <v>9.0</v>
      </c>
      <c r="D856" s="271">
        <v>0.8</v>
      </c>
      <c r="E856" s="205">
        <v>22.0</v>
      </c>
      <c r="F856" s="261"/>
      <c r="G856" s="261"/>
      <c r="H856" s="261"/>
      <c r="I856" s="261"/>
      <c r="J856" s="261"/>
    </row>
    <row r="857">
      <c r="A857" s="155" t="s">
        <v>266</v>
      </c>
      <c r="B857" s="281">
        <v>2.3</v>
      </c>
      <c r="C857" s="269"/>
      <c r="D857" s="261"/>
      <c r="E857" s="261"/>
      <c r="F857" s="261"/>
      <c r="G857" s="261"/>
      <c r="H857" s="261"/>
      <c r="I857" s="261"/>
      <c r="J857" s="261"/>
    </row>
    <row r="858">
      <c r="A858" s="153" t="s">
        <v>286</v>
      </c>
      <c r="B858" s="280"/>
      <c r="C858" s="269"/>
      <c r="D858" s="261"/>
      <c r="E858" s="261"/>
      <c r="F858" s="261"/>
      <c r="G858" s="261"/>
      <c r="H858" s="261"/>
      <c r="I858" s="261"/>
      <c r="J858" s="261"/>
    </row>
    <row r="859">
      <c r="A859" s="155" t="s">
        <v>306</v>
      </c>
      <c r="B859" s="281" t="s">
        <v>2313</v>
      </c>
      <c r="C859" s="265">
        <v>-0.5238</v>
      </c>
      <c r="D859" s="261"/>
      <c r="E859" s="261"/>
      <c r="F859" s="261"/>
      <c r="G859" s="261"/>
      <c r="H859" s="261"/>
      <c r="I859" s="261"/>
      <c r="J859" s="261"/>
    </row>
    <row r="860">
      <c r="A860" s="153" t="s">
        <v>326</v>
      </c>
      <c r="B860" s="276">
        <v>2.0</v>
      </c>
      <c r="C860" s="269"/>
      <c r="D860" s="261"/>
      <c r="E860" s="261"/>
      <c r="F860" s="261"/>
      <c r="G860" s="261"/>
      <c r="H860" s="261"/>
      <c r="I860" s="261"/>
      <c r="J860" s="261"/>
    </row>
    <row r="861">
      <c r="A861" s="155" t="s">
        <v>346</v>
      </c>
      <c r="B861" s="280"/>
      <c r="C861" s="269"/>
      <c r="D861" s="261"/>
      <c r="E861" s="261"/>
      <c r="F861" s="261"/>
      <c r="G861" s="261"/>
      <c r="H861" s="261"/>
      <c r="I861" s="261"/>
      <c r="J861" s="261"/>
    </row>
    <row r="862">
      <c r="A862" s="153" t="s">
        <v>366</v>
      </c>
      <c r="B862" s="276">
        <v>10.0</v>
      </c>
      <c r="C862" s="269"/>
      <c r="D862" s="261"/>
      <c r="E862" s="261"/>
      <c r="F862" s="261"/>
      <c r="G862" s="261"/>
      <c r="H862" s="261"/>
      <c r="I862" s="261"/>
      <c r="J862" s="261"/>
    </row>
    <row r="863">
      <c r="A863" s="155" t="s">
        <v>391</v>
      </c>
      <c r="B863" s="281">
        <v>9.0</v>
      </c>
      <c r="C863" s="269"/>
      <c r="D863" s="261"/>
      <c r="E863" s="261"/>
      <c r="F863" s="261"/>
      <c r="G863" s="261"/>
      <c r="H863" s="261"/>
      <c r="I863" s="261"/>
      <c r="J863" s="261"/>
    </row>
    <row r="864">
      <c r="A864" s="153" t="s">
        <v>419</v>
      </c>
      <c r="B864" s="276">
        <v>34.0</v>
      </c>
      <c r="C864" s="269"/>
      <c r="D864" s="261"/>
      <c r="E864" s="261"/>
      <c r="F864" s="261"/>
      <c r="G864" s="261"/>
      <c r="H864" s="261"/>
      <c r="I864" s="261"/>
      <c r="J864" s="261"/>
    </row>
    <row r="865">
      <c r="A865" s="155" t="s">
        <v>446</v>
      </c>
      <c r="B865" s="280"/>
      <c r="C865" s="269"/>
      <c r="D865" s="261"/>
      <c r="E865" s="261"/>
      <c r="F865" s="261"/>
      <c r="G865" s="261"/>
      <c r="H865" s="261"/>
      <c r="I865" s="261"/>
      <c r="J865" s="261"/>
    </row>
    <row r="866">
      <c r="A866" s="153" t="s">
        <v>475</v>
      </c>
      <c r="B866" s="264">
        <v>0.14</v>
      </c>
      <c r="C866" s="264">
        <v>-0.03</v>
      </c>
      <c r="D866" s="261"/>
      <c r="E866" s="261"/>
      <c r="F866" s="261"/>
      <c r="G866" s="261"/>
      <c r="H866" s="261"/>
      <c r="I866" s="261"/>
      <c r="J866" s="261"/>
    </row>
    <row r="867">
      <c r="A867" s="155" t="s">
        <v>504</v>
      </c>
      <c r="B867" s="265">
        <v>0.1111</v>
      </c>
      <c r="C867" s="269"/>
      <c r="D867" s="261"/>
      <c r="E867" s="261"/>
      <c r="F867" s="261"/>
      <c r="G867" s="261"/>
      <c r="H867" s="261"/>
      <c r="I867" s="261"/>
      <c r="J867" s="261"/>
    </row>
    <row r="868">
      <c r="A868" s="153" t="s">
        <v>525</v>
      </c>
      <c r="B868" s="276">
        <v>10.0</v>
      </c>
      <c r="C868" s="206">
        <v>104.0</v>
      </c>
      <c r="D868" s="261"/>
      <c r="E868" s="261"/>
      <c r="F868" s="261"/>
      <c r="G868" s="261"/>
      <c r="H868" s="261"/>
      <c r="I868" s="261"/>
      <c r="J868" s="261"/>
    </row>
    <row r="869">
      <c r="A869" s="155" t="s">
        <v>544</v>
      </c>
      <c r="B869" s="262">
        <v>21.1</v>
      </c>
      <c r="C869" s="262">
        <v>-0.84</v>
      </c>
      <c r="D869" s="261"/>
      <c r="E869" s="261"/>
      <c r="F869" s="261"/>
      <c r="G869" s="261"/>
      <c r="H869" s="261"/>
      <c r="I869" s="261"/>
      <c r="J869" s="261"/>
    </row>
    <row r="870">
      <c r="A870" s="153" t="s">
        <v>565</v>
      </c>
      <c r="B870" s="271">
        <v>0.6</v>
      </c>
      <c r="C870" s="264">
        <v>-0.57</v>
      </c>
      <c r="D870" s="261"/>
      <c r="E870" s="261"/>
      <c r="F870" s="261"/>
      <c r="G870" s="261"/>
      <c r="H870" s="261"/>
      <c r="I870" s="261"/>
      <c r="J870" s="261"/>
    </row>
    <row r="871">
      <c r="A871" s="155" t="s">
        <v>588</v>
      </c>
      <c r="B871" s="265">
        <v>0.1111</v>
      </c>
      <c r="C871" s="269"/>
      <c r="D871" s="261"/>
      <c r="E871" s="261"/>
      <c r="F871" s="261"/>
      <c r="G871" s="261"/>
      <c r="H871" s="261"/>
      <c r="I871" s="261"/>
      <c r="J871" s="261"/>
    </row>
    <row r="872">
      <c r="A872" s="153" t="s">
        <v>610</v>
      </c>
      <c r="B872" s="276">
        <v>39.0</v>
      </c>
      <c r="C872" s="269"/>
      <c r="D872" s="261"/>
      <c r="E872" s="261"/>
      <c r="F872" s="261"/>
      <c r="G872" s="261"/>
      <c r="H872" s="261"/>
      <c r="I872" s="261"/>
      <c r="J872" s="261"/>
    </row>
    <row r="873">
      <c r="A873" s="155" t="s">
        <v>633</v>
      </c>
      <c r="B873" s="262">
        <v>-0.29</v>
      </c>
      <c r="C873" s="269"/>
      <c r="D873" s="261"/>
      <c r="E873" s="261"/>
      <c r="F873" s="261"/>
      <c r="G873" s="261"/>
      <c r="H873" s="261"/>
      <c r="I873" s="261"/>
      <c r="J873" s="261"/>
    </row>
    <row r="874">
      <c r="A874" s="153" t="s">
        <v>656</v>
      </c>
      <c r="B874" s="264">
        <v>-0.9</v>
      </c>
      <c r="C874" s="206">
        <v>-15.0</v>
      </c>
      <c r="D874" s="261"/>
      <c r="E874" s="261"/>
      <c r="F874" s="261"/>
      <c r="G874" s="261"/>
      <c r="H874" s="261"/>
      <c r="I874" s="261"/>
      <c r="J874" s="261"/>
    </row>
    <row r="875">
      <c r="A875" s="155" t="s">
        <v>671</v>
      </c>
      <c r="B875" s="280"/>
      <c r="C875" s="269"/>
      <c r="D875" s="261"/>
      <c r="E875" s="261"/>
      <c r="F875" s="261"/>
      <c r="G875" s="261"/>
      <c r="H875" s="261"/>
      <c r="I875" s="261"/>
      <c r="J875" s="261"/>
    </row>
    <row r="876">
      <c r="A876" s="153" t="s">
        <v>685</v>
      </c>
      <c r="B876" s="280"/>
      <c r="C876" s="269"/>
      <c r="D876" s="261"/>
      <c r="E876" s="261"/>
      <c r="F876" s="261"/>
      <c r="G876" s="261"/>
      <c r="H876" s="261"/>
      <c r="I876" s="261"/>
      <c r="J876" s="261"/>
    </row>
    <row r="877">
      <c r="A877" s="155" t="s">
        <v>701</v>
      </c>
      <c r="B877" s="280"/>
      <c r="C877" s="269"/>
      <c r="D877" s="261"/>
      <c r="E877" s="261"/>
      <c r="F877" s="261"/>
      <c r="G877" s="261"/>
      <c r="H877" s="261"/>
      <c r="I877" s="261"/>
      <c r="J877" s="261"/>
    </row>
    <row r="878">
      <c r="A878" s="153" t="s">
        <v>720</v>
      </c>
      <c r="B878" s="264">
        <v>0.4</v>
      </c>
      <c r="C878" s="264">
        <v>0.4</v>
      </c>
      <c r="D878" s="261"/>
      <c r="E878" s="261"/>
      <c r="F878" s="261"/>
      <c r="G878" s="261"/>
      <c r="H878" s="261"/>
      <c r="I878" s="261"/>
      <c r="J878" s="261"/>
    </row>
    <row r="879">
      <c r="A879" s="155" t="s">
        <v>738</v>
      </c>
      <c r="B879" s="262">
        <v>0.52</v>
      </c>
      <c r="C879" s="262">
        <v>-0.45</v>
      </c>
      <c r="D879" s="261"/>
      <c r="E879" s="261"/>
      <c r="F879" s="261"/>
      <c r="G879" s="261"/>
      <c r="H879" s="261"/>
      <c r="I879" s="261"/>
      <c r="J879" s="261"/>
    </row>
    <row r="880">
      <c r="A880" s="153" t="s">
        <v>755</v>
      </c>
      <c r="B880" s="264">
        <v>0.3</v>
      </c>
      <c r="C880" s="269"/>
      <c r="D880" s="261"/>
      <c r="E880" s="261"/>
      <c r="F880" s="261"/>
      <c r="G880" s="261"/>
      <c r="H880" s="261"/>
      <c r="I880" s="261"/>
      <c r="J880" s="261"/>
    </row>
    <row r="881">
      <c r="A881" s="155" t="s">
        <v>768</v>
      </c>
      <c r="B881" s="281">
        <v>9.0</v>
      </c>
      <c r="C881" s="269"/>
      <c r="D881" s="261"/>
      <c r="E881" s="261"/>
      <c r="F881" s="261"/>
      <c r="G881" s="261"/>
      <c r="H881" s="261"/>
      <c r="I881" s="261"/>
      <c r="J881" s="261"/>
    </row>
    <row r="882">
      <c r="A882" s="153" t="s">
        <v>776</v>
      </c>
      <c r="B882" s="263">
        <v>0.0526</v>
      </c>
      <c r="C882" s="269"/>
      <c r="D882" s="261"/>
      <c r="E882" s="261"/>
      <c r="F882" s="261"/>
      <c r="G882" s="261"/>
      <c r="H882" s="261"/>
      <c r="I882" s="261"/>
      <c r="J882" s="261"/>
    </row>
    <row r="883">
      <c r="A883" s="155" t="s">
        <v>782</v>
      </c>
      <c r="B883" s="265">
        <v>0.0638</v>
      </c>
      <c r="C883" s="269"/>
      <c r="D883" s="261"/>
      <c r="E883" s="261"/>
      <c r="F883" s="261"/>
      <c r="G883" s="261"/>
      <c r="H883" s="261"/>
      <c r="I883" s="261"/>
      <c r="J883" s="261"/>
    </row>
    <row r="884">
      <c r="A884" s="153" t="s">
        <v>787</v>
      </c>
      <c r="B884" s="280"/>
      <c r="C884" s="269"/>
      <c r="D884" s="261"/>
      <c r="E884" s="261"/>
      <c r="F884" s="261"/>
      <c r="G884" s="261"/>
      <c r="H884" s="261"/>
      <c r="I884" s="261"/>
      <c r="J884" s="261"/>
    </row>
    <row r="885">
      <c r="A885" s="155" t="s">
        <v>792</v>
      </c>
      <c r="B885" s="280"/>
      <c r="C885" s="269"/>
      <c r="D885" s="261"/>
      <c r="E885" s="261"/>
      <c r="F885" s="261"/>
      <c r="G885" s="261"/>
      <c r="H885" s="261"/>
      <c r="I885" s="261"/>
      <c r="J885" s="261"/>
    </row>
    <row r="886">
      <c r="A886" s="153"/>
      <c r="B886" s="280"/>
      <c r="C886" s="269"/>
      <c r="D886" s="261"/>
      <c r="E886" s="261"/>
      <c r="F886" s="261"/>
      <c r="G886" s="261"/>
      <c r="H886" s="261"/>
      <c r="I886" s="261"/>
      <c r="J886" s="261"/>
    </row>
    <row r="887">
      <c r="A887" s="155"/>
      <c r="B887" s="280"/>
      <c r="C887" s="269"/>
      <c r="D887" s="261"/>
      <c r="E887" s="261"/>
      <c r="F887" s="261"/>
      <c r="G887" s="261"/>
      <c r="H887" s="261"/>
      <c r="I887" s="261"/>
      <c r="J887" s="261"/>
    </row>
    <row r="888">
      <c r="A888" s="153"/>
      <c r="B888" s="280"/>
      <c r="C888" s="269"/>
      <c r="D888" s="261"/>
      <c r="E888" s="261"/>
      <c r="F888" s="261"/>
      <c r="G888" s="261"/>
      <c r="H888" s="261"/>
      <c r="I888" s="261"/>
      <c r="J888" s="261"/>
    </row>
    <row r="889">
      <c r="A889" s="155"/>
      <c r="B889" s="280"/>
      <c r="C889" s="269"/>
      <c r="D889" s="261"/>
      <c r="E889" s="261"/>
      <c r="F889" s="261"/>
      <c r="G889" s="261"/>
      <c r="H889" s="261"/>
      <c r="I889" s="261"/>
      <c r="J889" s="261"/>
    </row>
    <row r="890">
      <c r="A890" s="153"/>
      <c r="B890" s="280"/>
      <c r="C890" s="269"/>
      <c r="D890" s="261"/>
      <c r="E890" s="261"/>
      <c r="F890" s="261"/>
      <c r="G890" s="261"/>
      <c r="H890" s="261"/>
      <c r="I890" s="261"/>
      <c r="J890" s="261"/>
    </row>
    <row r="891">
      <c r="A891" s="155"/>
      <c r="B891" s="280"/>
      <c r="C891" s="269"/>
      <c r="D891" s="261"/>
      <c r="E891" s="261"/>
      <c r="F891" s="261"/>
      <c r="G891" s="261"/>
      <c r="H891" s="261"/>
      <c r="I891" s="261"/>
      <c r="J891" s="261"/>
    </row>
    <row r="892">
      <c r="A892" s="153"/>
      <c r="B892" s="280"/>
      <c r="C892" s="269"/>
      <c r="D892" s="261"/>
      <c r="E892" s="261"/>
      <c r="F892" s="261"/>
      <c r="G892" s="261"/>
      <c r="H892" s="261"/>
      <c r="I892" s="261"/>
      <c r="J892" s="261"/>
    </row>
    <row r="893">
      <c r="A893" s="155"/>
      <c r="B893" s="280"/>
      <c r="C893" s="269"/>
      <c r="D893" s="261"/>
      <c r="E893" s="261"/>
      <c r="F893" s="261"/>
      <c r="G893" s="261"/>
      <c r="H893" s="261"/>
      <c r="I893" s="261"/>
      <c r="J893" s="261"/>
    </row>
    <row r="894">
      <c r="A894" s="153"/>
      <c r="B894" s="280"/>
      <c r="C894" s="269"/>
      <c r="D894" s="261"/>
      <c r="E894" s="261"/>
      <c r="F894" s="261"/>
      <c r="G894" s="261"/>
      <c r="H894" s="261"/>
      <c r="I894" s="261"/>
      <c r="J894" s="261"/>
    </row>
    <row r="895">
      <c r="A895" s="155"/>
      <c r="B895" s="280"/>
      <c r="C895" s="269"/>
      <c r="D895" s="261"/>
      <c r="E895" s="261"/>
      <c r="F895" s="261"/>
      <c r="G895" s="261"/>
      <c r="H895" s="261"/>
      <c r="I895" s="261"/>
      <c r="J895" s="261"/>
    </row>
    <row r="896">
      <c r="A896" s="153"/>
      <c r="B896" s="280"/>
      <c r="C896" s="269"/>
      <c r="D896" s="261"/>
      <c r="E896" s="261"/>
      <c r="F896" s="261"/>
      <c r="G896" s="261"/>
      <c r="H896" s="261"/>
      <c r="I896" s="261"/>
      <c r="J896" s="261"/>
    </row>
    <row r="897">
      <c r="A897" s="155"/>
      <c r="B897" s="280"/>
      <c r="C897" s="269"/>
      <c r="D897" s="261"/>
      <c r="E897" s="261"/>
      <c r="F897" s="261"/>
      <c r="G897" s="261"/>
      <c r="H897" s="261"/>
      <c r="I897" s="261"/>
      <c r="J897" s="261"/>
    </row>
    <row r="898">
      <c r="A898" s="153"/>
      <c r="B898" s="280"/>
      <c r="C898" s="269"/>
      <c r="D898" s="261"/>
      <c r="E898" s="261"/>
      <c r="F898" s="261"/>
      <c r="G898" s="261"/>
      <c r="H898" s="261"/>
      <c r="I898" s="261"/>
      <c r="J898" s="261"/>
    </row>
    <row r="899">
      <c r="A899" s="155"/>
      <c r="B899" s="280"/>
      <c r="C899" s="269"/>
      <c r="D899" s="261"/>
      <c r="E899" s="261"/>
      <c r="F899" s="261"/>
      <c r="G899" s="261"/>
      <c r="H899" s="261"/>
      <c r="I899" s="261"/>
      <c r="J899" s="261"/>
    </row>
    <row r="900">
      <c r="A900" s="162"/>
      <c r="B900" s="280"/>
      <c r="C900" s="269"/>
      <c r="D900" s="261"/>
      <c r="E900" s="261"/>
      <c r="F900" s="261"/>
      <c r="G900" s="261"/>
      <c r="H900" s="261"/>
      <c r="I900" s="261"/>
      <c r="J900" s="261"/>
    </row>
    <row r="901">
      <c r="A901" s="150" t="str">
        <f t="array" ref="A901:A950">'Up Names'!S2:S51</f>
        <v>Upside Down</v>
      </c>
      <c r="B901" s="281">
        <v>0.0</v>
      </c>
      <c r="C901" s="208">
        <v>0.0</v>
      </c>
      <c r="D901" s="262">
        <v>3.0</v>
      </c>
      <c r="E901" s="261"/>
      <c r="F901" s="261"/>
      <c r="G901" s="261"/>
      <c r="H901" s="261"/>
      <c r="I901" s="261"/>
      <c r="J901" s="261"/>
    </row>
    <row r="902">
      <c r="A902" s="153" t="s">
        <v>168</v>
      </c>
      <c r="B902" s="276">
        <v>11.0</v>
      </c>
      <c r="C902" s="269"/>
      <c r="D902" s="261"/>
      <c r="E902" s="261"/>
      <c r="F902" s="261"/>
      <c r="G902" s="261"/>
      <c r="H902" s="261"/>
      <c r="I902" s="261"/>
      <c r="J902" s="261"/>
    </row>
    <row r="903">
      <c r="A903" s="155" t="s">
        <v>188</v>
      </c>
      <c r="B903" s="281">
        <v>37.5</v>
      </c>
      <c r="C903" s="262">
        <v>0.23</v>
      </c>
      <c r="D903" s="261"/>
      <c r="E903" s="261"/>
      <c r="F903" s="261"/>
      <c r="G903" s="261"/>
      <c r="H903" s="261"/>
      <c r="I903" s="261"/>
      <c r="J903" s="261"/>
    </row>
    <row r="904">
      <c r="A904" s="153" t="s">
        <v>208</v>
      </c>
      <c r="B904" s="276">
        <v>1.0</v>
      </c>
      <c r="C904" s="263">
        <v>-0.0826</v>
      </c>
      <c r="D904" s="205">
        <v>1.0</v>
      </c>
      <c r="E904" s="261"/>
      <c r="F904" s="261"/>
      <c r="G904" s="261"/>
      <c r="H904" s="261"/>
      <c r="I904" s="261"/>
      <c r="J904" s="261"/>
    </row>
    <row r="905">
      <c r="A905" s="155" t="s">
        <v>227</v>
      </c>
      <c r="B905" s="280"/>
      <c r="C905" s="269"/>
      <c r="D905" s="261"/>
      <c r="E905" s="261"/>
      <c r="F905" s="261"/>
      <c r="G905" s="261"/>
      <c r="H905" s="261"/>
      <c r="I905" s="261"/>
      <c r="J905" s="261"/>
    </row>
    <row r="906">
      <c r="A906" s="153" t="s">
        <v>247</v>
      </c>
      <c r="B906" s="276">
        <v>30.0</v>
      </c>
      <c r="C906" s="206">
        <v>5.0</v>
      </c>
      <c r="D906" s="205">
        <v>12.5</v>
      </c>
      <c r="E906" s="264">
        <v>0.96</v>
      </c>
      <c r="F906" s="264">
        <v>-0.56</v>
      </c>
      <c r="G906" s="261"/>
      <c r="H906" s="261"/>
      <c r="I906" s="261"/>
      <c r="J906" s="261"/>
    </row>
    <row r="907">
      <c r="A907" s="155" t="s">
        <v>267</v>
      </c>
      <c r="B907" s="281">
        <v>8.54</v>
      </c>
      <c r="C907" s="262" t="s">
        <v>2313</v>
      </c>
      <c r="D907" s="261"/>
      <c r="E907" s="261"/>
      <c r="F907" s="261"/>
      <c r="G907" s="261"/>
      <c r="H907" s="261"/>
      <c r="I907" s="261"/>
      <c r="J907" s="261"/>
    </row>
    <row r="908">
      <c r="A908" s="153" t="s">
        <v>287</v>
      </c>
      <c r="B908" s="264">
        <v>-0.76</v>
      </c>
      <c r="C908" s="264" t="s">
        <v>2313</v>
      </c>
      <c r="D908" s="261"/>
      <c r="E908" s="261"/>
      <c r="F908" s="261"/>
      <c r="G908" s="261"/>
      <c r="H908" s="261"/>
      <c r="I908" s="261"/>
      <c r="J908" s="261"/>
    </row>
    <row r="909">
      <c r="A909" s="155" t="s">
        <v>307</v>
      </c>
      <c r="B909" s="281">
        <v>0.22</v>
      </c>
      <c r="C909" s="208">
        <v>1.2</v>
      </c>
      <c r="D909" s="261"/>
      <c r="E909" s="261"/>
      <c r="F909" s="261"/>
      <c r="G909" s="261"/>
      <c r="H909" s="261"/>
      <c r="I909" s="261"/>
      <c r="J909" s="261"/>
    </row>
    <row r="910">
      <c r="A910" s="153" t="s">
        <v>327</v>
      </c>
      <c r="B910" s="276">
        <v>0.61</v>
      </c>
      <c r="C910" s="269"/>
      <c r="D910" s="261"/>
      <c r="E910" s="261"/>
      <c r="F910" s="261"/>
      <c r="G910" s="261"/>
      <c r="H910" s="261"/>
      <c r="I910" s="261"/>
      <c r="J910" s="261"/>
    </row>
    <row r="911">
      <c r="A911" s="155" t="s">
        <v>347</v>
      </c>
      <c r="B911" s="262">
        <v>0.85</v>
      </c>
      <c r="C911" s="262" t="s">
        <v>2313</v>
      </c>
      <c r="D911" s="261"/>
      <c r="E911" s="261"/>
      <c r="F911" s="261"/>
      <c r="G911" s="261"/>
      <c r="H911" s="261"/>
      <c r="I911" s="261"/>
      <c r="J911" s="261"/>
    </row>
    <row r="912">
      <c r="A912" s="153" t="s">
        <v>367</v>
      </c>
      <c r="B912" s="276">
        <v>0.61</v>
      </c>
      <c r="C912" s="269"/>
      <c r="D912" s="261"/>
      <c r="E912" s="261"/>
      <c r="F912" s="261"/>
      <c r="G912" s="261"/>
      <c r="H912" s="261"/>
      <c r="I912" s="261"/>
      <c r="J912" s="261"/>
    </row>
    <row r="913">
      <c r="A913" s="155" t="s">
        <v>392</v>
      </c>
      <c r="B913" s="262">
        <v>-0.76</v>
      </c>
      <c r="C913" s="208">
        <v>21.0</v>
      </c>
      <c r="D913" s="261"/>
      <c r="E913" s="261"/>
      <c r="F913" s="261"/>
      <c r="G913" s="261"/>
      <c r="H913" s="261"/>
      <c r="I913" s="261"/>
      <c r="J913" s="261"/>
    </row>
    <row r="914">
      <c r="A914" s="153" t="s">
        <v>420</v>
      </c>
      <c r="B914" s="276">
        <v>7.0</v>
      </c>
      <c r="C914" s="269"/>
      <c r="D914" s="261"/>
      <c r="E914" s="261"/>
      <c r="F914" s="261"/>
      <c r="G914" s="261"/>
      <c r="H914" s="261"/>
      <c r="I914" s="261"/>
      <c r="J914" s="261"/>
    </row>
    <row r="915">
      <c r="A915" s="155" t="s">
        <v>448</v>
      </c>
      <c r="B915" s="281">
        <v>5.0</v>
      </c>
      <c r="C915" s="208">
        <v>4.0</v>
      </c>
      <c r="D915" s="204">
        <v>11.96</v>
      </c>
      <c r="E915" s="261"/>
      <c r="F915" s="261"/>
      <c r="G915" s="261"/>
      <c r="H915" s="261"/>
      <c r="I915" s="261"/>
      <c r="J915" s="261"/>
    </row>
    <row r="916">
      <c r="A916" s="153" t="s">
        <v>476</v>
      </c>
      <c r="B916" s="276">
        <v>310.0</v>
      </c>
      <c r="C916" s="269"/>
      <c r="D916" s="261"/>
      <c r="E916" s="261"/>
      <c r="F916" s="261"/>
      <c r="G916" s="261"/>
      <c r="H916" s="261"/>
      <c r="I916" s="261"/>
      <c r="J916" s="261"/>
    </row>
    <row r="917">
      <c r="A917" s="155" t="s">
        <v>505</v>
      </c>
      <c r="B917" s="281">
        <v>7.5</v>
      </c>
      <c r="C917" s="269"/>
      <c r="D917" s="261"/>
      <c r="E917" s="261"/>
      <c r="F917" s="261"/>
      <c r="G917" s="261"/>
      <c r="H917" s="261"/>
      <c r="I917" s="261"/>
      <c r="J917" s="261"/>
    </row>
    <row r="918">
      <c r="A918" s="153" t="s">
        <v>526</v>
      </c>
      <c r="B918" s="264">
        <v>3.0</v>
      </c>
      <c r="C918" s="264">
        <v>-0.67</v>
      </c>
      <c r="D918" s="261"/>
      <c r="E918" s="261"/>
      <c r="F918" s="261"/>
      <c r="G918" s="261"/>
      <c r="H918" s="261"/>
      <c r="I918" s="261"/>
      <c r="J918" s="261"/>
    </row>
    <row r="919">
      <c r="A919" s="155" t="s">
        <v>545</v>
      </c>
      <c r="B919" s="281">
        <v>30.0</v>
      </c>
      <c r="C919" s="269"/>
      <c r="D919" s="261"/>
      <c r="E919" s="261"/>
      <c r="F919" s="261"/>
      <c r="G919" s="261"/>
      <c r="H919" s="261"/>
      <c r="I919" s="261"/>
      <c r="J919" s="261"/>
    </row>
    <row r="920">
      <c r="A920" s="153" t="s">
        <v>566</v>
      </c>
      <c r="B920" s="280"/>
      <c r="C920" s="269"/>
      <c r="D920" s="261"/>
      <c r="E920" s="261"/>
      <c r="F920" s="261"/>
      <c r="G920" s="261"/>
      <c r="H920" s="261"/>
      <c r="I920" s="261"/>
      <c r="J920" s="261"/>
    </row>
    <row r="921">
      <c r="A921" s="155" t="s">
        <v>589</v>
      </c>
      <c r="B921" s="281">
        <v>15.0</v>
      </c>
      <c r="C921" s="262" t="s">
        <v>2313</v>
      </c>
      <c r="D921" s="261"/>
      <c r="E921" s="261"/>
      <c r="F921" s="261"/>
      <c r="G921" s="261"/>
      <c r="H921" s="261"/>
      <c r="I921" s="261"/>
      <c r="J921" s="261"/>
    </row>
    <row r="922">
      <c r="A922" s="153" t="s">
        <v>611</v>
      </c>
      <c r="B922" s="264">
        <v>9.0</v>
      </c>
      <c r="C922" s="269"/>
      <c r="D922" s="261"/>
      <c r="E922" s="261"/>
      <c r="F922" s="261"/>
      <c r="G922" s="261"/>
      <c r="H922" s="261"/>
      <c r="I922" s="261"/>
      <c r="J922" s="261"/>
    </row>
    <row r="923">
      <c r="A923" s="155" t="s">
        <v>634</v>
      </c>
      <c r="B923" s="281">
        <v>30.0</v>
      </c>
      <c r="C923" s="269"/>
      <c r="D923" s="261"/>
      <c r="E923" s="261"/>
      <c r="F923" s="261"/>
      <c r="G923" s="261"/>
      <c r="H923" s="261"/>
      <c r="I923" s="261"/>
      <c r="J923" s="261"/>
    </row>
    <row r="924">
      <c r="A924" s="153" t="s">
        <v>657</v>
      </c>
      <c r="B924" s="264">
        <v>-0.8</v>
      </c>
      <c r="C924" s="269"/>
      <c r="D924" s="261"/>
      <c r="E924" s="261"/>
      <c r="F924" s="261"/>
      <c r="G924" s="261"/>
      <c r="H924" s="261"/>
      <c r="I924" s="261"/>
      <c r="J924" s="261"/>
    </row>
    <row r="925">
      <c r="A925" s="155" t="s">
        <v>672</v>
      </c>
      <c r="B925" s="262">
        <v>0.33</v>
      </c>
      <c r="C925" s="262">
        <v>4.2</v>
      </c>
      <c r="D925" s="261"/>
      <c r="E925" s="261"/>
      <c r="F925" s="261"/>
      <c r="G925" s="261"/>
      <c r="H925" s="261"/>
      <c r="I925" s="261"/>
      <c r="J925" s="261"/>
    </row>
    <row r="926">
      <c r="A926" s="153" t="s">
        <v>686</v>
      </c>
      <c r="B926" s="263">
        <v>0.1111</v>
      </c>
      <c r="C926" s="269"/>
      <c r="D926" s="261"/>
      <c r="E926" s="261"/>
      <c r="F926" s="261"/>
      <c r="G926" s="261"/>
      <c r="H926" s="261"/>
      <c r="I926" s="261"/>
      <c r="J926" s="261"/>
    </row>
    <row r="927">
      <c r="A927" s="155" t="s">
        <v>702</v>
      </c>
      <c r="B927" s="262">
        <v>0.41</v>
      </c>
      <c r="C927" s="269"/>
      <c r="D927" s="261"/>
      <c r="E927" s="261"/>
      <c r="F927" s="261"/>
      <c r="G927" s="261"/>
      <c r="H927" s="261"/>
      <c r="I927" s="261"/>
      <c r="J927" s="261"/>
    </row>
    <row r="928">
      <c r="A928" s="153" t="s">
        <v>721</v>
      </c>
      <c r="B928" s="276">
        <v>6.0</v>
      </c>
      <c r="C928" s="269"/>
      <c r="D928" s="261"/>
      <c r="E928" s="261"/>
      <c r="F928" s="261"/>
      <c r="G928" s="261"/>
      <c r="H928" s="261"/>
      <c r="I928" s="261"/>
      <c r="J928" s="261"/>
    </row>
    <row r="929">
      <c r="A929" s="155" t="s">
        <v>739</v>
      </c>
      <c r="B929" s="265">
        <v>0.0638</v>
      </c>
      <c r="C929" s="269"/>
      <c r="D929" s="261"/>
      <c r="E929" s="261"/>
      <c r="F929" s="261"/>
      <c r="G929" s="261"/>
      <c r="H929" s="261"/>
      <c r="I929" s="261"/>
      <c r="J929" s="261"/>
    </row>
    <row r="930">
      <c r="A930" s="153" t="s">
        <v>757</v>
      </c>
      <c r="B930" s="264">
        <v>0.15</v>
      </c>
      <c r="C930" s="269"/>
      <c r="D930" s="261"/>
      <c r="E930" s="261"/>
      <c r="F930" s="261"/>
      <c r="G930" s="261"/>
      <c r="H930" s="261"/>
      <c r="I930" s="261"/>
      <c r="J930" s="261"/>
    </row>
    <row r="931">
      <c r="A931" s="155" t="s">
        <v>769</v>
      </c>
      <c r="B931" s="262">
        <v>0.27</v>
      </c>
      <c r="C931" s="269"/>
      <c r="D931" s="261"/>
      <c r="E931" s="261"/>
      <c r="F931" s="261"/>
      <c r="G931" s="261"/>
      <c r="H931" s="261"/>
      <c r="I931" s="261"/>
      <c r="J931" s="261"/>
    </row>
    <row r="932">
      <c r="A932" s="153" t="s">
        <v>777</v>
      </c>
      <c r="B932" s="264">
        <v>0.22</v>
      </c>
      <c r="C932" s="269"/>
      <c r="D932" s="261"/>
      <c r="E932" s="261"/>
      <c r="F932" s="261"/>
      <c r="G932" s="261"/>
      <c r="H932" s="261"/>
      <c r="I932" s="261"/>
      <c r="J932" s="261"/>
    </row>
    <row r="933">
      <c r="A933" s="155" t="s">
        <v>783</v>
      </c>
      <c r="B933" s="262">
        <v>0.3</v>
      </c>
      <c r="C933" s="269"/>
      <c r="D933" s="261"/>
      <c r="E933" s="261"/>
      <c r="F933" s="261"/>
      <c r="G933" s="261"/>
      <c r="H933" s="261"/>
      <c r="I933" s="261"/>
      <c r="J933" s="261"/>
    </row>
    <row r="934">
      <c r="A934" s="153" t="s">
        <v>788</v>
      </c>
      <c r="B934" s="280"/>
      <c r="C934" s="269"/>
      <c r="D934" s="261"/>
      <c r="E934" s="261"/>
      <c r="F934" s="261"/>
      <c r="G934" s="261"/>
      <c r="H934" s="261"/>
      <c r="I934" s="261"/>
      <c r="J934" s="261"/>
    </row>
    <row r="935">
      <c r="A935" s="155" t="s">
        <v>793</v>
      </c>
      <c r="B935" s="280"/>
      <c r="C935" s="269"/>
      <c r="D935" s="261"/>
      <c r="E935" s="261"/>
      <c r="F935" s="261"/>
      <c r="G935" s="261"/>
      <c r="H935" s="261"/>
      <c r="I935" s="261"/>
      <c r="J935" s="261"/>
    </row>
    <row r="936">
      <c r="A936" s="153"/>
      <c r="B936" s="280"/>
      <c r="C936" s="269"/>
      <c r="D936" s="261"/>
      <c r="E936" s="261"/>
      <c r="F936" s="261"/>
      <c r="G936" s="261"/>
      <c r="H936" s="261"/>
      <c r="I936" s="261"/>
      <c r="J936" s="261"/>
    </row>
    <row r="937">
      <c r="A937" s="155"/>
      <c r="B937" s="280"/>
      <c r="C937" s="269"/>
      <c r="D937" s="261"/>
      <c r="E937" s="261"/>
      <c r="F937" s="261"/>
      <c r="G937" s="261"/>
      <c r="H937" s="261"/>
      <c r="I937" s="261"/>
      <c r="J937" s="261"/>
    </row>
    <row r="938">
      <c r="A938" s="153"/>
      <c r="B938" s="280"/>
      <c r="C938" s="269"/>
      <c r="D938" s="261"/>
      <c r="E938" s="261"/>
      <c r="F938" s="261"/>
      <c r="G938" s="261"/>
      <c r="H938" s="261"/>
      <c r="I938" s="261"/>
      <c r="J938" s="261"/>
    </row>
    <row r="939">
      <c r="A939" s="155"/>
      <c r="B939" s="280"/>
      <c r="C939" s="269"/>
      <c r="D939" s="261"/>
      <c r="E939" s="261"/>
      <c r="F939" s="261"/>
      <c r="G939" s="261"/>
      <c r="H939" s="261"/>
      <c r="I939" s="261"/>
      <c r="J939" s="261"/>
    </row>
    <row r="940">
      <c r="A940" s="153"/>
      <c r="B940" s="280"/>
      <c r="C940" s="269"/>
      <c r="D940" s="261"/>
      <c r="E940" s="261"/>
      <c r="F940" s="261"/>
      <c r="G940" s="261"/>
      <c r="H940" s="261"/>
      <c r="I940" s="261"/>
      <c r="J940" s="261"/>
    </row>
    <row r="941">
      <c r="A941" s="155"/>
      <c r="B941" s="280"/>
      <c r="C941" s="269"/>
      <c r="D941" s="261"/>
      <c r="E941" s="261"/>
      <c r="F941" s="261"/>
      <c r="G941" s="261"/>
      <c r="H941" s="261"/>
      <c r="I941" s="261"/>
      <c r="J941" s="261"/>
    </row>
    <row r="942">
      <c r="A942" s="153"/>
      <c r="B942" s="280"/>
      <c r="C942" s="269"/>
      <c r="D942" s="261"/>
      <c r="E942" s="261"/>
      <c r="F942" s="261"/>
      <c r="G942" s="261"/>
      <c r="H942" s="261"/>
      <c r="I942" s="261"/>
      <c r="J942" s="261"/>
    </row>
    <row r="943">
      <c r="A943" s="155"/>
      <c r="B943" s="280"/>
      <c r="C943" s="269"/>
      <c r="D943" s="261"/>
      <c r="E943" s="261"/>
      <c r="F943" s="261"/>
      <c r="G943" s="261"/>
      <c r="H943" s="261"/>
      <c r="I943" s="261"/>
      <c r="J943" s="261"/>
    </row>
    <row r="944">
      <c r="A944" s="153"/>
      <c r="B944" s="280"/>
      <c r="C944" s="269"/>
      <c r="D944" s="261"/>
      <c r="E944" s="261"/>
      <c r="F944" s="261"/>
      <c r="G944" s="261"/>
      <c r="H944" s="261"/>
      <c r="I944" s="261"/>
      <c r="J944" s="261"/>
    </row>
    <row r="945">
      <c r="A945" s="155"/>
      <c r="B945" s="280"/>
      <c r="C945" s="269"/>
      <c r="D945" s="261"/>
      <c r="E945" s="261"/>
      <c r="F945" s="261"/>
      <c r="G945" s="261"/>
      <c r="H945" s="261"/>
      <c r="I945" s="261"/>
      <c r="J945" s="261"/>
    </row>
    <row r="946">
      <c r="A946" s="153"/>
      <c r="B946" s="280"/>
      <c r="C946" s="269"/>
      <c r="D946" s="261"/>
      <c r="E946" s="261"/>
      <c r="F946" s="261"/>
      <c r="G946" s="261"/>
      <c r="H946" s="261"/>
      <c r="I946" s="261"/>
      <c r="J946" s="261"/>
    </row>
    <row r="947">
      <c r="A947" s="155"/>
      <c r="B947" s="280"/>
      <c r="C947" s="269"/>
      <c r="D947" s="261"/>
      <c r="E947" s="261"/>
      <c r="F947" s="261"/>
      <c r="G947" s="261"/>
      <c r="H947" s="261"/>
      <c r="I947" s="261"/>
      <c r="J947" s="261"/>
    </row>
    <row r="948">
      <c r="A948" s="153"/>
      <c r="B948" s="280"/>
      <c r="C948" s="269"/>
      <c r="D948" s="261"/>
      <c r="E948" s="261"/>
      <c r="F948" s="261"/>
      <c r="G948" s="261"/>
      <c r="H948" s="261"/>
      <c r="I948" s="261"/>
      <c r="J948" s="261"/>
    </row>
    <row r="949">
      <c r="A949" s="155"/>
      <c r="B949" s="280"/>
      <c r="C949" s="269"/>
      <c r="D949" s="261"/>
      <c r="E949" s="261"/>
      <c r="F949" s="261"/>
      <c r="G949" s="261"/>
      <c r="H949" s="261"/>
      <c r="I949" s="261"/>
      <c r="J949" s="261"/>
    </row>
    <row r="950">
      <c r="A950" s="162"/>
      <c r="B950" s="280"/>
      <c r="C950" s="269"/>
      <c r="D950" s="261"/>
      <c r="E950" s="261"/>
      <c r="F950" s="261"/>
      <c r="G950" s="261"/>
      <c r="H950" s="261"/>
      <c r="I950" s="261"/>
      <c r="J950" s="261"/>
    </row>
    <row r="951">
      <c r="A951" s="150" t="str">
        <f t="array" ref="A951:A1000">'Up Names'!T2:T51</f>
        <v>Attrition Supply</v>
      </c>
      <c r="B951" s="262">
        <v>9.2</v>
      </c>
      <c r="C951" s="272">
        <v>-0.875</v>
      </c>
      <c r="D951" s="261"/>
      <c r="E951" s="261"/>
      <c r="F951" s="261"/>
      <c r="G951" s="261"/>
      <c r="H951" s="261"/>
      <c r="I951" s="261"/>
      <c r="J951" s="261"/>
    </row>
    <row r="952">
      <c r="A952" s="153" t="s">
        <v>169</v>
      </c>
      <c r="B952" s="276">
        <v>0.15</v>
      </c>
      <c r="C952" s="269"/>
      <c r="D952" s="261"/>
      <c r="E952" s="261"/>
      <c r="F952" s="261"/>
      <c r="G952" s="261"/>
      <c r="H952" s="261"/>
      <c r="I952" s="261"/>
      <c r="J952" s="261"/>
    </row>
    <row r="953">
      <c r="A953" s="155" t="s">
        <v>189</v>
      </c>
      <c r="B953" s="281">
        <v>75.0</v>
      </c>
      <c r="C953" s="208">
        <v>24.0</v>
      </c>
      <c r="D953" s="204">
        <v>400.0</v>
      </c>
      <c r="E953" s="261"/>
      <c r="F953" s="261"/>
      <c r="G953" s="261"/>
      <c r="H953" s="261"/>
      <c r="I953" s="261"/>
      <c r="J953" s="261"/>
    </row>
    <row r="954">
      <c r="A954" s="153" t="s">
        <v>209</v>
      </c>
      <c r="B954" s="276">
        <v>40.0</v>
      </c>
      <c r="C954" s="206">
        <v>3.0</v>
      </c>
      <c r="D954" s="264">
        <v>-0.1</v>
      </c>
      <c r="E954" s="261"/>
      <c r="F954" s="261"/>
      <c r="G954" s="261"/>
      <c r="H954" s="261"/>
      <c r="I954" s="261"/>
      <c r="J954" s="261"/>
    </row>
    <row r="955">
      <c r="A955" s="155" t="s">
        <v>228</v>
      </c>
      <c r="B955" s="281">
        <v>18.0</v>
      </c>
      <c r="C955" s="262">
        <v>1.0</v>
      </c>
      <c r="D955" s="265">
        <v>1.7027</v>
      </c>
      <c r="E955" s="204">
        <v>15.0</v>
      </c>
      <c r="F955" s="262">
        <v>-0.67</v>
      </c>
      <c r="G955" s="262">
        <v>-0.4</v>
      </c>
      <c r="H955" s="262">
        <v>-0.4</v>
      </c>
      <c r="I955" s="265">
        <v>-0.7059</v>
      </c>
      <c r="J955" s="262">
        <v>-0.64</v>
      </c>
    </row>
    <row r="956">
      <c r="A956" s="153" t="s">
        <v>248</v>
      </c>
      <c r="B956" s="276">
        <v>12.0</v>
      </c>
      <c r="C956" s="269"/>
      <c r="D956" s="261"/>
      <c r="E956" s="261"/>
      <c r="F956" s="261"/>
      <c r="G956" s="261"/>
      <c r="H956" s="261"/>
      <c r="I956" s="261"/>
      <c r="J956" s="261"/>
    </row>
    <row r="957">
      <c r="A957" s="155" t="s">
        <v>268</v>
      </c>
      <c r="B957" s="281">
        <v>2.9</v>
      </c>
      <c r="C957" s="262">
        <v>1.1</v>
      </c>
      <c r="D957" s="204">
        <v>3.16</v>
      </c>
      <c r="E957" s="261"/>
      <c r="F957" s="261"/>
      <c r="G957" s="261"/>
      <c r="H957" s="261"/>
      <c r="I957" s="261"/>
      <c r="J957" s="261"/>
    </row>
    <row r="958">
      <c r="A958" s="153" t="s">
        <v>288</v>
      </c>
      <c r="B958" s="264">
        <v>1.0</v>
      </c>
      <c r="C958" s="269"/>
      <c r="D958" s="261"/>
      <c r="E958" s="261"/>
      <c r="F958" s="261"/>
      <c r="G958" s="261"/>
      <c r="H958" s="261"/>
      <c r="I958" s="261"/>
      <c r="J958" s="261"/>
    </row>
    <row r="959">
      <c r="A959" s="155" t="s">
        <v>308</v>
      </c>
      <c r="B959" s="262">
        <v>0.65</v>
      </c>
      <c r="C959" s="269"/>
      <c r="D959" s="261"/>
      <c r="E959" s="261"/>
      <c r="F959" s="261"/>
      <c r="G959" s="261"/>
      <c r="H959" s="261"/>
      <c r="I959" s="261"/>
      <c r="J959" s="261"/>
    </row>
    <row r="960">
      <c r="A960" s="153" t="s">
        <v>328</v>
      </c>
      <c r="B960" s="276">
        <v>2.6</v>
      </c>
      <c r="C960" s="263">
        <v>8.0909</v>
      </c>
      <c r="D960" s="261"/>
      <c r="E960" s="261"/>
      <c r="F960" s="261"/>
      <c r="G960" s="261"/>
      <c r="H960" s="261"/>
      <c r="I960" s="261"/>
      <c r="J960" s="261"/>
    </row>
    <row r="961">
      <c r="A961" s="155" t="s">
        <v>348</v>
      </c>
      <c r="B961" s="281">
        <v>32.0</v>
      </c>
      <c r="C961" s="269"/>
      <c r="D961" s="261"/>
      <c r="E961" s="261"/>
      <c r="F961" s="261"/>
      <c r="G961" s="261"/>
      <c r="H961" s="261"/>
      <c r="I961" s="261"/>
      <c r="J961" s="261"/>
    </row>
    <row r="962">
      <c r="A962" s="153" t="s">
        <v>368</v>
      </c>
      <c r="B962" s="276">
        <v>0.13</v>
      </c>
      <c r="C962" s="269"/>
      <c r="D962" s="261"/>
      <c r="E962" s="261"/>
      <c r="F962" s="261"/>
      <c r="G962" s="261"/>
      <c r="H962" s="261"/>
      <c r="I962" s="261"/>
      <c r="J962" s="261"/>
    </row>
    <row r="963">
      <c r="A963" s="155" t="s">
        <v>393</v>
      </c>
      <c r="B963" s="265">
        <v>0.8868</v>
      </c>
      <c r="C963" s="269"/>
      <c r="D963" s="261"/>
      <c r="E963" s="261"/>
      <c r="F963" s="261"/>
      <c r="G963" s="261"/>
      <c r="H963" s="261"/>
      <c r="I963" s="261"/>
      <c r="J963" s="261"/>
    </row>
    <row r="964">
      <c r="A964" s="153" t="s">
        <v>422</v>
      </c>
      <c r="B964" s="263">
        <v>0.175</v>
      </c>
      <c r="C964" s="269"/>
      <c r="D964" s="261"/>
      <c r="E964" s="261"/>
      <c r="F964" s="261"/>
      <c r="G964" s="261"/>
      <c r="H964" s="261"/>
      <c r="I964" s="261"/>
      <c r="J964" s="261"/>
    </row>
    <row r="965">
      <c r="A965" s="155" t="s">
        <v>450</v>
      </c>
      <c r="B965" s="265">
        <v>0.6667</v>
      </c>
      <c r="C965" s="269"/>
      <c r="D965" s="261"/>
      <c r="E965" s="261"/>
      <c r="F965" s="261"/>
      <c r="G965" s="261"/>
      <c r="H965" s="261"/>
      <c r="I965" s="261"/>
      <c r="J965" s="261"/>
    </row>
    <row r="966">
      <c r="A966" s="153" t="s">
        <v>478</v>
      </c>
      <c r="B966" s="264">
        <v>0.47</v>
      </c>
      <c r="C966" s="269"/>
      <c r="D966" s="261"/>
      <c r="E966" s="261"/>
      <c r="F966" s="261"/>
      <c r="G966" s="261"/>
      <c r="H966" s="261"/>
      <c r="I966" s="261"/>
      <c r="J966" s="261"/>
    </row>
    <row r="967">
      <c r="A967" s="155" t="s">
        <v>506</v>
      </c>
      <c r="B967" s="281">
        <v>12.0</v>
      </c>
      <c r="C967" s="269"/>
      <c r="D967" s="261"/>
      <c r="E967" s="261"/>
      <c r="F967" s="261"/>
      <c r="G967" s="261"/>
      <c r="H967" s="261"/>
      <c r="I967" s="261"/>
      <c r="J967" s="261"/>
    </row>
    <row r="968">
      <c r="A968" s="153" t="s">
        <v>527</v>
      </c>
      <c r="B968" s="276">
        <v>7.0</v>
      </c>
      <c r="C968" s="269"/>
      <c r="D968" s="261"/>
      <c r="E968" s="261"/>
      <c r="F968" s="261"/>
      <c r="G968" s="261"/>
      <c r="H968" s="261"/>
      <c r="I968" s="261"/>
      <c r="J968" s="261"/>
    </row>
    <row r="969">
      <c r="A969" s="155" t="s">
        <v>546</v>
      </c>
      <c r="B969" s="281" t="s">
        <v>2313</v>
      </c>
      <c r="C969" s="208">
        <v>10.0</v>
      </c>
      <c r="D969" s="261"/>
      <c r="E969" s="261"/>
      <c r="F969" s="261"/>
      <c r="G969" s="261"/>
      <c r="H969" s="261"/>
      <c r="I969" s="261"/>
      <c r="J969" s="261"/>
    </row>
    <row r="970">
      <c r="A970" s="153" t="s">
        <v>568</v>
      </c>
      <c r="B970" s="276">
        <v>20.0</v>
      </c>
      <c r="C970" s="269"/>
      <c r="D970" s="261"/>
      <c r="E970" s="261"/>
      <c r="F970" s="261"/>
      <c r="G970" s="261"/>
      <c r="H970" s="261"/>
      <c r="I970" s="261"/>
      <c r="J970" s="261"/>
    </row>
    <row r="971">
      <c r="A971" s="155" t="s">
        <v>590</v>
      </c>
      <c r="B971" s="262">
        <v>0.15</v>
      </c>
      <c r="C971" s="269"/>
      <c r="D971" s="261"/>
      <c r="E971" s="261"/>
      <c r="F971" s="261"/>
      <c r="G971" s="261"/>
      <c r="H971" s="261"/>
      <c r="I971" s="261"/>
      <c r="J971" s="261"/>
    </row>
    <row r="972">
      <c r="A972" s="153" t="s">
        <v>612</v>
      </c>
      <c r="B972" s="264">
        <v>-0.77</v>
      </c>
      <c r="C972" s="269"/>
      <c r="D972" s="261"/>
      <c r="E972" s="261"/>
      <c r="F972" s="261"/>
      <c r="G972" s="261"/>
      <c r="H972" s="261"/>
      <c r="I972" s="261"/>
      <c r="J972" s="261"/>
    </row>
    <row r="973">
      <c r="A973" s="155" t="s">
        <v>636</v>
      </c>
      <c r="B973" s="280"/>
      <c r="C973" s="269"/>
      <c r="D973" s="261"/>
      <c r="E973" s="261"/>
      <c r="F973" s="261"/>
      <c r="G973" s="261"/>
      <c r="H973" s="261"/>
      <c r="I973" s="261"/>
      <c r="J973" s="261"/>
    </row>
    <row r="974">
      <c r="A974" s="153" t="s">
        <v>658</v>
      </c>
      <c r="B974" s="264">
        <v>0.52</v>
      </c>
      <c r="C974" s="269"/>
      <c r="D974" s="261"/>
      <c r="E974" s="261"/>
      <c r="F974" s="261"/>
      <c r="G974" s="261"/>
      <c r="H974" s="261"/>
      <c r="I974" s="261"/>
      <c r="J974" s="261"/>
    </row>
    <row r="975">
      <c r="A975" s="155" t="s">
        <v>673</v>
      </c>
      <c r="B975" s="280"/>
      <c r="C975" s="269"/>
      <c r="D975" s="261"/>
      <c r="E975" s="261"/>
      <c r="F975" s="261"/>
      <c r="G975" s="261"/>
      <c r="H975" s="261"/>
      <c r="I975" s="261"/>
      <c r="J975" s="261"/>
    </row>
    <row r="976">
      <c r="A976" s="153" t="s">
        <v>687</v>
      </c>
      <c r="B976" s="264">
        <v>4.2</v>
      </c>
      <c r="C976" s="206">
        <v>0.0</v>
      </c>
      <c r="D976" s="261"/>
      <c r="E976" s="261"/>
      <c r="F976" s="261"/>
      <c r="G976" s="261"/>
      <c r="H976" s="261"/>
      <c r="I976" s="261"/>
      <c r="J976" s="261"/>
    </row>
    <row r="977">
      <c r="A977" s="155" t="s">
        <v>703</v>
      </c>
      <c r="B977" s="281">
        <v>3.0</v>
      </c>
      <c r="C977" s="262">
        <v>-0.42</v>
      </c>
      <c r="D977" s="261"/>
      <c r="E977" s="261"/>
      <c r="F977" s="261"/>
      <c r="G977" s="261"/>
      <c r="H977" s="261"/>
      <c r="I977" s="261"/>
      <c r="J977" s="261"/>
    </row>
    <row r="978">
      <c r="A978" s="153" t="s">
        <v>722</v>
      </c>
      <c r="B978" s="264">
        <v>0.45</v>
      </c>
      <c r="C978" s="263">
        <v>-0.2958</v>
      </c>
      <c r="D978" s="261"/>
      <c r="E978" s="261"/>
      <c r="F978" s="261"/>
      <c r="G978" s="261"/>
      <c r="H978" s="261"/>
      <c r="I978" s="261"/>
      <c r="J978" s="261"/>
    </row>
    <row r="979">
      <c r="A979" s="155" t="s">
        <v>741</v>
      </c>
      <c r="B979" s="281">
        <v>1.0</v>
      </c>
      <c r="C979" s="262">
        <v>-0.15</v>
      </c>
      <c r="D979" s="261"/>
      <c r="E979" s="261"/>
      <c r="F979" s="261"/>
      <c r="G979" s="261"/>
      <c r="H979" s="261"/>
      <c r="I979" s="261"/>
      <c r="J979" s="261"/>
    </row>
    <row r="980">
      <c r="A980" s="153" t="s">
        <v>758</v>
      </c>
      <c r="B980" s="267">
        <v>0.087</v>
      </c>
      <c r="C980" s="269"/>
      <c r="D980" s="261"/>
      <c r="E980" s="261"/>
      <c r="F980" s="261"/>
      <c r="G980" s="261"/>
      <c r="H980" s="261"/>
      <c r="I980" s="261"/>
      <c r="J980" s="261"/>
    </row>
    <row r="981">
      <c r="A981" s="155" t="s">
        <v>771</v>
      </c>
      <c r="B981" s="262">
        <v>0.4</v>
      </c>
      <c r="C981" s="269"/>
      <c r="D981" s="261"/>
      <c r="E981" s="261"/>
      <c r="F981" s="261"/>
      <c r="G981" s="261"/>
      <c r="H981" s="261"/>
      <c r="I981" s="261"/>
      <c r="J981" s="261"/>
    </row>
    <row r="982">
      <c r="A982" s="153" t="s">
        <v>778</v>
      </c>
      <c r="B982" s="263">
        <v>0.0638</v>
      </c>
      <c r="C982" s="269"/>
      <c r="D982" s="261"/>
      <c r="E982" s="261"/>
      <c r="F982" s="261"/>
      <c r="G982" s="261"/>
      <c r="H982" s="261"/>
      <c r="I982" s="261"/>
      <c r="J982" s="261"/>
    </row>
    <row r="983">
      <c r="A983" s="155" t="s">
        <v>784</v>
      </c>
      <c r="B983" s="262">
        <v>0.12</v>
      </c>
      <c r="C983" s="269"/>
      <c r="D983" s="261"/>
      <c r="E983" s="261"/>
      <c r="F983" s="261"/>
      <c r="G983" s="261"/>
      <c r="H983" s="261"/>
      <c r="I983" s="261"/>
      <c r="J983" s="261"/>
    </row>
    <row r="984">
      <c r="A984" s="153" t="s">
        <v>789</v>
      </c>
      <c r="B984" s="280"/>
      <c r="C984" s="269"/>
      <c r="D984" s="261"/>
      <c r="E984" s="261"/>
      <c r="F984" s="261"/>
      <c r="G984" s="261"/>
      <c r="H984" s="261"/>
      <c r="I984" s="261"/>
      <c r="J984" s="261"/>
    </row>
    <row r="985">
      <c r="A985" s="155" t="s">
        <v>794</v>
      </c>
      <c r="B985" s="280"/>
      <c r="C985" s="269"/>
      <c r="D985" s="261"/>
      <c r="E985" s="261"/>
      <c r="F985" s="261"/>
      <c r="G985" s="261"/>
      <c r="H985" s="261"/>
      <c r="I985" s="261"/>
      <c r="J985" s="261"/>
    </row>
    <row r="986">
      <c r="A986" s="153"/>
      <c r="B986" s="280"/>
      <c r="C986" s="269"/>
      <c r="D986" s="261"/>
      <c r="E986" s="261"/>
      <c r="F986" s="261"/>
      <c r="G986" s="261"/>
      <c r="H986" s="261"/>
      <c r="I986" s="261"/>
      <c r="J986" s="261"/>
    </row>
    <row r="987">
      <c r="A987" s="155"/>
      <c r="B987" s="280"/>
      <c r="C987" s="269"/>
      <c r="D987" s="261"/>
      <c r="E987" s="261"/>
      <c r="F987" s="261"/>
      <c r="G987" s="261"/>
      <c r="H987" s="261"/>
      <c r="I987" s="261"/>
      <c r="J987" s="261"/>
    </row>
    <row r="988">
      <c r="A988" s="153"/>
      <c r="B988" s="280"/>
      <c r="C988" s="269"/>
      <c r="D988" s="261"/>
      <c r="E988" s="261"/>
      <c r="F988" s="261"/>
      <c r="G988" s="261"/>
      <c r="H988" s="261"/>
      <c r="I988" s="261"/>
      <c r="J988" s="261"/>
    </row>
    <row r="989">
      <c r="A989" s="155"/>
      <c r="B989" s="280"/>
      <c r="C989" s="269"/>
      <c r="D989" s="261"/>
      <c r="E989" s="261"/>
      <c r="F989" s="261"/>
      <c r="G989" s="261"/>
      <c r="H989" s="261"/>
      <c r="I989" s="261"/>
      <c r="J989" s="261"/>
    </row>
    <row r="990">
      <c r="A990" s="153"/>
      <c r="B990" s="280"/>
      <c r="C990" s="269"/>
      <c r="D990" s="261"/>
      <c r="E990" s="261"/>
      <c r="F990" s="261"/>
      <c r="G990" s="261"/>
      <c r="H990" s="261"/>
      <c r="I990" s="261"/>
      <c r="J990" s="261"/>
    </row>
    <row r="991">
      <c r="A991" s="155"/>
      <c r="B991" s="280"/>
      <c r="C991" s="269"/>
      <c r="D991" s="261"/>
      <c r="E991" s="261"/>
      <c r="F991" s="261"/>
      <c r="G991" s="261"/>
      <c r="H991" s="261"/>
      <c r="I991" s="261"/>
      <c r="J991" s="261"/>
    </row>
    <row r="992">
      <c r="A992" s="153"/>
      <c r="B992" s="280"/>
      <c r="C992" s="269"/>
      <c r="D992" s="261"/>
      <c r="E992" s="261"/>
      <c r="F992" s="261"/>
      <c r="G992" s="261"/>
      <c r="H992" s="261"/>
      <c r="I992" s="261"/>
      <c r="J992" s="261"/>
    </row>
    <row r="993">
      <c r="A993" s="155"/>
      <c r="B993" s="280"/>
      <c r="C993" s="269"/>
      <c r="D993" s="261"/>
      <c r="E993" s="261"/>
      <c r="F993" s="261"/>
      <c r="G993" s="261"/>
      <c r="H993" s="261"/>
      <c r="I993" s="261"/>
      <c r="J993" s="261"/>
    </row>
    <row r="994">
      <c r="A994" s="153"/>
      <c r="B994" s="280"/>
      <c r="C994" s="269"/>
      <c r="D994" s="261"/>
      <c r="E994" s="261"/>
      <c r="F994" s="261"/>
      <c r="G994" s="261"/>
      <c r="H994" s="261"/>
      <c r="I994" s="261"/>
      <c r="J994" s="261"/>
    </row>
    <row r="995">
      <c r="A995" s="155"/>
      <c r="B995" s="280"/>
      <c r="C995" s="269"/>
      <c r="D995" s="261"/>
      <c r="E995" s="261"/>
      <c r="F995" s="261"/>
      <c r="G995" s="261"/>
      <c r="H995" s="261"/>
      <c r="I995" s="261"/>
      <c r="J995" s="261"/>
    </row>
    <row r="996">
      <c r="A996" s="153"/>
      <c r="B996" s="280"/>
      <c r="C996" s="269"/>
      <c r="D996" s="261"/>
      <c r="E996" s="261"/>
      <c r="F996" s="261"/>
      <c r="G996" s="261"/>
      <c r="H996" s="261"/>
      <c r="I996" s="261"/>
      <c r="J996" s="261"/>
    </row>
    <row r="997">
      <c r="A997" s="155"/>
      <c r="B997" s="280"/>
      <c r="C997" s="269"/>
      <c r="D997" s="261"/>
      <c r="E997" s="261"/>
      <c r="F997" s="261"/>
      <c r="G997" s="261"/>
      <c r="H997" s="261"/>
      <c r="I997" s="261"/>
      <c r="J997" s="261"/>
    </row>
    <row r="998">
      <c r="A998" s="153"/>
      <c r="B998" s="280"/>
      <c r="C998" s="269"/>
      <c r="D998" s="261"/>
      <c r="E998" s="261"/>
      <c r="F998" s="261"/>
      <c r="G998" s="261"/>
      <c r="H998" s="261"/>
      <c r="I998" s="261"/>
      <c r="J998" s="261"/>
    </row>
    <row r="999">
      <c r="A999" s="155"/>
      <c r="B999" s="280"/>
      <c r="C999" s="269"/>
      <c r="D999" s="261"/>
      <c r="E999" s="261"/>
      <c r="F999" s="261"/>
      <c r="G999" s="261"/>
      <c r="H999" s="261"/>
      <c r="I999" s="261"/>
      <c r="J999" s="261"/>
    </row>
    <row r="1000">
      <c r="A1000" s="162"/>
      <c r="B1000" s="280"/>
      <c r="C1000" s="269"/>
      <c r="D1000" s="261"/>
      <c r="E1000" s="261"/>
      <c r="F1000" s="261"/>
      <c r="G1000" s="261"/>
      <c r="H1000" s="261"/>
      <c r="I1000" s="261"/>
      <c r="J1000" s="261"/>
    </row>
  </sheetData>
  <conditionalFormatting sqref="B1:J1000">
    <cfRule type="containsBlanks" dxfId="17" priority="1">
      <formula>LEN(TRIM(B1))=0</formula>
    </cfRule>
  </conditionalFormatting>
  <drawing r:id="rId1"/>
  <tableParts count="1">
    <tablePart r:id="rId3"/>
  </tableParts>
</worksheet>
</file>