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446768-61FA-4FFD-9A11-577BFC693ECF}" xr6:coauthVersionLast="34" xr6:coauthVersionMax="34" xr10:uidLastSave="{00000000-0000-0000-0000-000000000000}"/>
  <bookViews>
    <workbookView xWindow="0" yWindow="0" windowWidth="20100" windowHeight="9036" activeTab="1" xr2:uid="{00000000-000D-0000-FFFF-FFFF00000000}"/>
  </bookViews>
  <sheets>
    <sheet name="Sheet1" sheetId="1" r:id="rId1"/>
    <sheet name="Sheet2" sheetId="2" r:id="rId2"/>
    <sheet name="Sheet6" sheetId="6" r:id="rId3"/>
  </sheets>
  <definedNames>
    <definedName name="solver_adj" localSheetId="0" hidden="1">Sheet1!$B$30:$J$30</definedName>
    <definedName name="solver_adj" localSheetId="1" hidden="1">Sheet2!$D$3,Sheet2!$D$4,Sheet2!$D$5,Sheet2!$D$6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2147483647</definedName>
    <definedName name="solver_lhs1" localSheetId="0" hidden="1">Sheet1!$B$30:$J$30</definedName>
    <definedName name="solver_lhs1" localSheetId="1" hidden="1">Sheet2!$D$12</definedName>
    <definedName name="solver_lhs2" localSheetId="0" hidden="1">Sheet1!$B$30:$F$30</definedName>
    <definedName name="solver_lhs2" localSheetId="1" hidden="1">Sheet2!$D$3:$D$6</definedName>
    <definedName name="solver_lhs3" localSheetId="0" hidden="1">Sheet1!$K$30:$L$30</definedName>
    <definedName name="solver_lhs3" localSheetId="1" hidden="1">Sheet2!$E$12</definedName>
    <definedName name="solver_lhs4" localSheetId="0" hidden="1">Sheet1!$G$30:$J$30</definedName>
    <definedName name="solver_lhs5" localSheetId="0" hidden="1">Sheet1!$I$2</definedName>
    <definedName name="solver_lhs6" localSheetId="0" hidden="1">Sheet1!$I$4</definedName>
    <definedName name="solver_lin" localSheetId="0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1" hidden="1">2147483647</definedName>
    <definedName name="solver_num" localSheetId="0" hidden="1">5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Sheet1!$I$4</definedName>
    <definedName name="solver_opt" localSheetId="1" hidden="1">Sheet2!$F$12</definedName>
    <definedName name="solver_pre" localSheetId="0" hidden="1">0.000001</definedName>
    <definedName name="solver_pre" localSheetId="1" hidden="1">0.000001</definedName>
    <definedName name="solver_rbv" localSheetId="1" hidden="1">1</definedName>
    <definedName name="solver_rel1" localSheetId="0" hidden="1">3</definedName>
    <definedName name="solver_rel1" localSheetId="1" hidden="1">2</definedName>
    <definedName name="solver_rel2" localSheetId="0" hidden="1">1</definedName>
    <definedName name="solver_rel2" localSheetId="1" hidden="1">3</definedName>
    <definedName name="solver_rel3" localSheetId="0" hidden="1">3</definedName>
    <definedName name="solver_rel3" localSheetId="1" hidden="1">1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hs1" localSheetId="0" hidden="1">0</definedName>
    <definedName name="solver_rhs1" localSheetId="1" hidden="1">1</definedName>
    <definedName name="solver_rhs2" localSheetId="0" hidden="1">Sheet1!$N$3</definedName>
    <definedName name="solver_rhs2" localSheetId="1" hidden="1">0.1</definedName>
    <definedName name="solver_rhs3" localSheetId="0" hidden="1">0</definedName>
    <definedName name="solver_rhs3" localSheetId="1" hidden="1">6</definedName>
    <definedName name="solver_rhs4" localSheetId="0" hidden="1">Sheet1!$N$4</definedName>
    <definedName name="solver_rhs5" localSheetId="0" hidden="1">Sheet1!$N$5</definedName>
    <definedName name="solver_rhs6" localSheetId="0" hidden="1">Sheet1!$N$2</definedName>
    <definedName name="solver_rlx" localSheetId="1" hidden="1">2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1" hidden="1">100</definedName>
    <definedName name="solver_tim" localSheetId="0" hidden="1">100</definedName>
    <definedName name="solver_tim" localSheetId="1" hidden="1">2147483647</definedName>
    <definedName name="solver_tol" localSheetId="0" hidden="1">0.05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1" hidden="1">3</definedName>
  </definedNames>
  <calcPr calcId="179021"/>
</workbook>
</file>

<file path=xl/calcChain.xml><?xml version="1.0" encoding="utf-8"?>
<calcChain xmlns="http://schemas.openxmlformats.org/spreadsheetml/2006/main">
  <c r="Q17" i="2" l="1"/>
  <c r="P9" i="2"/>
  <c r="P17" i="2" s="1"/>
  <c r="Q9" i="2"/>
  <c r="N14" i="2"/>
  <c r="O18" i="2"/>
  <c r="U18" i="2" s="1"/>
  <c r="O17" i="2"/>
  <c r="M18" i="2"/>
  <c r="M17" i="2"/>
  <c r="I18" i="2"/>
  <c r="I17" i="2"/>
  <c r="D12" i="2"/>
  <c r="F4" i="2"/>
  <c r="F5" i="2"/>
  <c r="F6" i="2"/>
  <c r="F3" i="2"/>
  <c r="E4" i="2"/>
  <c r="E5" i="2"/>
  <c r="E6" i="2"/>
  <c r="E3" i="2"/>
  <c r="U17" i="2" l="1"/>
  <c r="T18" i="2"/>
  <c r="T17" i="2"/>
  <c r="F12" i="2"/>
  <c r="E12" i="2"/>
  <c r="H14" i="1" l="1"/>
  <c r="H20" i="1" s="1"/>
  <c r="G14" i="1"/>
  <c r="G20" i="1" s="1"/>
  <c r="F14" i="1"/>
  <c r="F20" i="1" s="1"/>
  <c r="E14" i="1"/>
  <c r="E20" i="1" s="1"/>
  <c r="C2" i="1"/>
  <c r="D14" i="1"/>
  <c r="D20" i="1" s="1"/>
  <c r="C29" i="1"/>
  <c r="D29" i="1"/>
  <c r="E29" i="1"/>
  <c r="F29" i="1"/>
  <c r="G29" i="1"/>
  <c r="H29" i="1"/>
  <c r="I29" i="1"/>
  <c r="J29" i="1"/>
  <c r="B29" i="1"/>
  <c r="M31" i="1"/>
  <c r="I31" i="1" s="1"/>
  <c r="K30" i="1"/>
  <c r="J19" i="1"/>
  <c r="K19" i="1"/>
  <c r="L19" i="1"/>
  <c r="J20" i="1"/>
  <c r="K20" i="1"/>
  <c r="L20" i="1"/>
  <c r="F2" i="1" l="1"/>
  <c r="C22" i="1" s="1"/>
  <c r="H19" i="1"/>
  <c r="F19" i="1"/>
  <c r="G19" i="1"/>
  <c r="E19" i="1"/>
  <c r="K31" i="1"/>
  <c r="I20" i="1"/>
  <c r="I4" i="1"/>
  <c r="I19" i="1"/>
  <c r="D19" i="1"/>
  <c r="B31" i="1"/>
  <c r="D31" i="1"/>
  <c r="F31" i="1"/>
  <c r="H31" i="1"/>
  <c r="J31" i="1"/>
  <c r="C31" i="1"/>
  <c r="E31" i="1"/>
  <c r="G31" i="1"/>
  <c r="L30" i="1"/>
  <c r="J11" i="1" l="1"/>
  <c r="J16" i="1" s="1"/>
  <c r="E17" i="1"/>
  <c r="E18" i="1"/>
  <c r="G17" i="1"/>
  <c r="F18" i="1"/>
  <c r="G16" i="1"/>
  <c r="H18" i="1"/>
  <c r="K11" i="1"/>
  <c r="K18" i="1" s="1"/>
  <c r="F17" i="1"/>
  <c r="D16" i="1"/>
  <c r="I11" i="1"/>
  <c r="I17" i="1" s="1"/>
  <c r="L11" i="1"/>
  <c r="L18" i="1" s="1"/>
  <c r="H17" i="1"/>
  <c r="E16" i="1"/>
  <c r="G18" i="1"/>
  <c r="D17" i="1"/>
  <c r="F16" i="1"/>
  <c r="D18" i="1"/>
  <c r="H16" i="1"/>
  <c r="M30" i="1"/>
  <c r="L31" i="1"/>
  <c r="J18" i="1" l="1"/>
  <c r="J23" i="1" s="1"/>
  <c r="J17" i="1"/>
  <c r="L16" i="1"/>
  <c r="L23" i="1" s="1"/>
  <c r="F23" i="1"/>
  <c r="D23" i="1"/>
  <c r="L17" i="1"/>
  <c r="G22" i="1"/>
  <c r="H22" i="1"/>
  <c r="K16" i="1"/>
  <c r="K23" i="1" s="1"/>
  <c r="K17" i="1"/>
  <c r="E23" i="1"/>
  <c r="H26" i="1"/>
  <c r="H27" i="1" s="1"/>
  <c r="D22" i="1"/>
  <c r="F22" i="1"/>
  <c r="I18" i="1"/>
  <c r="G23" i="1"/>
  <c r="H23" i="1"/>
  <c r="I16" i="1"/>
  <c r="I22" i="1" s="1"/>
  <c r="D26" i="1"/>
  <c r="D27" i="1" s="1"/>
  <c r="E22" i="1"/>
  <c r="E26" i="1"/>
  <c r="E27" i="1" s="1"/>
  <c r="F26" i="1"/>
  <c r="F27" i="1" s="1"/>
  <c r="G26" i="1"/>
  <c r="G27" i="1" s="1"/>
  <c r="H24" i="1" l="1"/>
  <c r="H15" i="1" s="1"/>
  <c r="J26" i="1"/>
  <c r="J27" i="1" s="1"/>
  <c r="J22" i="1"/>
  <c r="J24" i="1" s="1"/>
  <c r="J15" i="1" s="1"/>
  <c r="L22" i="1"/>
  <c r="L24" i="1" s="1"/>
  <c r="L15" i="1" s="1"/>
  <c r="D24" i="1"/>
  <c r="D15" i="1" s="1"/>
  <c r="F24" i="1"/>
  <c r="F15" i="1" s="1"/>
  <c r="G24" i="1"/>
  <c r="G15" i="1" s="1"/>
  <c r="L26" i="1"/>
  <c r="L27" i="1" s="1"/>
  <c r="K26" i="1"/>
  <c r="K27" i="1" s="1"/>
  <c r="K22" i="1"/>
  <c r="K24" i="1" s="1"/>
  <c r="K15" i="1" s="1"/>
  <c r="I23" i="1"/>
  <c r="I24" i="1" s="1"/>
  <c r="I15" i="1" s="1"/>
  <c r="E24" i="1"/>
  <c r="E15" i="1" s="1"/>
  <c r="I26" i="1"/>
  <c r="I27" i="1" s="1"/>
  <c r="I3" i="1" l="1"/>
  <c r="I2" i="1"/>
  <c r="J2" i="1" s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reuter</author>
  </authors>
  <commentList>
    <comment ref="B2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Kush : not Mduration</t>
        </r>
      </text>
    </comment>
  </commentList>
</comments>
</file>

<file path=xl/sharedStrings.xml><?xml version="1.0" encoding="utf-8"?>
<sst xmlns="http://schemas.openxmlformats.org/spreadsheetml/2006/main" count="115" uniqueCount="69">
  <si>
    <t>Current Date</t>
  </si>
  <si>
    <t>Days in a Year</t>
  </si>
  <si>
    <t>AUM</t>
  </si>
  <si>
    <t>Analytics Model</t>
  </si>
  <si>
    <t>Portfolio Sec.</t>
  </si>
  <si>
    <t>Security Title</t>
  </si>
  <si>
    <t>Price Change</t>
  </si>
  <si>
    <t>Coupon</t>
  </si>
  <si>
    <t>Maturity Date</t>
  </si>
  <si>
    <t>Frequency</t>
  </si>
  <si>
    <t>FV</t>
  </si>
  <si>
    <t>YTM</t>
  </si>
  <si>
    <t>Current Price</t>
  </si>
  <si>
    <t>Price + 01</t>
  </si>
  <si>
    <t>Price - 01</t>
  </si>
  <si>
    <t>YTM Up</t>
  </si>
  <si>
    <t>YTM Down</t>
  </si>
  <si>
    <t>Duration up</t>
  </si>
  <si>
    <t>Duration Down</t>
  </si>
  <si>
    <t>Duration Avg.</t>
  </si>
  <si>
    <t>Convexity</t>
  </si>
  <si>
    <t>Convexity Adj.</t>
  </si>
  <si>
    <t>Allocation</t>
  </si>
  <si>
    <t>Bond</t>
  </si>
  <si>
    <t>Cash</t>
  </si>
  <si>
    <t>Total</t>
  </si>
  <si>
    <t>Portfolio Duration</t>
  </si>
  <si>
    <t>Portfolio Convexity</t>
  </si>
  <si>
    <t>Portfolio Yield</t>
  </si>
  <si>
    <t>Portfolio Sensitivity</t>
  </si>
  <si>
    <t>IR Shift (in bps)</t>
  </si>
  <si>
    <t>3MCD</t>
  </si>
  <si>
    <t>91DTB (RM 60D)</t>
  </si>
  <si>
    <t>Settlement Date</t>
  </si>
  <si>
    <t>1MCD</t>
  </si>
  <si>
    <t>91DTB (RM 30D)</t>
  </si>
  <si>
    <t>Duration</t>
  </si>
  <si>
    <t>Maximum bond</t>
  </si>
  <si>
    <t>Maximum CDCP</t>
  </si>
  <si>
    <t>Kush Sonigara</t>
  </si>
  <si>
    <t>Use Solver here</t>
  </si>
  <si>
    <t>Modified Duration</t>
  </si>
  <si>
    <t>Solver Parameters</t>
  </si>
  <si>
    <r>
      <rPr>
        <b/>
        <sz val="9"/>
        <color theme="1"/>
        <rFont val="Calibri"/>
        <family val="2"/>
        <scheme val="minor"/>
      </rPr>
      <t xml:space="preserve">Source of guidance </t>
    </r>
    <r>
      <rPr>
        <sz val="9"/>
        <color theme="1"/>
        <rFont val="Calibri"/>
        <family val="2"/>
        <scheme val="minor"/>
      </rPr>
      <t>: http://financetrainingcourse.com/education/2012/09/fixed-income-investment-portfolio-management-optimization-case-study-risk-training/</t>
    </r>
  </si>
  <si>
    <t xml:space="preserve">Bond
Duration </t>
  </si>
  <si>
    <t>Bond 
Yield</t>
  </si>
  <si>
    <t>Portfolio
Percentage</t>
  </si>
  <si>
    <t>Duration 
* 
Portfolio Percent</t>
  </si>
  <si>
    <t>Yield
*
Portfolio
Percent</t>
  </si>
  <si>
    <t>Bond1</t>
  </si>
  <si>
    <t>Bond2</t>
  </si>
  <si>
    <t>Bond3</t>
  </si>
  <si>
    <t>Bond4</t>
  </si>
  <si>
    <t>NAV</t>
  </si>
  <si>
    <t>Total Port</t>
  </si>
  <si>
    <t>Yield</t>
  </si>
  <si>
    <t>Constraint</t>
  </si>
  <si>
    <t>Obj</t>
  </si>
  <si>
    <t>CB</t>
  </si>
  <si>
    <t>LB</t>
  </si>
  <si>
    <t>Value</t>
  </si>
  <si>
    <t>PFCMU</t>
  </si>
  <si>
    <t>PFRMUTK</t>
  </si>
  <si>
    <t>Corp</t>
  </si>
  <si>
    <t>Sell CB</t>
  </si>
  <si>
    <t>Weight</t>
  </si>
  <si>
    <t>Portfolios</t>
  </si>
  <si>
    <t>Port</t>
  </si>
  <si>
    <t>LB366A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</si>
</sst>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0%"/>
    <numFmt numFmtId="167" formatCode="0.000000"/>
    <numFmt numFmtId="168" formatCode="0.00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indexed="81"/>
      <name val="Tahoma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0" borderId="0" xfId="0" applyProtection="1">
      <protection locked="0"/>
    </xf>
    <xf numFmtId="0" fontId="2" fillId="0" borderId="2" xfId="0" applyFont="1" applyBorder="1" applyProtection="1">
      <protection locked="0"/>
    </xf>
    <xf numFmtId="15" fontId="3" fillId="0" borderId="4" xfId="0" applyNumberFormat="1" applyFont="1" applyFill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center"/>
      <protection locked="0"/>
    </xf>
    <xf numFmtId="15" fontId="3" fillId="0" borderId="12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Protection="1">
      <protection locked="0"/>
    </xf>
    <xf numFmtId="165" fontId="3" fillId="0" borderId="1" xfId="0" applyNumberFormat="1" applyFont="1" applyFill="1" applyBorder="1" applyAlignment="1" applyProtection="1">
      <alignment horizontal="center" vertical="center"/>
      <protection locked="0"/>
    </xf>
    <xf numFmtId="10" fontId="3" fillId="0" borderId="1" xfId="2" applyNumberFormat="1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Protection="1"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166" fontId="3" fillId="0" borderId="1" xfId="2" applyNumberFormat="1" applyFont="1" applyFill="1" applyBorder="1" applyAlignment="1" applyProtection="1">
      <alignment horizontal="center" vertical="center"/>
      <protection locked="0"/>
    </xf>
    <xf numFmtId="0" fontId="3" fillId="0" borderId="7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8" fontId="3" fillId="0" borderId="1" xfId="2" applyNumberFormat="1" applyFont="1" applyFill="1" applyBorder="1" applyAlignment="1" applyProtection="1">
      <alignment horizontal="center" vertical="center"/>
      <protection locked="0"/>
    </xf>
    <xf numFmtId="2" fontId="3" fillId="0" borderId="1" xfId="2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0" fontId="3" fillId="2" borderId="1" xfId="0" applyNumberFormat="1" applyFont="1" applyFill="1" applyBorder="1" applyAlignment="1" applyProtection="1">
      <alignment horizontal="center" vertical="center"/>
      <protection locked="0"/>
    </xf>
    <xf numFmtId="10" fontId="3" fillId="2" borderId="6" xfId="0" applyNumberFormat="1" applyFont="1" applyFill="1" applyBorder="1" applyAlignment="1" applyProtection="1">
      <alignment horizontal="center" vertical="center"/>
      <protection locked="0"/>
    </xf>
    <xf numFmtId="15" fontId="3" fillId="2" borderId="1" xfId="0" applyNumberFormat="1" applyFont="1" applyFill="1" applyBorder="1" applyAlignment="1" applyProtection="1">
      <alignment horizontal="center" vertical="center"/>
      <protection locked="0"/>
    </xf>
    <xf numFmtId="15" fontId="3" fillId="2" borderId="6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10" fontId="3" fillId="2" borderId="8" xfId="0" applyNumberFormat="1" applyFont="1" applyFill="1" applyBorder="1" applyAlignment="1" applyProtection="1">
      <alignment horizontal="center" vertical="center"/>
      <protection locked="0"/>
    </xf>
    <xf numFmtId="10" fontId="3" fillId="2" borderId="9" xfId="0" applyNumberFormat="1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Protection="1">
      <protection locked="0"/>
    </xf>
    <xf numFmtId="165" fontId="3" fillId="0" borderId="16" xfId="0" applyNumberFormat="1" applyFont="1" applyFill="1" applyBorder="1" applyAlignment="1" applyProtection="1">
      <alignment horizontal="center" vertical="center"/>
      <protection locked="0"/>
    </xf>
    <xf numFmtId="165" fontId="3" fillId="0" borderId="17" xfId="0" applyNumberFormat="1" applyFont="1" applyFill="1" applyBorder="1" applyAlignment="1" applyProtection="1">
      <alignment horizontal="center" vertical="center"/>
      <protection locked="0"/>
    </xf>
    <xf numFmtId="0" fontId="3" fillId="0" borderId="18" xfId="0" applyFont="1" applyFill="1" applyBorder="1" applyProtection="1">
      <protection locked="0"/>
    </xf>
    <xf numFmtId="10" fontId="3" fillId="0" borderId="0" xfId="2" applyNumberFormat="1" applyFont="1" applyFill="1" applyBorder="1" applyAlignment="1" applyProtection="1">
      <alignment horizontal="center" vertical="center"/>
      <protection locked="0"/>
    </xf>
    <xf numFmtId="165" fontId="3" fillId="0" borderId="0" xfId="0" applyNumberFormat="1" applyFont="1" applyFill="1" applyBorder="1" applyAlignment="1" applyProtection="1">
      <alignment horizontal="center" vertical="center"/>
      <protection locked="0"/>
    </xf>
    <xf numFmtId="165" fontId="3" fillId="0" borderId="19" xfId="0" applyNumberFormat="1" applyFont="1" applyFill="1" applyBorder="1" applyAlignment="1" applyProtection="1">
      <alignment horizontal="center" vertical="center"/>
      <protection locked="0"/>
    </xf>
    <xf numFmtId="166" fontId="3" fillId="0" borderId="0" xfId="2" applyNumberFormat="1" applyFont="1" applyFill="1" applyBorder="1" applyAlignment="1" applyProtection="1">
      <alignment horizontal="center" vertical="center"/>
      <protection locked="0"/>
    </xf>
    <xf numFmtId="166" fontId="3" fillId="0" borderId="19" xfId="2" applyNumberFormat="1" applyFont="1" applyFill="1" applyBorder="1" applyAlignment="1" applyProtection="1">
      <alignment horizontal="center" vertical="center"/>
      <protection locked="0"/>
    </xf>
    <xf numFmtId="0" fontId="3" fillId="0" borderId="20" xfId="0" applyFont="1" applyFill="1" applyBorder="1" applyProtection="1">
      <protection locked="0"/>
    </xf>
    <xf numFmtId="166" fontId="3" fillId="0" borderId="21" xfId="2" applyNumberFormat="1" applyFont="1" applyFill="1" applyBorder="1" applyAlignment="1" applyProtection="1">
      <alignment horizontal="center" vertical="center"/>
      <protection locked="0"/>
    </xf>
    <xf numFmtId="166" fontId="3" fillId="0" borderId="22" xfId="2" applyNumberFormat="1" applyFont="1" applyFill="1" applyBorder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165" fontId="3" fillId="0" borderId="21" xfId="0" applyNumberFormat="1" applyFont="1" applyFill="1" applyBorder="1" applyAlignment="1" applyProtection="1">
      <alignment horizontal="center" vertical="center"/>
      <protection locked="0"/>
    </xf>
    <xf numFmtId="165" fontId="3" fillId="0" borderId="22" xfId="0" applyNumberFormat="1" applyFont="1" applyFill="1" applyBorder="1" applyAlignment="1" applyProtection="1">
      <alignment horizontal="center" vertical="center"/>
      <protection locked="0"/>
    </xf>
    <xf numFmtId="0" fontId="3" fillId="0" borderId="16" xfId="0" applyFont="1" applyFill="1" applyBorder="1" applyProtection="1">
      <protection locked="0"/>
    </xf>
    <xf numFmtId="0" fontId="3" fillId="0" borderId="21" xfId="0" applyFont="1" applyFill="1" applyBorder="1" applyProtection="1">
      <protection locked="0"/>
    </xf>
    <xf numFmtId="167" fontId="3" fillId="0" borderId="21" xfId="0" applyNumberFormat="1" applyFont="1" applyFill="1" applyBorder="1" applyAlignment="1" applyProtection="1">
      <alignment horizontal="center" vertical="center"/>
      <protection locked="0"/>
    </xf>
    <xf numFmtId="167" fontId="3" fillId="0" borderId="22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4" xfId="0" applyFont="1" applyFill="1" applyBorder="1" applyAlignment="1" applyProtection="1">
      <alignment horizontal="center" vertical="center"/>
      <protection locked="0"/>
    </xf>
    <xf numFmtId="9" fontId="3" fillId="0" borderId="1" xfId="2" applyFont="1" applyFill="1" applyBorder="1" applyAlignment="1" applyProtection="1">
      <alignment horizontal="center" vertical="center"/>
      <protection locked="0"/>
    </xf>
    <xf numFmtId="9" fontId="3" fillId="0" borderId="6" xfId="2" applyFont="1" applyFill="1" applyBorder="1" applyAlignment="1" applyProtection="1">
      <alignment horizontal="center" vertical="center"/>
      <protection locked="0"/>
    </xf>
    <xf numFmtId="1" fontId="3" fillId="0" borderId="8" xfId="0" applyNumberFormat="1" applyFont="1" applyFill="1" applyBorder="1" applyAlignment="1" applyProtection="1">
      <alignment horizontal="center" vertical="center"/>
      <protection locked="0"/>
    </xf>
    <xf numFmtId="164" fontId="3" fillId="0" borderId="9" xfId="1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15" fontId="3" fillId="0" borderId="0" xfId="0" applyNumberFormat="1" applyFont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Protection="1">
      <protection locked="0"/>
    </xf>
    <xf numFmtId="0" fontId="6" fillId="0" borderId="0" xfId="3" applyFont="1" applyAlignment="1" applyProtection="1"/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Protection="1">
      <protection locked="0"/>
    </xf>
    <xf numFmtId="0" fontId="3" fillId="0" borderId="7" xfId="0" applyFont="1" applyFill="1" applyBorder="1" applyProtection="1">
      <protection locked="0"/>
    </xf>
    <xf numFmtId="0" fontId="3" fillId="0" borderId="8" xfId="0" applyFont="1" applyFill="1" applyBorder="1" applyProtection="1">
      <protection locked="0"/>
    </xf>
    <xf numFmtId="165" fontId="3" fillId="0" borderId="23" xfId="0" applyNumberFormat="1" applyFont="1" applyFill="1" applyBorder="1" applyAlignment="1" applyProtection="1">
      <alignment horizontal="center" vertical="center"/>
      <protection locked="0"/>
    </xf>
    <xf numFmtId="0" fontId="3" fillId="0" borderId="26" xfId="0" applyFont="1" applyBorder="1" applyAlignment="1" applyProtection="1">
      <alignment horizontal="center" vertical="center"/>
      <protection locked="0"/>
    </xf>
    <xf numFmtId="2" fontId="3" fillId="0" borderId="27" xfId="0" applyNumberFormat="1" applyFont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7" fillId="3" borderId="23" xfId="0" applyFont="1" applyFill="1" applyBorder="1" applyAlignment="1" applyProtection="1">
      <alignment horizontal="center"/>
      <protection locked="0"/>
    </xf>
    <xf numFmtId="0" fontId="7" fillId="3" borderId="25" xfId="0" applyFont="1" applyFill="1" applyBorder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NumberFormat="1" applyFont="1" applyProtection="1">
      <protection locked="0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.linkedin.com/pub/kush-bharat-sonigara/26/a24/b94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4"/>
  <sheetViews>
    <sheetView showGridLines="0" topLeftCell="A7" workbookViewId="0">
      <selection activeCell="J18" sqref="J18"/>
    </sheetView>
  </sheetViews>
  <sheetFormatPr defaultColWidth="9.109375" defaultRowHeight="14.4" zeroHeight="1" x14ac:dyDescent="0.3"/>
  <cols>
    <col min="1" max="1" width="8.44140625" style="1" customWidth="1"/>
    <col min="2" max="2" width="14.6640625" style="1" customWidth="1"/>
    <col min="3" max="3" width="12.5546875" style="1" customWidth="1"/>
    <col min="4" max="4" width="11.5546875" style="1" customWidth="1"/>
    <col min="5" max="5" width="12.5546875" style="1" customWidth="1"/>
    <col min="6" max="7" width="11" style="1" bestFit="1" customWidth="1"/>
    <col min="8" max="8" width="15.44140625" style="1" bestFit="1" customWidth="1"/>
    <col min="9" max="9" width="13.109375" style="1" customWidth="1"/>
    <col min="10" max="10" width="15" style="1" customWidth="1"/>
    <col min="11" max="11" width="13.5546875" style="1" customWidth="1"/>
    <col min="12" max="12" width="13.6640625" style="1" customWidth="1"/>
    <col min="13" max="13" width="12.5546875" style="1" bestFit="1" customWidth="1"/>
    <col min="14" max="16384" width="9.109375" style="1"/>
  </cols>
  <sheetData>
    <row r="1" spans="1:15" ht="16.2" thickBot="1" x14ac:dyDescent="0.35">
      <c r="A1" s="50"/>
      <c r="B1" s="50"/>
      <c r="C1" s="50"/>
      <c r="D1" s="50"/>
      <c r="E1" s="50"/>
      <c r="F1" s="50"/>
      <c r="G1" s="50"/>
      <c r="H1" s="65" t="s">
        <v>40</v>
      </c>
      <c r="I1" s="66"/>
      <c r="J1" s="60" t="s">
        <v>41</v>
      </c>
      <c r="K1" s="50"/>
      <c r="L1" s="50"/>
      <c r="M1" s="67" t="s">
        <v>42</v>
      </c>
      <c r="N1" s="67"/>
    </row>
    <row r="2" spans="1:15" ht="15" thickBot="1" x14ac:dyDescent="0.35">
      <c r="A2" s="50"/>
      <c r="B2" s="2" t="s">
        <v>0</v>
      </c>
      <c r="C2" s="3">
        <f ca="1">TODAY()</f>
        <v>43347</v>
      </c>
      <c r="D2" s="50"/>
      <c r="E2" s="4" t="s">
        <v>33</v>
      </c>
      <c r="F2" s="5">
        <f ca="1">C2+1</f>
        <v>43348</v>
      </c>
      <c r="G2" s="50"/>
      <c r="H2" s="6" t="s">
        <v>26</v>
      </c>
      <c r="I2" s="59">
        <f ca="1">SUMPRODUCT(B30:J30,D24:L24)</f>
        <v>2.9278035832840263</v>
      </c>
      <c r="J2" s="61">
        <f ca="1">I2/((1+(I4/2)))</f>
        <v>2.8132149215382554</v>
      </c>
      <c r="K2" s="50"/>
      <c r="L2" s="50"/>
      <c r="M2" s="6" t="s">
        <v>28</v>
      </c>
      <c r="N2" s="8">
        <v>8.3000000000000004E-2</v>
      </c>
    </row>
    <row r="3" spans="1:15" x14ac:dyDescent="0.3">
      <c r="A3" s="50"/>
      <c r="B3" s="9" t="s">
        <v>1</v>
      </c>
      <c r="C3" s="10">
        <v>365</v>
      </c>
      <c r="D3" s="50"/>
      <c r="E3" s="50"/>
      <c r="F3" s="50"/>
      <c r="G3" s="50"/>
      <c r="H3" s="6" t="s">
        <v>27</v>
      </c>
      <c r="I3" s="7">
        <f ca="1">SUMPRODUCT(B30:J30,D26:L26)</f>
        <v>12.571907243018771</v>
      </c>
      <c r="J3" s="50"/>
      <c r="K3" s="50"/>
      <c r="L3" s="50"/>
      <c r="M3" s="6" t="s">
        <v>37</v>
      </c>
      <c r="N3" s="8">
        <v>0.3</v>
      </c>
    </row>
    <row r="4" spans="1:15" x14ac:dyDescent="0.3">
      <c r="A4" s="50"/>
      <c r="B4" s="9" t="s">
        <v>30</v>
      </c>
      <c r="C4" s="10">
        <v>1</v>
      </c>
      <c r="D4" s="50"/>
      <c r="E4" s="50"/>
      <c r="F4" s="51"/>
      <c r="G4" s="50"/>
      <c r="H4" s="6" t="s">
        <v>28</v>
      </c>
      <c r="I4" s="11">
        <f>SUMPRODUCT(B30:J30,D14:L14)</f>
        <v>8.1464562745255154E-2</v>
      </c>
      <c r="J4" s="50"/>
      <c r="K4" s="50"/>
      <c r="L4" s="50"/>
      <c r="M4" s="6" t="s">
        <v>38</v>
      </c>
      <c r="N4" s="8">
        <v>0.1</v>
      </c>
    </row>
    <row r="5" spans="1:15" ht="15" thickBot="1" x14ac:dyDescent="0.35">
      <c r="A5" s="50"/>
      <c r="B5" s="12" t="s">
        <v>2</v>
      </c>
      <c r="C5" s="55">
        <v>250000000</v>
      </c>
      <c r="D5" s="50"/>
      <c r="E5" s="50"/>
      <c r="F5" s="50"/>
      <c r="G5" s="50"/>
      <c r="H5" s="13" t="s">
        <v>29</v>
      </c>
      <c r="I5" s="14">
        <f ca="1">-I2*-C4/10000+I3*(C4/10000)^2</f>
        <v>2.9290607740083282E-4</v>
      </c>
      <c r="J5" s="50"/>
      <c r="K5" s="50"/>
      <c r="L5" s="50"/>
      <c r="M5" s="6" t="s">
        <v>36</v>
      </c>
      <c r="N5" s="15">
        <v>4.5</v>
      </c>
    </row>
    <row r="6" spans="1:15" ht="15" thickBot="1" x14ac:dyDescent="0.3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</row>
    <row r="7" spans="1:15" ht="15" thickBot="1" x14ac:dyDescent="0.35">
      <c r="A7" s="50"/>
      <c r="B7" s="68" t="s">
        <v>3</v>
      </c>
      <c r="C7" s="69"/>
      <c r="D7" s="69"/>
      <c r="E7" s="69"/>
      <c r="F7" s="69"/>
      <c r="G7" s="69"/>
      <c r="H7" s="69"/>
      <c r="I7" s="69"/>
      <c r="J7" s="69"/>
      <c r="K7" s="69"/>
      <c r="L7" s="70"/>
      <c r="M7" s="50"/>
      <c r="N7" s="50"/>
    </row>
    <row r="8" spans="1:15" x14ac:dyDescent="0.3">
      <c r="A8" s="50"/>
      <c r="B8" s="73" t="s">
        <v>5</v>
      </c>
      <c r="C8" s="71" t="s">
        <v>6</v>
      </c>
      <c r="D8" s="71" t="s">
        <v>4</v>
      </c>
      <c r="E8" s="71"/>
      <c r="F8" s="71"/>
      <c r="G8" s="71"/>
      <c r="H8" s="71"/>
      <c r="I8" s="71"/>
      <c r="J8" s="71"/>
      <c r="K8" s="71"/>
      <c r="L8" s="72"/>
      <c r="M8" s="50"/>
      <c r="N8" s="50"/>
    </row>
    <row r="9" spans="1:15" x14ac:dyDescent="0.3">
      <c r="A9" s="50"/>
      <c r="B9" s="74"/>
      <c r="C9" s="75"/>
      <c r="D9" s="16">
        <v>2030</v>
      </c>
      <c r="E9" s="16">
        <v>2026</v>
      </c>
      <c r="F9" s="16">
        <v>2025</v>
      </c>
      <c r="G9" s="16">
        <v>2022</v>
      </c>
      <c r="H9" s="16">
        <v>2019</v>
      </c>
      <c r="I9" s="16" t="s">
        <v>34</v>
      </c>
      <c r="J9" s="16" t="s">
        <v>31</v>
      </c>
      <c r="K9" s="16" t="s">
        <v>35</v>
      </c>
      <c r="L9" s="16" t="s">
        <v>32</v>
      </c>
      <c r="M9" s="50"/>
      <c r="N9" s="50"/>
    </row>
    <row r="10" spans="1:15" x14ac:dyDescent="0.3">
      <c r="A10" s="50"/>
      <c r="B10" s="56" t="s">
        <v>7</v>
      </c>
      <c r="C10" s="6"/>
      <c r="D10" s="17">
        <v>8.9700000000000002E-2</v>
      </c>
      <c r="E10" s="17">
        <v>8.3299999999999999E-2</v>
      </c>
      <c r="F10" s="17">
        <v>8.2000000000000003E-2</v>
      </c>
      <c r="G10" s="17">
        <v>8.1500000000000003E-2</v>
      </c>
      <c r="H10" s="17">
        <v>8.0699999999999994E-2</v>
      </c>
      <c r="I10" s="17">
        <v>8.1000000000000003E-2</v>
      </c>
      <c r="J10" s="17">
        <v>8.5000000000000006E-2</v>
      </c>
      <c r="K10" s="17">
        <v>7.9000000000000001E-2</v>
      </c>
      <c r="L10" s="18">
        <v>0.08</v>
      </c>
      <c r="M10" s="50"/>
      <c r="N10" s="50"/>
    </row>
    <row r="11" spans="1:15" x14ac:dyDescent="0.3">
      <c r="A11" s="50"/>
      <c r="B11" s="56" t="s">
        <v>8</v>
      </c>
      <c r="C11" s="6"/>
      <c r="D11" s="19">
        <v>47639</v>
      </c>
      <c r="E11" s="19">
        <v>46031</v>
      </c>
      <c r="F11" s="19">
        <v>45740</v>
      </c>
      <c r="G11" s="19">
        <v>44723</v>
      </c>
      <c r="H11" s="19">
        <v>43649</v>
      </c>
      <c r="I11" s="19">
        <f ca="1">F2+30</f>
        <v>43378</v>
      </c>
      <c r="J11" s="19">
        <f ca="1">F2+90</f>
        <v>43438</v>
      </c>
      <c r="K11" s="19">
        <f ca="1">F2+30</f>
        <v>43378</v>
      </c>
      <c r="L11" s="20">
        <f ca="1">F2+60</f>
        <v>43408</v>
      </c>
      <c r="M11" s="50"/>
      <c r="N11" s="50"/>
    </row>
    <row r="12" spans="1:15" x14ac:dyDescent="0.3">
      <c r="A12" s="50"/>
      <c r="B12" s="56" t="s">
        <v>9</v>
      </c>
      <c r="C12" s="6"/>
      <c r="D12" s="21">
        <v>2</v>
      </c>
      <c r="E12" s="21">
        <v>2</v>
      </c>
      <c r="F12" s="21">
        <v>2</v>
      </c>
      <c r="G12" s="21">
        <v>2</v>
      </c>
      <c r="H12" s="21">
        <v>2</v>
      </c>
      <c r="I12" s="21">
        <v>2</v>
      </c>
      <c r="J12" s="21">
        <v>2</v>
      </c>
      <c r="K12" s="21">
        <v>2</v>
      </c>
      <c r="L12" s="22">
        <v>2</v>
      </c>
      <c r="M12" s="50"/>
      <c r="N12"/>
      <c r="O12"/>
    </row>
    <row r="13" spans="1:15" x14ac:dyDescent="0.3">
      <c r="A13" s="50"/>
      <c r="B13" s="56" t="s">
        <v>10</v>
      </c>
      <c r="C13" s="6"/>
      <c r="D13" s="21">
        <v>100</v>
      </c>
      <c r="E13" s="21">
        <v>100</v>
      </c>
      <c r="F13" s="21">
        <v>100</v>
      </c>
      <c r="G13" s="21">
        <v>100</v>
      </c>
      <c r="H13" s="21">
        <v>100</v>
      </c>
      <c r="I13" s="21">
        <v>100</v>
      </c>
      <c r="J13" s="21">
        <v>100</v>
      </c>
      <c r="K13" s="21">
        <v>100</v>
      </c>
      <c r="L13" s="22">
        <v>100</v>
      </c>
      <c r="M13" s="50"/>
      <c r="N13"/>
      <c r="O13"/>
    </row>
    <row r="14" spans="1:15" ht="15" thickBot="1" x14ac:dyDescent="0.35">
      <c r="A14" s="50"/>
      <c r="B14" s="57" t="s">
        <v>11</v>
      </c>
      <c r="C14" s="58"/>
      <c r="D14" s="23">
        <f>EFFECT(8.0571%,2)</f>
        <v>8.2193921510249845E-2</v>
      </c>
      <c r="E14" s="23">
        <f>EFFECT(7.964%,2)</f>
        <v>8.1225632400000025E-2</v>
      </c>
      <c r="F14" s="23">
        <f>EFFECT(7.948%,2)</f>
        <v>8.1059267600000151E-2</v>
      </c>
      <c r="G14" s="23">
        <f>EFFECT(7.8759%,2)</f>
        <v>8.0309745020249901E-2</v>
      </c>
      <c r="H14" s="23">
        <f>EFFECT(7.886%,2)</f>
        <v>8.0414724900000234E-2</v>
      </c>
      <c r="I14" s="23">
        <v>8.1000000000000003E-2</v>
      </c>
      <c r="J14" s="23">
        <v>8.5000000000000006E-2</v>
      </c>
      <c r="K14" s="23">
        <v>7.9000000000000001E-2</v>
      </c>
      <c r="L14" s="24">
        <v>0.08</v>
      </c>
      <c r="M14" s="50"/>
      <c r="N14"/>
      <c r="O14"/>
    </row>
    <row r="15" spans="1:15" ht="15" thickBot="1" x14ac:dyDescent="0.35">
      <c r="A15" s="50"/>
      <c r="B15" s="50"/>
      <c r="C15" s="50"/>
      <c r="D15" s="81">
        <f ca="1">D24*B30</f>
        <v>2.1958801637449805</v>
      </c>
      <c r="E15" s="81">
        <f t="shared" ref="E15:L15" ca="1" si="0">E24*C30</f>
        <v>0.44407853786185969</v>
      </c>
      <c r="F15" s="81">
        <f t="shared" ca="1" si="0"/>
        <v>0</v>
      </c>
      <c r="G15" s="81">
        <f t="shared" ca="1" si="0"/>
        <v>0</v>
      </c>
      <c r="H15" s="81">
        <f t="shared" ca="1" si="0"/>
        <v>0.23638245393995544</v>
      </c>
      <c r="I15" s="81">
        <f t="shared" ca="1" si="0"/>
        <v>8.556887997049345E-3</v>
      </c>
      <c r="J15" s="81">
        <f t="shared" ca="1" si="0"/>
        <v>2.473388650893843E-2</v>
      </c>
      <c r="K15" s="81">
        <f t="shared" ca="1" si="0"/>
        <v>1.5597326607985128E-3</v>
      </c>
      <c r="L15" s="81">
        <f t="shared" ca="1" si="0"/>
        <v>1.6611920570444427E-2</v>
      </c>
      <c r="M15" s="50"/>
      <c r="N15"/>
      <c r="O15"/>
    </row>
    <row r="16" spans="1:15" x14ac:dyDescent="0.3">
      <c r="A16" s="50"/>
      <c r="B16" s="25" t="s">
        <v>12</v>
      </c>
      <c r="C16" s="40"/>
      <c r="D16" s="26">
        <f t="shared" ref="D16:L16" ca="1" si="1">PRICE($F$2,D$11,D$10,D$14,D$13,D$12,4)</f>
        <v>105.56527742805565</v>
      </c>
      <c r="E16" s="26">
        <f t="shared" ca="1" si="1"/>
        <v>101.11301565081476</v>
      </c>
      <c r="F16" s="26">
        <f t="shared" ca="1" si="1"/>
        <v>100.46331921726957</v>
      </c>
      <c r="G16" s="26">
        <f t="shared" ca="1" si="1"/>
        <v>100.36041631943188</v>
      </c>
      <c r="H16" s="26">
        <f t="shared" ca="1" si="1"/>
        <v>100.00449190571338</v>
      </c>
      <c r="I16" s="26">
        <f t="shared" ca="1" si="1"/>
        <v>99.977371492426116</v>
      </c>
      <c r="J16" s="26">
        <f t="shared" ca="1" si="1"/>
        <v>99.955778588669887</v>
      </c>
      <c r="K16" s="26">
        <f t="shared" ca="1" si="1"/>
        <v>99.978471589811505</v>
      </c>
      <c r="L16" s="27">
        <f t="shared" ca="1" si="1"/>
        <v>99.96520192049914</v>
      </c>
      <c r="M16" s="50"/>
      <c r="N16"/>
      <c r="O16"/>
    </row>
    <row r="17" spans="1:15" x14ac:dyDescent="0.3">
      <c r="A17" s="50"/>
      <c r="B17" s="28" t="s">
        <v>13</v>
      </c>
      <c r="C17" s="29">
        <v>1E-4</v>
      </c>
      <c r="D17" s="30">
        <f t="shared" ref="D17:L17" ca="1" si="2">PRICE($F$2,D$11,D$10,D$19,D$13,D$12,4)</f>
        <v>105.48804619290706</v>
      </c>
      <c r="E17" s="30">
        <f t="shared" ca="1" si="2"/>
        <v>101.05811535459168</v>
      </c>
      <c r="F17" s="30">
        <f t="shared" ca="1" si="2"/>
        <v>100.41310599226038</v>
      </c>
      <c r="G17" s="30">
        <f t="shared" ca="1" si="2"/>
        <v>100.32836641475774</v>
      </c>
      <c r="H17" s="30">
        <f t="shared" ca="1" si="2"/>
        <v>99.996612636576813</v>
      </c>
      <c r="I17" s="30">
        <f t="shared" ca="1" si="2"/>
        <v>99.976516004337341</v>
      </c>
      <c r="J17" s="30">
        <f t="shared" ca="1" si="2"/>
        <v>99.95330635364904</v>
      </c>
      <c r="K17" s="30">
        <f t="shared" ca="1" si="2"/>
        <v>99.977616640864511</v>
      </c>
      <c r="L17" s="31">
        <f t="shared" ca="1" si="2"/>
        <v>99.96354133336844</v>
      </c>
      <c r="M17" s="50"/>
      <c r="N17"/>
      <c r="O17"/>
    </row>
    <row r="18" spans="1:15" x14ac:dyDescent="0.3">
      <c r="A18" s="50"/>
      <c r="B18" s="28" t="s">
        <v>14</v>
      </c>
      <c r="C18" s="29">
        <v>-1E-4</v>
      </c>
      <c r="D18" s="30">
        <f t="shared" ref="D18:L18" ca="1" si="3">PRICE($F$2,D$11,D$10,D$20,D$13,D$12,4)</f>
        <v>105.6425853253634</v>
      </c>
      <c r="E18" s="30">
        <f t="shared" ca="1" si="3"/>
        <v>101.16795352602682</v>
      </c>
      <c r="F18" s="30">
        <f t="shared" ca="1" si="3"/>
        <v>100.51356374201103</v>
      </c>
      <c r="G18" s="30">
        <f t="shared" ca="1" si="3"/>
        <v>100.39247879518058</v>
      </c>
      <c r="H18" s="30">
        <f t="shared" ca="1" si="3"/>
        <v>100.01237217471127</v>
      </c>
      <c r="I18" s="30">
        <f t="shared" ca="1" si="3"/>
        <v>99.978226994677541</v>
      </c>
      <c r="J18" s="30">
        <f t="shared" ca="1" si="3"/>
        <v>99.95825094341609</v>
      </c>
      <c r="K18" s="30">
        <f t="shared" ca="1" si="3"/>
        <v>99.979326552914586</v>
      </c>
      <c r="L18" s="31">
        <f t="shared" ca="1" si="3"/>
        <v>99.966862561356663</v>
      </c>
      <c r="M18" s="50"/>
      <c r="N18" s="50"/>
    </row>
    <row r="19" spans="1:15" x14ac:dyDescent="0.3">
      <c r="A19" s="50"/>
      <c r="B19" s="28" t="s">
        <v>15</v>
      </c>
      <c r="C19" s="52"/>
      <c r="D19" s="32">
        <f>D14+0.01%</f>
        <v>8.2293921510249848E-2</v>
      </c>
      <c r="E19" s="32">
        <f>E14+0.01%</f>
        <v>8.1325632400000028E-2</v>
      </c>
      <c r="F19" s="32">
        <f t="shared" ref="F19:L19" si="4">F14+0.01%</f>
        <v>8.1159267600000154E-2</v>
      </c>
      <c r="G19" s="32">
        <f t="shared" si="4"/>
        <v>8.0409745020249904E-2</v>
      </c>
      <c r="H19" s="32">
        <f t="shared" si="4"/>
        <v>8.0514724900000237E-2</v>
      </c>
      <c r="I19" s="32">
        <f t="shared" si="4"/>
        <v>8.1100000000000005E-2</v>
      </c>
      <c r="J19" s="32">
        <f t="shared" si="4"/>
        <v>8.5100000000000009E-2</v>
      </c>
      <c r="K19" s="32">
        <f t="shared" si="4"/>
        <v>7.9100000000000004E-2</v>
      </c>
      <c r="L19" s="33">
        <f t="shared" si="4"/>
        <v>8.0100000000000005E-2</v>
      </c>
      <c r="M19" s="50"/>
      <c r="N19" s="50"/>
    </row>
    <row r="20" spans="1:15" ht="15" thickBot="1" x14ac:dyDescent="0.35">
      <c r="A20" s="50"/>
      <c r="B20" s="34" t="s">
        <v>16</v>
      </c>
      <c r="C20" s="41"/>
      <c r="D20" s="35">
        <f>D14-0.01%</f>
        <v>8.2093921510249843E-2</v>
      </c>
      <c r="E20" s="35">
        <f>E14-0.01%</f>
        <v>8.1125632400000022E-2</v>
      </c>
      <c r="F20" s="35">
        <f t="shared" ref="F20:L20" si="5">F14-0.01%</f>
        <v>8.0959267600000148E-2</v>
      </c>
      <c r="G20" s="35">
        <f t="shared" si="5"/>
        <v>8.0209745020249898E-2</v>
      </c>
      <c r="H20" s="35">
        <f t="shared" si="5"/>
        <v>8.0314724900000231E-2</v>
      </c>
      <c r="I20" s="35">
        <f t="shared" si="5"/>
        <v>8.09E-2</v>
      </c>
      <c r="J20" s="35">
        <f t="shared" si="5"/>
        <v>8.4900000000000003E-2</v>
      </c>
      <c r="K20" s="35">
        <f t="shared" si="5"/>
        <v>7.8899999999999998E-2</v>
      </c>
      <c r="L20" s="36">
        <f t="shared" si="5"/>
        <v>7.9899999999999999E-2</v>
      </c>
      <c r="M20" s="50"/>
      <c r="N20" s="50"/>
    </row>
    <row r="21" spans="1:15" ht="15" thickBot="1" x14ac:dyDescent="0.35">
      <c r="A21" s="50"/>
      <c r="B21" s="50"/>
      <c r="C21" s="50"/>
      <c r="D21" s="37"/>
      <c r="E21" s="50"/>
      <c r="F21" s="50"/>
      <c r="G21" s="50"/>
      <c r="H21" s="50"/>
      <c r="I21" s="50"/>
      <c r="J21" s="50"/>
      <c r="K21" s="50"/>
      <c r="L21" s="50"/>
      <c r="M21" s="50"/>
      <c r="N21" s="50"/>
    </row>
    <row r="22" spans="1:15" x14ac:dyDescent="0.3">
      <c r="A22" s="50"/>
      <c r="B22" s="25" t="s">
        <v>17</v>
      </c>
      <c r="C22" s="40">
        <f ca="1">DURATION(F2,D11,D10,D14,2,0)</f>
        <v>7.4619009471484006</v>
      </c>
      <c r="D22" s="26">
        <f ca="1">-(D17-D16)/($C$17*D16)</f>
        <v>7.3159695148077697</v>
      </c>
      <c r="E22" s="26">
        <f t="shared" ref="E22:L22" ca="1" si="6">-(E17-E16)/($C$17*E16)</f>
        <v>5.4295973539821114</v>
      </c>
      <c r="F22" s="26">
        <f t="shared" ca="1" si="6"/>
        <v>4.998165041769389</v>
      </c>
      <c r="G22" s="26">
        <f t="shared" ca="1" si="6"/>
        <v>3.1934806420221471</v>
      </c>
      <c r="H22" s="26">
        <f t="shared" ca="1" si="6"/>
        <v>0.78789152231232762</v>
      </c>
      <c r="I22" s="26">
        <f t="shared" ca="1" si="6"/>
        <v>8.5568171677642552E-2</v>
      </c>
      <c r="J22" s="26">
        <f t="shared" ca="1" si="6"/>
        <v>0.24733287617316405</v>
      </c>
      <c r="K22" s="26">
        <f t="shared" ca="1" si="6"/>
        <v>8.5513304354349853E-2</v>
      </c>
      <c r="L22" s="27">
        <f t="shared" ca="1" si="6"/>
        <v>0.16611651842821862</v>
      </c>
      <c r="M22" s="53"/>
      <c r="N22" s="50"/>
    </row>
    <row r="23" spans="1:15" x14ac:dyDescent="0.3">
      <c r="A23" s="50"/>
      <c r="B23" s="28" t="s">
        <v>18</v>
      </c>
      <c r="C23" s="52"/>
      <c r="D23" s="30">
        <f ca="1">-(D18-D16)/($C$18*D16)</f>
        <v>7.3232315768254352</v>
      </c>
      <c r="E23" s="30">
        <f t="shared" ref="E23:L23" ca="1" si="7">-(E18-E16)/($C$18*E16)</f>
        <v>5.4333138872828233</v>
      </c>
      <c r="F23" s="30">
        <f t="shared" ca="1" si="7"/>
        <v>5.0012805801086317</v>
      </c>
      <c r="G23" s="30">
        <f t="shared" ca="1" si="7"/>
        <v>3.1947332349292479</v>
      </c>
      <c r="H23" s="30">
        <f t="shared" ca="1" si="7"/>
        <v>0.78799150395404205</v>
      </c>
      <c r="I23" s="30">
        <f t="shared" ca="1" si="7"/>
        <v>8.5569588263344362E-2</v>
      </c>
      <c r="J23" s="30">
        <f t="shared" ca="1" si="7"/>
        <v>0.24734485400560458</v>
      </c>
      <c r="K23" s="30">
        <f t="shared" ca="1" si="7"/>
        <v>8.5514720267781619E-2</v>
      </c>
      <c r="L23" s="31">
        <f t="shared" ca="1" si="7"/>
        <v>0.1661218929806699</v>
      </c>
      <c r="M23" s="53"/>
      <c r="N23" s="50"/>
    </row>
    <row r="24" spans="1:15" ht="15" thickBot="1" x14ac:dyDescent="0.35">
      <c r="A24" s="50"/>
      <c r="B24" s="34" t="s">
        <v>19</v>
      </c>
      <c r="C24" s="41"/>
      <c r="D24" s="38">
        <f ca="1">AVERAGE(D22:D23)</f>
        <v>7.319600545816602</v>
      </c>
      <c r="E24" s="38">
        <f t="shared" ref="E24:L24" ca="1" si="8">AVERAGE(E22:E23)</f>
        <v>5.4314556206324678</v>
      </c>
      <c r="F24" s="38">
        <f t="shared" ca="1" si="8"/>
        <v>4.9997228109390104</v>
      </c>
      <c r="G24" s="38">
        <f t="shared" ca="1" si="8"/>
        <v>3.1941069384756977</v>
      </c>
      <c r="H24" s="38">
        <f t="shared" ca="1" si="8"/>
        <v>0.78794151313318483</v>
      </c>
      <c r="I24" s="38">
        <f t="shared" ca="1" si="8"/>
        <v>8.556887997049345E-2</v>
      </c>
      <c r="J24" s="38">
        <f t="shared" ca="1" si="8"/>
        <v>0.2473388650893843</v>
      </c>
      <c r="K24" s="38">
        <f t="shared" ca="1" si="8"/>
        <v>8.5514012311065729E-2</v>
      </c>
      <c r="L24" s="39">
        <f t="shared" ca="1" si="8"/>
        <v>0.16611920570444427</v>
      </c>
      <c r="M24" s="53"/>
      <c r="N24" s="50"/>
    </row>
    <row r="25" spans="1:15" ht="15" thickBot="1" x14ac:dyDescent="0.35">
      <c r="A25" s="50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0"/>
    </row>
    <row r="26" spans="1:15" x14ac:dyDescent="0.3">
      <c r="A26" s="50"/>
      <c r="B26" s="25" t="s">
        <v>20</v>
      </c>
      <c r="C26" s="40"/>
      <c r="D26" s="26">
        <f ca="1">(D17+D18-2*D16)/(($C$17^2)*2*D16)</f>
        <v>36.310310088331335</v>
      </c>
      <c r="E26" s="26">
        <f ca="1">(E17+E18-2*E16)/(($C$17^2)*2*E16)</f>
        <v>18.582666503555764</v>
      </c>
      <c r="F26" s="26">
        <f t="shared" ref="F26:L26" ca="1" si="9">(F17+F18-2*F16)/(($C$17^2)*2*F16)</f>
        <v>15.577691689139392</v>
      </c>
      <c r="G26" s="26">
        <f t="shared" ca="1" si="9"/>
        <v>6.2629645355032082</v>
      </c>
      <c r="H26" s="26">
        <f t="shared" ca="1" si="9"/>
        <v>0.4999082085720834</v>
      </c>
      <c r="I26" s="26">
        <f t="shared" ca="1" si="9"/>
        <v>7.0829285090181346E-3</v>
      </c>
      <c r="J26" s="26">
        <f t="shared" ca="1" si="9"/>
        <v>5.9889169311212562E-2</v>
      </c>
      <c r="K26" s="26">
        <f t="shared" ca="1" si="9"/>
        <v>7.0795671588223287E-3</v>
      </c>
      <c r="L26" s="27">
        <f t="shared" ca="1" si="9"/>
        <v>2.6872755148454448E-2</v>
      </c>
      <c r="M26" s="53"/>
      <c r="N26" s="50"/>
    </row>
    <row r="27" spans="1:15" ht="15" thickBot="1" x14ac:dyDescent="0.35">
      <c r="A27" s="50"/>
      <c r="B27" s="34" t="s">
        <v>21</v>
      </c>
      <c r="C27" s="41"/>
      <c r="D27" s="42">
        <f ca="1">D26*($C$17)^2</f>
        <v>3.6310310088331336E-7</v>
      </c>
      <c r="E27" s="42">
        <f t="shared" ref="E27:L27" ca="1" si="10">E26*($C$17)^2</f>
        <v>1.8582666503555764E-7</v>
      </c>
      <c r="F27" s="42">
        <f t="shared" ca="1" si="10"/>
        <v>1.5577691689139393E-7</v>
      </c>
      <c r="G27" s="42">
        <f t="shared" ca="1" si="10"/>
        <v>6.2629645355032081E-8</v>
      </c>
      <c r="H27" s="42">
        <f t="shared" ca="1" si="10"/>
        <v>4.9990820857208339E-9</v>
      </c>
      <c r="I27" s="42">
        <f t="shared" ca="1" si="10"/>
        <v>7.0829285090181347E-11</v>
      </c>
      <c r="J27" s="42">
        <f t="shared" ca="1" si="10"/>
        <v>5.9889169311212568E-10</v>
      </c>
      <c r="K27" s="42">
        <f t="shared" ca="1" si="10"/>
        <v>7.0795671588223287E-11</v>
      </c>
      <c r="L27" s="43">
        <f t="shared" ca="1" si="10"/>
        <v>2.6872755148454446E-10</v>
      </c>
      <c r="M27" s="53"/>
      <c r="N27" s="50"/>
    </row>
    <row r="28" spans="1:15" ht="15" thickBot="1" x14ac:dyDescent="0.3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0"/>
    </row>
    <row r="29" spans="1:15" x14ac:dyDescent="0.3">
      <c r="A29" s="62" t="s">
        <v>22</v>
      </c>
      <c r="B29" s="44">
        <f>D9</f>
        <v>2030</v>
      </c>
      <c r="C29" s="44">
        <f t="shared" ref="C29:J29" si="11">E9</f>
        <v>2026</v>
      </c>
      <c r="D29" s="44">
        <f t="shared" si="11"/>
        <v>2025</v>
      </c>
      <c r="E29" s="44">
        <f t="shared" si="11"/>
        <v>2022</v>
      </c>
      <c r="F29" s="44">
        <f t="shared" si="11"/>
        <v>2019</v>
      </c>
      <c r="G29" s="44" t="str">
        <f t="shared" si="11"/>
        <v>1MCD</v>
      </c>
      <c r="H29" s="44" t="str">
        <f t="shared" si="11"/>
        <v>3MCD</v>
      </c>
      <c r="I29" s="44" t="str">
        <f t="shared" si="11"/>
        <v>91DTB (RM 30D)</v>
      </c>
      <c r="J29" s="44" t="str">
        <f t="shared" si="11"/>
        <v>91DTB (RM 60D)</v>
      </c>
      <c r="K29" s="44" t="s">
        <v>23</v>
      </c>
      <c r="L29" s="44" t="s">
        <v>24</v>
      </c>
      <c r="M29" s="45" t="s">
        <v>25</v>
      </c>
      <c r="N29" s="50"/>
    </row>
    <row r="30" spans="1:15" x14ac:dyDescent="0.3">
      <c r="A30" s="63"/>
      <c r="B30" s="46">
        <v>0.3</v>
      </c>
      <c r="C30" s="46">
        <v>8.1760501949963246E-2</v>
      </c>
      <c r="D30" s="46">
        <v>0</v>
      </c>
      <c r="E30" s="46">
        <v>0</v>
      </c>
      <c r="F30" s="46">
        <v>0.3</v>
      </c>
      <c r="G30" s="46">
        <v>0.1</v>
      </c>
      <c r="H30" s="46">
        <v>0.1</v>
      </c>
      <c r="I30" s="46">
        <v>1.8239498050036877E-2</v>
      </c>
      <c r="J30" s="46">
        <v>0.1</v>
      </c>
      <c r="K30" s="46">
        <f>SUM(B30:J30)</f>
        <v>1.0000000000000002</v>
      </c>
      <c r="L30" s="46">
        <f>1-K30</f>
        <v>0</v>
      </c>
      <c r="M30" s="47">
        <f>K30+L30</f>
        <v>1.0000000000000002</v>
      </c>
      <c r="N30" s="50"/>
    </row>
    <row r="31" spans="1:15" ht="15" thickBot="1" x14ac:dyDescent="0.35">
      <c r="A31" s="64"/>
      <c r="B31" s="48">
        <f>B30*$M$31</f>
        <v>75000000</v>
      </c>
      <c r="C31" s="48">
        <f t="shared" ref="C31:L31" si="12">C30*$M$31</f>
        <v>20440125.48749081</v>
      </c>
      <c r="D31" s="48">
        <f t="shared" si="12"/>
        <v>0</v>
      </c>
      <c r="E31" s="48">
        <f t="shared" si="12"/>
        <v>0</v>
      </c>
      <c r="F31" s="48">
        <f t="shared" si="12"/>
        <v>75000000</v>
      </c>
      <c r="G31" s="48">
        <f t="shared" si="12"/>
        <v>25000000</v>
      </c>
      <c r="H31" s="48">
        <f t="shared" si="12"/>
        <v>25000000</v>
      </c>
      <c r="I31" s="48">
        <f t="shared" si="12"/>
        <v>4559874.5125092193</v>
      </c>
      <c r="J31" s="48">
        <f t="shared" si="12"/>
        <v>25000000</v>
      </c>
      <c r="K31" s="48">
        <f t="shared" si="12"/>
        <v>250000000.00000006</v>
      </c>
      <c r="L31" s="48">
        <f t="shared" si="12"/>
        <v>0</v>
      </c>
      <c r="M31" s="49">
        <f>C5</f>
        <v>250000000</v>
      </c>
      <c r="N31" s="50"/>
    </row>
    <row r="32" spans="1:15" x14ac:dyDescent="0.3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</row>
    <row r="33" spans="1:14" x14ac:dyDescent="0.3">
      <c r="A33" s="54" t="s">
        <v>39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</row>
    <row r="34" spans="1:14" x14ac:dyDescent="0.3">
      <c r="A34" s="50" t="s">
        <v>43</v>
      </c>
    </row>
  </sheetData>
  <scenarios current="1">
    <scenario name="Scenario1" count="9" user="reuter" comment="Created by reuter on 1/23/2013">
      <inputCells r="B30" val="0.2" numFmtId="9"/>
      <inputCells r="C30" val="0.2" numFmtId="9"/>
      <inputCells r="D30" val="0.2" numFmtId="9"/>
      <inputCells r="E30" val="0.2" numFmtId="9"/>
      <inputCells r="F30" val="0.2" numFmtId="9"/>
      <inputCells r="G30" val="0.2" numFmtId="9"/>
      <inputCells r="H30" val="0.2" numFmtId="9"/>
      <inputCells r="I30" val="0.2" numFmtId="9"/>
      <inputCells r="J30" val="0.2" numFmtId="9"/>
    </scenario>
    <scenario name="aa" count="9" user="reuter" comment="Created by reuter on 1/23/2013">
      <inputCells r="B30" val="0" numFmtId="9"/>
      <inputCells r="C30" val="0.2" numFmtId="9"/>
      <inputCells r="D30" val="0.2" numFmtId="9"/>
      <inputCells r="E30" val="0.2" numFmtId="9"/>
      <inputCells r="F30" val="0.2" numFmtId="9"/>
      <inputCells r="G30" val="0.2" numFmtId="9"/>
      <inputCells r="H30" val="0" numFmtId="9"/>
      <inputCells r="I30" val="0" numFmtId="9"/>
      <inputCells r="J30" val="0" numFmtId="9"/>
    </scenario>
  </scenarios>
  <mergeCells count="7">
    <mergeCell ref="A29:A31"/>
    <mergeCell ref="H1:I1"/>
    <mergeCell ref="M1:N1"/>
    <mergeCell ref="B7:L7"/>
    <mergeCell ref="D8:L8"/>
    <mergeCell ref="B8:B9"/>
    <mergeCell ref="C8:C9"/>
  </mergeCells>
  <hyperlinks>
    <hyperlink ref="A33" r:id="rId1" xr:uid="{00000000-0004-0000-0000-000000000000}"/>
  </hyperlinks>
  <pageMargins left="0.7" right="0.7" top="0.75" bottom="0.75" header="0.3" footer="0.3"/>
  <pageSetup orientation="portrait" verticalDpi="0" r:id="rId2"/>
  <ignoredErrors>
    <ignoredError sqref="M14:M31 I2:I5 D14:L14 B6:L8 B14:C21 B3:H5 J3:L5 B31:C31 D31:L31 K30:L30 B2:F2 G2:H2 J2:L2 B23:C29 B22 B10:L10 B9:G9 I9:L9 B12:L13 B11:G11 I11:L11 D16:L29" unlockedFormula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4474-ACCA-43BF-BFCE-B176C16E8B75}">
  <dimension ref="A2:U23"/>
  <sheetViews>
    <sheetView tabSelected="1" workbookViewId="0">
      <selection activeCell="V16" sqref="V16"/>
    </sheetView>
  </sheetViews>
  <sheetFormatPr defaultRowHeight="14.4" x14ac:dyDescent="0.3"/>
  <cols>
    <col min="4" max="4" width="10.5546875" customWidth="1"/>
    <col min="6" max="6" width="10.21875" customWidth="1"/>
    <col min="10" max="10" width="8.44140625" customWidth="1"/>
    <col min="11" max="11" width="4.6640625" customWidth="1"/>
    <col min="15" max="15" width="9.88671875" customWidth="1"/>
    <col min="18" max="18" width="12" bestFit="1" customWidth="1"/>
  </cols>
  <sheetData>
    <row r="2" spans="1:21" ht="78" customHeight="1" x14ac:dyDescent="0.3">
      <c r="B2" s="76" t="s">
        <v>44</v>
      </c>
      <c r="C2" s="76" t="s">
        <v>45</v>
      </c>
      <c r="D2" s="76" t="s">
        <v>46</v>
      </c>
      <c r="E2" s="76" t="s">
        <v>47</v>
      </c>
      <c r="F2" s="76" t="s">
        <v>48</v>
      </c>
      <c r="I2" s="76"/>
    </row>
    <row r="3" spans="1:21" x14ac:dyDescent="0.3">
      <c r="A3" t="s">
        <v>49</v>
      </c>
      <c r="B3">
        <v>4</v>
      </c>
      <c r="C3" s="77">
        <v>7.0000000000000007E-2</v>
      </c>
      <c r="D3" s="77">
        <v>0.1</v>
      </c>
      <c r="E3">
        <f>B3*D3</f>
        <v>0.4</v>
      </c>
      <c r="F3" s="77">
        <f>C3*D3</f>
        <v>7.000000000000001E-3</v>
      </c>
    </row>
    <row r="4" spans="1:21" x14ac:dyDescent="0.3">
      <c r="A4" t="s">
        <v>50</v>
      </c>
      <c r="B4">
        <v>5</v>
      </c>
      <c r="C4" s="77">
        <v>0.08</v>
      </c>
      <c r="D4" s="77">
        <v>0.1</v>
      </c>
      <c r="E4">
        <f t="shared" ref="E4:E6" si="0">B4*D4</f>
        <v>0.5</v>
      </c>
      <c r="F4" s="77">
        <f t="shared" ref="F4:F6" si="1">C4*D4</f>
        <v>8.0000000000000002E-3</v>
      </c>
    </row>
    <row r="5" spans="1:21" x14ac:dyDescent="0.3">
      <c r="A5" t="s">
        <v>51</v>
      </c>
      <c r="B5">
        <v>6</v>
      </c>
      <c r="C5" s="77">
        <v>0.09</v>
      </c>
      <c r="D5" s="77">
        <v>0.70000000000000007</v>
      </c>
      <c r="E5">
        <f t="shared" si="0"/>
        <v>4.2</v>
      </c>
      <c r="F5" s="77">
        <f t="shared" si="1"/>
        <v>6.3E-2</v>
      </c>
    </row>
    <row r="6" spans="1:21" x14ac:dyDescent="0.3">
      <c r="A6" t="s">
        <v>52</v>
      </c>
      <c r="B6">
        <v>3</v>
      </c>
      <c r="C6" s="77">
        <v>0.06</v>
      </c>
      <c r="D6" s="77">
        <v>0.1</v>
      </c>
      <c r="E6">
        <f t="shared" si="0"/>
        <v>0.30000000000000004</v>
      </c>
      <c r="F6" s="77">
        <f t="shared" si="1"/>
        <v>6.0000000000000001E-3</v>
      </c>
    </row>
    <row r="7" spans="1:21" x14ac:dyDescent="0.3">
      <c r="P7" s="77"/>
    </row>
    <row r="8" spans="1:21" x14ac:dyDescent="0.3">
      <c r="M8" t="s">
        <v>36</v>
      </c>
      <c r="N8" t="s">
        <v>55</v>
      </c>
      <c r="O8" t="s">
        <v>65</v>
      </c>
      <c r="P8" t="s">
        <v>36</v>
      </c>
      <c r="Q8" t="s">
        <v>60</v>
      </c>
    </row>
    <row r="9" spans="1:21" x14ac:dyDescent="0.3">
      <c r="L9" t="s">
        <v>68</v>
      </c>
      <c r="M9">
        <v>13.555</v>
      </c>
      <c r="N9">
        <v>3.52</v>
      </c>
      <c r="O9" s="77">
        <v>0.25</v>
      </c>
      <c r="P9">
        <f>O9*M9</f>
        <v>3.3887499999999999</v>
      </c>
      <c r="Q9">
        <f>O9*M17</f>
        <v>94.5</v>
      </c>
    </row>
    <row r="11" spans="1:21" x14ac:dyDescent="0.3">
      <c r="D11" t="s">
        <v>54</v>
      </c>
      <c r="E11" t="s">
        <v>36</v>
      </c>
      <c r="F11" t="s">
        <v>55</v>
      </c>
    </row>
    <row r="12" spans="1:21" x14ac:dyDescent="0.3">
      <c r="D12" s="77">
        <f>SUM(D3:D6)</f>
        <v>1.0000000000000002</v>
      </c>
      <c r="E12">
        <f>SUM(E3:E6)</f>
        <v>5.4</v>
      </c>
      <c r="F12" s="77">
        <f>SUM(F3:F6)</f>
        <v>8.4000000000000005E-2</v>
      </c>
    </row>
    <row r="13" spans="1:21" x14ac:dyDescent="0.3">
      <c r="E13" t="s">
        <v>56</v>
      </c>
      <c r="F13" t="s">
        <v>57</v>
      </c>
      <c r="M13" t="s">
        <v>65</v>
      </c>
      <c r="N13" t="s">
        <v>60</v>
      </c>
    </row>
    <row r="14" spans="1:21" x14ac:dyDescent="0.3">
      <c r="L14" t="s">
        <v>64</v>
      </c>
      <c r="M14" s="77">
        <v>0.05</v>
      </c>
      <c r="N14">
        <f>M14*B17</f>
        <v>18</v>
      </c>
      <c r="Q14" s="77"/>
    </row>
    <row r="15" spans="1:21" x14ac:dyDescent="0.3">
      <c r="C15" s="79" t="s">
        <v>58</v>
      </c>
      <c r="D15" s="79"/>
      <c r="E15" s="79" t="s">
        <v>59</v>
      </c>
      <c r="F15" s="79"/>
      <c r="G15" s="79" t="s">
        <v>63</v>
      </c>
      <c r="H15" s="79"/>
      <c r="I15" s="80" t="s">
        <v>66</v>
      </c>
      <c r="J15" s="80"/>
      <c r="N15" s="79" t="s">
        <v>58</v>
      </c>
      <c r="O15" s="79"/>
      <c r="P15" s="79" t="s">
        <v>59</v>
      </c>
      <c r="Q15" s="79"/>
      <c r="R15" s="79" t="s">
        <v>63</v>
      </c>
      <c r="S15" s="79"/>
      <c r="T15" s="80" t="s">
        <v>66</v>
      </c>
      <c r="U15" s="80"/>
    </row>
    <row r="16" spans="1:21" x14ac:dyDescent="0.3">
      <c r="B16" t="s">
        <v>53</v>
      </c>
      <c r="C16" t="s">
        <v>36</v>
      </c>
      <c r="D16" t="s">
        <v>65</v>
      </c>
      <c r="E16" t="s">
        <v>36</v>
      </c>
      <c r="F16" t="s">
        <v>65</v>
      </c>
      <c r="G16" t="s">
        <v>36</v>
      </c>
      <c r="H16" t="s">
        <v>65</v>
      </c>
      <c r="I16" t="s">
        <v>36</v>
      </c>
      <c r="M16" t="s">
        <v>53</v>
      </c>
      <c r="N16" t="s">
        <v>36</v>
      </c>
      <c r="O16" t="s">
        <v>65</v>
      </c>
      <c r="P16" t="s">
        <v>36</v>
      </c>
      <c r="Q16" t="s">
        <v>65</v>
      </c>
      <c r="R16" t="s">
        <v>36</v>
      </c>
      <c r="S16" t="s">
        <v>65</v>
      </c>
      <c r="T16" t="s">
        <v>36</v>
      </c>
      <c r="U16" t="s">
        <v>65</v>
      </c>
    </row>
    <row r="17" spans="1:21" x14ac:dyDescent="0.3">
      <c r="A17" t="s">
        <v>61</v>
      </c>
      <c r="B17">
        <v>360</v>
      </c>
      <c r="C17">
        <v>0.5</v>
      </c>
      <c r="D17" s="77">
        <v>0.12</v>
      </c>
      <c r="E17">
        <v>1.1000000000000001</v>
      </c>
      <c r="F17" s="77">
        <v>0.3</v>
      </c>
      <c r="G17">
        <v>1.1000000000000001</v>
      </c>
      <c r="H17" s="77">
        <v>0.57999999999999996</v>
      </c>
      <c r="I17">
        <f>(C17*D17)+(E17*F17)+(G17*H17)</f>
        <v>1.028</v>
      </c>
      <c r="L17" t="s">
        <v>61</v>
      </c>
      <c r="M17">
        <f>B17+(B17*$M$14)</f>
        <v>378</v>
      </c>
      <c r="N17">
        <v>0.5</v>
      </c>
      <c r="O17" s="77">
        <f>D17-$M$14</f>
        <v>6.9999999999999993E-2</v>
      </c>
      <c r="P17">
        <f>E17+P9</f>
        <v>4.4887499999999996</v>
      </c>
      <c r="Q17" s="77">
        <f>F17+O9</f>
        <v>0.55000000000000004</v>
      </c>
      <c r="R17">
        <v>1.1000000000000001</v>
      </c>
      <c r="S17" s="77">
        <v>0.38</v>
      </c>
      <c r="T17">
        <f>(N17*O17)+(P17*Q17)+(R17*S17)</f>
        <v>2.9218125000000001</v>
      </c>
      <c r="U17" s="77">
        <f>SUM(O17,Q17,S17)</f>
        <v>1</v>
      </c>
    </row>
    <row r="18" spans="1:21" x14ac:dyDescent="0.3">
      <c r="A18" t="s">
        <v>62</v>
      </c>
      <c r="B18">
        <v>8745</v>
      </c>
      <c r="C18">
        <v>0.3</v>
      </c>
      <c r="D18" s="77">
        <v>0.15</v>
      </c>
      <c r="E18">
        <v>1.5</v>
      </c>
      <c r="F18" s="77">
        <v>0.28000000000000003</v>
      </c>
      <c r="G18">
        <v>1.5</v>
      </c>
      <c r="H18" s="77">
        <v>0.54</v>
      </c>
      <c r="I18">
        <f>(C18*D18)+(E18*F18)+(G18*H18)</f>
        <v>1.2750000000000001</v>
      </c>
      <c r="L18" t="s">
        <v>62</v>
      </c>
      <c r="M18">
        <f>B18+(B18*$M$14)</f>
        <v>9182.25</v>
      </c>
      <c r="N18">
        <v>0.3</v>
      </c>
      <c r="O18" s="77">
        <f>D18-$M$14</f>
        <v>9.9999999999999992E-2</v>
      </c>
      <c r="P18">
        <v>1.5</v>
      </c>
      <c r="Q18" s="77">
        <v>0.28000000000000003</v>
      </c>
      <c r="R18">
        <v>1.5</v>
      </c>
      <c r="S18" s="77">
        <v>0.54</v>
      </c>
      <c r="T18">
        <f>(N18*O18)+(P18*Q18)+(R18*S18)</f>
        <v>1.26</v>
      </c>
      <c r="U18" s="77">
        <f>SUM(O18,Q18,S18)</f>
        <v>0.92</v>
      </c>
    </row>
    <row r="22" spans="1:21" x14ac:dyDescent="0.3">
      <c r="D22" s="77"/>
      <c r="E22" s="77"/>
      <c r="F22" s="77"/>
      <c r="G22" s="78"/>
    </row>
    <row r="23" spans="1:21" x14ac:dyDescent="0.3">
      <c r="D23" s="77"/>
      <c r="E23" s="77"/>
      <c r="F23" s="77"/>
      <c r="G23" s="78"/>
    </row>
  </sheetData>
  <scenarios current="0">
    <scenario name="Test1" count="4" user="Prompong Pantuworn" comment="Created by Prompong Pantuworn on 9/4/2018">
      <inputCells r="D3" val="0" numFmtId="9"/>
      <inputCells r="D4" val="0" numFmtId="9"/>
      <inputCells r="D5" val="1" numFmtId="9"/>
      <inputCells r="D6" val="0" numFmtId="9"/>
    </scenario>
  </scenarios>
  <mergeCells count="8">
    <mergeCell ref="N15:O15"/>
    <mergeCell ref="P15:Q15"/>
    <mergeCell ref="R15:S15"/>
    <mergeCell ref="T15:U15"/>
    <mergeCell ref="C15:D15"/>
    <mergeCell ref="E15:F15"/>
    <mergeCell ref="G15:H15"/>
    <mergeCell ref="I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31EC-9444-4CB4-9C22-3304119DE3CC}">
  <dimension ref="A4:G12"/>
  <sheetViews>
    <sheetView workbookViewId="0">
      <selection activeCell="E11" sqref="E11"/>
    </sheetView>
  </sheetViews>
  <sheetFormatPr defaultRowHeight="14.4" x14ac:dyDescent="0.3"/>
  <sheetData>
    <row r="4" spans="1:7" x14ac:dyDescent="0.3">
      <c r="A4" t="s">
        <v>67</v>
      </c>
      <c r="B4" t="s">
        <v>53</v>
      </c>
      <c r="C4" t="s">
        <v>58</v>
      </c>
      <c r="D4" t="s">
        <v>59</v>
      </c>
      <c r="E4" t="s">
        <v>63</v>
      </c>
      <c r="F4" t="s">
        <v>36</v>
      </c>
      <c r="G4" t="s">
        <v>65</v>
      </c>
    </row>
    <row r="5" spans="1:7" x14ac:dyDescent="0.3">
      <c r="A5" t="s">
        <v>61</v>
      </c>
      <c r="B5">
        <v>360</v>
      </c>
      <c r="C5" s="77">
        <v>0.12</v>
      </c>
      <c r="D5" s="77">
        <v>0.3</v>
      </c>
      <c r="E5" s="77">
        <v>0.57999999999999996</v>
      </c>
    </row>
    <row r="6" spans="1:7" x14ac:dyDescent="0.3">
      <c r="A6" t="s">
        <v>62</v>
      </c>
      <c r="B6">
        <v>8745</v>
      </c>
      <c r="C6" s="77">
        <v>0.15</v>
      </c>
      <c r="D6" s="77">
        <v>0.28000000000000003</v>
      </c>
      <c r="E6" s="77">
        <v>0.54</v>
      </c>
    </row>
    <row r="10" spans="1:7" x14ac:dyDescent="0.3">
      <c r="A10" t="s">
        <v>67</v>
      </c>
      <c r="B10" t="s">
        <v>53</v>
      </c>
      <c r="C10" t="s">
        <v>58</v>
      </c>
      <c r="D10" t="s">
        <v>59</v>
      </c>
      <c r="E10" t="s">
        <v>63</v>
      </c>
      <c r="F10" t="s">
        <v>36</v>
      </c>
      <c r="G10" t="s">
        <v>65</v>
      </c>
    </row>
    <row r="11" spans="1:7" x14ac:dyDescent="0.3">
      <c r="A11" t="s">
        <v>61</v>
      </c>
      <c r="B11">
        <v>360</v>
      </c>
    </row>
    <row r="12" spans="1:7" x14ac:dyDescent="0.3">
      <c r="A12" t="s">
        <v>62</v>
      </c>
      <c r="B12">
        <v>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Sheet6</vt:lpstr>
    </vt:vector>
  </TitlesOfParts>
  <Company>money matters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</dc:creator>
  <cp:lastModifiedBy>Prompong Pantuworn</cp:lastModifiedBy>
  <dcterms:created xsi:type="dcterms:W3CDTF">2013-01-23T05:59:38Z</dcterms:created>
  <dcterms:modified xsi:type="dcterms:W3CDTF">2018-09-04T16:22:07Z</dcterms:modified>
</cp:coreProperties>
</file>