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ogle Drive\School\Chapman Grad\Data Modelling\"/>
    </mc:Choice>
  </mc:AlternateContent>
  <xr:revisionPtr revIDLastSave="0" documentId="13_ncr:1_{280269BD-067C-4E91-B3DD-420AA2389E05}" xr6:coauthVersionLast="45" xr6:coauthVersionMax="45" xr10:uidLastSave="{00000000-0000-0000-0000-000000000000}"/>
  <bookViews>
    <workbookView xWindow="43530" yWindow="2460" windowWidth="31965" windowHeight="15525" activeTab="6" xr2:uid="{3AD91038-C408-4540-B153-ADD540438274}"/>
  </bookViews>
  <sheets>
    <sheet name="3.1" sheetId="1" r:id="rId1"/>
    <sheet name="3.2" sheetId="2" r:id="rId2"/>
    <sheet name="3.3" sheetId="3" r:id="rId3"/>
    <sheet name="3.4" sheetId="4" r:id="rId4"/>
    <sheet name="4.1" sheetId="5" r:id="rId5"/>
    <sheet name="4.2" sheetId="6" r:id="rId6"/>
    <sheet name="4.3" sheetId="7" r:id="rId7"/>
  </sheets>
  <definedNames>
    <definedName name="_xlchart.v1.0" hidden="1">'4.1'!$D$2:$D$16</definedName>
    <definedName name="_xlchart.v1.1" hidden="1">'4.1'!$E$2:$E$16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7" l="1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G3" i="5"/>
  <c r="G4" i="5"/>
  <c r="G5" i="5"/>
  <c r="G6" i="5"/>
  <c r="G7" i="5"/>
  <c r="G8" i="5"/>
  <c r="G9" i="5"/>
  <c r="G10" i="5"/>
  <c r="G11" i="5"/>
  <c r="G13" i="5"/>
  <c r="G14" i="5"/>
  <c r="G15" i="5"/>
  <c r="G16" i="5"/>
  <c r="G2" i="5"/>
  <c r="F4" i="5"/>
  <c r="F5" i="5"/>
  <c r="F9" i="5"/>
  <c r="F11" i="5"/>
  <c r="F15" i="5"/>
  <c r="F16" i="5"/>
  <c r="D12" i="5"/>
  <c r="J2" i="5" s="1"/>
  <c r="E7" i="5"/>
  <c r="F7" i="5" s="1"/>
  <c r="E12" i="5"/>
  <c r="E8" i="5"/>
  <c r="F8" i="5" s="1"/>
  <c r="E3" i="5"/>
  <c r="F3" i="5" s="1"/>
  <c r="E6" i="5"/>
  <c r="F6" i="5" s="1"/>
  <c r="E2" i="5"/>
  <c r="K2" i="5" s="1"/>
  <c r="E14" i="5"/>
  <c r="F14" i="5" s="1"/>
  <c r="E13" i="5"/>
  <c r="D21" i="5" s="1"/>
  <c r="E10" i="5"/>
  <c r="F10" i="5" s="1"/>
  <c r="E4" i="5"/>
  <c r="E11" i="5"/>
  <c r="E5" i="5"/>
  <c r="E15" i="5"/>
  <c r="E9" i="5"/>
  <c r="E16" i="5"/>
  <c r="D8" i="5"/>
  <c r="D3" i="5"/>
  <c r="D6" i="5"/>
  <c r="D2" i="5"/>
  <c r="D14" i="5"/>
  <c r="D13" i="5"/>
  <c r="D10" i="5"/>
  <c r="D4" i="5"/>
  <c r="D11" i="5"/>
  <c r="D5" i="5"/>
  <c r="D15" i="5"/>
  <c r="D9" i="5"/>
  <c r="D16" i="5"/>
  <c r="D7" i="5"/>
  <c r="M2" i="4"/>
  <c r="M13" i="4"/>
  <c r="N13" i="4"/>
  <c r="L13" i="4"/>
  <c r="N2" i="4"/>
  <c r="L2" i="4"/>
  <c r="K3" i="4"/>
  <c r="K4" i="4"/>
  <c r="K5" i="4"/>
  <c r="K6" i="4"/>
  <c r="K7" i="4"/>
  <c r="K8" i="4"/>
  <c r="K9" i="4"/>
  <c r="K2" i="4"/>
  <c r="J3" i="4"/>
  <c r="J4" i="4"/>
  <c r="J5" i="4"/>
  <c r="J6" i="4"/>
  <c r="J7" i="4"/>
  <c r="J8" i="4"/>
  <c r="J9" i="4"/>
  <c r="J2" i="4"/>
  <c r="G2" i="4"/>
  <c r="I13" i="4"/>
  <c r="J17" i="4" s="1"/>
  <c r="K17" i="4" s="1"/>
  <c r="H13" i="4"/>
  <c r="G13" i="4"/>
  <c r="F14" i="4"/>
  <c r="F15" i="4"/>
  <c r="F16" i="4"/>
  <c r="F17" i="4"/>
  <c r="F18" i="4"/>
  <c r="F19" i="4"/>
  <c r="F20" i="4"/>
  <c r="F13" i="4"/>
  <c r="E14" i="4"/>
  <c r="E15" i="4"/>
  <c r="E16" i="4"/>
  <c r="E17" i="4"/>
  <c r="E18" i="4"/>
  <c r="E19" i="4"/>
  <c r="E20" i="4"/>
  <c r="E13" i="4"/>
  <c r="H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P26" i="3"/>
  <c r="O26" i="3"/>
  <c r="N26" i="3"/>
  <c r="L27" i="3"/>
  <c r="L28" i="3"/>
  <c r="L29" i="3"/>
  <c r="L30" i="3"/>
  <c r="L26" i="3"/>
  <c r="M26" i="3" s="1"/>
  <c r="M27" i="3"/>
  <c r="M28" i="3"/>
  <c r="M29" i="3"/>
  <c r="M30" i="3"/>
  <c r="P18" i="3"/>
  <c r="L19" i="3"/>
  <c r="M19" i="3" s="1"/>
  <c r="L20" i="3"/>
  <c r="L21" i="3"/>
  <c r="L22" i="3"/>
  <c r="L23" i="3"/>
  <c r="L24" i="3"/>
  <c r="L18" i="3"/>
  <c r="P2" i="3"/>
  <c r="L16" i="3"/>
  <c r="L15" i="3"/>
  <c r="L14" i="3"/>
  <c r="L13" i="3"/>
  <c r="L12" i="3"/>
  <c r="L11" i="3"/>
  <c r="L10" i="3"/>
  <c r="P9" i="3"/>
  <c r="L9" i="3"/>
  <c r="L3" i="3"/>
  <c r="L4" i="3"/>
  <c r="L5" i="3"/>
  <c r="L6" i="3"/>
  <c r="L7" i="3"/>
  <c r="L2" i="3"/>
  <c r="M20" i="3"/>
  <c r="M21" i="3"/>
  <c r="M22" i="3"/>
  <c r="M23" i="3"/>
  <c r="M24" i="3"/>
  <c r="M18" i="3"/>
  <c r="M9" i="3"/>
  <c r="M11" i="3"/>
  <c r="M12" i="3"/>
  <c r="M13" i="3"/>
  <c r="M14" i="3"/>
  <c r="M15" i="3"/>
  <c r="M16" i="3"/>
  <c r="M3" i="3"/>
  <c r="M4" i="3"/>
  <c r="M5" i="3"/>
  <c r="M6" i="3"/>
  <c r="M7" i="3"/>
  <c r="M2" i="3"/>
  <c r="F24" i="3"/>
  <c r="F23" i="3"/>
  <c r="F22" i="3"/>
  <c r="F21" i="3"/>
  <c r="F20" i="3"/>
  <c r="F19" i="3"/>
  <c r="I18" i="3"/>
  <c r="J18" i="3" s="1"/>
  <c r="F18" i="3"/>
  <c r="G18" i="3" s="1"/>
  <c r="E18" i="3"/>
  <c r="D18" i="3"/>
  <c r="C18" i="3"/>
  <c r="F16" i="3"/>
  <c r="F15" i="3"/>
  <c r="F14" i="3"/>
  <c r="F13" i="3"/>
  <c r="F12" i="3"/>
  <c r="F11" i="3"/>
  <c r="F10" i="3"/>
  <c r="I9" i="3"/>
  <c r="J9" i="3" s="1"/>
  <c r="F9" i="3"/>
  <c r="G9" i="3" s="1"/>
  <c r="E9" i="3"/>
  <c r="D9" i="3"/>
  <c r="C9" i="3"/>
  <c r="F7" i="3"/>
  <c r="F6" i="3"/>
  <c r="F5" i="3"/>
  <c r="F4" i="3"/>
  <c r="F3" i="3"/>
  <c r="I2" i="3"/>
  <c r="J2" i="3" s="1"/>
  <c r="F2" i="3"/>
  <c r="G2" i="3" s="1"/>
  <c r="E2" i="3"/>
  <c r="D2" i="3"/>
  <c r="C2" i="3"/>
  <c r="G2" i="2"/>
  <c r="J18" i="2"/>
  <c r="I18" i="2"/>
  <c r="G18" i="2"/>
  <c r="F19" i="2"/>
  <c r="F20" i="2"/>
  <c r="F21" i="2"/>
  <c r="F22" i="2"/>
  <c r="F23" i="2"/>
  <c r="F24" i="2"/>
  <c r="F18" i="2"/>
  <c r="E18" i="2"/>
  <c r="D18" i="2"/>
  <c r="C18" i="2"/>
  <c r="J9" i="2"/>
  <c r="E9" i="2"/>
  <c r="I9" i="2"/>
  <c r="G9" i="2"/>
  <c r="F10" i="2"/>
  <c r="F11" i="2"/>
  <c r="F12" i="2"/>
  <c r="F13" i="2"/>
  <c r="F14" i="2"/>
  <c r="F15" i="2"/>
  <c r="F16" i="2"/>
  <c r="F9" i="2"/>
  <c r="D9" i="2"/>
  <c r="C9" i="2"/>
  <c r="J2" i="2"/>
  <c r="I2" i="2"/>
  <c r="F3" i="2"/>
  <c r="F4" i="2"/>
  <c r="F5" i="2"/>
  <c r="F6" i="2"/>
  <c r="F7" i="2"/>
  <c r="F2" i="2"/>
  <c r="E2" i="2"/>
  <c r="D2" i="2"/>
  <c r="C2" i="2"/>
  <c r="P16" i="1"/>
  <c r="P1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2" i="1"/>
  <c r="D2" i="1"/>
  <c r="F12" i="5" l="1"/>
  <c r="G12" i="5"/>
  <c r="I2" i="5" s="1"/>
  <c r="F2" i="5"/>
  <c r="D20" i="5"/>
  <c r="E20" i="5" s="1"/>
  <c r="F13" i="5"/>
  <c r="J13" i="4"/>
  <c r="K13" i="4" s="1"/>
  <c r="J15" i="4"/>
  <c r="K15" i="4" s="1"/>
  <c r="J20" i="4"/>
  <c r="K20" i="4" s="1"/>
  <c r="J18" i="4"/>
  <c r="K18" i="4" s="1"/>
  <c r="J16" i="4"/>
  <c r="K16" i="4" s="1"/>
  <c r="J14" i="4"/>
  <c r="K14" i="4" s="1"/>
  <c r="J19" i="4"/>
  <c r="K19" i="4" s="1"/>
  <c r="I2" i="4"/>
  <c r="N18" i="3"/>
  <c r="O18" i="3" s="1"/>
  <c r="M10" i="3"/>
  <c r="N9" i="3" s="1"/>
  <c r="O9" i="3" s="1"/>
  <c r="N2" i="3"/>
  <c r="O2" i="3" s="1"/>
  <c r="H2" i="5" l="1"/>
  <c r="L2" i="5" s="1"/>
  <c r="M2" i="5" s="1"/>
</calcChain>
</file>

<file path=xl/sharedStrings.xml><?xml version="1.0" encoding="utf-8"?>
<sst xmlns="http://schemas.openxmlformats.org/spreadsheetml/2006/main" count="80" uniqueCount="48">
  <si>
    <t>P</t>
  </si>
  <si>
    <t>V</t>
  </si>
  <si>
    <t>lnv</t>
  </si>
  <si>
    <t>Lnv</t>
  </si>
  <si>
    <t>Lnp</t>
  </si>
  <si>
    <t>x</t>
  </si>
  <si>
    <t>y</t>
  </si>
  <si>
    <t>sumx</t>
  </si>
  <si>
    <t>sumy</t>
  </si>
  <si>
    <t>sumx^2</t>
  </si>
  <si>
    <t>sumxy</t>
  </si>
  <si>
    <t>xy</t>
  </si>
  <si>
    <t>a</t>
  </si>
  <si>
    <t>b</t>
  </si>
  <si>
    <t>estimate</t>
  </si>
  <si>
    <t>diffsq</t>
  </si>
  <si>
    <t>sumsq</t>
  </si>
  <si>
    <t>d</t>
  </si>
  <si>
    <t>abs(y-y(X))</t>
  </si>
  <si>
    <t>max</t>
  </si>
  <si>
    <t>l</t>
  </si>
  <si>
    <t>w</t>
  </si>
  <si>
    <t>l^3</t>
  </si>
  <si>
    <t>l^6</t>
  </si>
  <si>
    <t>l3*w</t>
  </si>
  <si>
    <t>g</t>
  </si>
  <si>
    <t>l*g^2*w</t>
  </si>
  <si>
    <t>k</t>
  </si>
  <si>
    <t>sum l^6</t>
  </si>
  <si>
    <t>sum wl^3</t>
  </si>
  <si>
    <t>sum wlg^2</t>
  </si>
  <si>
    <t>sum l^2g^4</t>
  </si>
  <si>
    <t>l^2*g^4</t>
  </si>
  <si>
    <t>y-est</t>
  </si>
  <si>
    <t>dmin</t>
  </si>
  <si>
    <t>dmax</t>
  </si>
  <si>
    <t>logp</t>
  </si>
  <si>
    <t>logv</t>
  </si>
  <si>
    <t>dx</t>
  </si>
  <si>
    <t>dy</t>
  </si>
  <si>
    <t>logp*logy</t>
  </si>
  <si>
    <t>logp^2</t>
  </si>
  <si>
    <t>V=1.397p^.096013</t>
  </si>
  <si>
    <t>c</t>
  </si>
  <si>
    <t>t</t>
  </si>
  <si>
    <t>Divided Difference Table 18 terms needed</t>
  </si>
  <si>
    <t>abs diff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</si>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</sst>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3.1 -4a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601356080489936"/>
                  <c:y val="-0.166573344998541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8.0063x - 0.2266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'3.1'!$D$2:$D$16</c:f>
              <c:numCache>
                <c:formatCode>General</c:formatCode>
                <c:ptCount val="15"/>
                <c:pt idx="0">
                  <c:v>0.81977983149331135</c:v>
                </c:pt>
                <c:pt idx="1">
                  <c:v>1.0152306797290584</c:v>
                </c:pt>
                <c:pt idx="2">
                  <c:v>1.1847899849091621</c:v>
                </c:pt>
                <c:pt idx="3">
                  <c:v>1.1969481893889715</c:v>
                </c:pt>
                <c:pt idx="4">
                  <c:v>1.3083328196501789</c:v>
                </c:pt>
                <c:pt idx="5">
                  <c:v>1.3480731482996928</c:v>
                </c:pt>
                <c:pt idx="6">
                  <c:v>1.4609379041156563</c:v>
                </c:pt>
                <c:pt idx="7">
                  <c:v>1.4793292270870799</c:v>
                </c:pt>
                <c:pt idx="8">
                  <c:v>1.4861396960896067</c:v>
                </c:pt>
                <c:pt idx="9">
                  <c:v>1.5706970841176697</c:v>
                </c:pt>
                <c:pt idx="10">
                  <c:v>1.589235205116581</c:v>
                </c:pt>
                <c:pt idx="11">
                  <c:v>1.6193882432872684</c:v>
                </c:pt>
                <c:pt idx="12">
                  <c:v>1.6505798557652755</c:v>
                </c:pt>
                <c:pt idx="13">
                  <c:v>1.7263316639055997</c:v>
                </c:pt>
                <c:pt idx="14">
                  <c:v>1.7715567619105355</c:v>
                </c:pt>
              </c:numCache>
            </c:numRef>
          </c:xVal>
          <c:yVal>
            <c:numRef>
              <c:f>'3.1'!$E$2:$E$16</c:f>
              <c:numCache>
                <c:formatCode>General</c:formatCode>
                <c:ptCount val="15"/>
                <c:pt idx="0">
                  <c:v>7.8240460108562919</c:v>
                </c:pt>
                <c:pt idx="1">
                  <c:v>5.8998973535824915</c:v>
                </c:pt>
                <c:pt idx="2">
                  <c:v>10.073230327123223</c:v>
                </c:pt>
                <c:pt idx="3">
                  <c:v>8.6108656672788726</c:v>
                </c:pt>
                <c:pt idx="4">
                  <c:v>9.5468126085973957</c:v>
                </c:pt>
                <c:pt idx="5">
                  <c:v>11.267024926533402</c:v>
                </c:pt>
                <c:pt idx="6">
                  <c:v>11.166200851884664</c:v>
                </c:pt>
                <c:pt idx="7">
                  <c:v>11.835008964139341</c:v>
                </c:pt>
                <c:pt idx="8">
                  <c:v>12.626426366132089</c:v>
                </c:pt>
                <c:pt idx="9">
                  <c:v>12.742413957700833</c:v>
                </c:pt>
                <c:pt idx="10">
                  <c:v>10.807199502203423</c:v>
                </c:pt>
                <c:pt idx="11">
                  <c:v>12.469205845060541</c:v>
                </c:pt>
                <c:pt idx="12">
                  <c:v>13.672820783669174</c:v>
                </c:pt>
                <c:pt idx="13">
                  <c:v>14.108180171927094</c:v>
                </c:pt>
                <c:pt idx="14">
                  <c:v>13.904216248793222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4-4218-A3A0-89D23B18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14655"/>
        <c:axId val="651450015"/>
      </c:scatterChart>
      <c:valAx>
        <c:axId val="5915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0015"/>
        <c:crosses val="autoZero"/>
        <c:crossBetween val="midCat"/>
      </c:valAx>
      <c:valAx>
        <c:axId val="651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3.1-4b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442038495188105E-2"/>
                  <c:y val="-0.27743704947544379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4974759405074367"/>
                  <c:y val="-0.162017139788362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'3.1'!$D$19:$D$33</c:f>
              <c:numCache>
                <c:formatCode>General</c:formatCode>
                <c:ptCount val="15"/>
                <c:pt idx="0">
                  <c:v>0.81977983149331135</c:v>
                </c:pt>
                <c:pt idx="1">
                  <c:v>1.0152306797290584</c:v>
                </c:pt>
                <c:pt idx="2">
                  <c:v>1.1847899849091621</c:v>
                </c:pt>
                <c:pt idx="3">
                  <c:v>1.1969481893889715</c:v>
                </c:pt>
                <c:pt idx="4">
                  <c:v>1.3083328196501789</c:v>
                </c:pt>
                <c:pt idx="5">
                  <c:v>1.3480731482996928</c:v>
                </c:pt>
                <c:pt idx="6">
                  <c:v>1.4609379041156563</c:v>
                </c:pt>
                <c:pt idx="7">
                  <c:v>1.4793292270870799</c:v>
                </c:pt>
                <c:pt idx="8">
                  <c:v>1.4861396960896067</c:v>
                </c:pt>
                <c:pt idx="9">
                  <c:v>1.5706970841176697</c:v>
                </c:pt>
                <c:pt idx="10">
                  <c:v>1.589235205116581</c:v>
                </c:pt>
                <c:pt idx="11">
                  <c:v>1.6193882432872684</c:v>
                </c:pt>
                <c:pt idx="12">
                  <c:v>1.6505798557652755</c:v>
                </c:pt>
                <c:pt idx="13">
                  <c:v>1.7263316639055997</c:v>
                </c:pt>
                <c:pt idx="14">
                  <c:v>1.7715567619105355</c:v>
                </c:pt>
              </c:numCache>
            </c:numRef>
          </c:xVal>
          <c:yVal>
            <c:numRef>
              <c:f>'3.1'!$E$19:$E$33</c:f>
              <c:numCache>
                <c:formatCode>General</c:formatCode>
                <c:ptCount val="15"/>
                <c:pt idx="0">
                  <c:v>0</c:v>
                </c:pt>
                <c:pt idx="1">
                  <c:v>365</c:v>
                </c:pt>
                <c:pt idx="2">
                  <c:v>23700</c:v>
                </c:pt>
                <c:pt idx="3">
                  <c:v>5491</c:v>
                </c:pt>
                <c:pt idx="4">
                  <c:v>14000</c:v>
                </c:pt>
                <c:pt idx="5">
                  <c:v>78200</c:v>
                </c:pt>
                <c:pt idx="6">
                  <c:v>70700</c:v>
                </c:pt>
                <c:pt idx="7">
                  <c:v>138000</c:v>
                </c:pt>
                <c:pt idx="8">
                  <c:v>304500</c:v>
                </c:pt>
                <c:pt idx="9">
                  <c:v>341948</c:v>
                </c:pt>
                <c:pt idx="10">
                  <c:v>49375</c:v>
                </c:pt>
                <c:pt idx="11">
                  <c:v>260200</c:v>
                </c:pt>
                <c:pt idx="12">
                  <c:v>867023</c:v>
                </c:pt>
                <c:pt idx="13">
                  <c:v>1340000</c:v>
                </c:pt>
                <c:pt idx="14">
                  <c:v>1092759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1-4585-8F61-88C017C2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99919"/>
        <c:axId val="651467903"/>
      </c:scatterChart>
      <c:valAx>
        <c:axId val="6775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67903"/>
        <c:crosses val="autoZero"/>
        <c:crossBetween val="midCat"/>
      </c:valAx>
      <c:valAx>
        <c:axId val="651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1957374934137E-2"/>
                  <c:y val="0.129390492855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'4.1'!$A$2:$A$16</c:f>
              <c:numCache>
                <c:formatCode>General</c:formatCode>
                <c:ptCount val="15"/>
                <c:pt idx="0">
                  <c:v>365</c:v>
                </c:pt>
                <c:pt idx="1">
                  <c:v>2500</c:v>
                </c:pt>
                <c:pt idx="2">
                  <c:v>5491</c:v>
                </c:pt>
                <c:pt idx="3">
                  <c:v>14000</c:v>
                </c:pt>
                <c:pt idx="4">
                  <c:v>23700</c:v>
                </c:pt>
                <c:pt idx="5">
                  <c:v>49375</c:v>
                </c:pt>
                <c:pt idx="6">
                  <c:v>70700</c:v>
                </c:pt>
                <c:pt idx="7">
                  <c:v>78200</c:v>
                </c:pt>
                <c:pt idx="8">
                  <c:v>138000</c:v>
                </c:pt>
                <c:pt idx="9">
                  <c:v>304500</c:v>
                </c:pt>
                <c:pt idx="10">
                  <c:v>341948</c:v>
                </c:pt>
                <c:pt idx="11">
                  <c:v>867023</c:v>
                </c:pt>
                <c:pt idx="12">
                  <c:v>1092759</c:v>
                </c:pt>
                <c:pt idx="13">
                  <c:v>1340000</c:v>
                </c:pt>
                <c:pt idx="14">
                  <c:v>2602000</c:v>
                </c:pt>
              </c:numCache>
            </c:numRef>
          </c:xVal>
          <c:yVal>
            <c:numRef>
              <c:f>'4.1'!$E$2:$E$16</c:f>
              <c:numCache>
                <c:formatCode>General</c:formatCode>
                <c:ptCount val="15"/>
                <c:pt idx="0">
                  <c:v>1.0152306797290584</c:v>
                </c:pt>
                <c:pt idx="1">
                  <c:v>0.81977983149331135</c:v>
                </c:pt>
                <c:pt idx="2">
                  <c:v>1.1969481893889715</c:v>
                </c:pt>
                <c:pt idx="3">
                  <c:v>1.3083328196501789</c:v>
                </c:pt>
                <c:pt idx="4">
                  <c:v>1.1847899849091621</c:v>
                </c:pt>
                <c:pt idx="5">
                  <c:v>1.589235205116581</c:v>
                </c:pt>
                <c:pt idx="6">
                  <c:v>1.4609379041156563</c:v>
                </c:pt>
                <c:pt idx="7">
                  <c:v>1.3480731482996928</c:v>
                </c:pt>
                <c:pt idx="8">
                  <c:v>1.4793292270870799</c:v>
                </c:pt>
                <c:pt idx="9">
                  <c:v>1.4861396960896067</c:v>
                </c:pt>
                <c:pt idx="10">
                  <c:v>1.5706970841176697</c:v>
                </c:pt>
                <c:pt idx="11">
                  <c:v>1.6505798557652755</c:v>
                </c:pt>
                <c:pt idx="12">
                  <c:v>1.7715567619105355</c:v>
                </c:pt>
                <c:pt idx="13">
                  <c:v>1.7263316639055997</c:v>
                </c:pt>
                <c:pt idx="14">
                  <c:v>1.6193882432872684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A-40C8-B06A-8500B5AE9432}"/>
            </c:ext>
          </c:extLst>
        </c:ser>
        <c:ser>
          <c:idx val="1"/>
          <c:order val="1"/>
          <c:tx>
            <c:v>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'4.1'!$A$2:$A$16</c:f>
              <c:numCache>
                <c:formatCode>General</c:formatCode>
                <c:ptCount val="15"/>
                <c:pt idx="0">
                  <c:v>365</c:v>
                </c:pt>
                <c:pt idx="1">
                  <c:v>2500</c:v>
                </c:pt>
                <c:pt idx="2">
                  <c:v>5491</c:v>
                </c:pt>
                <c:pt idx="3">
                  <c:v>14000</c:v>
                </c:pt>
                <c:pt idx="4">
                  <c:v>23700</c:v>
                </c:pt>
                <c:pt idx="5">
                  <c:v>49375</c:v>
                </c:pt>
                <c:pt idx="6">
                  <c:v>70700</c:v>
                </c:pt>
                <c:pt idx="7">
                  <c:v>78200</c:v>
                </c:pt>
                <c:pt idx="8">
                  <c:v>138000</c:v>
                </c:pt>
                <c:pt idx="9">
                  <c:v>304500</c:v>
                </c:pt>
                <c:pt idx="10">
                  <c:v>341948</c:v>
                </c:pt>
                <c:pt idx="11">
                  <c:v>867023</c:v>
                </c:pt>
                <c:pt idx="12">
                  <c:v>1092759</c:v>
                </c:pt>
                <c:pt idx="13">
                  <c:v>1340000</c:v>
                </c:pt>
                <c:pt idx="14">
                  <c:v>2602000</c:v>
                </c:pt>
              </c:numCache>
            </c:numRef>
          </c:xVal>
          <c:yVal>
            <c:numRef>
              <c:f>'4.1'!$C$2:$C$16</c:f>
              <c:numCache>
                <c:formatCode>General</c:formatCode>
                <c:ptCount val="15"/>
                <c:pt idx="0">
                  <c:v>2.4615566266421651</c:v>
                </c:pt>
                <c:pt idx="1">
                  <c:v>2.961030086268964</c:v>
                </c:pt>
                <c:pt idx="2">
                  <c:v>3.1933870529090478</c:v>
                </c:pt>
                <c:pt idx="3">
                  <c:v>3.4936435866870688</c:v>
                </c:pt>
                <c:pt idx="4">
                  <c:v>3.6747611732154324</c:v>
                </c:pt>
                <c:pt idx="5">
                  <c:v>3.9430665236412219</c:v>
                </c:pt>
                <c:pt idx="6">
                  <c:v>4.0813488026435421</c:v>
                </c:pt>
                <c:pt idx="7">
                  <c:v>4.1210498322137914</c:v>
                </c:pt>
                <c:pt idx="8">
                  <c:v>4.352027358477442</c:v>
                </c:pt>
                <c:pt idx="9">
                  <c:v>4.6956105883271482</c:v>
                </c:pt>
                <c:pt idx="10">
                  <c:v>4.7481946475286829</c:v>
                </c:pt>
                <c:pt idx="11">
                  <c:v>5.1918787307064731</c:v>
                </c:pt>
                <c:pt idx="12">
                  <c:v>5.3085174410985951</c:v>
                </c:pt>
                <c:pt idx="13">
                  <c:v>5.4134997258237991</c:v>
                </c:pt>
                <c:pt idx="14">
                  <c:v>5.7696478277786136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0A-40C8-B06A-8500B5AE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27583"/>
        <c:axId val="676249567"/>
      </c:scatterChart>
      <c:valAx>
        <c:axId val="5555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9567"/>
        <c:crosses val="autoZero"/>
        <c:crossBetween val="midCat"/>
      </c:valAx>
      <c:valAx>
        <c:axId val="6762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75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Chirps</a:t>
            </a:r>
            <a:r>
              <a:rPr lang="en-AU" baseline="0"/>
              <a:t> v Temp w/ Linear Estimate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979336776388935"/>
                  <c:y val="-1.9666038677680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'4.3'!$A$2:$A$20</c:f>
              <c:numCache>
                <c:formatCode>General</c:formatCode>
                <c:ptCount val="19"/>
                <c:pt idx="0">
                  <c:v>46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</c:numCache>
            </c:numRef>
          </c:xVal>
          <c:yVal>
            <c:numRef>
              <c:f>'4.3'!$B$2:$B$20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  <c:pt idx="4">
                  <c:v>72</c:v>
                </c:pt>
                <c:pt idx="5">
                  <c:v>70</c:v>
                </c:pt>
                <c:pt idx="6">
                  <c:v>77</c:v>
                </c:pt>
                <c:pt idx="7">
                  <c:v>73</c:v>
                </c:pt>
                <c:pt idx="8">
                  <c:v>90</c:v>
                </c:pt>
                <c:pt idx="9">
                  <c:v>93</c:v>
                </c:pt>
                <c:pt idx="10">
                  <c:v>96</c:v>
                </c:pt>
                <c:pt idx="11">
                  <c:v>88</c:v>
                </c:pt>
                <c:pt idx="12">
                  <c:v>99</c:v>
                </c:pt>
                <c:pt idx="13">
                  <c:v>110</c:v>
                </c:pt>
                <c:pt idx="14">
                  <c:v>113</c:v>
                </c:pt>
                <c:pt idx="15">
                  <c:v>120</c:v>
                </c:pt>
                <c:pt idx="16">
                  <c:v>127</c:v>
                </c:pt>
                <c:pt idx="17">
                  <c:v>137</c:v>
                </c:pt>
                <c:pt idx="18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9-4E87-B440-F7D2495B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21119"/>
        <c:axId val="907728399"/>
      </c:scatterChart>
      <c:valAx>
        <c:axId val="677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8399"/>
        <c:crosses val="autoZero"/>
        <c:crossBetween val="midCat"/>
      </c:valAx>
      <c:valAx>
        <c:axId val="9077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0</xdr:rowOff>
    </xdr:from>
    <xdr:to>
      <xdr:col>12</xdr:col>
      <xdr:colOff>357187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1B95C-85C3-4651-89BB-3B652C1C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16</xdr:row>
      <xdr:rowOff>114299</xdr:rowOff>
    </xdr:from>
    <xdr:to>
      <xdr:col>13</xdr:col>
      <xdr:colOff>90487</xdr:colOff>
      <xdr:row>33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023BD-29AA-4404-ADDF-5A9A3619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21</xdr:row>
      <xdr:rowOff>76200</xdr:rowOff>
    </xdr:from>
    <xdr:to>
      <xdr:col>7</xdr:col>
      <xdr:colOff>442912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DB093-883C-4ED0-9BD2-72E14F3EC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E5D1C64F-40BC-4492-9879-F731142E544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F6E7DEC0-6B43-41F9-AB5C-F6A192E1504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415637</xdr:colOff>
      <xdr:row>0</xdr:row>
      <xdr:rowOff>34636</xdr:rowOff>
    </xdr:from>
    <xdr:to>
      <xdr:col>28</xdr:col>
      <xdr:colOff>443142</xdr:colOff>
      <xdr:row>27</xdr:row>
      <xdr:rowOff>24469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2A7953-9B6D-47FB-A979-C9DF5547E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1546" y="34636"/>
          <a:ext cx="8513414" cy="5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14</xdr:col>
      <xdr:colOff>322750</xdr:colOff>
      <xdr:row>36</xdr:row>
      <xdr:rowOff>113428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20281C-26AC-455E-B66E-C95D8B74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0"/>
          <a:ext cx="8800000" cy="69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2</xdr:row>
      <xdr:rowOff>161925</xdr:rowOff>
    </xdr:from>
    <xdr:to>
      <xdr:col>15</xdr:col>
      <xdr:colOff>171449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84A19-CB58-4D6C-AFD8-D9AF13EAF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57150</xdr:rowOff>
    </xdr:from>
    <xdr:to>
      <xdr:col>13</xdr:col>
      <xdr:colOff>494248</xdr:colOff>
      <xdr:row>45</xdr:row>
      <xdr:rowOff>152007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B53730-3F39-4220-92C2-2A62686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81650"/>
          <a:ext cx="8419048" cy="3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5C67-89A0-4D6B-90B3-FB66EF1D735D}">
  <sheetPr>
    <pageSetUpPr fitToPage="1"/>
  </sheetPr>
  <dimension ref="A1:P33"/>
  <sheetViews>
    <sheetView workbookViewId="0">
      <selection activeCell="X1" sqref="X1:X1048576"/>
    </sheetView>
  </sheetViews>
  <sheetFormatPr defaultRowHeight="15" x14ac:dyDescent="0.25"/>
  <cols>
    <col min="2" max="2" width="10" bestFit="1" customWidth="1"/>
    <col min="5" max="5" width="22" customWidth="1"/>
  </cols>
  <sheetData>
    <row r="1" spans="1:16" x14ac:dyDescent="0.25">
      <c r="A1" t="s">
        <v>1</v>
      </c>
      <c r="B1" t="s">
        <v>0</v>
      </c>
      <c r="D1" t="s">
        <v>3</v>
      </c>
      <c r="E1" t="s">
        <v>4</v>
      </c>
    </row>
    <row r="2" spans="1:16" x14ac:dyDescent="0.25">
      <c r="A2">
        <v>2.27</v>
      </c>
      <c r="B2">
        <v>2500</v>
      </c>
      <c r="D2">
        <f>LN(A2)</f>
        <v>0.81977983149331135</v>
      </c>
      <c r="E2">
        <f>LN(B2)</f>
        <v>7.8240460108562919</v>
      </c>
    </row>
    <row r="3" spans="1:16" x14ac:dyDescent="0.25">
      <c r="A3">
        <v>2.76</v>
      </c>
      <c r="B3">
        <v>365</v>
      </c>
      <c r="D3">
        <f t="shared" ref="D3:D16" si="0">LN(A3)</f>
        <v>1.0152306797290584</v>
      </c>
      <c r="E3">
        <f t="shared" ref="E3:E16" si="1">LN(B3)</f>
        <v>5.8998973535824915</v>
      </c>
    </row>
    <row r="4" spans="1:16" x14ac:dyDescent="0.25">
      <c r="A4">
        <v>3.27</v>
      </c>
      <c r="B4">
        <v>23700</v>
      </c>
      <c r="D4">
        <f t="shared" si="0"/>
        <v>1.1847899849091621</v>
      </c>
      <c r="E4">
        <f t="shared" si="1"/>
        <v>10.073230327123223</v>
      </c>
    </row>
    <row r="5" spans="1:16" x14ac:dyDescent="0.25">
      <c r="A5">
        <v>3.31</v>
      </c>
      <c r="B5">
        <v>5491</v>
      </c>
      <c r="D5">
        <f t="shared" si="0"/>
        <v>1.1969481893889715</v>
      </c>
      <c r="E5">
        <f t="shared" si="1"/>
        <v>8.6108656672788726</v>
      </c>
    </row>
    <row r="6" spans="1:16" x14ac:dyDescent="0.25">
      <c r="A6">
        <v>3.7</v>
      </c>
      <c r="B6">
        <v>14000</v>
      </c>
      <c r="D6">
        <f t="shared" si="0"/>
        <v>1.3083328196501789</v>
      </c>
      <c r="E6">
        <f t="shared" si="1"/>
        <v>9.5468126085973957</v>
      </c>
    </row>
    <row r="7" spans="1:16" x14ac:dyDescent="0.25">
      <c r="A7">
        <v>3.85</v>
      </c>
      <c r="B7">
        <v>78200</v>
      </c>
      <c r="D7">
        <f t="shared" si="0"/>
        <v>1.3480731482996928</v>
      </c>
      <c r="E7">
        <f t="shared" si="1"/>
        <v>11.267024926533402</v>
      </c>
    </row>
    <row r="8" spans="1:16" x14ac:dyDescent="0.25">
      <c r="A8">
        <v>4.3099999999999996</v>
      </c>
      <c r="B8">
        <v>70700</v>
      </c>
      <c r="D8">
        <f t="shared" si="0"/>
        <v>1.4609379041156563</v>
      </c>
      <c r="E8">
        <f t="shared" si="1"/>
        <v>11.166200851884664</v>
      </c>
    </row>
    <row r="9" spans="1:16" x14ac:dyDescent="0.25">
      <c r="A9">
        <v>4.3899999999999997</v>
      </c>
      <c r="B9">
        <v>138000</v>
      </c>
      <c r="D9">
        <f t="shared" si="0"/>
        <v>1.4793292270870799</v>
      </c>
      <c r="E9">
        <f t="shared" si="1"/>
        <v>11.835008964139341</v>
      </c>
    </row>
    <row r="10" spans="1:16" x14ac:dyDescent="0.25">
      <c r="A10">
        <v>4.42</v>
      </c>
      <c r="B10">
        <v>304500</v>
      </c>
      <c r="D10">
        <f t="shared" si="0"/>
        <v>1.4861396960896067</v>
      </c>
      <c r="E10">
        <f t="shared" si="1"/>
        <v>12.626426366132089</v>
      </c>
    </row>
    <row r="11" spans="1:16" x14ac:dyDescent="0.25">
      <c r="A11">
        <v>4.8099999999999996</v>
      </c>
      <c r="B11">
        <v>341948</v>
      </c>
      <c r="D11">
        <f t="shared" si="0"/>
        <v>1.5706970841176697</v>
      </c>
      <c r="E11">
        <f t="shared" si="1"/>
        <v>12.742413957700833</v>
      </c>
    </row>
    <row r="12" spans="1:16" x14ac:dyDescent="0.25">
      <c r="A12">
        <v>4.9000000000000004</v>
      </c>
      <c r="B12">
        <v>49375</v>
      </c>
      <c r="D12">
        <f t="shared" si="0"/>
        <v>1.589235205116581</v>
      </c>
      <c r="E12">
        <f t="shared" si="1"/>
        <v>10.807199502203423</v>
      </c>
    </row>
    <row r="13" spans="1:16" x14ac:dyDescent="0.25">
      <c r="A13">
        <v>5.05</v>
      </c>
      <c r="B13">
        <v>260200</v>
      </c>
      <c r="D13">
        <f t="shared" si="0"/>
        <v>1.6193882432872684</v>
      </c>
      <c r="E13">
        <f t="shared" si="1"/>
        <v>12.469205845060541</v>
      </c>
    </row>
    <row r="14" spans="1:16" x14ac:dyDescent="0.25">
      <c r="A14">
        <v>5.21</v>
      </c>
      <c r="B14">
        <v>867023</v>
      </c>
      <c r="D14">
        <f t="shared" si="0"/>
        <v>1.6505798557652755</v>
      </c>
      <c r="E14">
        <f t="shared" si="1"/>
        <v>13.672820783669174</v>
      </c>
    </row>
    <row r="15" spans="1:16" x14ac:dyDescent="0.25">
      <c r="A15">
        <v>5.62</v>
      </c>
      <c r="B15">
        <v>1340000</v>
      </c>
      <c r="D15">
        <f t="shared" si="0"/>
        <v>1.7263316639055997</v>
      </c>
      <c r="E15">
        <f t="shared" si="1"/>
        <v>14.108180171927094</v>
      </c>
    </row>
    <row r="16" spans="1:16" x14ac:dyDescent="0.25">
      <c r="A16">
        <v>5.88</v>
      </c>
      <c r="B16">
        <v>1092759</v>
      </c>
      <c r="D16">
        <f t="shared" si="0"/>
        <v>1.7715567619105355</v>
      </c>
      <c r="E16">
        <f t="shared" si="1"/>
        <v>13.904216248793222</v>
      </c>
      <c r="P16">
        <f>1125661.9225/1287237.2629</f>
        <v>0.8744789751999652</v>
      </c>
    </row>
    <row r="17" spans="4:16" x14ac:dyDescent="0.25">
      <c r="P17">
        <f>LN(1125661.9225)</f>
        <v>13.933881796151182</v>
      </c>
    </row>
    <row r="18" spans="4:16" x14ac:dyDescent="0.25">
      <c r="D18" t="s">
        <v>2</v>
      </c>
      <c r="E18" t="s">
        <v>0</v>
      </c>
    </row>
    <row r="19" spans="4:16" x14ac:dyDescent="0.25">
      <c r="D19">
        <f>D2</f>
        <v>0.81977983149331135</v>
      </c>
      <c r="E19" t="e">
        <f>EXP(B2)</f>
        <v>#NUM!</v>
      </c>
    </row>
    <row r="20" spans="4:16" x14ac:dyDescent="0.25">
      <c r="D20">
        <f>D3</f>
        <v>1.0152306797290584</v>
      </c>
      <c r="E20">
        <f>B3</f>
        <v>365</v>
      </c>
    </row>
    <row r="21" spans="4:16" x14ac:dyDescent="0.25">
      <c r="D21">
        <f>D4</f>
        <v>1.1847899849091621</v>
      </c>
      <c r="E21">
        <f>B4</f>
        <v>23700</v>
      </c>
    </row>
    <row r="22" spans="4:16" x14ac:dyDescent="0.25">
      <c r="D22">
        <f>D5</f>
        <v>1.1969481893889715</v>
      </c>
      <c r="E22">
        <f>B5</f>
        <v>5491</v>
      </c>
    </row>
    <row r="23" spans="4:16" x14ac:dyDescent="0.25">
      <c r="D23">
        <f>D6</f>
        <v>1.3083328196501789</v>
      </c>
      <c r="E23">
        <f>B6</f>
        <v>14000</v>
      </c>
    </row>
    <row r="24" spans="4:16" x14ac:dyDescent="0.25">
      <c r="D24">
        <f>D7</f>
        <v>1.3480731482996928</v>
      </c>
      <c r="E24">
        <f>B7</f>
        <v>78200</v>
      </c>
    </row>
    <row r="25" spans="4:16" x14ac:dyDescent="0.25">
      <c r="D25">
        <f>D8</f>
        <v>1.4609379041156563</v>
      </c>
      <c r="E25">
        <f>B8</f>
        <v>70700</v>
      </c>
    </row>
    <row r="26" spans="4:16" x14ac:dyDescent="0.25">
      <c r="D26">
        <f>D9</f>
        <v>1.4793292270870799</v>
      </c>
      <c r="E26">
        <f>B9</f>
        <v>138000</v>
      </c>
    </row>
    <row r="27" spans="4:16" x14ac:dyDescent="0.25">
      <c r="D27">
        <f>D10</f>
        <v>1.4861396960896067</v>
      </c>
      <c r="E27">
        <f>B10</f>
        <v>304500</v>
      </c>
    </row>
    <row r="28" spans="4:16" x14ac:dyDescent="0.25">
      <c r="D28">
        <f>D11</f>
        <v>1.5706970841176697</v>
      </c>
      <c r="E28">
        <f>B11</f>
        <v>341948</v>
      </c>
    </row>
    <row r="29" spans="4:16" x14ac:dyDescent="0.25">
      <c r="D29">
        <f>D12</f>
        <v>1.589235205116581</v>
      </c>
      <c r="E29">
        <f>B12</f>
        <v>49375</v>
      </c>
    </row>
    <row r="30" spans="4:16" x14ac:dyDescent="0.25">
      <c r="D30">
        <f>D13</f>
        <v>1.6193882432872684</v>
      </c>
      <c r="E30">
        <f>B13</f>
        <v>260200</v>
      </c>
    </row>
    <row r="31" spans="4:16" x14ac:dyDescent="0.25">
      <c r="D31">
        <f>D14</f>
        <v>1.6505798557652755</v>
      </c>
      <c r="E31">
        <f>B14</f>
        <v>867023</v>
      </c>
    </row>
    <row r="32" spans="4:16" x14ac:dyDescent="0.25">
      <c r="D32">
        <f>D15</f>
        <v>1.7263316639055997</v>
      </c>
      <c r="E32">
        <f>B15</f>
        <v>1340000</v>
      </c>
    </row>
    <row r="33" spans="4:5" x14ac:dyDescent="0.25">
      <c r="D33">
        <f>D16</f>
        <v>1.7715567619105355</v>
      </c>
      <c r="E33">
        <f>B16</f>
        <v>1092759</v>
      </c>
    </row>
  </sheetData>
  <pageMargins left="0.7" right="0.7" top="0.75" bottom="0.75" header="0.3" footer="0.3"/>
  <pageSetup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6005-EA16-4C2B-A7B4-4CF307E5F065}">
  <sheetPr>
    <pageSetUpPr fitToPage="1"/>
  </sheetPr>
  <dimension ref="A1:J24"/>
  <sheetViews>
    <sheetView workbookViewId="0">
      <selection sqref="A1:J24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I1" t="s">
        <v>12</v>
      </c>
      <c r="J1" t="s">
        <v>13</v>
      </c>
    </row>
    <row r="2" spans="1:10" x14ac:dyDescent="0.25">
      <c r="A2">
        <v>1</v>
      </c>
      <c r="B2">
        <v>3.6</v>
      </c>
      <c r="C2">
        <f>SUM(A2:A7)</f>
        <v>24.299999999999997</v>
      </c>
      <c r="D2">
        <f>SUM(B2:B7)</f>
        <v>27</v>
      </c>
      <c r="E2">
        <f>SUMSQ(A2:A7)</f>
        <v>123.83</v>
      </c>
      <c r="F2">
        <f>A2*B2</f>
        <v>3.6</v>
      </c>
      <c r="G2">
        <f>SUM(F2:F7)</f>
        <v>123.69</v>
      </c>
      <c r="I2">
        <f>LINEST(B2:B7,A2:A7)</f>
        <v>0.56423372024395035</v>
      </c>
      <c r="J2">
        <f>(27-24.3*(I2))/6</f>
        <v>2.2148534330120011</v>
      </c>
    </row>
    <row r="3" spans="1:10" x14ac:dyDescent="0.25">
      <c r="A3">
        <v>2.2999999999999998</v>
      </c>
      <c r="B3">
        <v>3</v>
      </c>
      <c r="F3">
        <f t="shared" ref="F3:F7" si="0">A3*B3</f>
        <v>6.8999999999999995</v>
      </c>
    </row>
    <row r="4" spans="1:10" x14ac:dyDescent="0.25">
      <c r="A4">
        <v>3.7</v>
      </c>
      <c r="B4">
        <v>3.2</v>
      </c>
      <c r="F4">
        <f t="shared" si="0"/>
        <v>11.840000000000002</v>
      </c>
    </row>
    <row r="5" spans="1:10" x14ac:dyDescent="0.25">
      <c r="A5">
        <v>4.2</v>
      </c>
      <c r="B5">
        <v>5.0999999999999996</v>
      </c>
      <c r="F5">
        <f t="shared" si="0"/>
        <v>21.419999999999998</v>
      </c>
    </row>
    <row r="6" spans="1:10" x14ac:dyDescent="0.25">
      <c r="A6">
        <v>6.1</v>
      </c>
      <c r="B6">
        <v>5.3</v>
      </c>
      <c r="F6">
        <f t="shared" si="0"/>
        <v>32.33</v>
      </c>
    </row>
    <row r="7" spans="1:10" x14ac:dyDescent="0.25">
      <c r="A7">
        <v>7</v>
      </c>
      <c r="B7">
        <v>6.8</v>
      </c>
      <c r="F7">
        <f t="shared" si="0"/>
        <v>47.6</v>
      </c>
    </row>
    <row r="9" spans="1:10" x14ac:dyDescent="0.25">
      <c r="A9">
        <v>29.1</v>
      </c>
      <c r="B9">
        <v>4.9299999999999997E-2</v>
      </c>
      <c r="C9" s="1">
        <f>SUM(A9:A16)</f>
        <v>867</v>
      </c>
      <c r="D9">
        <f>SUM(B9:B16)</f>
        <v>1.4414</v>
      </c>
      <c r="E9">
        <f>SUMSQ(A9:A16)</f>
        <v>118268.34</v>
      </c>
      <c r="F9">
        <f>A9*B9</f>
        <v>1.4346300000000001</v>
      </c>
      <c r="G9">
        <f>SUM(F9:F16)</f>
        <v>195.81195000000002</v>
      </c>
      <c r="I9">
        <f>LINEST(B9:B16,A9:A16)</f>
        <v>1.6291551705944101E-3</v>
      </c>
      <c r="J9">
        <f>(1.4414-867*I9)/8</f>
        <v>3.6153083868308011E-3</v>
      </c>
    </row>
    <row r="10" spans="1:10" x14ac:dyDescent="0.25">
      <c r="A10">
        <v>48.2</v>
      </c>
      <c r="B10">
        <v>8.2100000000000006E-2</v>
      </c>
      <c r="F10">
        <f t="shared" ref="F10:F16" si="1">A10*B10</f>
        <v>3.9572200000000004</v>
      </c>
    </row>
    <row r="11" spans="1:10" x14ac:dyDescent="0.25">
      <c r="A11">
        <v>72.7</v>
      </c>
      <c r="B11">
        <v>0.123</v>
      </c>
      <c r="F11">
        <f t="shared" si="1"/>
        <v>8.9420999999999999</v>
      </c>
    </row>
    <row r="12" spans="1:10" x14ac:dyDescent="0.25">
      <c r="A12">
        <v>92</v>
      </c>
      <c r="B12">
        <v>0.154</v>
      </c>
      <c r="F12">
        <f t="shared" si="1"/>
        <v>14.167999999999999</v>
      </c>
    </row>
    <row r="13" spans="1:10" x14ac:dyDescent="0.25">
      <c r="A13">
        <v>118</v>
      </c>
      <c r="B13">
        <v>0.19700000000000001</v>
      </c>
      <c r="F13">
        <f t="shared" si="1"/>
        <v>23.246000000000002</v>
      </c>
    </row>
    <row r="14" spans="1:10" x14ac:dyDescent="0.25">
      <c r="A14">
        <v>140</v>
      </c>
      <c r="B14">
        <v>0.23400000000000001</v>
      </c>
      <c r="F14">
        <f t="shared" si="1"/>
        <v>32.760000000000005</v>
      </c>
    </row>
    <row r="15" spans="1:10" x14ac:dyDescent="0.25">
      <c r="A15">
        <v>168</v>
      </c>
      <c r="B15">
        <v>0.27400000000000002</v>
      </c>
      <c r="F15">
        <f t="shared" si="1"/>
        <v>46.032000000000004</v>
      </c>
    </row>
    <row r="16" spans="1:10" x14ac:dyDescent="0.25">
      <c r="A16">
        <v>199</v>
      </c>
      <c r="B16">
        <v>0.32800000000000001</v>
      </c>
      <c r="F16">
        <f t="shared" si="1"/>
        <v>65.272000000000006</v>
      </c>
    </row>
    <row r="18" spans="1:10" x14ac:dyDescent="0.25">
      <c r="A18">
        <v>2.5</v>
      </c>
      <c r="B18">
        <v>4.32</v>
      </c>
      <c r="C18">
        <f>SUM(A18:A24)</f>
        <v>28</v>
      </c>
      <c r="D18">
        <f>SUM(B18:B24)</f>
        <v>40.44</v>
      </c>
      <c r="E18">
        <f>SUMSQ(A18:A24)</f>
        <v>119</v>
      </c>
      <c r="F18">
        <f>A18*B18</f>
        <v>10.8</v>
      </c>
      <c r="G18">
        <f>SUM(F18:F24)</f>
        <v>168.57999999999998</v>
      </c>
      <c r="I18">
        <f>LINEST(B18:B24,A18:A24)</f>
        <v>0.9742857142857142</v>
      </c>
      <c r="J18">
        <f>(40.44-28*I18)/7</f>
        <v>1.8800000000000001</v>
      </c>
    </row>
    <row r="19" spans="1:10" x14ac:dyDescent="0.25">
      <c r="A19">
        <v>3</v>
      </c>
      <c r="B19">
        <v>4.83</v>
      </c>
      <c r="F19">
        <f t="shared" ref="F19:F24" si="2">A19*B19</f>
        <v>14.49</v>
      </c>
    </row>
    <row r="20" spans="1:10" x14ac:dyDescent="0.25">
      <c r="A20">
        <v>3.5</v>
      </c>
      <c r="B20">
        <v>5.27</v>
      </c>
      <c r="F20">
        <f t="shared" si="2"/>
        <v>18.445</v>
      </c>
    </row>
    <row r="21" spans="1:10" x14ac:dyDescent="0.25">
      <c r="A21">
        <v>4</v>
      </c>
      <c r="B21">
        <v>5.74</v>
      </c>
      <c r="F21">
        <f t="shared" si="2"/>
        <v>22.96</v>
      </c>
    </row>
    <row r="22" spans="1:10" x14ac:dyDescent="0.25">
      <c r="A22">
        <v>4.5</v>
      </c>
      <c r="B22">
        <v>6.26</v>
      </c>
      <c r="F22">
        <f t="shared" si="2"/>
        <v>28.169999999999998</v>
      </c>
    </row>
    <row r="23" spans="1:10" x14ac:dyDescent="0.25">
      <c r="A23">
        <v>5</v>
      </c>
      <c r="B23">
        <v>6.79</v>
      </c>
      <c r="F23">
        <f t="shared" si="2"/>
        <v>33.950000000000003</v>
      </c>
    </row>
    <row r="24" spans="1:10" x14ac:dyDescent="0.25">
      <c r="A24">
        <v>5.5</v>
      </c>
      <c r="B24">
        <v>7.23</v>
      </c>
      <c r="F24">
        <f t="shared" si="2"/>
        <v>39.765000000000001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92FA-9284-456D-BF4B-3D67403DBC46}">
  <sheetPr>
    <pageSetUpPr fitToPage="1"/>
  </sheetPr>
  <dimension ref="A1:P30"/>
  <sheetViews>
    <sheetView workbookViewId="0">
      <selection activeCell="P27" sqref="P27"/>
    </sheetView>
  </sheetViews>
  <sheetFormatPr defaultRowHeight="15" x14ac:dyDescent="0.25"/>
  <cols>
    <col min="12" max="12" width="12.7109375" bestFit="1" customWidth="1"/>
    <col min="13" max="16" width="12" bestFit="1" customWidth="1"/>
  </cols>
  <sheetData>
    <row r="1" spans="1:1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I1" t="s">
        <v>12</v>
      </c>
      <c r="J1" t="s">
        <v>13</v>
      </c>
      <c r="L1" t="s">
        <v>18</v>
      </c>
      <c r="M1" t="s">
        <v>15</v>
      </c>
      <c r="N1" t="s">
        <v>16</v>
      </c>
      <c r="O1" t="s">
        <v>17</v>
      </c>
      <c r="P1" t="s">
        <v>19</v>
      </c>
    </row>
    <row r="2" spans="1:16" x14ac:dyDescent="0.25">
      <c r="A2">
        <v>1</v>
      </c>
      <c r="B2">
        <v>3.6</v>
      </c>
      <c r="C2">
        <f>SUM(A2:A7)</f>
        <v>24.299999999999997</v>
      </c>
      <c r="D2">
        <f>SUM(B2:B7)</f>
        <v>27</v>
      </c>
      <c r="E2">
        <f>SUMSQ(A2:A7)</f>
        <v>123.83</v>
      </c>
      <c r="F2">
        <f>A2*B2</f>
        <v>3.6</v>
      </c>
      <c r="G2">
        <f>SUM(F2:F7)</f>
        <v>123.69</v>
      </c>
      <c r="I2">
        <f>LINEST(B2:B7,A2:A7)</f>
        <v>0.56423372024395035</v>
      </c>
      <c r="J2">
        <f>(27-24.3*(I2))/6</f>
        <v>2.2148534330120011</v>
      </c>
      <c r="L2">
        <f>ABS(B2-($I$2*A2+$J$2))</f>
        <v>0.82091284674404852</v>
      </c>
      <c r="M2">
        <f>SUMSQ(L2)</f>
        <v>0.67389790194941768</v>
      </c>
      <c r="N2">
        <f>SUM(M2:M7)</f>
        <v>2.9488884517017495</v>
      </c>
      <c r="O2">
        <f>SQRT(N2)/6</f>
        <v>0.28620546483745968</v>
      </c>
      <c r="P2">
        <f>MAX(L2:L7)</f>
        <v>1.102518197914617</v>
      </c>
    </row>
    <row r="3" spans="1:16" x14ac:dyDescent="0.25">
      <c r="A3">
        <v>2.2999999999999998</v>
      </c>
      <c r="B3">
        <v>3</v>
      </c>
      <c r="F3">
        <f t="shared" ref="F3:F7" si="0">A3*B3</f>
        <v>6.8999999999999995</v>
      </c>
      <c r="L3">
        <f t="shared" ref="L3:L7" si="1">ABS(B3-($I$2*A3+$J$2))</f>
        <v>0.51259098957308691</v>
      </c>
      <c r="M3">
        <f t="shared" ref="M3:M7" si="2">SUMSQ(L3)</f>
        <v>0.26274952259151652</v>
      </c>
    </row>
    <row r="4" spans="1:16" x14ac:dyDescent="0.25">
      <c r="A4">
        <v>3.7</v>
      </c>
      <c r="B4">
        <v>3.2</v>
      </c>
      <c r="F4">
        <f t="shared" si="0"/>
        <v>11.840000000000002</v>
      </c>
      <c r="L4">
        <f t="shared" si="1"/>
        <v>1.102518197914617</v>
      </c>
      <c r="M4">
        <f t="shared" si="2"/>
        <v>1.2155463767328947</v>
      </c>
    </row>
    <row r="5" spans="1:16" x14ac:dyDescent="0.25">
      <c r="A5">
        <v>4.2</v>
      </c>
      <c r="B5">
        <v>5.0999999999999996</v>
      </c>
      <c r="F5">
        <f t="shared" si="0"/>
        <v>21.419999999999998</v>
      </c>
      <c r="L5">
        <f t="shared" si="1"/>
        <v>0.51536494196340676</v>
      </c>
      <c r="M5">
        <f t="shared" si="2"/>
        <v>0.26560102340494562</v>
      </c>
    </row>
    <row r="6" spans="1:16" x14ac:dyDescent="0.25">
      <c r="A6">
        <v>6.1</v>
      </c>
      <c r="B6">
        <v>5.3</v>
      </c>
      <c r="F6">
        <f t="shared" si="0"/>
        <v>32.33</v>
      </c>
      <c r="L6">
        <f t="shared" si="1"/>
        <v>0.35667912650009814</v>
      </c>
      <c r="M6">
        <f t="shared" si="2"/>
        <v>0.12721999928087302</v>
      </c>
    </row>
    <row r="7" spans="1:16" x14ac:dyDescent="0.25">
      <c r="A7">
        <v>7</v>
      </c>
      <c r="B7">
        <v>6.8</v>
      </c>
      <c r="F7">
        <f t="shared" si="0"/>
        <v>47.6</v>
      </c>
      <c r="L7">
        <f t="shared" si="1"/>
        <v>0.63551052528034635</v>
      </c>
      <c r="M7">
        <f t="shared" si="2"/>
        <v>0.40387362774210173</v>
      </c>
    </row>
    <row r="9" spans="1:16" x14ac:dyDescent="0.25">
      <c r="A9">
        <v>29.1</v>
      </c>
      <c r="B9">
        <v>4.9299999999999997E-2</v>
      </c>
      <c r="C9" s="1">
        <f>SUM(A9:A16)</f>
        <v>867</v>
      </c>
      <c r="D9">
        <f>SUM(B9:B16)</f>
        <v>1.4414</v>
      </c>
      <c r="E9">
        <f>SUMSQ(A9:A16)</f>
        <v>118268.34</v>
      </c>
      <c r="F9">
        <f>A9*B9</f>
        <v>1.4346300000000001</v>
      </c>
      <c r="G9">
        <f>SUM(F9:F16)</f>
        <v>195.81195000000002</v>
      </c>
      <c r="I9">
        <f>LINEST(B9:B16,A9:A16)</f>
        <v>1.6291551705944101E-3</v>
      </c>
      <c r="J9">
        <f>(1.4414-867*I9)/8</f>
        <v>3.6153083868308011E-3</v>
      </c>
      <c r="L9">
        <f>ABS(B9-($I$9*A9+$J$9))</f>
        <v>1.7237238511281436E-3</v>
      </c>
      <c r="M9">
        <f>SUMSQ(L9)</f>
        <v>2.9712239149480384E-6</v>
      </c>
      <c r="N9">
        <f>SUM(M9:M16)</f>
        <v>2.1743684547982845E-5</v>
      </c>
      <c r="O9">
        <f>SQRT(N9)/8</f>
        <v>5.8287654873243261E-4</v>
      </c>
      <c r="P9">
        <f>MAX(L9:L16)</f>
        <v>3.3133770466916568E-3</v>
      </c>
    </row>
    <row r="10" spans="1:16" x14ac:dyDescent="0.25">
      <c r="A10">
        <v>48.2</v>
      </c>
      <c r="B10">
        <v>8.2100000000000006E-2</v>
      </c>
      <c r="F10">
        <f t="shared" ref="F10:F16" si="3">A10*B10</f>
        <v>3.9572200000000004</v>
      </c>
      <c r="L10">
        <f t="shared" ref="L10:L16" si="4">ABS(B10-($I$9*A10+$J$9))</f>
        <v>4.0587609481362863E-5</v>
      </c>
      <c r="M10">
        <f t="shared" ref="M10:M16" si="5">SUMSQ(L10)</f>
        <v>1.6473540434116166E-9</v>
      </c>
    </row>
    <row r="11" spans="1:16" x14ac:dyDescent="0.25">
      <c r="A11">
        <v>72.7</v>
      </c>
      <c r="B11">
        <v>0.123</v>
      </c>
      <c r="F11">
        <f t="shared" si="3"/>
        <v>8.9420999999999999</v>
      </c>
      <c r="L11">
        <f t="shared" si="4"/>
        <v>9.4511071095558508E-4</v>
      </c>
      <c r="M11">
        <f t="shared" si="5"/>
        <v>8.9323425596297147E-7</v>
      </c>
    </row>
    <row r="12" spans="1:16" x14ac:dyDescent="0.25">
      <c r="A12">
        <v>92</v>
      </c>
      <c r="B12">
        <v>0.154</v>
      </c>
      <c r="F12">
        <f t="shared" si="3"/>
        <v>14.167999999999999</v>
      </c>
      <c r="L12">
        <f t="shared" si="4"/>
        <v>5.0241591848346201E-4</v>
      </c>
      <c r="M12">
        <f t="shared" si="5"/>
        <v>2.5242175514558076E-7</v>
      </c>
    </row>
    <row r="13" spans="1:16" x14ac:dyDescent="0.25">
      <c r="A13">
        <v>118</v>
      </c>
      <c r="B13">
        <v>0.19700000000000001</v>
      </c>
      <c r="F13">
        <f t="shared" si="3"/>
        <v>23.246000000000002</v>
      </c>
      <c r="L13">
        <f t="shared" si="4"/>
        <v>1.1443814830288113E-3</v>
      </c>
      <c r="M13">
        <f t="shared" si="5"/>
        <v>1.3096089786992213E-6</v>
      </c>
    </row>
    <row r="14" spans="1:16" x14ac:dyDescent="0.25">
      <c r="A14">
        <v>140</v>
      </c>
      <c r="B14">
        <v>0.23400000000000001</v>
      </c>
      <c r="F14">
        <f t="shared" si="3"/>
        <v>32.760000000000005</v>
      </c>
      <c r="L14">
        <f t="shared" si="4"/>
        <v>2.3029677299518103E-3</v>
      </c>
      <c r="M14">
        <f t="shared" si="5"/>
        <v>5.3036603651993939E-6</v>
      </c>
    </row>
    <row r="15" spans="1:16" x14ac:dyDescent="0.25">
      <c r="A15">
        <v>168</v>
      </c>
      <c r="B15">
        <v>0.27400000000000002</v>
      </c>
      <c r="F15">
        <f t="shared" si="3"/>
        <v>46.032000000000004</v>
      </c>
      <c r="L15">
        <f t="shared" si="4"/>
        <v>3.3133770466916568E-3</v>
      </c>
      <c r="M15">
        <f t="shared" si="5"/>
        <v>1.0978467453543126E-5</v>
      </c>
    </row>
    <row r="16" spans="1:16" x14ac:dyDescent="0.25">
      <c r="A16">
        <v>199</v>
      </c>
      <c r="B16">
        <v>0.32800000000000001</v>
      </c>
      <c r="F16">
        <f t="shared" si="3"/>
        <v>65.272000000000006</v>
      </c>
      <c r="L16">
        <f t="shared" si="4"/>
        <v>1.8281266488157089E-4</v>
      </c>
      <c r="M16">
        <f t="shared" si="5"/>
        <v>3.3420470441101541E-8</v>
      </c>
    </row>
    <row r="18" spans="1:16" x14ac:dyDescent="0.25">
      <c r="A18">
        <v>2.5</v>
      </c>
      <c r="B18">
        <v>4.32</v>
      </c>
      <c r="C18">
        <f>SUM(A18:A24)</f>
        <v>28</v>
      </c>
      <c r="D18">
        <f>SUM(B18:B24)</f>
        <v>40.44</v>
      </c>
      <c r="E18">
        <f>SUMSQ(A18:A24)</f>
        <v>119</v>
      </c>
      <c r="F18">
        <f>A18*B18</f>
        <v>10.8</v>
      </c>
      <c r="G18">
        <f>SUM(F18:F24)</f>
        <v>168.57999999999998</v>
      </c>
      <c r="I18">
        <f>LINEST(B18:B24,A18:A24)</f>
        <v>0.9742857142857142</v>
      </c>
      <c r="J18">
        <f>(40.44-28*I18)/7</f>
        <v>1.8800000000000001</v>
      </c>
      <c r="L18">
        <f>ABS(B18-($I$18*A18+$J$18))</f>
        <v>4.2857142857144481E-3</v>
      </c>
      <c r="M18">
        <f>SUMSQ(L18)</f>
        <v>1.8367346938776904E-5</v>
      </c>
      <c r="N18">
        <f>SUM(M18:M24)</f>
        <v>4.114285714285737E-3</v>
      </c>
      <c r="O18">
        <f>SQRT(N18)/7</f>
        <v>9.1632425798545743E-3</v>
      </c>
      <c r="P18">
        <f>MAX(L18:L24)</f>
        <v>3.8571428571429145E-2</v>
      </c>
    </row>
    <row r="19" spans="1:16" x14ac:dyDescent="0.25">
      <c r="A19">
        <v>3</v>
      </c>
      <c r="B19">
        <v>4.83</v>
      </c>
      <c r="F19">
        <f t="shared" ref="F19:F24" si="6">A19*B19</f>
        <v>14.49</v>
      </c>
      <c r="L19">
        <f t="shared" ref="L19:L24" si="7">ABS(B19-($I$18*A19+$J$18))</f>
        <v>2.7142857142857579E-2</v>
      </c>
      <c r="M19">
        <f t="shared" ref="M19:M24" si="8">SUMSQ(L19)</f>
        <v>7.3673469387757471E-4</v>
      </c>
    </row>
    <row r="20" spans="1:16" x14ac:dyDescent="0.25">
      <c r="A20">
        <v>3.5</v>
      </c>
      <c r="B20">
        <v>5.27</v>
      </c>
      <c r="F20">
        <f t="shared" si="6"/>
        <v>18.445</v>
      </c>
      <c r="L20">
        <f t="shared" si="7"/>
        <v>2.0000000000000462E-2</v>
      </c>
      <c r="M20">
        <f t="shared" si="8"/>
        <v>4.0000000000001845E-4</v>
      </c>
    </row>
    <row r="21" spans="1:16" x14ac:dyDescent="0.25">
      <c r="A21">
        <v>4</v>
      </c>
      <c r="B21">
        <v>5.74</v>
      </c>
      <c r="F21">
        <f t="shared" si="6"/>
        <v>22.96</v>
      </c>
      <c r="L21">
        <f t="shared" si="7"/>
        <v>3.7142857142856478E-2</v>
      </c>
      <c r="M21">
        <f t="shared" si="8"/>
        <v>1.3795918367346446E-3</v>
      </c>
    </row>
    <row r="22" spans="1:16" x14ac:dyDescent="0.25">
      <c r="A22">
        <v>4.5</v>
      </c>
      <c r="B22">
        <v>6.26</v>
      </c>
      <c r="F22">
        <f t="shared" si="6"/>
        <v>28.169999999999998</v>
      </c>
      <c r="L22">
        <f t="shared" si="7"/>
        <v>4.2857142857135599E-3</v>
      </c>
      <c r="M22">
        <f t="shared" si="8"/>
        <v>1.8367346938769291E-5</v>
      </c>
    </row>
    <row r="23" spans="1:16" x14ac:dyDescent="0.25">
      <c r="A23">
        <v>5</v>
      </c>
      <c r="B23">
        <v>6.79</v>
      </c>
      <c r="F23">
        <f t="shared" si="6"/>
        <v>33.950000000000003</v>
      </c>
      <c r="L23">
        <f t="shared" si="7"/>
        <v>3.8571428571429145E-2</v>
      </c>
      <c r="M23">
        <f t="shared" si="8"/>
        <v>1.4877551020408605E-3</v>
      </c>
    </row>
    <row r="24" spans="1:16" x14ac:dyDescent="0.25">
      <c r="A24">
        <v>5.5</v>
      </c>
      <c r="B24">
        <v>7.23</v>
      </c>
      <c r="F24">
        <f t="shared" si="6"/>
        <v>39.765000000000001</v>
      </c>
      <c r="L24">
        <f t="shared" si="7"/>
        <v>8.5714285714280081E-3</v>
      </c>
      <c r="M24">
        <f t="shared" si="8"/>
        <v>7.3469387755092382E-5</v>
      </c>
    </row>
    <row r="26" spans="1:16" x14ac:dyDescent="0.25">
      <c r="A26">
        <v>0.1</v>
      </c>
      <c r="B26">
        <v>0.06</v>
      </c>
      <c r="C26">
        <v>0</v>
      </c>
      <c r="I26">
        <v>3.7857142857143198</v>
      </c>
      <c r="J26">
        <v>3.8571428571429998E-2</v>
      </c>
      <c r="K26" s="2">
        <v>3.5527136788005001E-15</v>
      </c>
      <c r="L26" s="2">
        <f>ABS(B26-(A26^2*$I$26+A26*$J$26+$K$26))</f>
        <v>1.8285714285710242E-2</v>
      </c>
      <c r="M26">
        <f>SUMSQ(L26)</f>
        <v>3.3436734693862764E-4</v>
      </c>
      <c r="N26">
        <f>SUM(M26:M30)</f>
        <v>3.0057142857142834E-3</v>
      </c>
      <c r="O26">
        <f>SQRT(N26)/5</f>
        <v>1.0964878997443216E-2</v>
      </c>
      <c r="P26" s="2">
        <f>MAX(L26:L30)</f>
        <v>3.9142857142862392E-2</v>
      </c>
    </row>
    <row r="27" spans="1:16" x14ac:dyDescent="0.25">
      <c r="A27">
        <v>0.2</v>
      </c>
      <c r="B27">
        <v>0.12</v>
      </c>
      <c r="L27" s="2">
        <f t="shared" ref="L27:L30" si="9">ABS(B27-(A27^2*$I$26+A27*$J$26+$K$26))</f>
        <v>3.9142857142862392E-2</v>
      </c>
      <c r="M27">
        <f t="shared" ref="M27:M30" si="10">SUMSQ(L27)</f>
        <v>1.5321632653065333E-3</v>
      </c>
    </row>
    <row r="28" spans="1:16" x14ac:dyDescent="0.25">
      <c r="A28">
        <v>0.3</v>
      </c>
      <c r="B28">
        <v>0.36</v>
      </c>
      <c r="L28" s="2">
        <f t="shared" si="9"/>
        <v>7.7142857142786792E-3</v>
      </c>
      <c r="M28">
        <f t="shared" si="10"/>
        <v>5.9510204081524112E-5</v>
      </c>
    </row>
    <row r="29" spans="1:16" x14ac:dyDescent="0.25">
      <c r="A29">
        <v>0.4</v>
      </c>
      <c r="B29">
        <v>0.65</v>
      </c>
      <c r="L29" s="2">
        <f t="shared" si="9"/>
        <v>2.8857142857133145E-2</v>
      </c>
      <c r="M29">
        <f t="shared" si="10"/>
        <v>8.3273469387699049E-4</v>
      </c>
    </row>
    <row r="30" spans="1:16" x14ac:dyDescent="0.25">
      <c r="A30">
        <v>0.5</v>
      </c>
      <c r="B30">
        <v>0.95</v>
      </c>
      <c r="L30" s="2">
        <f t="shared" si="9"/>
        <v>1.5714285714298559E-2</v>
      </c>
      <c r="M30">
        <f t="shared" si="10"/>
        <v>2.4693877551060776E-4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29B3-F70C-4627-BBE9-F9C27F8AD1B1}">
  <sheetPr>
    <pageSetUpPr fitToPage="1"/>
  </sheetPr>
  <dimension ref="A1:N20"/>
  <sheetViews>
    <sheetView workbookViewId="0">
      <selection activeCell="M3" sqref="M3"/>
    </sheetView>
  </sheetViews>
  <sheetFormatPr defaultRowHeight="15" x14ac:dyDescent="0.25"/>
  <cols>
    <col min="7" max="8" width="12" bestFit="1" customWidth="1"/>
  </cols>
  <sheetData>
    <row r="1" spans="1:14" x14ac:dyDescent="0.25">
      <c r="A1" t="s">
        <v>20</v>
      </c>
      <c r="B1" t="s">
        <v>21</v>
      </c>
      <c r="D1" t="s">
        <v>22</v>
      </c>
      <c r="E1" t="s">
        <v>23</v>
      </c>
      <c r="F1" t="s">
        <v>24</v>
      </c>
      <c r="G1" t="s">
        <v>28</v>
      </c>
      <c r="H1" t="s">
        <v>29</v>
      </c>
      <c r="I1" t="s">
        <v>27</v>
      </c>
      <c r="J1" t="s">
        <v>14</v>
      </c>
      <c r="K1" t="s">
        <v>33</v>
      </c>
      <c r="L1" t="s">
        <v>16</v>
      </c>
      <c r="M1" t="s">
        <v>34</v>
      </c>
      <c r="N1" t="s">
        <v>35</v>
      </c>
    </row>
    <row r="2" spans="1:14" x14ac:dyDescent="0.25">
      <c r="A2">
        <v>14.5</v>
      </c>
      <c r="B2">
        <v>27</v>
      </c>
      <c r="D2">
        <f>A2^3</f>
        <v>3048.625</v>
      </c>
      <c r="E2">
        <f>A2^6</f>
        <v>9294114.390625</v>
      </c>
      <c r="F2">
        <f>SUM(D2*B2)</f>
        <v>82312.875</v>
      </c>
      <c r="G2">
        <f>SUM(E2:E9)</f>
        <v>96065388.899120331</v>
      </c>
      <c r="H2">
        <f>SUM(F2:F9)</f>
        <v>810480.6953125</v>
      </c>
      <c r="I2">
        <f>H2/G2</f>
        <v>8.4367606752063177E-3</v>
      </c>
      <c r="J2">
        <f>$I$2*A2^3</f>
        <v>25.72051951345086</v>
      </c>
      <c r="K2">
        <f>ABS(B2-J2)</f>
        <v>1.27948048654914</v>
      </c>
      <c r="L2">
        <f>SUMSQ(K2:K9)</f>
        <v>12.168341773626139</v>
      </c>
      <c r="M2">
        <f>(SQRT(L2)/7)</f>
        <v>0.49833071908543519</v>
      </c>
      <c r="N2">
        <f>MAX(K2:K9)</f>
        <v>2.305497072677376</v>
      </c>
    </row>
    <row r="3" spans="1:14" x14ac:dyDescent="0.25">
      <c r="A3">
        <v>12.5</v>
      </c>
      <c r="B3">
        <v>17</v>
      </c>
      <c r="D3">
        <f t="shared" ref="D3:D9" si="0">A3^3</f>
        <v>1953.125</v>
      </c>
      <c r="E3">
        <f t="shared" ref="E3:E9" si="1">A3^6</f>
        <v>3814697.265625</v>
      </c>
      <c r="F3">
        <f>SUM(D3*B3)</f>
        <v>33203.125</v>
      </c>
      <c r="J3">
        <f t="shared" ref="J3:J9" si="2">$I$2*A3^3</f>
        <v>16.478048193762341</v>
      </c>
      <c r="K3">
        <f t="shared" ref="K3:K9" si="3">ABS(B3-J3)</f>
        <v>0.52195180623765935</v>
      </c>
    </row>
    <row r="4" spans="1:14" x14ac:dyDescent="0.25">
      <c r="A4">
        <v>17.25</v>
      </c>
      <c r="B4">
        <v>41</v>
      </c>
      <c r="D4">
        <f t="shared" si="0"/>
        <v>5132.953125</v>
      </c>
      <c r="E4">
        <f t="shared" si="1"/>
        <v>26347207.783447266</v>
      </c>
      <c r="F4">
        <f>SUM(D4*B4)</f>
        <v>210451.078125</v>
      </c>
      <c r="J4">
        <f t="shared" si="2"/>
        <v>43.305497072677376</v>
      </c>
      <c r="K4">
        <f t="shared" si="3"/>
        <v>2.305497072677376</v>
      </c>
    </row>
    <row r="5" spans="1:14" x14ac:dyDescent="0.25">
      <c r="A5">
        <v>14.5</v>
      </c>
      <c r="B5">
        <v>26</v>
      </c>
      <c r="D5">
        <f t="shared" si="0"/>
        <v>3048.625</v>
      </c>
      <c r="E5">
        <f t="shared" si="1"/>
        <v>9294114.390625</v>
      </c>
      <c r="F5">
        <f>SUM(D5*B5)</f>
        <v>79264.25</v>
      </c>
      <c r="J5">
        <f t="shared" si="2"/>
        <v>25.72051951345086</v>
      </c>
      <c r="K5">
        <f t="shared" si="3"/>
        <v>0.27948048654914004</v>
      </c>
    </row>
    <row r="6" spans="1:14" x14ac:dyDescent="0.25">
      <c r="A6">
        <v>12.625</v>
      </c>
      <c r="B6">
        <v>17</v>
      </c>
      <c r="D6">
        <f t="shared" si="0"/>
        <v>2012.306640625</v>
      </c>
      <c r="E6">
        <f t="shared" si="1"/>
        <v>4049378.0159034729</v>
      </c>
      <c r="F6">
        <f>SUM(D6*B6)</f>
        <v>34209.212890625</v>
      </c>
      <c r="J6">
        <f t="shared" si="2"/>
        <v>16.977349532081533</v>
      </c>
      <c r="K6">
        <f t="shared" si="3"/>
        <v>2.2650467918467143E-2</v>
      </c>
    </row>
    <row r="7" spans="1:14" x14ac:dyDescent="0.25">
      <c r="A7">
        <v>17.75</v>
      </c>
      <c r="B7">
        <v>49</v>
      </c>
      <c r="D7">
        <f t="shared" si="0"/>
        <v>5592.359375</v>
      </c>
      <c r="E7">
        <f t="shared" si="1"/>
        <v>31274483.379150391</v>
      </c>
      <c r="F7">
        <f>SUM(D7*B7)</f>
        <v>274025.609375</v>
      </c>
      <c r="J7">
        <f t="shared" si="2"/>
        <v>47.181397656621378</v>
      </c>
      <c r="K7">
        <f t="shared" si="3"/>
        <v>1.8186023433786218</v>
      </c>
    </row>
    <row r="8" spans="1:14" x14ac:dyDescent="0.25">
      <c r="A8">
        <v>14.125</v>
      </c>
      <c r="B8">
        <v>23</v>
      </c>
      <c r="D8">
        <f t="shared" si="0"/>
        <v>2818.158203125</v>
      </c>
      <c r="E8">
        <f t="shared" si="1"/>
        <v>7942015.6578407288</v>
      </c>
      <c r="F8">
        <f>SUM(D8*B8)</f>
        <v>64817.638671875</v>
      </c>
      <c r="J8">
        <f t="shared" si="2"/>
        <v>23.776126304635099</v>
      </c>
      <c r="K8">
        <f t="shared" si="3"/>
        <v>0.77612630463509902</v>
      </c>
    </row>
    <row r="9" spans="1:14" x14ac:dyDescent="0.25">
      <c r="A9">
        <v>12.625</v>
      </c>
      <c r="B9">
        <v>16</v>
      </c>
      <c r="D9">
        <f t="shared" si="0"/>
        <v>2012.306640625</v>
      </c>
      <c r="E9">
        <f t="shared" si="1"/>
        <v>4049378.0159034729</v>
      </c>
      <c r="F9">
        <f>SUM(D9*B9)</f>
        <v>32196.90625</v>
      </c>
      <c r="J9">
        <f t="shared" si="2"/>
        <v>16.977349532081533</v>
      </c>
      <c r="K9">
        <f t="shared" si="3"/>
        <v>0.97734953208153286</v>
      </c>
    </row>
    <row r="12" spans="1:14" x14ac:dyDescent="0.25">
      <c r="A12" t="s">
        <v>20</v>
      </c>
      <c r="B12" t="s">
        <v>21</v>
      </c>
      <c r="C12" t="s">
        <v>25</v>
      </c>
      <c r="E12" t="s">
        <v>26</v>
      </c>
      <c r="F12" t="s">
        <v>32</v>
      </c>
      <c r="G12" t="s">
        <v>30</v>
      </c>
      <c r="H12" t="s">
        <v>31</v>
      </c>
      <c r="I12" t="s">
        <v>27</v>
      </c>
      <c r="J12" t="s">
        <v>14</v>
      </c>
      <c r="K12" t="s">
        <v>33</v>
      </c>
      <c r="L12" t="s">
        <v>16</v>
      </c>
      <c r="M12" t="s">
        <v>34</v>
      </c>
      <c r="N12" t="s">
        <v>35</v>
      </c>
    </row>
    <row r="13" spans="1:14" x14ac:dyDescent="0.25">
      <c r="A13">
        <v>14.5</v>
      </c>
      <c r="B13">
        <v>27</v>
      </c>
      <c r="C13">
        <v>9.75</v>
      </c>
      <c r="E13">
        <f>A13*B13*C13^2</f>
        <v>37216.96875</v>
      </c>
      <c r="F13">
        <f>A13^2*C13^4</f>
        <v>1900003.7900390625</v>
      </c>
      <c r="G13">
        <f>SUM(E13:E20)</f>
        <v>365852.1328125</v>
      </c>
      <c r="H13">
        <f>SUM(F13:F20)</f>
        <v>19590360.035217285</v>
      </c>
      <c r="I13">
        <f>G13/H13</f>
        <v>1.8675110215167733E-2</v>
      </c>
      <c r="J13">
        <f>$I$13*A13*C13^2</f>
        <v>25.741888640026048</v>
      </c>
      <c r="K13">
        <f>ABS(B13-J13)</f>
        <v>1.2581113599739524</v>
      </c>
      <c r="L13">
        <f>SUMSQ(K13:K20)</f>
        <v>17.671097272379701</v>
      </c>
      <c r="M13">
        <f>SQRT(L13)/7</f>
        <v>0.60052863229976861</v>
      </c>
      <c r="N13">
        <f>MAX(K13:K20)</f>
        <v>2.7942509873792574</v>
      </c>
    </row>
    <row r="14" spans="1:14" x14ac:dyDescent="0.25">
      <c r="A14">
        <v>12.5</v>
      </c>
      <c r="B14">
        <v>17</v>
      </c>
      <c r="C14">
        <v>8.375</v>
      </c>
      <c r="E14">
        <f t="shared" ref="E14:E20" si="4">A14*B14*C14^2</f>
        <v>14904.8828125</v>
      </c>
      <c r="F14">
        <f t="shared" ref="F14:F20" si="5">A14^2*C14^4</f>
        <v>768704.26177978516</v>
      </c>
      <c r="J14">
        <f>$I$13*A14*C14^2</f>
        <v>16.373548780446864</v>
      </c>
      <c r="K14">
        <f>ABS(B14-J14)</f>
        <v>0.62645121955313599</v>
      </c>
    </row>
    <row r="15" spans="1:14" x14ac:dyDescent="0.25">
      <c r="A15">
        <v>17.25</v>
      </c>
      <c r="B15">
        <v>41</v>
      </c>
      <c r="C15">
        <v>11</v>
      </c>
      <c r="E15">
        <f t="shared" si="4"/>
        <v>85577.25</v>
      </c>
      <c r="F15">
        <f t="shared" si="5"/>
        <v>4356612.5625</v>
      </c>
      <c r="J15">
        <f>$I$13*A15*C15^2</f>
        <v>38.979623796608848</v>
      </c>
      <c r="K15">
        <f>ABS(B15-J15)</f>
        <v>2.0203762033911516</v>
      </c>
    </row>
    <row r="16" spans="1:14" x14ac:dyDescent="0.25">
      <c r="A16">
        <v>14.5</v>
      </c>
      <c r="B16">
        <v>26</v>
      </c>
      <c r="C16">
        <v>9.75</v>
      </c>
      <c r="E16">
        <f t="shared" si="4"/>
        <v>35838.5625</v>
      </c>
      <c r="F16">
        <f t="shared" si="5"/>
        <v>1900003.7900390625</v>
      </c>
      <c r="J16">
        <f>$I$13*A16*C16^2</f>
        <v>25.741888640026048</v>
      </c>
      <c r="K16">
        <f>ABS(B16-J16)</f>
        <v>0.2581113599739524</v>
      </c>
    </row>
    <row r="17" spans="1:11" x14ac:dyDescent="0.25">
      <c r="A17">
        <v>12.625</v>
      </c>
      <c r="B17">
        <v>17</v>
      </c>
      <c r="C17">
        <v>8.5</v>
      </c>
      <c r="E17">
        <f t="shared" si="4"/>
        <v>15506.65625</v>
      </c>
      <c r="F17">
        <f t="shared" si="5"/>
        <v>832029.0244140625</v>
      </c>
      <c r="J17">
        <f>$I$13*A17*C17^2</f>
        <v>17.034618502204093</v>
      </c>
      <c r="K17">
        <f>ABS(B17-J17)</f>
        <v>3.461850220409346E-2</v>
      </c>
    </row>
    <row r="18" spans="1:11" x14ac:dyDescent="0.25">
      <c r="A18">
        <v>17.75</v>
      </c>
      <c r="B18">
        <v>49</v>
      </c>
      <c r="C18">
        <v>12.5</v>
      </c>
      <c r="E18">
        <f t="shared" si="4"/>
        <v>135898.4375</v>
      </c>
      <c r="F18">
        <f t="shared" si="5"/>
        <v>7691955.56640625</v>
      </c>
      <c r="J18">
        <f>$I$13*A18*C18^2</f>
        <v>51.794250987379257</v>
      </c>
      <c r="K18">
        <f>ABS(B18-J18)</f>
        <v>2.7942509873792574</v>
      </c>
    </row>
    <row r="19" spans="1:11" x14ac:dyDescent="0.25">
      <c r="A19">
        <v>14.125</v>
      </c>
      <c r="B19">
        <v>23</v>
      </c>
      <c r="C19">
        <v>9</v>
      </c>
      <c r="E19">
        <f t="shared" si="4"/>
        <v>26314.875</v>
      </c>
      <c r="F19">
        <f t="shared" si="5"/>
        <v>1309022.015625</v>
      </c>
      <c r="J19">
        <f>$I$13*A19*C19^2</f>
        <v>21.366660474928779</v>
      </c>
      <c r="K19">
        <f>ABS(B19-J19)</f>
        <v>1.6333395250712215</v>
      </c>
    </row>
    <row r="20" spans="1:11" x14ac:dyDescent="0.25">
      <c r="A20">
        <v>12.625</v>
      </c>
      <c r="B20">
        <v>16</v>
      </c>
      <c r="C20">
        <v>8.5</v>
      </c>
      <c r="E20">
        <f t="shared" si="4"/>
        <v>14594.5</v>
      </c>
      <c r="F20">
        <f t="shared" si="5"/>
        <v>832029.0244140625</v>
      </c>
      <c r="J20">
        <f>$I$13*A20*C20^2</f>
        <v>17.034618502204093</v>
      </c>
      <c r="K20">
        <f>ABS(B20-J20)</f>
        <v>1.0346185022040935</v>
      </c>
    </row>
  </sheetData>
  <pageMargins left="0.7" right="0.7" top="0.75" bottom="0.7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4E99-C95E-4393-B473-F30955D3253A}">
  <sheetPr>
    <pageSetUpPr fitToPage="1"/>
  </sheetPr>
  <dimension ref="A1:M21"/>
  <sheetViews>
    <sheetView workbookViewId="0">
      <selection activeCell="L25" sqref="L25"/>
    </sheetView>
  </sheetViews>
  <sheetFormatPr defaultRowHeight="15" x14ac:dyDescent="0.25"/>
  <cols>
    <col min="3" max="3" width="16.7109375" bestFit="1" customWidth="1"/>
  </cols>
  <sheetData>
    <row r="1" spans="1:13" x14ac:dyDescent="0.25">
      <c r="A1" t="s">
        <v>0</v>
      </c>
      <c r="B1" t="s">
        <v>1</v>
      </c>
      <c r="C1" t="s">
        <v>42</v>
      </c>
      <c r="D1" t="s">
        <v>36</v>
      </c>
      <c r="E1" t="s">
        <v>37</v>
      </c>
      <c r="F1" t="s">
        <v>40</v>
      </c>
      <c r="G1" t="s">
        <v>41</v>
      </c>
      <c r="H1" t="s">
        <v>10</v>
      </c>
      <c r="I1" t="s">
        <v>9</v>
      </c>
      <c r="J1" t="s">
        <v>7</v>
      </c>
      <c r="K1" t="s">
        <v>8</v>
      </c>
      <c r="L1" t="s">
        <v>12</v>
      </c>
      <c r="M1" t="s">
        <v>13</v>
      </c>
    </row>
    <row r="2" spans="1:13" x14ac:dyDescent="0.25">
      <c r="A2">
        <v>365</v>
      </c>
      <c r="B2">
        <v>2.76</v>
      </c>
      <c r="C2">
        <f>1.397*A2^0.096013</f>
        <v>2.4615566266421651</v>
      </c>
      <c r="D2">
        <f>LN(A2)</f>
        <v>5.8998973535824915</v>
      </c>
      <c r="E2">
        <f>LN(B2)</f>
        <v>1.0152306797290584</v>
      </c>
      <c r="F2">
        <f>D2*E2</f>
        <v>5.9897568006092259</v>
      </c>
      <c r="G2">
        <f>D2*D2</f>
        <v>34.808788782809685</v>
      </c>
      <c r="H2">
        <f>SUM(F2:F16)</f>
        <v>247.5764985622591</v>
      </c>
      <c r="I2">
        <f>SUM(G2:G16)</f>
        <v>1990.591552136571</v>
      </c>
      <c r="J2">
        <f>SUM(D2:D16)</f>
        <v>168.85613467847614</v>
      </c>
      <c r="K2">
        <f>SUM(E2:E16)</f>
        <v>21.227350294865648</v>
      </c>
      <c r="L2">
        <f>(15*(H2)-J2*K2)/(15*I2-J2^2)</f>
        <v>9.601275035164708E-2</v>
      </c>
      <c r="M2">
        <f>(K2-L2*J2)/15</f>
        <v>0.33433389270913477</v>
      </c>
    </row>
    <row r="3" spans="1:13" x14ac:dyDescent="0.25">
      <c r="A3">
        <v>2500</v>
      </c>
      <c r="B3">
        <v>2.27</v>
      </c>
      <c r="C3">
        <f t="shared" ref="C3:C16" si="0">1.397*A3^0.096013</f>
        <v>2.961030086268964</v>
      </c>
      <c r="D3">
        <f>LN(A3)</f>
        <v>7.8240460108562919</v>
      </c>
      <c r="E3">
        <f>LN(B3)</f>
        <v>0.81977983149331135</v>
      </c>
      <c r="F3">
        <f t="shared" ref="F3:F16" si="1">D3*E3</f>
        <v>6.4139951203756862</v>
      </c>
      <c r="G3">
        <f t="shared" ref="G3:G16" si="2">D3*D3</f>
        <v>61.215695979996255</v>
      </c>
    </row>
    <row r="4" spans="1:13" x14ac:dyDescent="0.25">
      <c r="A4">
        <v>5491</v>
      </c>
      <c r="B4">
        <v>3.31</v>
      </c>
      <c r="C4">
        <f t="shared" si="0"/>
        <v>3.1933870529090478</v>
      </c>
      <c r="D4">
        <f>LN(A4)</f>
        <v>8.6108656672788726</v>
      </c>
      <c r="E4">
        <f>LN(B4)</f>
        <v>1.1969481893889715</v>
      </c>
      <c r="F4">
        <f t="shared" si="1"/>
        <v>10.306760069521104</v>
      </c>
      <c r="G4">
        <f t="shared" si="2"/>
        <v>74.147007539922029</v>
      </c>
    </row>
    <row r="5" spans="1:13" x14ac:dyDescent="0.25">
      <c r="A5">
        <v>14000</v>
      </c>
      <c r="B5">
        <v>3.7</v>
      </c>
      <c r="C5">
        <f t="shared" si="0"/>
        <v>3.4936435866870688</v>
      </c>
      <c r="D5">
        <f>LN(A5)</f>
        <v>9.5468126085973957</v>
      </c>
      <c r="E5">
        <f>LN(B5)</f>
        <v>1.3083328196501789</v>
      </c>
      <c r="F5">
        <f t="shared" si="1"/>
        <v>12.49040825887811</v>
      </c>
      <c r="G5">
        <f t="shared" si="2"/>
        <v>91.141630983674204</v>
      </c>
    </row>
    <row r="6" spans="1:13" x14ac:dyDescent="0.25">
      <c r="A6">
        <v>23700</v>
      </c>
      <c r="B6">
        <v>3.27</v>
      </c>
      <c r="C6">
        <f t="shared" si="0"/>
        <v>3.6747611732154324</v>
      </c>
      <c r="D6">
        <f>LN(A6)</f>
        <v>10.073230327123223</v>
      </c>
      <c r="E6">
        <f>LN(B6)</f>
        <v>1.1847899849091621</v>
      </c>
      <c r="F6">
        <f t="shared" si="1"/>
        <v>11.934662407258838</v>
      </c>
      <c r="G6">
        <f t="shared" si="2"/>
        <v>101.46996922327504</v>
      </c>
    </row>
    <row r="7" spans="1:13" x14ac:dyDescent="0.25">
      <c r="A7">
        <v>49375</v>
      </c>
      <c r="B7">
        <v>4.9000000000000004</v>
      </c>
      <c r="C7">
        <f t="shared" si="0"/>
        <v>3.9430665236412219</v>
      </c>
      <c r="D7">
        <f>LN(A7)</f>
        <v>10.807199502203423</v>
      </c>
      <c r="E7">
        <f>LN(B7)</f>
        <v>1.589235205116581</v>
      </c>
      <c r="F7">
        <f t="shared" si="1"/>
        <v>17.175181917620069</v>
      </c>
      <c r="G7">
        <f t="shared" si="2"/>
        <v>116.79556108042591</v>
      </c>
    </row>
    <row r="8" spans="1:13" x14ac:dyDescent="0.25">
      <c r="A8">
        <v>70700</v>
      </c>
      <c r="B8">
        <v>4.3099999999999996</v>
      </c>
      <c r="C8">
        <f t="shared" si="0"/>
        <v>4.0813488026435421</v>
      </c>
      <c r="D8">
        <f>LN(A8)</f>
        <v>11.166200851884664</v>
      </c>
      <c r="E8">
        <f>LN(B8)</f>
        <v>1.4609379041156563</v>
      </c>
      <c r="F8">
        <f t="shared" si="1"/>
        <v>16.313126069486838</v>
      </c>
      <c r="G8">
        <f t="shared" si="2"/>
        <v>124.6840414646298</v>
      </c>
    </row>
    <row r="9" spans="1:13" x14ac:dyDescent="0.25">
      <c r="A9">
        <v>78200</v>
      </c>
      <c r="B9">
        <v>3.85</v>
      </c>
      <c r="C9">
        <f t="shared" si="0"/>
        <v>4.1210498322137914</v>
      </c>
      <c r="D9">
        <f>LN(A9)</f>
        <v>11.267024926533402</v>
      </c>
      <c r="E9">
        <f>LN(B9)</f>
        <v>1.3480731482996928</v>
      </c>
      <c r="F9">
        <f t="shared" si="1"/>
        <v>15.188773764682999</v>
      </c>
      <c r="G9">
        <f t="shared" si="2"/>
        <v>126.94585069512502</v>
      </c>
    </row>
    <row r="10" spans="1:13" x14ac:dyDescent="0.25">
      <c r="A10">
        <v>138000</v>
      </c>
      <c r="B10">
        <v>4.3899999999999997</v>
      </c>
      <c r="C10">
        <f t="shared" si="0"/>
        <v>4.352027358477442</v>
      </c>
      <c r="D10">
        <f>LN(A10)</f>
        <v>11.835008964139341</v>
      </c>
      <c r="E10">
        <f>LN(B10)</f>
        <v>1.4793292270870799</v>
      </c>
      <c r="F10">
        <f t="shared" si="1"/>
        <v>17.507874663488913</v>
      </c>
      <c r="G10">
        <f t="shared" si="2"/>
        <v>140.06743718125855</v>
      </c>
    </row>
    <row r="11" spans="1:13" x14ac:dyDescent="0.25">
      <c r="A11">
        <v>304500</v>
      </c>
      <c r="B11">
        <v>4.42</v>
      </c>
      <c r="C11">
        <f t="shared" si="0"/>
        <v>4.6956105883271482</v>
      </c>
      <c r="D11">
        <f>LN(A11)</f>
        <v>12.626426366132089</v>
      </c>
      <c r="E11">
        <f>LN(B11)</f>
        <v>1.4861396960896067</v>
      </c>
      <c r="F11">
        <f t="shared" si="1"/>
        <v>18.764633442461339</v>
      </c>
      <c r="G11">
        <f t="shared" si="2"/>
        <v>159.42664277935557</v>
      </c>
    </row>
    <row r="12" spans="1:13" x14ac:dyDescent="0.25">
      <c r="A12">
        <v>341948</v>
      </c>
      <c r="B12">
        <v>4.8099999999999996</v>
      </c>
      <c r="C12">
        <f t="shared" si="0"/>
        <v>4.7481946475286829</v>
      </c>
      <c r="D12">
        <f>LN(A12)</f>
        <v>12.742413957700833</v>
      </c>
      <c r="E12">
        <f>LN(B12)</f>
        <v>1.5706970841176697</v>
      </c>
      <c r="F12">
        <f t="shared" si="1"/>
        <v>20.014472447980996</v>
      </c>
      <c r="G12">
        <f t="shared" si="2"/>
        <v>162.369113469409</v>
      </c>
    </row>
    <row r="13" spans="1:13" x14ac:dyDescent="0.25">
      <c r="A13">
        <v>867023</v>
      </c>
      <c r="B13">
        <v>5.21</v>
      </c>
      <c r="C13">
        <f t="shared" si="0"/>
        <v>5.1918787307064731</v>
      </c>
      <c r="D13">
        <f>LN(A13)</f>
        <v>13.672820783669174</v>
      </c>
      <c r="E13">
        <f>LN(B13)</f>
        <v>1.6505798557652755</v>
      </c>
      <c r="F13">
        <f t="shared" si="1"/>
        <v>22.568082557013128</v>
      </c>
      <c r="G13">
        <f t="shared" si="2"/>
        <v>186.94602818233571</v>
      </c>
    </row>
    <row r="14" spans="1:13" x14ac:dyDescent="0.25">
      <c r="A14">
        <v>1092759</v>
      </c>
      <c r="B14">
        <v>5.88</v>
      </c>
      <c r="C14">
        <f t="shared" si="0"/>
        <v>5.3085174410985951</v>
      </c>
      <c r="D14">
        <f>LN(A14)</f>
        <v>13.904216248793222</v>
      </c>
      <c r="E14">
        <f>LN(B14)</f>
        <v>1.7715567619105355</v>
      </c>
      <c r="F14">
        <f t="shared" si="1"/>
        <v>24.632108314615973</v>
      </c>
      <c r="G14">
        <f t="shared" si="2"/>
        <v>193.32722949320546</v>
      </c>
    </row>
    <row r="15" spans="1:13" x14ac:dyDescent="0.25">
      <c r="A15">
        <v>1340000</v>
      </c>
      <c r="B15">
        <v>5.62</v>
      </c>
      <c r="C15">
        <f t="shared" si="0"/>
        <v>5.4134997258237991</v>
      </c>
      <c r="D15">
        <f>LN(A15)</f>
        <v>14.108180171927094</v>
      </c>
      <c r="E15">
        <f>LN(B15)</f>
        <v>1.7263316639055997</v>
      </c>
      <c r="F15">
        <f t="shared" si="1"/>
        <v>24.355398150882888</v>
      </c>
      <c r="G15">
        <f t="shared" si="2"/>
        <v>199.04074776355679</v>
      </c>
    </row>
    <row r="16" spans="1:13" x14ac:dyDescent="0.25">
      <c r="A16">
        <v>2602000</v>
      </c>
      <c r="B16">
        <v>5.05</v>
      </c>
      <c r="C16">
        <f t="shared" si="0"/>
        <v>5.7696478277786136</v>
      </c>
      <c r="D16">
        <f>LN(A16)</f>
        <v>14.771790938054588</v>
      </c>
      <c r="E16">
        <f>LN(B16)</f>
        <v>1.6193882432872684</v>
      </c>
      <c r="F16">
        <f t="shared" si="1"/>
        <v>23.92126457738301</v>
      </c>
      <c r="G16">
        <f t="shared" si="2"/>
        <v>218.20580751759164</v>
      </c>
    </row>
    <row r="20" spans="3:5" x14ac:dyDescent="0.25">
      <c r="C20" t="s">
        <v>38</v>
      </c>
      <c r="D20">
        <f>D13-D12</f>
        <v>0.93040682596834046</v>
      </c>
      <c r="E20">
        <f>D21/D20</f>
        <v>8.5857895082042363E-2</v>
      </c>
    </row>
    <row r="21" spans="3:5" x14ac:dyDescent="0.25">
      <c r="C21" t="s">
        <v>39</v>
      </c>
      <c r="D21">
        <f>E13-E12</f>
        <v>7.9882771647605821E-2</v>
      </c>
    </row>
  </sheetData>
  <sortState ref="A2:B18">
    <sortCondition ref="A1"/>
  </sortState>
  <pageMargins left="0.7" right="0.7" top="0.75" bottom="0.75" header="0.3" footer="0.3"/>
  <pageSetup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D9C1-AE43-4767-A26D-F68813600479}">
  <sheetPr>
    <pageSetUpPr fitToPage="1"/>
  </sheetPr>
  <dimension ref="A1:B9"/>
  <sheetViews>
    <sheetView zoomScale="55" zoomScaleNormal="55" workbookViewId="0">
      <selection activeCell="AC50" sqref="AC50"/>
    </sheetView>
  </sheetViews>
  <sheetFormatPr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100</v>
      </c>
      <c r="B2">
        <v>205</v>
      </c>
    </row>
    <row r="3" spans="1:2" x14ac:dyDescent="0.25">
      <c r="A3">
        <v>200</v>
      </c>
      <c r="B3">
        <v>430</v>
      </c>
    </row>
    <row r="4" spans="1:2" x14ac:dyDescent="0.25">
      <c r="A4">
        <v>300</v>
      </c>
      <c r="B4">
        <v>677</v>
      </c>
    </row>
    <row r="5" spans="1:2" x14ac:dyDescent="0.25">
      <c r="A5">
        <v>400</v>
      </c>
      <c r="B5">
        <v>945</v>
      </c>
    </row>
    <row r="6" spans="1:2" x14ac:dyDescent="0.25">
      <c r="A6">
        <v>500</v>
      </c>
      <c r="B6">
        <v>1233</v>
      </c>
    </row>
    <row r="7" spans="1:2" x14ac:dyDescent="0.25">
      <c r="A7">
        <v>600</v>
      </c>
      <c r="B7">
        <v>1542</v>
      </c>
    </row>
    <row r="8" spans="1:2" x14ac:dyDescent="0.25">
      <c r="A8">
        <v>700</v>
      </c>
      <c r="B8">
        <v>1872</v>
      </c>
    </row>
    <row r="9" spans="1:2" x14ac:dyDescent="0.25">
      <c r="A9">
        <v>800</v>
      </c>
      <c r="B9">
        <v>2224</v>
      </c>
    </row>
  </sheetData>
  <pageMargins left="0.7" right="0.7" top="0.75" bottom="0.75" header="0.3" footer="0.3"/>
  <pageSetup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E87B-F99C-4BC7-B374-AC1984EE491A}">
  <sheetPr>
    <pageSetUpPr fitToPage="1"/>
  </sheetPr>
  <dimension ref="A1:G29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s="4" t="s">
        <v>14</v>
      </c>
      <c r="D1" s="4" t="s">
        <v>46</v>
      </c>
      <c r="E1" s="4" t="s">
        <v>16</v>
      </c>
      <c r="F1" s="4" t="s">
        <v>47</v>
      </c>
      <c r="G1" s="4" t="s">
        <v>34</v>
      </c>
    </row>
    <row r="2" spans="1:7" x14ac:dyDescent="0.25">
      <c r="A2">
        <v>46</v>
      </c>
      <c r="B2">
        <v>40</v>
      </c>
      <c r="C2">
        <f>3.8515*A2-140.34</f>
        <v>36.829000000000008</v>
      </c>
      <c r="D2">
        <f>ABS(B2-C2)</f>
        <v>3.1709999999999923</v>
      </c>
      <c r="E2">
        <f>SUMSQ(D2:D20)</f>
        <v>448.2079397499997</v>
      </c>
      <c r="F2">
        <f>MAX(D2:D20)</f>
        <v>10.453000000000003</v>
      </c>
      <c r="G2">
        <f>SQRT(E2)/19</f>
        <v>1.1142590543965565</v>
      </c>
    </row>
    <row r="3" spans="1:7" x14ac:dyDescent="0.25">
      <c r="A3">
        <v>49</v>
      </c>
      <c r="B3">
        <v>50</v>
      </c>
      <c r="C3">
        <f t="shared" ref="C3:C20" si="0">3.8515*A3-140.34</f>
        <v>48.383499999999998</v>
      </c>
      <c r="D3">
        <f t="shared" ref="D3:D20" si="1">ABS(B3-C3)</f>
        <v>1.616500000000002</v>
      </c>
    </row>
    <row r="4" spans="1:7" x14ac:dyDescent="0.25">
      <c r="A4">
        <v>51</v>
      </c>
      <c r="B4">
        <v>55</v>
      </c>
      <c r="C4">
        <f t="shared" si="0"/>
        <v>56.086500000000001</v>
      </c>
      <c r="D4">
        <f t="shared" si="1"/>
        <v>1.0865000000000009</v>
      </c>
    </row>
    <row r="5" spans="1:7" x14ac:dyDescent="0.25">
      <c r="A5">
        <v>52</v>
      </c>
      <c r="B5">
        <v>63</v>
      </c>
      <c r="C5">
        <f t="shared" si="0"/>
        <v>59.938000000000017</v>
      </c>
      <c r="D5">
        <f t="shared" si="1"/>
        <v>3.0619999999999834</v>
      </c>
    </row>
    <row r="6" spans="1:7" x14ac:dyDescent="0.25">
      <c r="A6">
        <v>54</v>
      </c>
      <c r="B6">
        <v>72</v>
      </c>
      <c r="C6">
        <f t="shared" si="0"/>
        <v>67.640999999999991</v>
      </c>
      <c r="D6">
        <f t="shared" si="1"/>
        <v>4.3590000000000089</v>
      </c>
    </row>
    <row r="7" spans="1:7" x14ac:dyDescent="0.25">
      <c r="A7">
        <v>56</v>
      </c>
      <c r="B7">
        <v>70</v>
      </c>
      <c r="C7">
        <f t="shared" si="0"/>
        <v>75.343999999999994</v>
      </c>
      <c r="D7">
        <f t="shared" si="1"/>
        <v>5.3439999999999941</v>
      </c>
    </row>
    <row r="8" spans="1:7" x14ac:dyDescent="0.25">
      <c r="A8">
        <v>57</v>
      </c>
      <c r="B8">
        <v>77</v>
      </c>
      <c r="C8">
        <f t="shared" si="0"/>
        <v>79.19550000000001</v>
      </c>
      <c r="D8">
        <f t="shared" si="1"/>
        <v>2.1955000000000098</v>
      </c>
    </row>
    <row r="9" spans="1:7" x14ac:dyDescent="0.25">
      <c r="A9">
        <v>58</v>
      </c>
      <c r="B9">
        <v>73</v>
      </c>
      <c r="C9">
        <f t="shared" si="0"/>
        <v>83.046999999999997</v>
      </c>
      <c r="D9">
        <f t="shared" si="1"/>
        <v>10.046999999999997</v>
      </c>
    </row>
    <row r="10" spans="1:7" x14ac:dyDescent="0.25">
      <c r="A10">
        <v>59</v>
      </c>
      <c r="B10">
        <v>90</v>
      </c>
      <c r="C10">
        <f t="shared" si="0"/>
        <v>86.898500000000013</v>
      </c>
      <c r="D10">
        <f t="shared" si="1"/>
        <v>3.1014999999999873</v>
      </c>
    </row>
    <row r="11" spans="1:7" x14ac:dyDescent="0.25">
      <c r="A11">
        <v>60</v>
      </c>
      <c r="B11">
        <v>93</v>
      </c>
      <c r="C11">
        <f t="shared" si="0"/>
        <v>90.75</v>
      </c>
      <c r="D11">
        <f t="shared" si="1"/>
        <v>2.25</v>
      </c>
    </row>
    <row r="12" spans="1:7" x14ac:dyDescent="0.25">
      <c r="A12">
        <v>61</v>
      </c>
      <c r="B12">
        <v>96</v>
      </c>
      <c r="C12">
        <f t="shared" si="0"/>
        <v>94.601500000000016</v>
      </c>
      <c r="D12">
        <f t="shared" si="1"/>
        <v>1.3984999999999843</v>
      </c>
    </row>
    <row r="13" spans="1:7" x14ac:dyDescent="0.25">
      <c r="A13">
        <v>62</v>
      </c>
      <c r="B13">
        <v>88</v>
      </c>
      <c r="C13">
        <f t="shared" si="0"/>
        <v>98.453000000000003</v>
      </c>
      <c r="D13">
        <f t="shared" si="1"/>
        <v>10.453000000000003</v>
      </c>
    </row>
    <row r="14" spans="1:7" x14ac:dyDescent="0.25">
      <c r="A14">
        <v>63</v>
      </c>
      <c r="B14">
        <v>99</v>
      </c>
      <c r="C14">
        <f t="shared" si="0"/>
        <v>102.30450000000002</v>
      </c>
      <c r="D14">
        <f t="shared" si="1"/>
        <v>3.3045000000000186</v>
      </c>
    </row>
    <row r="15" spans="1:7" x14ac:dyDescent="0.25">
      <c r="A15">
        <v>64</v>
      </c>
      <c r="B15">
        <v>110</v>
      </c>
      <c r="C15">
        <f t="shared" si="0"/>
        <v>106.15600000000001</v>
      </c>
      <c r="D15">
        <f t="shared" si="1"/>
        <v>3.8439999999999941</v>
      </c>
    </row>
    <row r="16" spans="1:7" x14ac:dyDescent="0.25">
      <c r="A16">
        <v>66</v>
      </c>
      <c r="B16">
        <v>113</v>
      </c>
      <c r="C16">
        <f t="shared" si="0"/>
        <v>113.85900000000001</v>
      </c>
      <c r="D16">
        <f t="shared" si="1"/>
        <v>0.85900000000000887</v>
      </c>
    </row>
    <row r="17" spans="1:4" x14ac:dyDescent="0.25">
      <c r="A17">
        <v>67</v>
      </c>
      <c r="B17">
        <v>120</v>
      </c>
      <c r="C17">
        <f t="shared" si="0"/>
        <v>117.7105</v>
      </c>
      <c r="D17">
        <f t="shared" si="1"/>
        <v>2.2895000000000039</v>
      </c>
    </row>
    <row r="18" spans="1:4" x14ac:dyDescent="0.25">
      <c r="A18">
        <v>68</v>
      </c>
      <c r="B18">
        <v>127</v>
      </c>
      <c r="C18">
        <f t="shared" si="0"/>
        <v>121.56199999999998</v>
      </c>
      <c r="D18">
        <f t="shared" si="1"/>
        <v>5.4380000000000166</v>
      </c>
    </row>
    <row r="19" spans="1:4" x14ac:dyDescent="0.25">
      <c r="A19">
        <v>70</v>
      </c>
      <c r="B19">
        <v>137</v>
      </c>
      <c r="C19">
        <f t="shared" si="0"/>
        <v>129.26500000000001</v>
      </c>
      <c r="D19">
        <f t="shared" si="1"/>
        <v>7.7349999999999852</v>
      </c>
    </row>
    <row r="20" spans="1:4" x14ac:dyDescent="0.25">
      <c r="A20">
        <v>72</v>
      </c>
      <c r="B20">
        <v>132</v>
      </c>
      <c r="C20">
        <f t="shared" si="0"/>
        <v>136.96799999999999</v>
      </c>
      <c r="D20">
        <f t="shared" si="1"/>
        <v>4.9679999999999893</v>
      </c>
    </row>
    <row r="29" spans="1:4" ht="23.25" x14ac:dyDescent="0.35">
      <c r="A29" s="3" t="s">
        <v>45</v>
      </c>
    </row>
  </sheetData>
  <pageMargins left="0.7" right="0.7" top="0.75" bottom="0.7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</vt:lpstr>
      <vt:lpstr>3.2</vt:lpstr>
      <vt:lpstr>3.3</vt:lpstr>
      <vt:lpstr>3.4</vt:lpstr>
      <vt:lpstr>4.1</vt:lpstr>
      <vt:lpstr>4.2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2019-10-17T04:04:48Z</cp:lastPrinted>
  <dcterms:created xsi:type="dcterms:W3CDTF">2019-10-16T05:00:49Z</dcterms:created>
  <dcterms:modified xsi:type="dcterms:W3CDTF">2019-10-17T04:08:51Z</dcterms:modified>
</cp:coreProperties>
</file>