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iaz\OneDrive - Plus Technologies S.A\AAA PlusTI\Dimensionamiento\FORMATOS\"/>
    </mc:Choice>
  </mc:AlternateContent>
  <xr:revisionPtr revIDLastSave="102" documentId="13_ncr:1_{97A80AAE-11D0-418C-ADC2-F503957D627D}" xr6:coauthVersionLast="43" xr6:coauthVersionMax="43" xr10:uidLastSave="{A33525DA-8976-4EB3-B378-FD3812CD7CF8}"/>
  <bookViews>
    <workbookView xWindow="3732" yWindow="744" windowWidth="17280" windowHeight="9072" xr2:uid="{5167E4B8-DDE6-4721-AD9A-6105EDDBF6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C3" i="1"/>
  <c r="C20" i="1"/>
  <c r="N6" i="1"/>
  <c r="G13" i="1"/>
  <c r="G10" i="1"/>
  <c r="E19" i="1"/>
  <c r="Q8" i="1"/>
  <c r="D16" i="1"/>
  <c r="E16" i="1"/>
  <c r="C4" i="1"/>
  <c r="Q4" i="1"/>
  <c r="Q5" i="1"/>
  <c r="K8" i="1"/>
  <c r="K7" i="1"/>
  <c r="K11" i="1"/>
  <c r="M13" i="1"/>
  <c r="C6" i="1"/>
  <c r="C7" i="1"/>
  <c r="C8" i="1"/>
  <c r="C13" i="1"/>
  <c r="C23" i="1"/>
  <c r="C25" i="1"/>
  <c r="J3" i="1"/>
  <c r="C10" i="1"/>
  <c r="B23" i="1"/>
  <c r="B25" i="1"/>
  <c r="C24" i="1"/>
  <c r="C14" i="1"/>
  <c r="M14" i="1"/>
  <c r="K18" i="1"/>
  <c r="G14" i="1"/>
  <c r="B24" i="1"/>
  <c r="B26" i="1"/>
  <c r="B27" i="1"/>
  <c r="K5" i="1"/>
  <c r="C26" i="1"/>
  <c r="C27" i="1"/>
  <c r="K14" i="1"/>
  <c r="G11" i="1"/>
  <c r="K6" i="1"/>
  <c r="K19" i="1"/>
</calcChain>
</file>

<file path=xl/sharedStrings.xml><?xml version="1.0" encoding="utf-8"?>
<sst xmlns="http://schemas.openxmlformats.org/spreadsheetml/2006/main" count="75" uniqueCount="57">
  <si>
    <t>h</t>
  </si>
  <si>
    <t>m</t>
  </si>
  <si>
    <t>s</t>
  </si>
  <si>
    <t>c</t>
  </si>
  <si>
    <t>ms</t>
  </si>
  <si>
    <t>Cores</t>
  </si>
  <si>
    <t>gb</t>
  </si>
  <si>
    <t>def</t>
  </si>
  <si>
    <t>servers</t>
  </si>
  <si>
    <t>trx peak</t>
  </si>
  <si>
    <t>Projected transactions</t>
  </si>
  <si>
    <t>Memory</t>
  </si>
  <si>
    <t>Analysis Server</t>
  </si>
  <si>
    <t>Database</t>
  </si>
  <si>
    <t>per server</t>
  </si>
  <si>
    <t>Transactional Peak</t>
  </si>
  <si>
    <t>Projected Transactions (3 years)</t>
  </si>
  <si>
    <t>Transactions per hour</t>
  </si>
  <si>
    <t>Transactions per Minute</t>
  </si>
  <si>
    <t>Transactions per Second</t>
  </si>
  <si>
    <t>Parallel transactions</t>
  </si>
  <si>
    <t>Cores Analysis</t>
  </si>
  <si>
    <t>Number of servers</t>
  </si>
  <si>
    <t>core per server</t>
  </si>
  <si>
    <t>Hardware Configuration</t>
  </si>
  <si>
    <t>HDD</t>
  </si>
  <si>
    <t>Datamart</t>
  </si>
  <si>
    <t>History</t>
  </si>
  <si>
    <t>Temp</t>
  </si>
  <si>
    <t>Logs</t>
  </si>
  <si>
    <t>Registro</t>
  </si>
  <si>
    <t>Avg Transactions</t>
  </si>
  <si>
    <t>Día MB</t>
  </si>
  <si>
    <t>Mes GB</t>
  </si>
  <si>
    <t>months</t>
  </si>
  <si>
    <t>TOTAL</t>
  </si>
  <si>
    <t>tb</t>
  </si>
  <si>
    <t>Record Length</t>
  </si>
  <si>
    <t>Percentage of occupation</t>
  </si>
  <si>
    <t>Online History</t>
  </si>
  <si>
    <t>Keys</t>
  </si>
  <si>
    <t>Records per key</t>
  </si>
  <si>
    <t>rangos</t>
  </si>
  <si>
    <t>cores/srv</t>
  </si>
  <si>
    <t>trxs/seg</t>
  </si>
  <si>
    <t>trxs/core</t>
  </si>
  <si>
    <t>trxs</t>
  </si>
  <si>
    <t>crecimiento</t>
  </si>
  <si>
    <t>40-85%</t>
  </si>
  <si>
    <t>p:10-11, g:7-9</t>
  </si>
  <si>
    <t>p: x6,      g: x4,3</t>
  </si>
  <si>
    <t>5-30%</t>
  </si>
  <si>
    <t>0.2, 5-30</t>
  </si>
  <si>
    <t>0.1, 5-10</t>
  </si>
  <si>
    <t>4-16</t>
  </si>
  <si>
    <r>
      <rPr>
        <b/>
        <sz val="14"/>
        <color rgb="FFFF0000"/>
        <rFont val="San Francisco Display"/>
      </rPr>
      <t>O8</t>
    </r>
    <r>
      <rPr>
        <b/>
        <sz val="14"/>
        <color theme="1"/>
        <rFont val="San Francisco Display"/>
        <family val="2"/>
      </rPr>
      <t xml:space="preserve"> de PHI</t>
    </r>
  </si>
  <si>
    <t>Alert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</si>
</sst>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_);_(* \(#,##0.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San Francisco Display"/>
      <family val="2"/>
    </font>
    <font>
      <b/>
      <sz val="14"/>
      <color theme="1"/>
      <name val="San Francisco Display"/>
      <family val="2"/>
    </font>
    <font>
      <b/>
      <sz val="18"/>
      <color theme="0"/>
      <name val="San Francisco Display"/>
      <family val="2"/>
    </font>
    <font>
      <sz val="18"/>
      <color theme="1"/>
      <name val="San Francisco Display"/>
      <family val="2"/>
    </font>
    <font>
      <b/>
      <sz val="11"/>
      <color theme="1"/>
      <name val="San Francisco Display"/>
      <family val="2"/>
    </font>
    <font>
      <b/>
      <sz val="10"/>
      <color theme="0" tint="-0.14999847407452621"/>
      <name val="San Francisco Display"/>
      <family val="2"/>
    </font>
    <font>
      <sz val="11"/>
      <color theme="1"/>
      <name val="San Francisco Display"/>
      <family val="2"/>
    </font>
    <font>
      <b/>
      <sz val="11"/>
      <color theme="0" tint="-0.14999847407452621"/>
      <name val="San Francisco Display"/>
      <family val="2"/>
    </font>
    <font>
      <b/>
      <sz val="14"/>
      <color theme="0"/>
      <name val="San Francisco Display"/>
      <family val="2"/>
    </font>
    <font>
      <b/>
      <sz val="12"/>
      <color theme="0" tint="-0.14999847407452621"/>
      <name val="San Francisco Display"/>
      <family val="2"/>
    </font>
    <font>
      <sz val="12"/>
      <color theme="0" tint="-0.14999847407452621"/>
      <name val="San Francisco Display"/>
      <family val="2"/>
    </font>
    <font>
      <sz val="14"/>
      <color theme="1"/>
      <name val="San Francisco Display"/>
    </font>
    <font>
      <sz val="14"/>
      <color theme="0" tint="-0.14999847407452621"/>
      <name val="San Francisco Display"/>
    </font>
    <font>
      <b/>
      <sz val="18"/>
      <color theme="8" tint="-0.249977111117893"/>
      <name val="San Francisco Display"/>
      <family val="2"/>
    </font>
    <font>
      <b/>
      <sz val="18"/>
      <color rgb="FFFF0000"/>
      <name val="San Francisco Display"/>
      <family val="2"/>
    </font>
    <font>
      <b/>
      <sz val="14"/>
      <color theme="1"/>
      <name val="San Francisco Display"/>
    </font>
    <font>
      <b/>
      <sz val="14"/>
      <color rgb="FFFF0000"/>
      <name val="San Francisco Display"/>
    </font>
    <font>
      <b/>
      <sz val="14"/>
      <color rgb="FFFF0000"/>
      <name val="San Francisco Display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3" borderId="0" xfId="0" applyFont="1" applyFill="1" applyAlignment="1">
      <alignment horizontal="center"/>
    </xf>
    <xf numFmtId="0" fontId="2" fillId="0" borderId="9" xfId="0" applyFont="1" applyBorder="1"/>
    <xf numFmtId="0" fontId="3" fillId="3" borderId="0" xfId="0" applyFont="1" applyFill="1"/>
    <xf numFmtId="0" fontId="2" fillId="0" borderId="8" xfId="0" applyFont="1" applyBorder="1"/>
    <xf numFmtId="0" fontId="3" fillId="0" borderId="0" xfId="0" applyFont="1"/>
    <xf numFmtId="0" fontId="2" fillId="0" borderId="3" xfId="0" applyFont="1" applyBorder="1" applyAlignment="1"/>
    <xf numFmtId="0" fontId="2" fillId="0" borderId="8" xfId="0" applyFont="1" applyBorder="1" applyAlignment="1"/>
    <xf numFmtId="0" fontId="2" fillId="0" borderId="4" xfId="0" applyFont="1" applyBorder="1" applyAlignment="1"/>
    <xf numFmtId="0" fontId="5" fillId="0" borderId="5" xfId="0" applyFont="1" applyBorder="1"/>
    <xf numFmtId="1" fontId="2" fillId="0" borderId="6" xfId="0" applyNumberFormat="1" applyFont="1" applyBorder="1"/>
    <xf numFmtId="0" fontId="2" fillId="0" borderId="7" xfId="0" applyFont="1" applyBorder="1"/>
    <xf numFmtId="0" fontId="6" fillId="0" borderId="3" xfId="0" applyFont="1" applyBorder="1"/>
    <xf numFmtId="0" fontId="6" fillId="0" borderId="4" xfId="0" applyFont="1" applyBorder="1"/>
    <xf numFmtId="0" fontId="5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6" fillId="0" borderId="8" xfId="0" applyFont="1" applyBorder="1" applyAlignment="1"/>
    <xf numFmtId="0" fontId="6" fillId="0" borderId="4" xfId="0" applyFont="1" applyBorder="1" applyAlignment="1"/>
    <xf numFmtId="0" fontId="2" fillId="0" borderId="1" xfId="0" applyFont="1" applyBorder="1"/>
    <xf numFmtId="0" fontId="7" fillId="0" borderId="0" xfId="0" applyFont="1"/>
    <xf numFmtId="1" fontId="2" fillId="0" borderId="3" xfId="0" applyNumberFormat="1" applyFont="1" applyBorder="1"/>
    <xf numFmtId="164" fontId="6" fillId="0" borderId="3" xfId="0" applyNumberFormat="1" applyFont="1" applyBorder="1"/>
    <xf numFmtId="0" fontId="8" fillId="0" borderId="3" xfId="0" applyFont="1" applyBorder="1"/>
    <xf numFmtId="165" fontId="9" fillId="5" borderId="0" xfId="0" applyNumberFormat="1" applyFont="1" applyFill="1"/>
    <xf numFmtId="43" fontId="9" fillId="5" borderId="0" xfId="0" applyNumberFormat="1" applyFont="1" applyFill="1"/>
    <xf numFmtId="9" fontId="3" fillId="3" borderId="0" xfId="2" applyFont="1" applyFill="1"/>
    <xf numFmtId="43" fontId="6" fillId="0" borderId="0" xfId="0" applyNumberFormat="1" applyFont="1"/>
    <xf numFmtId="0" fontId="2" fillId="0" borderId="0" xfId="0" applyFont="1" applyBorder="1"/>
    <xf numFmtId="164" fontId="2" fillId="4" borderId="0" xfId="1" applyNumberFormat="1" applyFont="1" applyFill="1" applyBorder="1"/>
    <xf numFmtId="0" fontId="11" fillId="0" borderId="0" xfId="0" applyFont="1"/>
    <xf numFmtId="0" fontId="12" fillId="0" borderId="0" xfId="0" applyFont="1"/>
    <xf numFmtId="43" fontId="12" fillId="0" borderId="0" xfId="0" applyNumberFormat="1" applyFont="1"/>
    <xf numFmtId="43" fontId="9" fillId="0" borderId="0" xfId="0" applyNumberFormat="1" applyFont="1"/>
    <xf numFmtId="164" fontId="2" fillId="0" borderId="8" xfId="1" applyNumberFormat="1" applyFont="1" applyBorder="1"/>
    <xf numFmtId="43" fontId="2" fillId="3" borderId="8" xfId="0" applyNumberFormat="1" applyFont="1" applyFill="1" applyBorder="1" applyAlignment="1"/>
    <xf numFmtId="164" fontId="2" fillId="3" borderId="8" xfId="0" applyNumberFormat="1" applyFont="1" applyFill="1" applyBorder="1" applyAlignment="1"/>
    <xf numFmtId="0" fontId="6" fillId="3" borderId="8" xfId="0" applyFont="1" applyFill="1" applyBorder="1"/>
    <xf numFmtId="0" fontId="6" fillId="3" borderId="4" xfId="0" applyFont="1" applyFill="1" applyBorder="1"/>
    <xf numFmtId="164" fontId="2" fillId="6" borderId="0" xfId="1" applyNumberFormat="1" applyFont="1" applyFill="1"/>
    <xf numFmtId="0" fontId="2" fillId="0" borderId="0" xfId="0" applyFont="1" applyAlignment="1">
      <alignment horizontal="center" vertical="center"/>
    </xf>
    <xf numFmtId="0" fontId="7" fillId="0" borderId="4" xfId="0" applyFont="1" applyBorder="1"/>
    <xf numFmtId="0" fontId="13" fillId="7" borderId="0" xfId="0" applyFont="1" applyFill="1" applyAlignment="1">
      <alignment horizontal="center" vertical="center"/>
    </xf>
    <xf numFmtId="9" fontId="13" fillId="7" borderId="0" xfId="0" applyNumberFormat="1" applyFont="1" applyFill="1" applyAlignment="1">
      <alignment horizontal="center" vertical="center"/>
    </xf>
    <xf numFmtId="43" fontId="13" fillId="7" borderId="0" xfId="0" applyNumberFormat="1" applyFont="1" applyFill="1" applyAlignment="1">
      <alignment horizontal="center" vertical="center"/>
    </xf>
    <xf numFmtId="43" fontId="14" fillId="7" borderId="0" xfId="0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left" vertical="center"/>
    </xf>
    <xf numFmtId="0" fontId="13" fillId="7" borderId="0" xfId="0" quotePrefix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 wrapText="1"/>
    </xf>
    <xf numFmtId="164" fontId="2" fillId="5" borderId="8" xfId="0" applyNumberFormat="1" applyFont="1" applyFill="1" applyBorder="1" applyAlignment="1">
      <alignment horizontal="center" wrapText="1"/>
    </xf>
    <xf numFmtId="0" fontId="3" fillId="0" borderId="8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10" fillId="2" borderId="6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4" fontId="15" fillId="4" borderId="0" xfId="1" applyNumberFormat="1" applyFont="1" applyFill="1" applyBorder="1"/>
    <xf numFmtId="164" fontId="2" fillId="0" borderId="0" xfId="1" applyNumberFormat="1" applyFont="1" applyBorder="1"/>
    <xf numFmtId="165" fontId="2" fillId="4" borderId="0" xfId="1" applyNumberFormat="1" applyFont="1" applyFill="1" applyBorder="1"/>
    <xf numFmtId="164" fontId="2" fillId="4" borderId="8" xfId="1" applyNumberFormat="1" applyFont="1" applyFill="1" applyBorder="1"/>
    <xf numFmtId="9" fontId="15" fillId="6" borderId="0" xfId="2" applyFont="1" applyFill="1"/>
    <xf numFmtId="164" fontId="16" fillId="6" borderId="0" xfId="1" applyNumberFormat="1" applyFont="1" applyFill="1"/>
    <xf numFmtId="164" fontId="2" fillId="0" borderId="10" xfId="1" applyNumberFormat="1" applyFont="1" applyBorder="1"/>
    <xf numFmtId="166" fontId="15" fillId="6" borderId="11" xfId="1" applyNumberFormat="1" applyFont="1" applyFill="1" applyBorder="1"/>
    <xf numFmtId="0" fontId="3" fillId="3" borderId="9" xfId="0" applyFont="1" applyFill="1" applyBorder="1"/>
    <xf numFmtId="9" fontId="3" fillId="6" borderId="9" xfId="2" applyFont="1" applyFill="1" applyBorder="1"/>
    <xf numFmtId="0" fontId="3" fillId="6" borderId="9" xfId="0" applyFont="1" applyFill="1" applyBorder="1"/>
    <xf numFmtId="0" fontId="17" fillId="0" borderId="0" xfId="0" applyFont="1" applyAlignment="1">
      <alignment horizontal="center"/>
    </xf>
    <xf numFmtId="0" fontId="19" fillId="6" borderId="9" xfId="0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087F-D5B1-43D7-9E6D-538DD5A7F1BA}">
  <dimension ref="B1:Q27"/>
  <sheetViews>
    <sheetView showGridLines="0" tabSelected="1" topLeftCell="B1" zoomScale="65" zoomScaleNormal="65" workbookViewId="0">
      <selection activeCell="F27" sqref="F27"/>
    </sheetView>
  </sheetViews>
  <sheetFormatPr baseColWidth="10" defaultColWidth="9.109375" defaultRowHeight="22.8"/>
  <cols>
    <col min="1" max="1" width="5.21875" style="1" customWidth="1"/>
    <col min="2" max="2" width="54.88671875" style="1" customWidth="1"/>
    <col min="3" max="3" width="25.88671875" style="2" customWidth="1"/>
    <col min="4" max="4" width="9.6640625" style="7" bestFit="1" customWidth="1"/>
    <col min="5" max="5" width="16.77734375" style="1" bestFit="1" customWidth="1"/>
    <col min="6" max="6" width="19.88671875" style="42" bestFit="1" customWidth="1"/>
    <col min="7" max="7" width="4.33203125" style="1" customWidth="1"/>
    <col min="8" max="8" width="4" style="1" customWidth="1"/>
    <col min="9" max="9" width="2.33203125" style="1" customWidth="1"/>
    <col min="10" max="10" width="14.6640625" style="1" customWidth="1"/>
    <col min="11" max="11" width="14.77734375" style="1" customWidth="1"/>
    <col min="12" max="12" width="7" style="1" bestFit="1" customWidth="1"/>
    <col min="13" max="13" width="6.21875" style="1" customWidth="1"/>
    <col min="14" max="14" width="18.77734375" style="1" bestFit="1" customWidth="1"/>
    <col min="15" max="15" width="4.21875" style="1" customWidth="1"/>
    <col min="16" max="16" width="11.109375" style="32" customWidth="1"/>
    <col min="17" max="17" width="12.77734375" style="32" customWidth="1"/>
    <col min="18" max="16384" width="9.109375" style="1"/>
  </cols>
  <sheetData>
    <row r="1" spans="2:17">
      <c r="D1" s="3" t="s">
        <v>7</v>
      </c>
      <c r="F1" s="42" t="s">
        <v>42</v>
      </c>
      <c r="J1" s="50" t="s">
        <v>24</v>
      </c>
      <c r="K1" s="51"/>
      <c r="L1" s="51"/>
      <c r="M1" s="51"/>
      <c r="N1" s="51"/>
    </row>
    <row r="2" spans="2:17">
      <c r="B2" s="4" t="s">
        <v>15</v>
      </c>
      <c r="C2" s="59">
        <v>16500000</v>
      </c>
      <c r="D2" s="67"/>
      <c r="F2" s="44"/>
      <c r="J2" s="56" t="s">
        <v>10</v>
      </c>
      <c r="K2" s="57"/>
      <c r="L2" s="57"/>
      <c r="M2" s="57"/>
      <c r="N2" s="57"/>
    </row>
    <row r="3" spans="2:17">
      <c r="B3" s="6" t="s">
        <v>16</v>
      </c>
      <c r="C3" s="62">
        <f>C2+C2*D3</f>
        <v>18150000</v>
      </c>
      <c r="D3" s="68">
        <v>0.1</v>
      </c>
      <c r="E3" s="7" t="s">
        <v>47</v>
      </c>
      <c r="F3" s="44" t="s">
        <v>51</v>
      </c>
      <c r="J3" s="52">
        <f>C3</f>
        <v>18150000</v>
      </c>
      <c r="K3" s="53"/>
      <c r="L3" s="53"/>
      <c r="M3" s="54" t="s">
        <v>9</v>
      </c>
      <c r="N3" s="55"/>
      <c r="P3" s="32" t="s">
        <v>30</v>
      </c>
    </row>
    <row r="4" spans="2:17">
      <c r="B4" s="30" t="s">
        <v>31</v>
      </c>
      <c r="C4" s="31">
        <f>C3*D4</f>
        <v>10890000</v>
      </c>
      <c r="D4" s="28">
        <v>0.6</v>
      </c>
      <c r="E4" s="70" t="s">
        <v>55</v>
      </c>
      <c r="F4" s="45">
        <v>0.6</v>
      </c>
      <c r="J4" s="8" t="s">
        <v>13</v>
      </c>
      <c r="K4" s="9"/>
      <c r="L4" s="9"/>
      <c r="M4" s="9"/>
      <c r="N4" s="10"/>
      <c r="P4" s="33" t="s">
        <v>32</v>
      </c>
      <c r="Q4" s="34">
        <f>(E16*C4)/1024</f>
        <v>19446.428571428572</v>
      </c>
    </row>
    <row r="5" spans="2:17">
      <c r="C5" s="60"/>
      <c r="D5" s="5"/>
      <c r="F5" s="44"/>
      <c r="J5" s="11" t="s">
        <v>5</v>
      </c>
      <c r="K5" s="12">
        <f>B27</f>
        <v>36</v>
      </c>
      <c r="L5" s="13" t="s">
        <v>3</v>
      </c>
      <c r="M5" s="14"/>
      <c r="N5" s="15"/>
      <c r="P5" s="33" t="s">
        <v>33</v>
      </c>
      <c r="Q5" s="34">
        <f>Q4*30/1024</f>
        <v>569.71958705357144</v>
      </c>
    </row>
    <row r="6" spans="2:17">
      <c r="B6" s="4" t="s">
        <v>17</v>
      </c>
      <c r="C6" s="31">
        <f>C3/D6</f>
        <v>1815000</v>
      </c>
      <c r="D6" s="67">
        <v>10</v>
      </c>
      <c r="E6" s="1" t="s">
        <v>0</v>
      </c>
      <c r="F6" s="44"/>
      <c r="J6" s="16" t="s">
        <v>11</v>
      </c>
      <c r="K6" s="17">
        <f>ROUND(K5*N6,0)</f>
        <v>288</v>
      </c>
      <c r="L6" s="18" t="s">
        <v>6</v>
      </c>
      <c r="N6" s="43">
        <f>7.1111*0+8*1</f>
        <v>8</v>
      </c>
    </row>
    <row r="7" spans="2:17">
      <c r="B7" s="4" t="s">
        <v>18</v>
      </c>
      <c r="C7" s="62">
        <f>C6/D7</f>
        <v>40333.333333333336</v>
      </c>
      <c r="D7" s="67">
        <v>45</v>
      </c>
      <c r="E7" s="1" t="s">
        <v>1</v>
      </c>
      <c r="F7" s="44"/>
      <c r="J7" s="58" t="s">
        <v>25</v>
      </c>
      <c r="K7" s="36">
        <f>C19*C20*Q8/1024/1024</f>
        <v>2150.3427012582843</v>
      </c>
      <c r="L7" s="18" t="s">
        <v>6</v>
      </c>
      <c r="M7" s="14" t="s">
        <v>26</v>
      </c>
      <c r="N7" s="15"/>
      <c r="P7" s="32" t="s">
        <v>26</v>
      </c>
    </row>
    <row r="8" spans="2:17">
      <c r="B8" s="4" t="s">
        <v>19</v>
      </c>
      <c r="C8" s="62">
        <f>C7/D8</f>
        <v>896.2962962962963</v>
      </c>
      <c r="D8" s="67">
        <v>45</v>
      </c>
      <c r="E8" s="1" t="s">
        <v>2</v>
      </c>
      <c r="F8" s="44"/>
      <c r="J8" s="58"/>
      <c r="K8" s="36">
        <f>C18*Q5</f>
        <v>7406.3546316964284</v>
      </c>
      <c r="L8" s="18" t="s">
        <v>6</v>
      </c>
      <c r="M8" s="14" t="s">
        <v>27</v>
      </c>
      <c r="N8" s="15"/>
      <c r="P8" s="33" t="s">
        <v>30</v>
      </c>
      <c r="Q8" s="34">
        <f>E19</f>
        <v>5.9157752808988766</v>
      </c>
    </row>
    <row r="9" spans="2:17">
      <c r="C9" s="60"/>
      <c r="D9" s="5"/>
      <c r="F9" s="44"/>
      <c r="J9" s="58"/>
      <c r="K9" s="6">
        <v>90</v>
      </c>
      <c r="L9" s="18" t="s">
        <v>6</v>
      </c>
      <c r="M9" s="14" t="s">
        <v>28</v>
      </c>
      <c r="N9" s="15"/>
      <c r="P9" s="33"/>
      <c r="Q9" s="34"/>
    </row>
    <row r="10" spans="2:17">
      <c r="B10" s="4" t="s">
        <v>20</v>
      </c>
      <c r="C10" s="31">
        <f>C8/D10</f>
        <v>35.851851851851855</v>
      </c>
      <c r="D10" s="69">
        <v>25</v>
      </c>
      <c r="E10" s="1" t="s">
        <v>45</v>
      </c>
      <c r="F10" s="44" t="s">
        <v>52</v>
      </c>
      <c r="G10" s="22">
        <f>1000/D10</f>
        <v>40</v>
      </c>
      <c r="H10" s="22" t="s">
        <v>4</v>
      </c>
      <c r="J10" s="58"/>
      <c r="K10" s="6">
        <v>75</v>
      </c>
      <c r="L10" s="18" t="s">
        <v>6</v>
      </c>
      <c r="M10" s="14" t="s">
        <v>29</v>
      </c>
      <c r="N10" s="15"/>
      <c r="Q10" s="34"/>
    </row>
    <row r="11" spans="2:17">
      <c r="C11" s="60"/>
      <c r="D11" s="5"/>
      <c r="F11" s="44"/>
      <c r="G11" s="22">
        <f>D10*K5</f>
        <v>900</v>
      </c>
      <c r="H11" s="22" t="s">
        <v>46</v>
      </c>
      <c r="J11" s="58"/>
      <c r="K11" s="37">
        <f>(K10+K9+K8+K7)/1024</f>
        <v>9.4938450517135866</v>
      </c>
      <c r="L11" s="38" t="s">
        <v>36</v>
      </c>
      <c r="M11" s="39" t="s">
        <v>35</v>
      </c>
      <c r="N11" s="40"/>
    </row>
    <row r="12" spans="2:17">
      <c r="C12" s="60"/>
      <c r="D12" s="5"/>
      <c r="F12" s="44"/>
      <c r="J12" s="8"/>
      <c r="K12" s="9"/>
      <c r="L12" s="9"/>
      <c r="M12" s="19"/>
      <c r="N12" s="20"/>
    </row>
    <row r="13" spans="2:17">
      <c r="B13" s="4" t="s">
        <v>21</v>
      </c>
      <c r="C13" s="61">
        <f>C8/D13</f>
        <v>89.629629629629633</v>
      </c>
      <c r="D13" s="71">
        <v>10</v>
      </c>
      <c r="E13" s="1" t="s">
        <v>44</v>
      </c>
      <c r="F13" s="44" t="s">
        <v>53</v>
      </c>
      <c r="G13" s="22">
        <f>1000/D13</f>
        <v>100</v>
      </c>
      <c r="H13" s="22" t="s">
        <v>4</v>
      </c>
      <c r="J13" s="21" t="s">
        <v>12</v>
      </c>
      <c r="K13" s="8"/>
      <c r="L13" s="10"/>
      <c r="M13" s="24">
        <f>D14</f>
        <v>16</v>
      </c>
      <c r="N13" s="15" t="s">
        <v>23</v>
      </c>
    </row>
    <row r="14" spans="2:17">
      <c r="B14" s="6" t="s">
        <v>22</v>
      </c>
      <c r="C14" s="62">
        <f>C13/D14</f>
        <v>5.6018518518518521</v>
      </c>
      <c r="D14" s="69">
        <v>16</v>
      </c>
      <c r="E14" s="1" t="s">
        <v>43</v>
      </c>
      <c r="F14" s="49" t="s">
        <v>54</v>
      </c>
      <c r="G14" s="22">
        <f>ROUND(D13*D14*C14,0)</f>
        <v>896</v>
      </c>
      <c r="H14" s="22" t="s">
        <v>46</v>
      </c>
      <c r="J14" s="16" t="s">
        <v>5</v>
      </c>
      <c r="K14" s="23">
        <f>C27</f>
        <v>92</v>
      </c>
      <c r="L14" s="18" t="s">
        <v>3</v>
      </c>
      <c r="M14" s="24">
        <f>C14</f>
        <v>5.6018518518518521</v>
      </c>
      <c r="N14" s="15" t="s">
        <v>8</v>
      </c>
    </row>
    <row r="15" spans="2:17">
      <c r="E15" s="29"/>
      <c r="F15" s="46"/>
      <c r="J15" s="16" t="s">
        <v>11</v>
      </c>
      <c r="K15" s="17">
        <v>16</v>
      </c>
      <c r="L15" s="18" t="s">
        <v>6</v>
      </c>
      <c r="M15" s="25" t="s">
        <v>14</v>
      </c>
      <c r="N15" s="15"/>
    </row>
    <row r="16" spans="2:17">
      <c r="B16" s="1" t="s">
        <v>37</v>
      </c>
      <c r="C16" s="41">
        <v>1600</v>
      </c>
      <c r="D16" s="35">
        <f>C16/350</f>
        <v>4.5714285714285712</v>
      </c>
      <c r="E16" s="35">
        <f>D16*C17</f>
        <v>1.8285714285714285</v>
      </c>
      <c r="F16" s="47"/>
      <c r="J16" s="8"/>
      <c r="K16" s="9"/>
      <c r="L16" s="9"/>
      <c r="M16" s="19"/>
      <c r="N16" s="20"/>
    </row>
    <row r="17" spans="2:14">
      <c r="B17" s="1" t="s">
        <v>38</v>
      </c>
      <c r="C17" s="63">
        <v>0.4</v>
      </c>
      <c r="F17" s="44" t="s">
        <v>48</v>
      </c>
      <c r="J17" s="21" t="s">
        <v>56</v>
      </c>
      <c r="K17" s="8"/>
      <c r="L17" s="10"/>
      <c r="M17" s="14"/>
      <c r="N17" s="15"/>
    </row>
    <row r="18" spans="2:14">
      <c r="B18" s="1" t="s">
        <v>39</v>
      </c>
      <c r="C18" s="41">
        <v>13</v>
      </c>
      <c r="D18" s="7" t="s">
        <v>34</v>
      </c>
      <c r="F18" s="44"/>
      <c r="J18" s="16" t="s">
        <v>5</v>
      </c>
      <c r="K18" s="23">
        <f>ROUND(M14,0)*4</f>
        <v>24</v>
      </c>
      <c r="L18" s="18" t="s">
        <v>3</v>
      </c>
      <c r="M18" s="25" t="s">
        <v>14</v>
      </c>
      <c r="N18" s="15"/>
    </row>
    <row r="19" spans="2:14" ht="23.4" thickBot="1">
      <c r="B19" s="1" t="s">
        <v>40</v>
      </c>
      <c r="C19" s="64">
        <v>7</v>
      </c>
      <c r="E19" s="35">
        <f>C16*1.31626/356</f>
        <v>5.9157752808988766</v>
      </c>
      <c r="F19" s="48" t="s">
        <v>49</v>
      </c>
      <c r="J19" s="16" t="s">
        <v>11</v>
      </c>
      <c r="K19" s="23">
        <f>K18*4</f>
        <v>96</v>
      </c>
      <c r="L19" s="18" t="s">
        <v>6</v>
      </c>
      <c r="M19" s="25" t="s">
        <v>14</v>
      </c>
      <c r="N19" s="15"/>
    </row>
    <row r="20" spans="2:14" ht="23.4" thickBot="1">
      <c r="B20" s="1" t="s">
        <v>41</v>
      </c>
      <c r="C20" s="65">
        <f>C3*D20</f>
        <v>54450000</v>
      </c>
      <c r="D20" s="66">
        <f>3</f>
        <v>3</v>
      </c>
      <c r="F20" s="48" t="s">
        <v>50</v>
      </c>
    </row>
    <row r="23" spans="2:14">
      <c r="B23" s="26">
        <f>INT(C10)</f>
        <v>35</v>
      </c>
      <c r="C23" s="26">
        <f>INT(C13)</f>
        <v>89</v>
      </c>
    </row>
    <row r="24" spans="2:14">
      <c r="B24" s="27">
        <f>INT(B23/4)</f>
        <v>8</v>
      </c>
      <c r="C24" s="27">
        <f>INT(C23/4)</f>
        <v>22</v>
      </c>
    </row>
    <row r="25" spans="2:14">
      <c r="B25" s="26">
        <f>MOD(B23,4)</f>
        <v>3</v>
      </c>
      <c r="C25" s="26">
        <f>MOD(C23,4)</f>
        <v>1</v>
      </c>
    </row>
    <row r="26" spans="2:14">
      <c r="B26" s="27">
        <f>B24+IF(B25&gt;0,1,0)</f>
        <v>9</v>
      </c>
      <c r="C26" s="27">
        <f>C24+IF(C25&gt;0,1,0)</f>
        <v>23</v>
      </c>
    </row>
    <row r="27" spans="2:14">
      <c r="B27" s="27">
        <f>B26*4</f>
        <v>36</v>
      </c>
      <c r="C27" s="27">
        <f>C26*4</f>
        <v>92</v>
      </c>
    </row>
  </sheetData>
  <mergeCells count="5">
    <mergeCell ref="J1:N1"/>
    <mergeCell ref="J3:L3"/>
    <mergeCell ref="M3:N3"/>
    <mergeCell ref="J2:N2"/>
    <mergeCell ref="J7:J11"/>
  </mergeCells>
  <pageMargins left="0.7" right="0.7" top="0.75" bottom="0.75" header="0.3" footer="0.3"/>
  <pageSetup orientation="portrait" r:id="rId1"/>
  <ignoredErrors>
    <ignoredError sqref="F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 Del Cid</dc:creator>
  <cp:lastModifiedBy>Fabriccio Diaz</cp:lastModifiedBy>
  <dcterms:created xsi:type="dcterms:W3CDTF">2019-06-20T18:11:49Z</dcterms:created>
  <dcterms:modified xsi:type="dcterms:W3CDTF">2019-08-08T16:27:36Z</dcterms:modified>
</cp:coreProperties>
</file>